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60" windowWidth="17655" windowHeight="7380" activeTab="0"/>
  </bookViews>
  <sheets>
    <sheet name="WUTC_AW of Lynnwood_MF" sheetId="1" r:id="rId1"/>
    <sheet name="Value" sheetId="2" r:id="rId2"/>
    <sheet name="Pricing" sheetId="3" r:id="rId3"/>
    <sheet name="Commodity Tonnages" sheetId="4" r:id="rId4"/>
    <sheet name="Multi_Family" sheetId="5" r:id="rId5"/>
    <sheet name="RSA" sheetId="6" r:id="rId6"/>
    <sheet name="Recap" sheetId="7" r:id="rId7"/>
  </sheets>
  <externalReferences>
    <externalReference r:id="rId10"/>
  </externalReferences>
  <definedNames>
    <definedName name="_xlfn.IFERROR" hidden="1">#NAME?</definedName>
    <definedName name="_xlfn.SINGLE" hidden="1">#NAME?</definedName>
    <definedName name="color" localSheetId="6">#REF!</definedName>
    <definedName name="color">#REF!</definedName>
    <definedName name="_xlnm.Print_Area" localSheetId="4">'Multi_Family'!$A$7:$N$102</definedName>
    <definedName name="_xlnm.Print_Area" localSheetId="2">'Pricing'!$A$1:$L$17</definedName>
    <definedName name="_xlnm.Print_Area" localSheetId="0">'WUTC_AW of Lynnwood_MF'!$A$1:$P$72</definedName>
    <definedName name="_xlnm.Print_Titles" localSheetId="4">'Multi_Family'!$A:$B,'Multi_Family'!$1:$6</definedName>
  </definedNames>
  <calcPr fullCalcOnLoad="1"/>
</workbook>
</file>

<file path=xl/comments1.xml><?xml version="1.0" encoding="utf-8"?>
<comments xmlns="http://schemas.openxmlformats.org/spreadsheetml/2006/main">
  <authors>
    <author>Hart, Abby Rose</author>
    <author>Johnson, Carla</author>
  </authors>
  <commentList>
    <comment ref="F38" authorId="0">
      <text>
        <r>
          <rPr>
            <b/>
            <sz val="9"/>
            <rFont val="Tahoma"/>
            <family val="2"/>
          </rPr>
          <t>Hart, Abby Rose:</t>
        </r>
        <r>
          <rPr>
            <sz val="9"/>
            <rFont val="Tahoma"/>
            <family val="2"/>
          </rPr>
          <t xml:space="preserve">
old 2014 value </t>
        </r>
      </text>
    </comment>
    <comment ref="B8" authorId="1">
      <text>
        <r>
          <rPr>
            <b/>
            <sz val="9"/>
            <rFont val="Tahoma"/>
            <family val="2"/>
          </rPr>
          <t>Johnson, Carla:</t>
        </r>
        <r>
          <rPr>
            <sz val="9"/>
            <rFont val="Tahoma"/>
            <family val="2"/>
          </rPr>
          <t xml:space="preserve">
RSA Workbook/MF/4197 yards column D</t>
        </r>
      </text>
    </comment>
    <comment ref="F34" authorId="0">
      <text>
        <r>
          <rPr>
            <b/>
            <sz val="9"/>
            <rFont val="Tahoma"/>
            <family val="2"/>
          </rPr>
          <t>Hart, Abby Rose:</t>
        </r>
        <r>
          <rPr>
            <sz val="9"/>
            <rFont val="Tahoma"/>
            <family val="2"/>
          </rPr>
          <t xml:space="preserve">
old 2014 value </t>
        </r>
      </text>
    </comment>
  </commentList>
</comments>
</file>

<file path=xl/comments5.xml><?xml version="1.0" encoding="utf-8"?>
<comments xmlns="http://schemas.openxmlformats.org/spreadsheetml/2006/main">
  <authors>
    <author>Alex Brenner</author>
  </authors>
  <commentList>
    <comment ref="A12" authorId="0">
      <text>
        <r>
          <rPr>
            <b/>
            <sz val="8"/>
            <rFont val="Tahoma"/>
            <family val="2"/>
          </rPr>
          <t>Alex Brenner:</t>
        </r>
        <r>
          <rPr>
            <sz val="8"/>
            <rFont val="Tahoma"/>
            <family val="2"/>
          </rPr>
          <t xml:space="preserve">
From ESMMYYTONS Spreadsheet, 'Prices' tab (where MM=month, YY=Year)</t>
        </r>
      </text>
    </comment>
  </commentList>
</comments>
</file>

<file path=xl/comments6.xml><?xml version="1.0" encoding="utf-8"?>
<comments xmlns="http://schemas.openxmlformats.org/spreadsheetml/2006/main">
  <authors>
    <author>Gualberto, Christopher</author>
  </authors>
  <commentList>
    <comment ref="C4" authorId="0">
      <text>
        <r>
          <rPr>
            <b/>
            <sz val="9"/>
            <rFont val="Tahoma"/>
            <family val="2"/>
          </rPr>
          <t>Gualberto, Christopher:</t>
        </r>
        <r>
          <rPr>
            <sz val="9"/>
            <rFont val="Tahoma"/>
            <family val="2"/>
          </rPr>
          <t xml:space="preserve">
from RSA file</t>
        </r>
      </text>
    </comment>
  </commentList>
</comments>
</file>

<file path=xl/comments7.xml><?xml version="1.0" encoding="utf-8"?>
<comments xmlns="http://schemas.openxmlformats.org/spreadsheetml/2006/main">
  <authors>
    <author>Jody Reid</author>
  </authors>
  <commentList>
    <comment ref="J4" authorId="0">
      <text>
        <r>
          <rPr>
            <sz val="8"/>
            <rFont val="Tahoma"/>
            <family val="2"/>
          </rPr>
          <t>TTM Commodity value per customer x # of Customers x 12 months</t>
        </r>
      </text>
    </comment>
    <comment ref="L4" authorId="0">
      <text>
        <r>
          <rPr>
            <sz val="8"/>
            <rFont val="Tahoma"/>
            <family val="2"/>
          </rPr>
          <t xml:space="preserve">Customer Count Today x 12 months x Base Pass Back Rate
</t>
        </r>
      </text>
    </comment>
    <comment ref="J12" authorId="0">
      <text>
        <r>
          <rPr>
            <sz val="8"/>
            <rFont val="Tahoma"/>
            <family val="2"/>
          </rPr>
          <t>TTM Commodity value per customer x # of Customers x 12 months</t>
        </r>
      </text>
    </comment>
    <comment ref="L12" authorId="0">
      <text>
        <r>
          <rPr>
            <sz val="8"/>
            <rFont val="Tahoma"/>
            <family val="2"/>
          </rPr>
          <t>Customer Count Today x 12 months x Base Pass Back Rate
(See WUTC tab)</t>
        </r>
      </text>
    </comment>
    <comment ref="J21" authorId="0">
      <text>
        <r>
          <rPr>
            <sz val="8"/>
            <rFont val="Tahoma"/>
            <family val="2"/>
          </rPr>
          <t>TTM Commodity value per customer x # of Customers x 12 months</t>
        </r>
      </text>
    </comment>
    <comment ref="L21" authorId="0">
      <text>
        <r>
          <rPr>
            <sz val="8"/>
            <rFont val="Tahoma"/>
            <family val="2"/>
          </rPr>
          <t xml:space="preserve">Customer Count Today x 12 months x Base Pass Back Rate
</t>
        </r>
      </text>
    </comment>
  </commentList>
</comments>
</file>

<file path=xl/sharedStrings.xml><?xml version="1.0" encoding="utf-8"?>
<sst xmlns="http://schemas.openxmlformats.org/spreadsheetml/2006/main" count="261" uniqueCount="131">
  <si>
    <t>Deferred Accounting Methodology</t>
  </si>
  <si>
    <t>Commodity</t>
  </si>
  <si>
    <t>Revenue</t>
  </si>
  <si>
    <t>Month</t>
  </si>
  <si>
    <t>(b1)</t>
  </si>
  <si>
    <t>(b2)</t>
  </si>
  <si>
    <t>(a)</t>
  </si>
  <si>
    <t>(c)</t>
  </si>
  <si>
    <t>(d)</t>
  </si>
  <si>
    <t>Commodity Gain/Loss Calculation</t>
  </si>
  <si>
    <t>Actual Commodity Revenues</t>
  </si>
  <si>
    <t xml:space="preserve">   Base Credits Billed</t>
  </si>
  <si>
    <t xml:space="preserve">      Total Base Credits Billed</t>
  </si>
  <si>
    <t>Excess Commodity Credits</t>
  </si>
  <si>
    <t>Alum</t>
  </si>
  <si>
    <t>Glass</t>
  </si>
  <si>
    <t>ONP</t>
  </si>
  <si>
    <t>MWP</t>
  </si>
  <si>
    <t>Pet</t>
  </si>
  <si>
    <t>HDPE</t>
  </si>
  <si>
    <t>OCC</t>
  </si>
  <si>
    <t>Other</t>
  </si>
  <si>
    <t>Total</t>
  </si>
  <si>
    <t xml:space="preserve"> </t>
  </si>
  <si>
    <t xml:space="preserve">Total </t>
  </si>
  <si>
    <t>Total Tons</t>
  </si>
  <si>
    <t>Sorted Glass Percentage</t>
  </si>
  <si>
    <t>Sorted Glass</t>
  </si>
  <si>
    <t>Sampled Tons</t>
  </si>
  <si>
    <t>Sampling Percentages</t>
  </si>
  <si>
    <t>Magazines</t>
  </si>
  <si>
    <t>Tin</t>
  </si>
  <si>
    <t>Plastic</t>
  </si>
  <si>
    <t>Aluminum</t>
  </si>
  <si>
    <t>Ferris Metal</t>
  </si>
  <si>
    <t>Trash</t>
  </si>
  <si>
    <t>Mixed Paper</t>
  </si>
  <si>
    <t>Sampled Tonnage</t>
  </si>
  <si>
    <t>Recovery Percentages</t>
  </si>
  <si>
    <t>Recovered Tonnages</t>
  </si>
  <si>
    <t xml:space="preserve">Product Sales Rates </t>
  </si>
  <si>
    <t>Product Value</t>
  </si>
  <si>
    <t>Total Value</t>
  </si>
  <si>
    <t>Value per Ton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</si>
  <si>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</si>
  <si>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</si>
  <si>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</si>
  <si>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</si>
  <si>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</si>
  <si>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</si>
  <si>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</si>
  <si>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</si>
  <si>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</si>
  <si>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</si>
  <si>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</si>
  <si>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</si>
  <si>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EastSide Disposal</t>
  </si>
  <si>
    <t>East Side Disposal</t>
  </si>
  <si>
    <t>Multi-Family</t>
  </si>
  <si>
    <t>Yards</t>
  </si>
  <si>
    <t>per Yard</t>
  </si>
  <si>
    <t>Total yards</t>
  </si>
  <si>
    <t>Monthly Base Credit per Yard</t>
  </si>
  <si>
    <t>.</t>
  </si>
  <si>
    <t>Rabanco Ltd (dba Allied Waste of Lynnwood)</t>
  </si>
  <si>
    <t>3.5x Compaction</t>
  </si>
  <si>
    <t>5x Compaction</t>
  </si>
  <si>
    <t>TG-12______</t>
  </si>
  <si>
    <t>For use in Budget Calculation</t>
  </si>
  <si>
    <t>Total Trailing 12 Mo. Commodity Value / Customer</t>
  </si>
  <si>
    <t>Most recent Total # of Customers</t>
  </si>
  <si>
    <t>% of Revenue Passed Back</t>
  </si>
  <si>
    <t>Budget total Revenue</t>
  </si>
  <si>
    <t>Budget Revenue Passed Back</t>
  </si>
  <si>
    <t>% Passed Back</t>
  </si>
  <si>
    <t xml:space="preserve"> Projected Debit</t>
  </si>
  <si>
    <t xml:space="preserve"> True-up Computation</t>
  </si>
  <si>
    <t>Material Shrinkage</t>
  </si>
  <si>
    <t>Shrinkage</t>
  </si>
  <si>
    <t>Metal</t>
  </si>
  <si>
    <t>Total twelve months</t>
  </si>
  <si>
    <t>Total Annual Customers</t>
  </si>
  <si>
    <t>Multi-Family Unspent RSA Passback</t>
  </si>
  <si>
    <t>12 month running average "BASE CREDIT"</t>
  </si>
  <si>
    <t>Commodity Value Timeframe:  May-April</t>
  </si>
  <si>
    <t>SF portion</t>
  </si>
  <si>
    <t>MF portion</t>
  </si>
  <si>
    <t>Lynnwood</t>
  </si>
  <si>
    <t>RSA Rev breakdown:</t>
  </si>
  <si>
    <t>SF $</t>
  </si>
  <si>
    <t>MF $</t>
  </si>
  <si>
    <t>SF %</t>
  </si>
  <si>
    <t>MF %</t>
  </si>
  <si>
    <t>Bellevue SF RSA Unspent</t>
  </si>
  <si>
    <t>Credit per customer</t>
  </si>
  <si>
    <t>Total Annual Yards</t>
  </si>
  <si>
    <t>Per RSA File</t>
  </si>
  <si>
    <t>Per UTC Filing</t>
  </si>
  <si>
    <t>Variance</t>
  </si>
  <si>
    <t>50% RSA Retained</t>
  </si>
  <si>
    <t>50% Passed to Customers</t>
  </si>
  <si>
    <t>Commodity Revenue</t>
  </si>
  <si>
    <t xml:space="preserve">197 Lynnwood Single-Family Value </t>
  </si>
  <si>
    <t xml:space="preserve">Lynnwood Multi-Family Value </t>
  </si>
  <si>
    <t>Total Revenue Retained</t>
  </si>
  <si>
    <t>Year 1</t>
  </si>
  <si>
    <t>Year 2</t>
  </si>
  <si>
    <t>Excess Commodity Value</t>
  </si>
  <si>
    <t>Prior three months</t>
  </si>
  <si>
    <t>Current nine months</t>
  </si>
  <si>
    <t>2021/2022 Monthly True-up Amount</t>
  </si>
  <si>
    <t>8/1/22 - 7/31/23 Adjusted Credit</t>
  </si>
  <si>
    <t>Total Passback at end of 2 year plan year 2023</t>
  </si>
  <si>
    <t>See RSA Tab</t>
  </si>
  <si>
    <t>Current Month</t>
  </si>
  <si>
    <t>Plan Spend</t>
  </si>
  <si>
    <t>Invoices</t>
  </si>
  <si>
    <t>Labor</t>
  </si>
  <si>
    <t>Accounting</t>
  </si>
  <si>
    <t>5% Incentive</t>
  </si>
  <si>
    <t>Plan Value</t>
  </si>
  <si>
    <t>Remaining Spend</t>
  </si>
  <si>
    <t>Snohomish County RSA Recap  Plan 2023 - 2025</t>
  </si>
  <si>
    <t>2023-2024</t>
  </si>
  <si>
    <t>2024-2025</t>
  </si>
  <si>
    <t>2023 - 2025</t>
  </si>
  <si>
    <t>2023 - 2024</t>
  </si>
  <si>
    <t>2024 - 2025</t>
  </si>
  <si>
    <t>Rollover into plan year 2</t>
  </si>
  <si>
    <t>Calculate credit/debit per customer at the end of plan year 2</t>
  </si>
  <si>
    <t>(Over)/Underspent RSA per Snohomish report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</si>
</sst>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_);_(* \(#,##0.00\);_(* &quot;-&quot;_);_(@_)"/>
    <numFmt numFmtId="167" formatCode="_(* #,##0.000_);_(* \(#,##0.000\);_(* &quot;-&quot;_);_(@_)"/>
    <numFmt numFmtId="168" formatCode="mmmm"/>
    <numFmt numFmtId="169" formatCode="#,##0.000"/>
    <numFmt numFmtId="170" formatCode="#,##0.0000"/>
    <numFmt numFmtId="171" formatCode="_(&quot;$&quot;* #,##0_);_(&quot;$&quot;* \(#,##0\);_(&quot;$&quot;* &quot;-&quot;??_);_(@_)"/>
    <numFmt numFmtId="172" formatCode="_(* #,##0.000_);_(* \(#,##0.000\);_(* &quot;-&quot;???_);_(@_)"/>
    <numFmt numFmtId="173" formatCode="_(* #,##0.0_);_(* \(#,##0.0\);_(* &quot;-&quot;??_);_(@_)"/>
    <numFmt numFmtId="174" formatCode="_(* #,##0.0000_);_(* \(#,##0.0000\);_(* &quot;-&quot;_);_(@_)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_);_(* \(#,##0.0\);_(* &quot;-&quot;_);_(@_)"/>
    <numFmt numFmtId="181" formatCode="&quot;$&quot;#,##0.00"/>
    <numFmt numFmtId="182" formatCode="0.000"/>
    <numFmt numFmtId="183" formatCode="_(&quot;$&quot;* #,##0.0_);_(&quot;$&quot;* \(#,##0.0\);_(&quot;$&quot;* &quot;-&quot;??_);_(@_)"/>
    <numFmt numFmtId="184" formatCode="[$-409]mmm\-yy;@"/>
    <numFmt numFmtId="185" formatCode="&quot;$&quot;#,##0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Helv"/>
      <family val="0"/>
    </font>
    <font>
      <b/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Arial"/>
      <family val="2"/>
    </font>
    <font>
      <i/>
      <sz val="8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/>
      <right style="hair"/>
      <top style="thin"/>
      <bottom style="hair"/>
    </border>
    <border>
      <left style="medium"/>
      <right>
        <color indexed="63"/>
      </right>
      <top style="medium"/>
      <bottom style="medium"/>
    </border>
    <border>
      <left/>
      <right style="hair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62" applyFont="1">
      <alignment/>
      <protection/>
    </xf>
    <xf numFmtId="0" fontId="7" fillId="0" borderId="0" xfId="62" applyFont="1">
      <alignment/>
      <protection/>
    </xf>
    <xf numFmtId="0" fontId="7" fillId="0" borderId="0" xfId="62" applyFont="1" applyAlignment="1">
      <alignment horizontal="center"/>
      <protection/>
    </xf>
    <xf numFmtId="0" fontId="8" fillId="0" borderId="0" xfId="62" applyFont="1" applyAlignment="1">
      <alignment horizontal="center"/>
      <protection/>
    </xf>
    <xf numFmtId="0" fontId="6" fillId="0" borderId="0" xfId="62">
      <alignment/>
      <protection/>
    </xf>
    <xf numFmtId="0" fontId="9" fillId="0" borderId="0" xfId="62" applyFont="1">
      <alignment/>
      <protection/>
    </xf>
    <xf numFmtId="14" fontId="7" fillId="0" borderId="0" xfId="62" applyNumberFormat="1" applyFont="1" applyAlignment="1">
      <alignment horizontal="center"/>
      <protection/>
    </xf>
    <xf numFmtId="0" fontId="10" fillId="0" borderId="0" xfId="62" applyFont="1">
      <alignment/>
      <protection/>
    </xf>
    <xf numFmtId="0" fontId="11" fillId="0" borderId="0" xfId="62" applyFont="1">
      <alignment/>
      <protection/>
    </xf>
    <xf numFmtId="0" fontId="11" fillId="0" borderId="0" xfId="62" applyFont="1" applyAlignment="1">
      <alignment horizontal="center"/>
      <protection/>
    </xf>
    <xf numFmtId="0" fontId="9" fillId="0" borderId="0" xfId="62" applyFont="1" applyAlignment="1">
      <alignment horizontal="center"/>
      <protection/>
    </xf>
    <xf numFmtId="166" fontId="9" fillId="0" borderId="0" xfId="62" applyNumberFormat="1" applyFont="1" applyAlignment="1">
      <alignment horizontal="center"/>
      <protection/>
    </xf>
    <xf numFmtId="1" fontId="7" fillId="0" borderId="0" xfId="62" applyNumberFormat="1" applyFont="1">
      <alignment/>
      <protection/>
    </xf>
    <xf numFmtId="41" fontId="7" fillId="0" borderId="0" xfId="62" applyNumberFormat="1" applyFont="1">
      <alignment/>
      <protection/>
    </xf>
    <xf numFmtId="166" fontId="9" fillId="0" borderId="0" xfId="62" applyNumberFormat="1" applyFont="1">
      <alignment/>
      <protection/>
    </xf>
    <xf numFmtId="166" fontId="7" fillId="0" borderId="0" xfId="62" applyNumberFormat="1" applyFont="1">
      <alignment/>
      <protection/>
    </xf>
    <xf numFmtId="168" fontId="7" fillId="0" borderId="0" xfId="62" applyNumberFormat="1" applyFont="1" applyAlignment="1">
      <alignment horizontal="right"/>
      <protection/>
    </xf>
    <xf numFmtId="41" fontId="13" fillId="0" borderId="0" xfId="62" applyNumberFormat="1" applyFont="1" applyAlignment="1">
      <alignment horizontal="left"/>
      <protection/>
    </xf>
    <xf numFmtId="41" fontId="7" fillId="0" borderId="10" xfId="62" applyNumberFormat="1" applyFont="1" applyBorder="1">
      <alignment/>
      <protection/>
    </xf>
    <xf numFmtId="166" fontId="7" fillId="0" borderId="10" xfId="62" applyNumberFormat="1" applyFont="1" applyBorder="1">
      <alignment/>
      <protection/>
    </xf>
    <xf numFmtId="167" fontId="7" fillId="0" borderId="0" xfId="62" applyNumberFormat="1" applyFont="1">
      <alignment/>
      <protection/>
    </xf>
    <xf numFmtId="166" fontId="6" fillId="0" borderId="0" xfId="62" applyNumberFormat="1">
      <alignment/>
      <protection/>
    </xf>
    <xf numFmtId="41" fontId="7" fillId="0" borderId="11" xfId="62" applyNumberFormat="1" applyFont="1" applyBorder="1">
      <alignment/>
      <protection/>
    </xf>
    <xf numFmtId="166" fontId="7" fillId="0" borderId="11" xfId="62" applyNumberFormat="1" applyFont="1" applyBorder="1">
      <alignment/>
      <protection/>
    </xf>
    <xf numFmtId="41" fontId="9" fillId="0" borderId="12" xfId="62" applyNumberFormat="1" applyFont="1" applyBorder="1">
      <alignment/>
      <protection/>
    </xf>
    <xf numFmtId="41" fontId="7" fillId="0" borderId="12" xfId="62" applyNumberFormat="1" applyFont="1" applyBorder="1">
      <alignment/>
      <protection/>
    </xf>
    <xf numFmtId="41" fontId="10" fillId="0" borderId="0" xfId="62" applyNumberFormat="1" applyFont="1">
      <alignment/>
      <protection/>
    </xf>
    <xf numFmtId="41" fontId="7" fillId="0" borderId="0" xfId="62" applyNumberFormat="1" applyFont="1" applyAlignment="1">
      <alignment horizontal="right"/>
      <protection/>
    </xf>
    <xf numFmtId="1" fontId="10" fillId="0" borderId="0" xfId="62" applyNumberFormat="1" applyFont="1">
      <alignment/>
      <protection/>
    </xf>
    <xf numFmtId="41" fontId="7" fillId="0" borderId="0" xfId="62" applyNumberFormat="1" applyFont="1" applyBorder="1">
      <alignment/>
      <protection/>
    </xf>
    <xf numFmtId="41" fontId="7" fillId="0" borderId="13" xfId="62" applyNumberFormat="1" applyFont="1" applyBorder="1">
      <alignment/>
      <protection/>
    </xf>
    <xf numFmtId="41" fontId="7" fillId="0" borderId="14" xfId="62" applyNumberFormat="1" applyFont="1" applyBorder="1">
      <alignment/>
      <protection/>
    </xf>
    <xf numFmtId="41" fontId="7" fillId="0" borderId="15" xfId="62" applyNumberFormat="1" applyFont="1" applyBorder="1">
      <alignment/>
      <protection/>
    </xf>
    <xf numFmtId="167" fontId="7" fillId="0" borderId="11" xfId="62" applyNumberFormat="1" applyFont="1" applyBorder="1">
      <alignment/>
      <protection/>
    </xf>
    <xf numFmtId="166" fontId="7" fillId="0" borderId="13" xfId="62" applyNumberFormat="1" applyFont="1" applyBorder="1">
      <alignment/>
      <protection/>
    </xf>
    <xf numFmtId="166" fontId="7" fillId="0" borderId="15" xfId="62" applyNumberFormat="1" applyFont="1" applyBorder="1">
      <alignment/>
      <protection/>
    </xf>
    <xf numFmtId="2" fontId="6" fillId="0" borderId="0" xfId="62" applyNumberFormat="1">
      <alignment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17" fontId="0" fillId="0" borderId="0" xfId="0" applyNumberFormat="1" applyBorder="1" applyAlignment="1">
      <alignment/>
    </xf>
    <xf numFmtId="17" fontId="1" fillId="0" borderId="0" xfId="0" applyNumberFormat="1" applyFont="1" applyAlignment="1">
      <alignment horizontal="center"/>
    </xf>
    <xf numFmtId="169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69" fontId="1" fillId="0" borderId="0" xfId="0" applyNumberFormat="1" applyFont="1" applyAlignment="1">
      <alignment horizontal="center"/>
    </xf>
    <xf numFmtId="17" fontId="7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17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9" fontId="0" fillId="0" borderId="0" xfId="65" applyAlignment="1">
      <alignment/>
    </xf>
    <xf numFmtId="40" fontId="7" fillId="0" borderId="0" xfId="0" applyNumberFormat="1" applyFont="1" applyAlignment="1">
      <alignment/>
    </xf>
    <xf numFmtId="43" fontId="7" fillId="0" borderId="0" xfId="42" applyFont="1" applyAlignment="1">
      <alignment/>
    </xf>
    <xf numFmtId="164" fontId="0" fillId="0" borderId="0" xfId="42" applyNumberFormat="1" applyFont="1" applyAlignment="1">
      <alignment/>
    </xf>
    <xf numFmtId="170" fontId="0" fillId="0" borderId="0" xfId="0" applyNumberFormat="1" applyAlignment="1">
      <alignment/>
    </xf>
    <xf numFmtId="165" fontId="0" fillId="0" borderId="0" xfId="65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17" fontId="7" fillId="0" borderId="0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9" fontId="7" fillId="0" borderId="0" xfId="65" applyFont="1" applyFill="1" applyAlignment="1">
      <alignment/>
    </xf>
    <xf numFmtId="43" fontId="7" fillId="0" borderId="14" xfId="42" applyFont="1" applyBorder="1" applyAlignment="1">
      <alignment/>
    </xf>
    <xf numFmtId="43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0" fontId="7" fillId="0" borderId="0" xfId="65" applyNumberFormat="1" applyFont="1" applyAlignment="1">
      <alignment/>
    </xf>
    <xf numFmtId="10" fontId="9" fillId="33" borderId="0" xfId="65" applyNumberFormat="1" applyFont="1" applyFill="1" applyAlignment="1">
      <alignment/>
    </xf>
    <xf numFmtId="9" fontId="7" fillId="0" borderId="0" xfId="65" applyFont="1" applyAlignment="1">
      <alignment/>
    </xf>
    <xf numFmtId="43" fontId="7" fillId="0" borderId="0" xfId="42" applyNumberFormat="1" applyFont="1" applyAlignment="1">
      <alignment/>
    </xf>
    <xf numFmtId="0" fontId="9" fillId="0" borderId="0" xfId="0" applyFont="1" applyAlignment="1" quotePrefix="1">
      <alignment horizontal="left"/>
    </xf>
    <xf numFmtId="44" fontId="7" fillId="0" borderId="0" xfId="44" applyFont="1" applyAlignment="1">
      <alignment/>
    </xf>
    <xf numFmtId="44" fontId="7" fillId="0" borderId="14" xfId="44" applyFont="1" applyBorder="1" applyAlignment="1">
      <alignment/>
    </xf>
    <xf numFmtId="44" fontId="9" fillId="0" borderId="0" xfId="44" applyFont="1" applyBorder="1" applyAlignment="1">
      <alignment/>
    </xf>
    <xf numFmtId="43" fontId="9" fillId="0" borderId="0" xfId="42" applyFont="1" applyBorder="1" applyAlignment="1">
      <alignment/>
    </xf>
    <xf numFmtId="44" fontId="7" fillId="0" borderId="0" xfId="44" applyFont="1" applyBorder="1" applyAlignment="1">
      <alignment/>
    </xf>
    <xf numFmtId="0" fontId="7" fillId="0" borderId="0" xfId="0" applyFont="1" applyBorder="1" applyAlignment="1">
      <alignment/>
    </xf>
    <xf numFmtId="44" fontId="9" fillId="0" borderId="0" xfId="0" applyNumberFormat="1" applyFont="1" applyBorder="1" applyAlignment="1">
      <alignment/>
    </xf>
    <xf numFmtId="44" fontId="7" fillId="0" borderId="0" xfId="44" applyNumberFormat="1" applyFont="1" applyBorder="1" applyAlignment="1">
      <alignment/>
    </xf>
    <xf numFmtId="43" fontId="7" fillId="0" borderId="0" xfId="42" applyFont="1" applyAlignment="1" quotePrefix="1">
      <alignment/>
    </xf>
    <xf numFmtId="43" fontId="7" fillId="0" borderId="0" xfId="42" applyNumberFormat="1" applyFont="1" applyAlignment="1" quotePrefix="1">
      <alignment/>
    </xf>
    <xf numFmtId="43" fontId="9" fillId="0" borderId="13" xfId="42" applyFont="1" applyBorder="1" applyAlignment="1">
      <alignment/>
    </xf>
    <xf numFmtId="44" fontId="7" fillId="0" borderId="0" xfId="0" applyNumberFormat="1" applyFont="1" applyAlignment="1">
      <alignment/>
    </xf>
    <xf numFmtId="43" fontId="12" fillId="0" borderId="0" xfId="42" applyFont="1" applyAlignment="1">
      <alignment horizontal="center"/>
    </xf>
    <xf numFmtId="166" fontId="7" fillId="0" borderId="0" xfId="62" applyNumberFormat="1" applyFont="1" applyBorder="1">
      <alignment/>
      <protection/>
    </xf>
    <xf numFmtId="0" fontId="11" fillId="0" borderId="0" xfId="62" applyFont="1" applyBorder="1">
      <alignment/>
      <protection/>
    </xf>
    <xf numFmtId="0" fontId="11" fillId="0" borderId="0" xfId="62" applyFont="1" applyBorder="1" applyAlignment="1">
      <alignment horizontal="center"/>
      <protection/>
    </xf>
    <xf numFmtId="0" fontId="9" fillId="0" borderId="0" xfId="62" applyFont="1" applyBorder="1" applyAlignment="1">
      <alignment horizontal="center"/>
      <protection/>
    </xf>
    <xf numFmtId="166" fontId="9" fillId="0" borderId="0" xfId="62" applyNumberFormat="1" applyFont="1" applyBorder="1" applyAlignment="1">
      <alignment horizontal="center"/>
      <protection/>
    </xf>
    <xf numFmtId="166" fontId="9" fillId="0" borderId="0" xfId="62" applyNumberFormat="1" applyFont="1" applyBorder="1">
      <alignment/>
      <protection/>
    </xf>
    <xf numFmtId="168" fontId="7" fillId="0" borderId="0" xfId="62" applyNumberFormat="1" applyFont="1" applyBorder="1" applyAlignment="1">
      <alignment horizontal="right"/>
      <protection/>
    </xf>
    <xf numFmtId="41" fontId="12" fillId="0" borderId="0" xfId="62" applyNumberFormat="1" applyFont="1" applyBorder="1">
      <alignment/>
      <protection/>
    </xf>
    <xf numFmtId="41" fontId="13" fillId="0" borderId="0" xfId="62" applyNumberFormat="1" applyFont="1" applyBorder="1" applyAlignment="1">
      <alignment horizontal="left"/>
      <protection/>
    </xf>
    <xf numFmtId="0" fontId="6" fillId="0" borderId="0" xfId="62" applyBorder="1">
      <alignment/>
      <protection/>
    </xf>
    <xf numFmtId="166" fontId="6" fillId="0" borderId="0" xfId="62" applyNumberFormat="1" applyBorder="1">
      <alignment/>
      <protection/>
    </xf>
    <xf numFmtId="168" fontId="7" fillId="0" borderId="0" xfId="62" applyNumberFormat="1" applyFont="1" applyBorder="1">
      <alignment/>
      <protection/>
    </xf>
    <xf numFmtId="167" fontId="7" fillId="0" borderId="0" xfId="62" applyNumberFormat="1" applyFont="1" applyBorder="1">
      <alignment/>
      <protection/>
    </xf>
    <xf numFmtId="2" fontId="9" fillId="34" borderId="0" xfId="0" applyNumberFormat="1" applyFont="1" applyFill="1" applyBorder="1" applyAlignment="1">
      <alignment/>
    </xf>
    <xf numFmtId="10" fontId="7" fillId="34" borderId="0" xfId="0" applyNumberFormat="1" applyFont="1" applyFill="1" applyAlignment="1">
      <alignment/>
    </xf>
    <xf numFmtId="17" fontId="7" fillId="0" borderId="0" xfId="0" applyNumberFormat="1" applyFont="1" applyFill="1" applyAlignment="1">
      <alignment/>
    </xf>
    <xf numFmtId="43" fontId="9" fillId="0" borderId="0" xfId="42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17" fontId="7" fillId="0" borderId="0" xfId="0" applyNumberFormat="1" applyFont="1" applyAlignment="1">
      <alignment/>
    </xf>
    <xf numFmtId="0" fontId="7" fillId="0" borderId="0" xfId="0" applyFont="1" applyAlignment="1">
      <alignment/>
    </xf>
    <xf numFmtId="166" fontId="7" fillId="0" borderId="0" xfId="62" applyNumberFormat="1" applyFont="1" applyAlignment="1">
      <alignment horizontal="right"/>
      <protection/>
    </xf>
    <xf numFmtId="168" fontId="7" fillId="0" borderId="0" xfId="62" applyNumberFormat="1" applyFont="1" applyFill="1" applyAlignment="1">
      <alignment horizontal="right"/>
      <protection/>
    </xf>
    <xf numFmtId="4" fontId="7" fillId="0" borderId="10" xfId="0" applyNumberFormat="1" applyFont="1" applyBorder="1" applyAlignment="1">
      <alignment/>
    </xf>
    <xf numFmtId="40" fontId="7" fillId="0" borderId="10" xfId="0" applyNumberFormat="1" applyFont="1" applyBorder="1" applyAlignment="1">
      <alignment/>
    </xf>
    <xf numFmtId="43" fontId="7" fillId="0" borderId="10" xfId="42" applyNumberFormat="1" applyFont="1" applyBorder="1" applyAlignment="1">
      <alignment/>
    </xf>
    <xf numFmtId="40" fontId="9" fillId="0" borderId="0" xfId="0" applyNumberFormat="1" applyFont="1" applyAlignment="1">
      <alignment/>
    </xf>
    <xf numFmtId="4" fontId="9" fillId="0" borderId="10" xfId="0" applyNumberFormat="1" applyFont="1" applyBorder="1" applyAlignment="1">
      <alignment/>
    </xf>
    <xf numFmtId="43" fontId="7" fillId="0" borderId="10" xfId="42" applyFont="1" applyBorder="1" applyAlignment="1">
      <alignment/>
    </xf>
    <xf numFmtId="43" fontId="9" fillId="0" borderId="10" xfId="42" applyFont="1" applyBorder="1" applyAlignment="1">
      <alignment/>
    </xf>
    <xf numFmtId="8" fontId="7" fillId="0" borderId="0" xfId="44" applyNumberFormat="1" applyFont="1" applyAlignment="1" quotePrefix="1">
      <alignment/>
    </xf>
    <xf numFmtId="8" fontId="7" fillId="0" borderId="0" xfId="44" applyNumberFormat="1" applyFont="1" applyFill="1" applyAlignment="1" quotePrefix="1">
      <alignment/>
    </xf>
    <xf numFmtId="164" fontId="7" fillId="0" borderId="0" xfId="62" applyNumberFormat="1" applyFont="1">
      <alignment/>
      <protection/>
    </xf>
    <xf numFmtId="175" fontId="1" fillId="0" borderId="0" xfId="65" applyNumberFormat="1" applyFont="1" applyAlignment="1">
      <alignment/>
    </xf>
    <xf numFmtId="0" fontId="16" fillId="0" borderId="16" xfId="62" applyFont="1" applyBorder="1" applyAlignment="1">
      <alignment horizontal="center"/>
      <protection/>
    </xf>
    <xf numFmtId="0" fontId="7" fillId="0" borderId="0" xfId="62" applyFont="1" applyBorder="1">
      <alignment/>
      <protection/>
    </xf>
    <xf numFmtId="166" fontId="16" fillId="0" borderId="17" xfId="62" applyNumberFormat="1" applyFont="1" applyBorder="1" applyAlignment="1">
      <alignment horizontal="center"/>
      <protection/>
    </xf>
    <xf numFmtId="166" fontId="17" fillId="0" borderId="17" xfId="62" applyNumberFormat="1" applyFont="1" applyFill="1" applyBorder="1" applyAlignment="1">
      <alignment horizontal="center"/>
      <protection/>
    </xf>
    <xf numFmtId="41" fontId="13" fillId="0" borderId="17" xfId="62" applyNumberFormat="1" applyFont="1" applyBorder="1">
      <alignment/>
      <protection/>
    </xf>
    <xf numFmtId="167" fontId="9" fillId="0" borderId="17" xfId="62" applyNumberFormat="1" applyFont="1" applyBorder="1">
      <alignment/>
      <protection/>
    </xf>
    <xf numFmtId="175" fontId="7" fillId="0" borderId="0" xfId="65" applyNumberFormat="1" applyFont="1" applyAlignment="1">
      <alignment/>
    </xf>
    <xf numFmtId="166" fontId="7" fillId="35" borderId="0" xfId="62" applyNumberFormat="1" applyFont="1" applyFill="1">
      <alignment/>
      <protection/>
    </xf>
    <xf numFmtId="41" fontId="7" fillId="35" borderId="18" xfId="62" applyNumberFormat="1" applyFont="1" applyFill="1" applyBorder="1">
      <alignment/>
      <protection/>
    </xf>
    <xf numFmtId="166" fontId="12" fillId="0" borderId="0" xfId="62" applyNumberFormat="1" applyFont="1" applyFill="1" applyAlignment="1">
      <alignment horizontal="center"/>
      <protection/>
    </xf>
    <xf numFmtId="166" fontId="7" fillId="35" borderId="11" xfId="62" applyNumberFormat="1" applyFont="1" applyFill="1" applyBorder="1">
      <alignment/>
      <protection/>
    </xf>
    <xf numFmtId="166" fontId="7" fillId="36" borderId="15" xfId="62" applyNumberFormat="1" applyFont="1" applyFill="1" applyBorder="1">
      <alignment/>
      <protection/>
    </xf>
    <xf numFmtId="166" fontId="7" fillId="36" borderId="0" xfId="62" applyNumberFormat="1" applyFont="1" applyFill="1">
      <alignment/>
      <protection/>
    </xf>
    <xf numFmtId="175" fontId="7" fillId="36" borderId="19" xfId="65" applyNumberFormat="1" applyFont="1" applyFill="1" applyBorder="1" applyAlignment="1">
      <alignment/>
    </xf>
    <xf numFmtId="2" fontId="9" fillId="34" borderId="0" xfId="0" applyNumberFormat="1" applyFont="1" applyFill="1" applyBorder="1" applyAlignment="1">
      <alignment/>
    </xf>
    <xf numFmtId="8" fontId="7" fillId="0" borderId="0" xfId="0" applyNumberFormat="1" applyFont="1" applyAlignment="1">
      <alignment/>
    </xf>
    <xf numFmtId="43" fontId="7" fillId="0" borderId="14" xfId="42" applyFont="1" applyFill="1" applyBorder="1" applyAlignment="1">
      <alignment/>
    </xf>
    <xf numFmtId="43" fontId="7" fillId="0" borderId="0" xfId="0" applyNumberFormat="1" applyFont="1" applyFill="1" applyAlignment="1">
      <alignment/>
    </xf>
    <xf numFmtId="10" fontId="7" fillId="0" borderId="0" xfId="65" applyNumberFormat="1" applyFont="1" applyFill="1" applyAlignment="1">
      <alignment/>
    </xf>
    <xf numFmtId="43" fontId="7" fillId="0" borderId="0" xfId="42" applyFont="1" applyFill="1" applyAlignment="1">
      <alignment/>
    </xf>
    <xf numFmtId="43" fontId="7" fillId="0" borderId="0" xfId="42" applyNumberFormat="1" applyFont="1" applyFill="1" applyAlignment="1">
      <alignment/>
    </xf>
    <xf numFmtId="43" fontId="9" fillId="0" borderId="13" xfId="42" applyFont="1" applyFill="1" applyBorder="1" applyAlignment="1">
      <alignment/>
    </xf>
    <xf numFmtId="43" fontId="9" fillId="0" borderId="0" xfId="42" applyFont="1" applyFill="1" applyAlignment="1">
      <alignment/>
    </xf>
    <xf numFmtId="41" fontId="59" fillId="37" borderId="20" xfId="62" applyNumberFormat="1" applyFont="1" applyFill="1" applyBorder="1">
      <alignment/>
      <protection/>
    </xf>
    <xf numFmtId="41" fontId="59" fillId="37" borderId="20" xfId="62" applyNumberFormat="1" applyFont="1" applyFill="1" applyBorder="1" applyAlignment="1">
      <alignment horizontal="center"/>
      <protection/>
    </xf>
    <xf numFmtId="41" fontId="7" fillId="35" borderId="0" xfId="62" applyNumberFormat="1" applyFont="1" applyFill="1" applyBorder="1">
      <alignment/>
      <protection/>
    </xf>
    <xf numFmtId="175" fontId="60" fillId="37" borderId="20" xfId="65" applyNumberFormat="1" applyFont="1" applyFill="1" applyBorder="1" applyAlignment="1">
      <alignment horizontal="center"/>
    </xf>
    <xf numFmtId="167" fontId="59" fillId="37" borderId="20" xfId="62" applyNumberFormat="1" applyFont="1" applyFill="1" applyBorder="1">
      <alignment/>
      <protection/>
    </xf>
    <xf numFmtId="43" fontId="7" fillId="0" borderId="0" xfId="42" applyFont="1" applyFill="1" applyAlignment="1" quotePrefix="1">
      <alignment/>
    </xf>
    <xf numFmtId="43" fontId="7" fillId="0" borderId="0" xfId="42" applyNumberFormat="1" applyFont="1" applyFill="1" applyAlignment="1" quotePrefix="1">
      <alignment/>
    </xf>
    <xf numFmtId="169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44" fontId="7" fillId="0" borderId="0" xfId="44" applyNumberFormat="1" applyFont="1" applyAlignment="1" quotePrefix="1">
      <alignment/>
    </xf>
    <xf numFmtId="44" fontId="7" fillId="0" borderId="0" xfId="44" applyNumberFormat="1" applyFont="1" applyFill="1" applyAlignment="1" quotePrefix="1">
      <alignment/>
    </xf>
    <xf numFmtId="0" fontId="0" fillId="0" borderId="0" xfId="0" applyFont="1" applyAlignment="1">
      <alignment/>
    </xf>
    <xf numFmtId="17" fontId="7" fillId="34" borderId="0" xfId="0" applyNumberFormat="1" applyFont="1" applyFill="1" applyAlignment="1">
      <alignment horizontal="center"/>
    </xf>
    <xf numFmtId="0" fontId="1" fillId="0" borderId="21" xfId="0" applyFont="1" applyBorder="1" applyAlignment="1">
      <alignment/>
    </xf>
    <xf numFmtId="181" fontId="1" fillId="0" borderId="22" xfId="0" applyNumberFormat="1" applyFont="1" applyBorder="1" applyAlignment="1">
      <alignment/>
    </xf>
    <xf numFmtId="0" fontId="1" fillId="0" borderId="0" xfId="0" applyFont="1" applyAlignment="1">
      <alignment/>
    </xf>
    <xf numFmtId="181" fontId="0" fillId="0" borderId="0" xfId="0" applyNumberFormat="1" applyAlignment="1">
      <alignment/>
    </xf>
    <xf numFmtId="181" fontId="0" fillId="32" borderId="19" xfId="0" applyNumberFormat="1" applyFill="1" applyBorder="1" applyAlignment="1">
      <alignment/>
    </xf>
    <xf numFmtId="44" fontId="0" fillId="0" borderId="19" xfId="44" applyFont="1" applyBorder="1" applyAlignment="1">
      <alignment/>
    </xf>
    <xf numFmtId="10" fontId="0" fillId="0" borderId="19" xfId="0" applyNumberFormat="1" applyBorder="1" applyAlignment="1">
      <alignment/>
    </xf>
    <xf numFmtId="41" fontId="0" fillId="0" borderId="0" xfId="0" applyNumberFormat="1" applyAlignment="1">
      <alignment/>
    </xf>
    <xf numFmtId="182" fontId="0" fillId="0" borderId="0" xfId="0" applyNumberFormat="1" applyAlignment="1">
      <alignment/>
    </xf>
    <xf numFmtId="44" fontId="7" fillId="0" borderId="0" xfId="44" applyNumberFormat="1" applyFont="1" applyAlignment="1">
      <alignment/>
    </xf>
    <xf numFmtId="44" fontId="0" fillId="0" borderId="0" xfId="44" applyFont="1" applyAlignment="1">
      <alignment/>
    </xf>
    <xf numFmtId="0" fontId="20" fillId="38" borderId="23" xfId="61" applyFont="1" applyFill="1" applyBorder="1">
      <alignment/>
      <protection/>
    </xf>
    <xf numFmtId="171" fontId="0" fillId="38" borderId="10" xfId="61" applyNumberFormat="1" applyFont="1" applyFill="1" applyBorder="1">
      <alignment/>
      <protection/>
    </xf>
    <xf numFmtId="0" fontId="0" fillId="38" borderId="10" xfId="61" applyFont="1" applyFill="1" applyBorder="1">
      <alignment/>
      <protection/>
    </xf>
    <xf numFmtId="171" fontId="0" fillId="38" borderId="24" xfId="47" applyNumberFormat="1" applyFont="1" applyFill="1" applyBorder="1" applyAlignment="1">
      <alignment/>
    </xf>
    <xf numFmtId="171" fontId="0" fillId="0" borderId="0" xfId="61" applyNumberFormat="1" applyFont="1">
      <alignment/>
      <protection/>
    </xf>
    <xf numFmtId="0" fontId="0" fillId="0" borderId="0" xfId="61" applyFont="1">
      <alignment/>
      <protection/>
    </xf>
    <xf numFmtId="171" fontId="0" fillId="0" borderId="0" xfId="47" applyNumberFormat="1" applyFont="1" applyAlignment="1">
      <alignment/>
    </xf>
    <xf numFmtId="171" fontId="0" fillId="0" borderId="25" xfId="0" applyNumberFormat="1" applyFont="1" applyBorder="1" applyAlignment="1">
      <alignment horizontal="center"/>
    </xf>
    <xf numFmtId="171" fontId="0" fillId="0" borderId="25" xfId="0" applyNumberFormat="1" applyBorder="1" applyAlignment="1">
      <alignment/>
    </xf>
    <xf numFmtId="171" fontId="0" fillId="0" borderId="25" xfId="44" applyNumberFormat="1" applyFont="1" applyBorder="1" applyAlignment="1">
      <alignment horizontal="center"/>
    </xf>
    <xf numFmtId="44" fontId="0" fillId="0" borderId="0" xfId="0" applyNumberFormat="1" applyFont="1" applyAlignment="1">
      <alignment/>
    </xf>
    <xf numFmtId="44" fontId="0" fillId="0" borderId="0" xfId="0" applyNumberFormat="1" applyFont="1" applyAlignment="1">
      <alignment horizontal="right"/>
    </xf>
    <xf numFmtId="4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44" fontId="1" fillId="0" borderId="26" xfId="44" applyFont="1" applyBorder="1" applyAlignment="1">
      <alignment/>
    </xf>
    <xf numFmtId="0" fontId="0" fillId="0" borderId="0" xfId="0" applyFont="1" applyAlignment="1">
      <alignment horizontal="right"/>
    </xf>
    <xf numFmtId="44" fontId="0" fillId="37" borderId="0" xfId="0" applyNumberFormat="1" applyFont="1" applyFill="1" applyAlignment="1">
      <alignment horizontal="right"/>
    </xf>
    <xf numFmtId="44" fontId="0" fillId="37" borderId="0" xfId="44" applyFont="1" applyFill="1" applyAlignment="1">
      <alignment/>
    </xf>
    <xf numFmtId="44" fontId="7" fillId="34" borderId="19" xfId="44" applyFont="1" applyFill="1" applyBorder="1" applyAlignment="1">
      <alignment/>
    </xf>
    <xf numFmtId="44" fontId="7" fillId="34" borderId="19" xfId="44" applyFont="1" applyFill="1" applyBorder="1" applyAlignment="1">
      <alignment horizontal="center"/>
    </xf>
    <xf numFmtId="44" fontId="61" fillId="34" borderId="19" xfId="44" applyFont="1" applyFill="1" applyBorder="1" applyAlignment="1">
      <alignment/>
    </xf>
    <xf numFmtId="44" fontId="61" fillId="34" borderId="19" xfId="44" applyFont="1" applyFill="1" applyBorder="1" applyAlignment="1">
      <alignment horizontal="center"/>
    </xf>
    <xf numFmtId="171" fontId="60" fillId="0" borderId="19" xfId="46" applyNumberFormat="1" applyFont="1" applyFill="1" applyBorder="1" applyAlignment="1">
      <alignment/>
    </xf>
    <xf numFmtId="171" fontId="60" fillId="0" borderId="16" xfId="46" applyNumberFormat="1" applyFont="1" applyFill="1" applyBorder="1" applyAlignment="1">
      <alignment/>
    </xf>
    <xf numFmtId="171" fontId="60" fillId="0" borderId="0" xfId="46" applyNumberFormat="1" applyFont="1" applyFill="1" applyBorder="1" applyAlignment="1">
      <alignment/>
    </xf>
    <xf numFmtId="184" fontId="60" fillId="37" borderId="20" xfId="46" applyNumberFormat="1" applyFont="1" applyFill="1" applyBorder="1" applyAlignment="1">
      <alignment/>
    </xf>
    <xf numFmtId="0" fontId="60" fillId="39" borderId="27" xfId="59" applyFont="1" applyFill="1" applyBorder="1" applyAlignment="1">
      <alignment horizontal="center"/>
      <protection/>
    </xf>
    <xf numFmtId="0" fontId="60" fillId="39" borderId="19" xfId="59" applyFont="1" applyFill="1" applyBorder="1" applyAlignment="1">
      <alignment horizontal="center"/>
      <protection/>
    </xf>
    <xf numFmtId="0" fontId="60" fillId="39" borderId="16" xfId="59" applyFont="1" applyFill="1" applyBorder="1" applyAlignment="1">
      <alignment horizontal="center"/>
      <protection/>
    </xf>
    <xf numFmtId="44" fontId="60" fillId="0" borderId="16" xfId="46" applyFont="1" applyFill="1" applyBorder="1" applyAlignment="1">
      <alignment/>
    </xf>
    <xf numFmtId="0" fontId="60" fillId="40" borderId="19" xfId="59" applyFont="1" applyFill="1" applyBorder="1" applyAlignment="1">
      <alignment horizontal="center"/>
      <protection/>
    </xf>
    <xf numFmtId="171" fontId="60" fillId="40" borderId="19" xfId="46" applyNumberFormat="1" applyFont="1" applyFill="1" applyBorder="1" applyAlignment="1">
      <alignment/>
    </xf>
    <xf numFmtId="171" fontId="60" fillId="39" borderId="19" xfId="46" applyNumberFormat="1" applyFont="1" applyFill="1" applyBorder="1" applyAlignment="1">
      <alignment/>
    </xf>
    <xf numFmtId="44" fontId="0" fillId="37" borderId="0" xfId="44" applyFont="1" applyFill="1" applyAlignment="1">
      <alignment/>
    </xf>
    <xf numFmtId="184" fontId="60" fillId="37" borderId="20" xfId="46" applyNumberFormat="1" applyFont="1" applyFill="1" applyBorder="1" applyAlignment="1" applyProtection="1">
      <alignment/>
      <protection locked="0"/>
    </xf>
    <xf numFmtId="171" fontId="62" fillId="0" borderId="16" xfId="46" applyNumberFormat="1" applyFont="1" applyFill="1" applyBorder="1" applyAlignment="1">
      <alignment/>
    </xf>
    <xf numFmtId="171" fontId="63" fillId="0" borderId="19" xfId="46" applyNumberFormat="1" applyFont="1" applyFill="1" applyBorder="1" applyAlignment="1">
      <alignment/>
    </xf>
    <xf numFmtId="0" fontId="0" fillId="41" borderId="0" xfId="0" applyFill="1" applyAlignment="1">
      <alignment/>
    </xf>
    <xf numFmtId="0" fontId="1" fillId="0" borderId="28" xfId="59" applyFont="1" applyBorder="1">
      <alignment/>
      <protection/>
    </xf>
    <xf numFmtId="0" fontId="60" fillId="39" borderId="10" xfId="59" applyFont="1" applyFill="1" applyBorder="1" applyAlignment="1">
      <alignment horizontal="center"/>
      <protection/>
    </xf>
    <xf numFmtId="0" fontId="60" fillId="39" borderId="29" xfId="59" applyFont="1" applyFill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3 2" xfId="59"/>
    <cellStyle name="Normal 2" xfId="60"/>
    <cellStyle name="Normal 2 3" xfId="61"/>
    <cellStyle name="Normal_98REC_CR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30</xdr:row>
      <xdr:rowOff>0</xdr:rowOff>
    </xdr:from>
    <xdr:to>
      <xdr:col>11</xdr:col>
      <xdr:colOff>9525</xdr:colOff>
      <xdr:row>30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442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vision\Accounting%20II\WUTC%20Filings\Commodity%20Credits\Filing%20June%202023\Backup\Sample%20reor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2"/>
  <sheetViews>
    <sheetView showGridLines="0" tabSelected="1" zoomScalePageLayoutView="0" workbookViewId="0" topLeftCell="A54">
      <selection activeCell="G51" sqref="G51"/>
    </sheetView>
  </sheetViews>
  <sheetFormatPr defaultColWidth="9.140625" defaultRowHeight="12.75"/>
  <cols>
    <col min="1" max="1" width="24.28125" style="5" customWidth="1"/>
    <col min="2" max="2" width="10.57421875" style="5" customWidth="1"/>
    <col min="3" max="3" width="4.421875" style="5" customWidth="1"/>
    <col min="4" max="4" width="11.28125" style="5" customWidth="1"/>
    <col min="5" max="5" width="5.8515625" style="5" customWidth="1"/>
    <col min="6" max="6" width="11.28125" style="5" customWidth="1"/>
    <col min="7" max="7" width="8.7109375" style="5" customWidth="1"/>
    <col min="8" max="8" width="4.421875" style="5" customWidth="1"/>
    <col min="9" max="9" width="8.7109375" style="5" bestFit="1" customWidth="1"/>
    <col min="10" max="10" width="10.8515625" style="5" customWidth="1"/>
    <col min="11" max="11" width="7.140625" style="5" customWidth="1"/>
    <col min="12" max="12" width="9.57421875" style="5" customWidth="1"/>
    <col min="13" max="14" width="9.57421875" style="5" hidden="1" customWidth="1"/>
    <col min="15" max="15" width="15.28125" style="5" hidden="1" customWidth="1"/>
    <col min="16" max="16" width="36.7109375" style="5" hidden="1" customWidth="1"/>
    <col min="17" max="22" width="9.57421875" style="5" customWidth="1"/>
    <col min="23" max="24" width="10.421875" style="5" customWidth="1"/>
    <col min="25" max="25" width="9.8515625" style="5" customWidth="1"/>
    <col min="26" max="26" width="9.140625" style="5" customWidth="1"/>
    <col min="27" max="27" width="10.421875" style="5" customWidth="1"/>
    <col min="28" max="16384" width="9.140625" style="5" customWidth="1"/>
  </cols>
  <sheetData>
    <row r="1" spans="1:27" ht="12.75">
      <c r="A1" s="1" t="s">
        <v>64</v>
      </c>
      <c r="B1" s="2"/>
      <c r="C1" s="2"/>
      <c r="D1" s="2"/>
      <c r="E1" s="2"/>
      <c r="F1" s="2"/>
      <c r="G1" s="3"/>
      <c r="H1" s="2"/>
      <c r="I1" s="2"/>
      <c r="J1" s="1" t="s">
        <v>67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4"/>
      <c r="Y1" s="4"/>
      <c r="Z1" s="4"/>
      <c r="AA1" s="4"/>
    </row>
    <row r="2" spans="1:27" ht="12.75">
      <c r="A2" s="6" t="s">
        <v>0</v>
      </c>
      <c r="B2" s="2"/>
      <c r="C2" s="2"/>
      <c r="D2" s="2"/>
      <c r="E2" s="2"/>
      <c r="F2" s="7"/>
      <c r="G2" s="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7"/>
      <c r="X2" s="7"/>
      <c r="Y2" s="7"/>
      <c r="Z2" s="7"/>
      <c r="AA2" s="7"/>
    </row>
    <row r="3" spans="1:27" ht="12.75">
      <c r="A3" s="6" t="str">
        <f>"For the Year Ended April "&amp;YEAR(A22)</f>
        <v>For the Year Ended April 2024</v>
      </c>
      <c r="B3" s="2"/>
      <c r="C3" s="2"/>
      <c r="D3" s="2"/>
      <c r="E3" s="2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3"/>
      <c r="Z3" s="3"/>
      <c r="AA3" s="3"/>
    </row>
    <row r="4" spans="1:22" ht="12.75">
      <c r="A4" s="6" t="s">
        <v>58</v>
      </c>
      <c r="B4" s="8"/>
      <c r="C4" s="8"/>
      <c r="D4" s="8"/>
      <c r="E4" s="8"/>
      <c r="F4" s="8"/>
      <c r="G4" s="2"/>
      <c r="H4" s="8"/>
      <c r="I4" s="2"/>
      <c r="J4" s="2"/>
      <c r="K4" s="8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7" ht="12.75">
      <c r="A5" s="9"/>
      <c r="B5" s="10"/>
      <c r="C5" s="11"/>
      <c r="D5" s="11"/>
      <c r="E5" s="11"/>
      <c r="F5" s="12" t="s">
        <v>1</v>
      </c>
      <c r="G5" s="11"/>
      <c r="H5" s="11"/>
      <c r="I5" s="11"/>
      <c r="J5" s="11"/>
      <c r="K5" s="11"/>
      <c r="L5" s="2"/>
      <c r="M5" s="2"/>
      <c r="N5" s="2"/>
      <c r="O5" s="123" t="str">
        <f>"Total "&amp;F5</f>
        <v>Total Commodity</v>
      </c>
      <c r="P5" s="124"/>
      <c r="Q5" s="2"/>
      <c r="R5" s="2"/>
      <c r="S5" s="2"/>
      <c r="T5" s="2"/>
      <c r="U5" s="2"/>
      <c r="V5" s="13"/>
      <c r="W5" s="14"/>
      <c r="X5" s="14"/>
      <c r="Y5" s="14"/>
      <c r="AA5" s="14"/>
    </row>
    <row r="6" spans="1:16" s="16" customFormat="1" ht="11.25">
      <c r="A6" s="15"/>
      <c r="B6" s="12"/>
      <c r="C6" s="12"/>
      <c r="D6" s="12" t="s">
        <v>1</v>
      </c>
      <c r="E6" s="12"/>
      <c r="F6" s="12" t="s">
        <v>2</v>
      </c>
      <c r="G6" s="12"/>
      <c r="H6" s="12"/>
      <c r="I6" s="12"/>
      <c r="J6" s="12"/>
      <c r="K6" s="12"/>
      <c r="O6" s="125" t="str">
        <f>+F6</f>
        <v>Revenue</v>
      </c>
      <c r="P6" s="89"/>
    </row>
    <row r="7" spans="1:16" s="16" customFormat="1" ht="11.25">
      <c r="A7" s="15" t="s">
        <v>3</v>
      </c>
      <c r="B7" s="12" t="s">
        <v>59</v>
      </c>
      <c r="C7" s="12"/>
      <c r="D7" s="12" t="s">
        <v>2</v>
      </c>
      <c r="E7" s="12"/>
      <c r="F7" s="12" t="s">
        <v>60</v>
      </c>
      <c r="G7" s="12"/>
      <c r="H7" s="12"/>
      <c r="I7" s="12"/>
      <c r="J7" s="12" t="s">
        <v>61</v>
      </c>
      <c r="K7" s="12"/>
      <c r="O7" s="125" t="str">
        <f>+F7</f>
        <v>per Yard</v>
      </c>
      <c r="P7" s="89"/>
    </row>
    <row r="8" spans="1:16" s="16" customFormat="1" ht="11.25">
      <c r="A8" s="111">
        <f>Multi_Family!$C$6</f>
        <v>45047</v>
      </c>
      <c r="B8" s="146">
        <v>8233.889599999999</v>
      </c>
      <c r="C8" s="12"/>
      <c r="D8" s="132">
        <f>Value!O6</f>
        <v>1475.929263726488</v>
      </c>
      <c r="E8" s="12"/>
      <c r="F8" s="16">
        <f>ROUND(D8/B14,2)</f>
        <v>0.18</v>
      </c>
      <c r="G8" s="12"/>
      <c r="H8" s="12"/>
      <c r="I8" s="12"/>
      <c r="J8" s="14">
        <f>+B8</f>
        <v>8233.889599999999</v>
      </c>
      <c r="K8" s="13">
        <f>YEAR(A8)</f>
        <v>2023</v>
      </c>
      <c r="O8" s="126">
        <f>VLOOKUP(A8,Value!$A$6:$O$17,13,FALSE)</f>
        <v>2951.858527452976</v>
      </c>
      <c r="P8" s="89"/>
    </row>
    <row r="9" spans="1:16" s="16" customFormat="1" ht="11.25">
      <c r="A9" s="17">
        <f>EOMONTH(A8,1)</f>
        <v>45107</v>
      </c>
      <c r="B9" s="146">
        <v>8372.4496</v>
      </c>
      <c r="C9" s="18"/>
      <c r="D9" s="132">
        <f>Value!O7</f>
        <v>988.6348609900809</v>
      </c>
      <c r="E9" s="14"/>
      <c r="F9" s="16">
        <f>ROUND(D9/B9,2)</f>
        <v>0.12</v>
      </c>
      <c r="G9" s="14"/>
      <c r="H9" s="14"/>
      <c r="I9" s="14"/>
      <c r="J9" s="14">
        <f>+B9</f>
        <v>8372.4496</v>
      </c>
      <c r="K9" s="13">
        <f>YEAR(A9)</f>
        <v>2023</v>
      </c>
      <c r="O9" s="126">
        <f>VLOOKUP(A9,Value!$A$6:$O$17,13,FALSE)</f>
        <v>1977.2697219801619</v>
      </c>
      <c r="P9" s="89"/>
    </row>
    <row r="10" spans="1:16" s="16" customFormat="1" ht="11.25">
      <c r="A10" s="17">
        <f>EOMONTH(A9,1)</f>
        <v>45138</v>
      </c>
      <c r="B10" s="146">
        <v>8428.739599999999</v>
      </c>
      <c r="C10" s="14"/>
      <c r="D10" s="132">
        <f>Value!O8</f>
        <v>674.1233471573303</v>
      </c>
      <c r="E10" s="14"/>
      <c r="F10" s="16">
        <f>ROUND(D10/B10,2)</f>
        <v>0.08</v>
      </c>
      <c r="G10" s="14"/>
      <c r="H10" s="14"/>
      <c r="I10" s="14"/>
      <c r="J10" s="14">
        <f>+B10</f>
        <v>8428.739599999999</v>
      </c>
      <c r="K10" s="13">
        <f>YEAR(A10)</f>
        <v>2023</v>
      </c>
      <c r="O10" s="126">
        <f>VLOOKUP(A10,Value!$A$6:$O$17,13,FALSE)</f>
        <v>1348.2466943146605</v>
      </c>
      <c r="P10" s="89"/>
    </row>
    <row r="11" spans="1:16" s="16" customFormat="1" ht="11.25">
      <c r="A11" s="17"/>
      <c r="C11" s="14"/>
      <c r="D11" s="88"/>
      <c r="E11" s="14"/>
      <c r="G11" s="21"/>
      <c r="H11" s="14"/>
      <c r="I11" s="14"/>
      <c r="J11" s="14"/>
      <c r="K11" s="13"/>
      <c r="O11" s="126"/>
      <c r="P11" s="89"/>
    </row>
    <row r="12" spans="1:16" s="16" customFormat="1" ht="11.25">
      <c r="A12" s="17" t="s">
        <v>108</v>
      </c>
      <c r="B12" s="14">
        <f>SUM(B8:B10)</f>
        <v>25035.078799999996</v>
      </c>
      <c r="C12" s="18" t="s">
        <v>4</v>
      </c>
      <c r="D12" s="14">
        <f>SUM(D8:D10)</f>
        <v>3138.687471873899</v>
      </c>
      <c r="E12" s="14"/>
      <c r="G12" s="21"/>
      <c r="H12" s="14"/>
      <c r="I12" s="14"/>
      <c r="J12" s="14"/>
      <c r="K12" s="13"/>
      <c r="O12" s="126"/>
      <c r="P12" s="89"/>
    </row>
    <row r="13" spans="1:16" s="16" customFormat="1" ht="11.25">
      <c r="A13" s="17"/>
      <c r="C13" s="14"/>
      <c r="D13" s="88"/>
      <c r="E13" s="14"/>
      <c r="G13" s="21"/>
      <c r="H13" s="14"/>
      <c r="I13" s="14"/>
      <c r="J13" s="14"/>
      <c r="K13" s="13"/>
      <c r="O13" s="126"/>
      <c r="P13" s="89"/>
    </row>
    <row r="14" spans="1:16" s="16" customFormat="1" ht="11.25">
      <c r="A14" s="17">
        <f>EOMONTH(A10,1)</f>
        <v>45169</v>
      </c>
      <c r="B14" s="147">
        <v>8151.619599999999</v>
      </c>
      <c r="C14" s="14"/>
      <c r="D14" s="88">
        <f>Value!O9</f>
        <v>746.0665813920339</v>
      </c>
      <c r="E14" s="14"/>
      <c r="F14" s="16">
        <f>ROUND(D14/B14,2)</f>
        <v>0.09</v>
      </c>
      <c r="G14" s="21"/>
      <c r="H14" s="14"/>
      <c r="I14" s="14"/>
      <c r="J14" s="14">
        <f aca="true" t="shared" si="0" ref="J14:J22">+B14</f>
        <v>8151.619599999999</v>
      </c>
      <c r="K14" s="13">
        <f aca="true" t="shared" si="1" ref="K14:K22">YEAR(A14)</f>
        <v>2023</v>
      </c>
      <c r="O14" s="126">
        <f>VLOOKUP(A14,Value!$A$6:$O$17,13,FALSE)</f>
        <v>1492.1331627840677</v>
      </c>
      <c r="P14" s="89"/>
    </row>
    <row r="15" spans="1:16" s="16" customFormat="1" ht="11.25">
      <c r="A15" s="17">
        <f aca="true" t="shared" si="2" ref="A15:A22">EOMONTH(A14,1)</f>
        <v>45199</v>
      </c>
      <c r="B15" s="146">
        <v>8446.059599999999</v>
      </c>
      <c r="C15" s="14"/>
      <c r="D15" s="88">
        <f>Value!O10</f>
        <v>929.3239980770999</v>
      </c>
      <c r="E15" s="14"/>
      <c r="F15" s="16">
        <f>ROUND(D15/B15,2)</f>
        <v>0.11</v>
      </c>
      <c r="G15" s="21"/>
      <c r="H15" s="14"/>
      <c r="I15" s="14"/>
      <c r="J15" s="14">
        <f t="shared" si="0"/>
        <v>8446.059599999999</v>
      </c>
      <c r="K15" s="13">
        <f t="shared" si="1"/>
        <v>2023</v>
      </c>
      <c r="O15" s="126">
        <f>VLOOKUP(A15,Value!$A$6:$O$17,13,FALSE)</f>
        <v>1858.6479961541997</v>
      </c>
      <c r="P15" s="89"/>
    </row>
    <row r="16" spans="1:16" s="16" customFormat="1" ht="11.25">
      <c r="A16" s="17">
        <f t="shared" si="2"/>
        <v>45230</v>
      </c>
      <c r="B16" s="146">
        <v>8472.0396</v>
      </c>
      <c r="C16" s="14"/>
      <c r="D16" s="88">
        <f>Value!O11</f>
        <v>1511.5138481537133</v>
      </c>
      <c r="E16" s="14"/>
      <c r="F16" s="16">
        <f>ROUND(D16/B16,2)</f>
        <v>0.18</v>
      </c>
      <c r="G16" s="21"/>
      <c r="H16" s="14"/>
      <c r="I16" s="14"/>
      <c r="J16" s="14">
        <f t="shared" si="0"/>
        <v>8472.0396</v>
      </c>
      <c r="K16" s="13">
        <f t="shared" si="1"/>
        <v>2023</v>
      </c>
      <c r="O16" s="126">
        <f>VLOOKUP(A16,Value!$A$6:$O$17,13,FALSE)</f>
        <v>3023.0276963074266</v>
      </c>
      <c r="P16" s="89"/>
    </row>
    <row r="17" spans="1:16" s="16" customFormat="1" ht="11.25">
      <c r="A17" s="17">
        <f>EOMONTH(A16,1)</f>
        <v>45260</v>
      </c>
      <c r="B17" s="146">
        <v>8465.544600000001</v>
      </c>
      <c r="C17" s="14"/>
      <c r="D17" s="88">
        <f>Value!O12</f>
        <v>1007.3103549669044</v>
      </c>
      <c r="E17" s="14"/>
      <c r="F17" s="16">
        <f aca="true" t="shared" si="3" ref="F17:F22">ROUND(D17/B17,2)</f>
        <v>0.12</v>
      </c>
      <c r="G17" s="21"/>
      <c r="H17" s="14"/>
      <c r="I17" s="14"/>
      <c r="J17" s="14">
        <f t="shared" si="0"/>
        <v>8465.544600000001</v>
      </c>
      <c r="K17" s="13">
        <f t="shared" si="1"/>
        <v>2023</v>
      </c>
      <c r="O17" s="126">
        <f>VLOOKUP(A17,Value!$A$6:$O$17,13,FALSE)</f>
        <v>2014.6207099338087</v>
      </c>
      <c r="P17" s="89"/>
    </row>
    <row r="18" spans="1:25" s="16" customFormat="1" ht="11.25">
      <c r="A18" s="17">
        <f t="shared" si="2"/>
        <v>45291</v>
      </c>
      <c r="B18" s="146">
        <v>8472.0396</v>
      </c>
      <c r="C18" s="14"/>
      <c r="D18" s="88">
        <f>Value!O13</f>
        <v>1151.8908808565147</v>
      </c>
      <c r="E18" s="14"/>
      <c r="F18" s="16">
        <f t="shared" si="3"/>
        <v>0.14</v>
      </c>
      <c r="G18" s="21"/>
      <c r="H18" s="14"/>
      <c r="I18" s="14"/>
      <c r="J18" s="14">
        <f t="shared" si="0"/>
        <v>8472.0396</v>
      </c>
      <c r="K18" s="13">
        <f t="shared" si="1"/>
        <v>2023</v>
      </c>
      <c r="O18" s="126">
        <f>VLOOKUP(A18,Value!$A$6:$O$17,13,FALSE)</f>
        <v>2303.7817617130295</v>
      </c>
      <c r="P18" s="89"/>
      <c r="X18" s="14"/>
      <c r="Y18" s="14"/>
    </row>
    <row r="19" spans="1:27" s="16" customFormat="1" ht="11.25">
      <c r="A19" s="17">
        <f t="shared" si="2"/>
        <v>45322</v>
      </c>
      <c r="B19" s="146">
        <v>8532.659599999999</v>
      </c>
      <c r="C19" s="14"/>
      <c r="D19" s="88">
        <f>Value!O14</f>
        <v>1579.4441889247537</v>
      </c>
      <c r="E19" s="14"/>
      <c r="F19" s="16">
        <f t="shared" si="3"/>
        <v>0.19</v>
      </c>
      <c r="G19" s="21"/>
      <c r="H19" s="14"/>
      <c r="I19" s="14"/>
      <c r="J19" s="14">
        <f t="shared" si="0"/>
        <v>8532.659599999999</v>
      </c>
      <c r="K19" s="13">
        <f t="shared" si="1"/>
        <v>2024</v>
      </c>
      <c r="L19" s="14"/>
      <c r="M19" s="14"/>
      <c r="N19" s="14"/>
      <c r="O19" s="126">
        <f>VLOOKUP(A19,Value!$A$6:$O$17,13,FALSE)</f>
        <v>3158.8883778495074</v>
      </c>
      <c r="P19" s="89"/>
      <c r="Q19" s="14"/>
      <c r="R19" s="14"/>
      <c r="S19" s="14"/>
      <c r="T19" s="14"/>
      <c r="U19" s="14"/>
      <c r="V19" s="14"/>
      <c r="W19" s="14"/>
      <c r="Y19" s="14"/>
      <c r="AA19" s="14"/>
    </row>
    <row r="20" spans="1:16" s="16" customFormat="1" ht="11.25">
      <c r="A20" s="17">
        <f t="shared" si="2"/>
        <v>45351</v>
      </c>
      <c r="B20" s="146">
        <v>8532.659599999999</v>
      </c>
      <c r="C20" s="14"/>
      <c r="D20" s="88">
        <f>Value!O15</f>
        <v>1164.1299979561093</v>
      </c>
      <c r="E20" s="14"/>
      <c r="F20" s="16">
        <f t="shared" si="3"/>
        <v>0.14</v>
      </c>
      <c r="G20" s="21"/>
      <c r="H20" s="14"/>
      <c r="I20" s="14"/>
      <c r="J20" s="14">
        <f t="shared" si="0"/>
        <v>8532.659599999999</v>
      </c>
      <c r="K20" s="13">
        <f t="shared" si="1"/>
        <v>2024</v>
      </c>
      <c r="O20" s="126">
        <f>VLOOKUP(A20,Value!$A$6:$O$17,13,FALSE)</f>
        <v>2328.2599959122185</v>
      </c>
      <c r="P20" s="30"/>
    </row>
    <row r="21" spans="1:16" s="16" customFormat="1" ht="11.25">
      <c r="A21" s="17">
        <f t="shared" si="2"/>
        <v>45382</v>
      </c>
      <c r="B21" s="146">
        <v>8485.2461</v>
      </c>
      <c r="C21" s="14"/>
      <c r="D21" s="88">
        <f>Value!O16</f>
        <v>1165.491337164497</v>
      </c>
      <c r="E21" s="14"/>
      <c r="F21" s="16">
        <f t="shared" si="3"/>
        <v>0.14</v>
      </c>
      <c r="G21" s="21"/>
      <c r="H21" s="18"/>
      <c r="I21" s="14"/>
      <c r="J21" s="14">
        <f>+B21</f>
        <v>8485.2461</v>
      </c>
      <c r="K21" s="13">
        <f t="shared" si="1"/>
        <v>2024</v>
      </c>
      <c r="O21" s="126">
        <f>VLOOKUP(A21,Value!$A$6:$O$17,13,FALSE)</f>
        <v>2330.982674328994</v>
      </c>
      <c r="P21" s="89"/>
    </row>
    <row r="22" spans="1:16" s="16" customFormat="1" ht="11.25">
      <c r="A22" s="17">
        <f t="shared" si="2"/>
        <v>45412</v>
      </c>
      <c r="B22" s="146">
        <v>8493.9061</v>
      </c>
      <c r="C22" s="14"/>
      <c r="D22" s="88">
        <f>Value!O17</f>
        <v>1818.6539521748396</v>
      </c>
      <c r="E22" s="14"/>
      <c r="F22" s="16">
        <f t="shared" si="3"/>
        <v>0.21</v>
      </c>
      <c r="G22" s="21"/>
      <c r="H22" s="18"/>
      <c r="I22" s="14"/>
      <c r="J22" s="14">
        <f t="shared" si="0"/>
        <v>8493.9061</v>
      </c>
      <c r="K22" s="13">
        <f t="shared" si="1"/>
        <v>2024</v>
      </c>
      <c r="O22" s="126">
        <f>VLOOKUP(A22,Value!$A$6:$O$17,13,FALSE)</f>
        <v>3637.307904349679</v>
      </c>
      <c r="P22" s="89"/>
    </row>
    <row r="23" spans="1:19" s="16" customFormat="1" ht="11.25">
      <c r="A23" s="17"/>
      <c r="B23" s="14"/>
      <c r="C23" s="14"/>
      <c r="E23" s="14"/>
      <c r="G23" s="14"/>
      <c r="H23" s="14"/>
      <c r="I23" s="14"/>
      <c r="J23" s="14"/>
      <c r="K23" s="13"/>
      <c r="O23" s="127"/>
      <c r="S23" s="14"/>
    </row>
    <row r="24" spans="1:19" s="16" customFormat="1" ht="11.25">
      <c r="A24" s="17" t="s">
        <v>109</v>
      </c>
      <c r="B24" s="19">
        <f>SUM(B14:B22)</f>
        <v>76051.7744</v>
      </c>
      <c r="C24" s="18" t="s">
        <v>5</v>
      </c>
      <c r="D24" s="20">
        <f>SUM(D14:D22)</f>
        <v>11073.825139666465</v>
      </c>
      <c r="E24" s="14"/>
      <c r="G24" s="14"/>
      <c r="H24" s="14"/>
      <c r="I24" s="14"/>
      <c r="J24" s="14"/>
      <c r="K24" s="13"/>
      <c r="O24" s="127"/>
      <c r="P24" s="94" t="s">
        <v>68</v>
      </c>
      <c r="S24" s="14"/>
    </row>
    <row r="25" spans="1:19" s="16" customFormat="1" ht="12.75">
      <c r="A25" s="5"/>
      <c r="B25" s="5"/>
      <c r="C25" s="5"/>
      <c r="D25" s="22"/>
      <c r="E25" s="5"/>
      <c r="F25" s="5"/>
      <c r="G25" s="5"/>
      <c r="H25" s="5"/>
      <c r="I25" s="5"/>
      <c r="J25" s="5"/>
      <c r="K25" s="5"/>
      <c r="O25" s="127">
        <f>SUM(O8:O24)</f>
        <v>28425.025223080727</v>
      </c>
      <c r="P25" s="98"/>
      <c r="S25" s="14"/>
    </row>
    <row r="26" spans="1:19" s="16" customFormat="1" ht="12" thickBot="1">
      <c r="A26" s="17" t="s">
        <v>80</v>
      </c>
      <c r="B26" s="23">
        <f>B12+B24</f>
        <v>101086.85319999998</v>
      </c>
      <c r="C26" s="18"/>
      <c r="D26" s="24">
        <f>D12+D24</f>
        <v>14212.512611540365</v>
      </c>
      <c r="E26" s="18" t="s">
        <v>6</v>
      </c>
      <c r="F26" s="21">
        <f>ROUND(D26/B26,3)</f>
        <v>0.141</v>
      </c>
      <c r="G26" s="18" t="s">
        <v>7</v>
      </c>
      <c r="H26" s="14"/>
      <c r="I26" s="14"/>
      <c r="J26" s="23">
        <f>SUM(J8:J25)</f>
        <v>101086.85319999998</v>
      </c>
      <c r="K26" s="18" t="s">
        <v>8</v>
      </c>
      <c r="O26" s="128">
        <f>ROUND(O25/J26,3)</f>
        <v>0.281</v>
      </c>
      <c r="P26" s="89" t="s">
        <v>69</v>
      </c>
      <c r="S26" s="14"/>
    </row>
    <row r="27" spans="2:16" s="16" customFormat="1" ht="12" thickTop="1">
      <c r="B27" s="14"/>
      <c r="C27" s="18"/>
      <c r="D27" s="14"/>
      <c r="E27" s="14"/>
      <c r="F27" s="14"/>
      <c r="G27" s="14"/>
      <c r="H27" s="14"/>
      <c r="I27" s="14"/>
      <c r="J27" s="14"/>
      <c r="K27" s="14"/>
      <c r="O27" s="131">
        <f>J22</f>
        <v>8493.9061</v>
      </c>
      <c r="P27" s="89" t="s">
        <v>70</v>
      </c>
    </row>
    <row r="28" spans="2:16" s="16" customFormat="1" ht="11.25">
      <c r="B28" s="14"/>
      <c r="C28" s="18"/>
      <c r="D28" s="14"/>
      <c r="E28" s="14"/>
      <c r="F28" s="14"/>
      <c r="G28" s="14"/>
      <c r="H28" s="14"/>
      <c r="I28" s="14"/>
      <c r="J28" s="14"/>
      <c r="K28" s="14"/>
      <c r="O28" s="148"/>
      <c r="P28" s="89"/>
    </row>
    <row r="29" spans="2:16" s="16" customFormat="1" ht="11.25">
      <c r="B29" s="14"/>
      <c r="C29" s="18"/>
      <c r="D29" s="14"/>
      <c r="E29" s="14"/>
      <c r="F29" s="14"/>
      <c r="G29" s="14"/>
      <c r="H29" s="14"/>
      <c r="I29" s="14"/>
      <c r="J29" s="14"/>
      <c r="K29" s="14"/>
      <c r="O29" s="148"/>
      <c r="P29" s="89"/>
    </row>
    <row r="30" spans="2:11" s="16" customFormat="1" ht="12" thickBot="1">
      <c r="B30" s="25" t="s">
        <v>9</v>
      </c>
      <c r="C30" s="26"/>
      <c r="D30" s="26"/>
      <c r="E30" s="26"/>
      <c r="F30" s="14"/>
      <c r="G30" s="14"/>
      <c r="H30" s="14"/>
      <c r="I30" s="14"/>
      <c r="J30" s="14"/>
      <c r="K30" s="14"/>
    </row>
    <row r="31" spans="1:25" s="16" customFormat="1" ht="12" thickTop="1">
      <c r="A31" s="6"/>
      <c r="B31" s="27"/>
      <c r="C31" s="14"/>
      <c r="D31" s="14"/>
      <c r="E31" s="14"/>
      <c r="F31" s="14"/>
      <c r="G31" s="14"/>
      <c r="H31" s="14"/>
      <c r="I31" s="14"/>
      <c r="J31" s="14"/>
      <c r="K31" s="14"/>
      <c r="X31" s="14"/>
      <c r="Y31" s="14"/>
    </row>
    <row r="32" spans="1:11" s="16" customFormat="1" ht="11.25">
      <c r="A32" s="8"/>
      <c r="B32" s="27"/>
      <c r="C32" s="14"/>
      <c r="D32" s="14"/>
      <c r="E32" s="14"/>
      <c r="F32" s="28" t="s">
        <v>10</v>
      </c>
      <c r="G32" s="14">
        <f>D26</f>
        <v>14212.512611540365</v>
      </c>
      <c r="H32" s="18" t="s">
        <v>6</v>
      </c>
      <c r="I32" s="14"/>
      <c r="J32" s="14"/>
      <c r="K32" s="14"/>
    </row>
    <row r="33" spans="1:27" s="13" customFormat="1" ht="11.25">
      <c r="A33" s="29"/>
      <c r="B33" s="27"/>
      <c r="C33" s="14"/>
      <c r="D33" s="14"/>
      <c r="E33" s="14"/>
      <c r="F33" s="14"/>
      <c r="G33" s="14"/>
      <c r="H33" s="18"/>
      <c r="I33" s="14"/>
      <c r="J33" s="14"/>
      <c r="K33" s="14"/>
      <c r="O33" s="16">
        <f>12*O27*O26</f>
        <v>28641.451369200004</v>
      </c>
      <c r="P33" s="13" t="s">
        <v>72</v>
      </c>
      <c r="W33" s="14"/>
      <c r="X33" s="16"/>
      <c r="Y33" s="16"/>
      <c r="AA33" s="14"/>
    </row>
    <row r="34" spans="2:16" s="16" customFormat="1" ht="11.25">
      <c r="B34" s="14" t="s">
        <v>62</v>
      </c>
      <c r="C34" s="14"/>
      <c r="D34" s="14"/>
      <c r="E34" s="14"/>
      <c r="F34" s="150">
        <v>0.342</v>
      </c>
      <c r="G34" s="14"/>
      <c r="H34" s="14"/>
      <c r="I34" s="14"/>
      <c r="J34" s="14"/>
      <c r="K34" s="14"/>
      <c r="O34" s="16">
        <f>12*O27*G57</f>
        <v>14371.689121200001</v>
      </c>
      <c r="P34" s="16" t="s">
        <v>73</v>
      </c>
    </row>
    <row r="35" spans="2:15" s="16" customFormat="1" ht="11.25">
      <c r="B35" s="14"/>
      <c r="C35" s="14" t="str">
        <f>"Yards from "&amp;TEXT($A$8,"mm/yy")&amp;" - "&amp;TEXT($A$10,"mm/yy")</f>
        <v>Yards from 05/23 - 07/23</v>
      </c>
      <c r="D35" s="14"/>
      <c r="E35" s="14"/>
      <c r="F35" s="14">
        <f>B12</f>
        <v>25035.078799999996</v>
      </c>
      <c r="G35" s="18" t="s">
        <v>4</v>
      </c>
      <c r="H35" s="14"/>
      <c r="I35" s="14"/>
      <c r="J35" s="14"/>
      <c r="K35" s="14"/>
      <c r="O35" s="129">
        <f>+O34/O33</f>
        <v>0.5017793594306049</v>
      </c>
    </row>
    <row r="36" spans="2:11" s="16" customFormat="1" ht="11.25">
      <c r="B36" s="14"/>
      <c r="C36" s="14" t="s">
        <v>11</v>
      </c>
      <c r="D36" s="14"/>
      <c r="E36" s="14"/>
      <c r="F36" s="19">
        <f>ROUND(F34*F35,0)</f>
        <v>8562</v>
      </c>
      <c r="G36" s="18"/>
      <c r="H36" s="14"/>
      <c r="I36" s="14"/>
      <c r="J36" s="14"/>
      <c r="K36" s="14"/>
    </row>
    <row r="37" spans="2:11" s="16" customFormat="1" ht="11.25">
      <c r="B37" s="14"/>
      <c r="C37" s="14"/>
      <c r="D37" s="14"/>
      <c r="E37" s="14"/>
      <c r="F37" s="30"/>
      <c r="G37" s="18"/>
      <c r="H37" s="14"/>
      <c r="I37" s="14"/>
      <c r="J37" s="14"/>
      <c r="K37" s="14"/>
    </row>
    <row r="38" spans="2:11" s="16" customFormat="1" ht="11.25">
      <c r="B38" s="14" t="s">
        <v>62</v>
      </c>
      <c r="C38" s="14"/>
      <c r="D38" s="14"/>
      <c r="E38" s="14"/>
      <c r="F38" s="150">
        <v>0.123</v>
      </c>
      <c r="G38" s="14"/>
      <c r="H38" s="14"/>
      <c r="I38" s="14"/>
      <c r="J38" s="14"/>
      <c r="K38" s="14"/>
    </row>
    <row r="39" spans="2:11" s="16" customFormat="1" ht="11.25">
      <c r="B39" s="14"/>
      <c r="C39" s="14" t="str">
        <f>"Yards from "&amp;TEXT($A$14,"mm/yy")&amp;" - "&amp;TEXT($A$22,"mm/yy")</f>
        <v>Yards from 08/23 - 04/24</v>
      </c>
      <c r="D39" s="14"/>
      <c r="E39" s="14"/>
      <c r="F39" s="14">
        <f>B24</f>
        <v>76051.7744</v>
      </c>
      <c r="G39" s="18" t="s">
        <v>5</v>
      </c>
      <c r="H39" s="14"/>
      <c r="I39" s="14"/>
      <c r="J39" s="14"/>
      <c r="K39" s="14"/>
    </row>
    <row r="40" spans="2:11" s="16" customFormat="1" ht="11.25">
      <c r="B40" s="14"/>
      <c r="C40" s="14" t="s">
        <v>11</v>
      </c>
      <c r="D40" s="14"/>
      <c r="E40" s="14"/>
      <c r="F40" s="19">
        <f>ROUND(F38*F39,0)</f>
        <v>9354</v>
      </c>
      <c r="G40" s="18"/>
      <c r="H40" s="14"/>
      <c r="I40" s="14"/>
      <c r="J40" s="14"/>
      <c r="K40" s="14"/>
    </row>
    <row r="41" spans="2:11" s="16" customFormat="1" ht="11.25">
      <c r="B41" s="14"/>
      <c r="C41" s="14"/>
      <c r="D41" s="14"/>
      <c r="E41" s="14"/>
      <c r="F41" s="31"/>
      <c r="G41" s="18"/>
      <c r="H41" s="14"/>
      <c r="I41" s="14"/>
      <c r="J41" s="14"/>
      <c r="K41" s="14"/>
    </row>
    <row r="42" spans="2:11" s="16" customFormat="1" ht="12" thickBot="1">
      <c r="B42" s="14"/>
      <c r="C42" s="14" t="s">
        <v>12</v>
      </c>
      <c r="D42" s="14"/>
      <c r="E42" s="14"/>
      <c r="F42" s="23">
        <f>+F36+F40</f>
        <v>17916</v>
      </c>
      <c r="G42" s="32">
        <f>+F42</f>
        <v>17916</v>
      </c>
      <c r="H42" s="14"/>
      <c r="I42" s="14"/>
      <c r="J42" s="14"/>
      <c r="K42" s="14"/>
    </row>
    <row r="43" spans="2:11" s="16" customFormat="1" ht="12" thickTop="1"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2:11" s="16" customFormat="1" ht="11.25"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2:11" s="16" customFormat="1" ht="12" thickBot="1">
      <c r="B45" s="14"/>
      <c r="C45" s="14"/>
      <c r="D45" s="14"/>
      <c r="E45" s="14"/>
      <c r="F45" s="28" t="s">
        <v>107</v>
      </c>
      <c r="G45" s="33">
        <f>+G32-G42</f>
        <v>-3703.4873884596345</v>
      </c>
      <c r="H45" s="14"/>
      <c r="I45" s="14"/>
      <c r="J45" s="14"/>
      <c r="K45" s="14"/>
    </row>
    <row r="46" spans="2:25" s="16" customFormat="1" ht="12" thickTop="1">
      <c r="B46" s="14"/>
      <c r="C46" s="14"/>
      <c r="D46" s="14"/>
      <c r="E46" s="14"/>
      <c r="F46" s="14"/>
      <c r="G46" s="14"/>
      <c r="H46" s="14"/>
      <c r="I46" s="14"/>
      <c r="J46" s="14"/>
      <c r="K46" s="14"/>
      <c r="Y46" s="14"/>
    </row>
    <row r="47" spans="2:11" s="16" customFormat="1" ht="11.25"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2:11" s="16" customFormat="1" ht="12" thickBot="1">
      <c r="B48" s="25" t="str">
        <f>$K$22+1&amp;" Recycle Adjustment Calculation"</f>
        <v>2025 Recycle Adjustment Calculation</v>
      </c>
      <c r="C48" s="26"/>
      <c r="D48" s="26"/>
      <c r="E48" s="26"/>
      <c r="F48" s="26"/>
      <c r="G48" s="14"/>
      <c r="H48" s="14"/>
      <c r="I48" s="14"/>
      <c r="J48" s="14"/>
      <c r="K48" s="14"/>
    </row>
    <row r="49" spans="2:27" s="16" customFormat="1" ht="12" thickTop="1">
      <c r="B49" s="2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AA49" s="14"/>
    </row>
    <row r="50" spans="2:11" s="16" customFormat="1" ht="11.25">
      <c r="B50" s="14" t="s">
        <v>76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2:11" s="16" customFormat="1" ht="11.25">
      <c r="B51" s="14"/>
      <c r="C51" s="14"/>
      <c r="D51" s="14"/>
      <c r="E51" s="14"/>
      <c r="F51" s="28" t="s">
        <v>81</v>
      </c>
      <c r="G51" s="121">
        <f>+J26</f>
        <v>101086.85319999998</v>
      </c>
      <c r="H51" s="18" t="s">
        <v>8</v>
      </c>
      <c r="I51" s="14"/>
      <c r="J51" s="14"/>
      <c r="K51" s="14"/>
    </row>
    <row r="52" spans="2:11" s="16" customFormat="1" ht="11.25">
      <c r="B52" s="14"/>
      <c r="C52" s="14"/>
      <c r="D52" s="14"/>
      <c r="E52" s="14"/>
      <c r="F52" s="28" t="s">
        <v>13</v>
      </c>
      <c r="G52" s="14">
        <f>+G45</f>
        <v>-3703.4873884596345</v>
      </c>
      <c r="H52" s="14"/>
      <c r="I52" s="14"/>
      <c r="J52" s="14"/>
      <c r="K52" s="14"/>
    </row>
    <row r="53" spans="2:11" s="16" customFormat="1" ht="11.25">
      <c r="B53" s="14"/>
      <c r="C53" s="14"/>
      <c r="D53" s="14"/>
      <c r="E53" s="14"/>
      <c r="F53" s="28"/>
      <c r="G53" s="14"/>
      <c r="H53" s="14"/>
      <c r="I53" s="14"/>
      <c r="J53" s="14"/>
      <c r="K53" s="14"/>
    </row>
    <row r="54" spans="2:11" s="16" customFormat="1" ht="12" thickBot="1">
      <c r="B54" s="14"/>
      <c r="C54" s="14"/>
      <c r="D54" s="14"/>
      <c r="E54" s="14"/>
      <c r="F54" s="28" t="s">
        <v>110</v>
      </c>
      <c r="G54" s="34">
        <f>ROUND(G52/G51,2)</f>
        <v>-0.04</v>
      </c>
      <c r="H54" s="14"/>
      <c r="I54" s="21">
        <f>+G54</f>
        <v>-0.04</v>
      </c>
      <c r="J54" s="14"/>
      <c r="K54" s="14"/>
    </row>
    <row r="55" spans="2:25" s="16" customFormat="1" ht="12" thickTop="1">
      <c r="B55" s="14"/>
      <c r="C55" s="14"/>
      <c r="D55" s="14"/>
      <c r="E55" s="14"/>
      <c r="F55" s="28"/>
      <c r="G55" s="14"/>
      <c r="H55" s="14"/>
      <c r="I55" s="21"/>
      <c r="J55" s="14"/>
      <c r="K55" s="14"/>
      <c r="Y55" s="14"/>
    </row>
    <row r="56" spans="2:13" s="16" customFormat="1" ht="11.25">
      <c r="B56" s="14" t="s">
        <v>75</v>
      </c>
      <c r="C56" s="14"/>
      <c r="D56" s="14"/>
      <c r="E56" s="14"/>
      <c r="F56" s="28"/>
      <c r="G56" s="14"/>
      <c r="H56" s="14"/>
      <c r="I56" s="21"/>
      <c r="J56" s="14"/>
      <c r="K56" s="14"/>
      <c r="M56" s="135" t="s">
        <v>71</v>
      </c>
    </row>
    <row r="57" spans="2:13" s="16" customFormat="1" ht="12" thickBot="1">
      <c r="B57" s="27"/>
      <c r="C57" s="14"/>
      <c r="D57" s="14"/>
      <c r="E57" s="14"/>
      <c r="F57" s="28" t="s">
        <v>83</v>
      </c>
      <c r="G57" s="134">
        <f>+F26/Value!P18*M57</f>
        <v>0.14100000000000001</v>
      </c>
      <c r="H57" s="14"/>
      <c r="I57" s="21">
        <f>+G57</f>
        <v>0.14100000000000001</v>
      </c>
      <c r="J57" s="18" t="s">
        <v>7</v>
      </c>
      <c r="K57" s="14"/>
      <c r="M57" s="136">
        <v>0.5</v>
      </c>
    </row>
    <row r="58" spans="2:25" s="14" customFormat="1" ht="12" thickTop="1">
      <c r="B58" s="27"/>
      <c r="I58" s="21"/>
      <c r="X58" s="16"/>
      <c r="Y58" s="16"/>
    </row>
    <row r="59" spans="2:11" s="16" customFormat="1" ht="12" thickBot="1">
      <c r="B59" s="14"/>
      <c r="C59" s="14"/>
      <c r="D59" s="14"/>
      <c r="E59" s="14"/>
      <c r="F59" s="14"/>
      <c r="G59" s="28" t="s">
        <v>111</v>
      </c>
      <c r="H59" s="23"/>
      <c r="I59" s="34">
        <f>+I54+I57</f>
        <v>0.101</v>
      </c>
      <c r="J59" s="14"/>
      <c r="K59" s="14"/>
    </row>
    <row r="60" s="16" customFormat="1" ht="12" thickTop="1">
      <c r="I60" s="21"/>
    </row>
    <row r="61" spans="7:9" s="16" customFormat="1" ht="11.25">
      <c r="G61" s="110" t="s">
        <v>65</v>
      </c>
      <c r="I61" s="21">
        <f>+I59*3.5</f>
        <v>0.35350000000000004</v>
      </c>
    </row>
    <row r="62" spans="1:9" s="16" customFormat="1" ht="11.25">
      <c r="A62" s="89"/>
      <c r="B62" s="89"/>
      <c r="C62" s="89"/>
      <c r="D62" s="89"/>
      <c r="E62" s="89"/>
      <c r="F62" s="89"/>
      <c r="G62" s="110" t="s">
        <v>66</v>
      </c>
      <c r="I62" s="21">
        <f>I59*5</f>
        <v>0.505</v>
      </c>
    </row>
    <row r="63" spans="1:7" s="16" customFormat="1" ht="11.25">
      <c r="A63" s="90"/>
      <c r="B63" s="91"/>
      <c r="C63" s="92"/>
      <c r="D63" s="92"/>
      <c r="E63" s="92"/>
      <c r="F63" s="93"/>
      <c r="G63" s="110"/>
    </row>
    <row r="64" spans="1:25" s="14" customFormat="1" ht="11.25">
      <c r="A64" s="95"/>
      <c r="B64" s="96"/>
      <c r="C64" s="30"/>
      <c r="D64" s="89"/>
      <c r="E64" s="30"/>
      <c r="F64" s="89"/>
      <c r="G64" s="16"/>
      <c r="H64" s="16"/>
      <c r="I64" s="16"/>
      <c r="X64" s="16"/>
      <c r="Y64" s="16"/>
    </row>
    <row r="65" spans="2:10" s="16" customFormat="1" ht="11.25">
      <c r="B65" s="110" t="s">
        <v>112</v>
      </c>
      <c r="C65" s="30"/>
      <c r="D65" s="89"/>
      <c r="E65" s="30"/>
      <c r="F65" s="89"/>
      <c r="G65" s="110" t="s">
        <v>82</v>
      </c>
      <c r="I65" s="171">
        <f>+RSA!E24</f>
        <v>0</v>
      </c>
      <c r="J65" s="16" t="s">
        <v>113</v>
      </c>
    </row>
    <row r="66" spans="1:9" s="16" customFormat="1" ht="11.25">
      <c r="A66" s="95"/>
      <c r="B66" s="30"/>
      <c r="C66" s="97"/>
      <c r="D66" s="89"/>
      <c r="E66" s="30"/>
      <c r="F66" s="89"/>
      <c r="G66" s="14"/>
      <c r="H66" s="14"/>
      <c r="I66" s="14"/>
    </row>
    <row r="67" spans="1:6" s="16" customFormat="1" ht="11.25">
      <c r="A67" s="95"/>
      <c r="B67" s="96"/>
      <c r="C67" s="30"/>
      <c r="D67" s="89"/>
      <c r="E67" s="30"/>
      <c r="F67" s="89"/>
    </row>
    <row r="68" spans="1:9" s="16" customFormat="1" ht="12" thickBot="1">
      <c r="A68" s="95"/>
      <c r="B68" s="96"/>
      <c r="C68" s="30"/>
      <c r="D68" s="89"/>
      <c r="E68" s="30"/>
      <c r="F68" s="89"/>
      <c r="G68" s="28" t="str">
        <f>G59</f>
        <v>8/1/22 - 7/31/23 Adjusted Credit</v>
      </c>
      <c r="H68" s="23"/>
      <c r="I68" s="133">
        <f>+I59+I65</f>
        <v>0.101</v>
      </c>
    </row>
    <row r="69" spans="1:25" s="16" customFormat="1" ht="12" thickTop="1">
      <c r="A69" s="95"/>
      <c r="B69" s="96"/>
      <c r="C69" s="30"/>
      <c r="D69" s="89"/>
      <c r="E69" s="30"/>
      <c r="F69" s="89"/>
      <c r="Y69" s="14"/>
    </row>
    <row r="70" spans="1:9" s="16" customFormat="1" ht="11.25">
      <c r="A70" s="95"/>
      <c r="B70" s="96"/>
      <c r="C70" s="30"/>
      <c r="D70" s="89"/>
      <c r="E70" s="30"/>
      <c r="F70" s="89"/>
      <c r="G70" s="110" t="s">
        <v>65</v>
      </c>
      <c r="I70" s="130">
        <f>+I68*3.5</f>
        <v>0.35350000000000004</v>
      </c>
    </row>
    <row r="71" spans="1:9" s="16" customFormat="1" ht="11.25">
      <c r="A71" s="95"/>
      <c r="B71" s="96"/>
      <c r="C71" s="30"/>
      <c r="D71" s="89"/>
      <c r="E71" s="30"/>
      <c r="F71" s="89"/>
      <c r="G71" s="110" t="s">
        <v>66</v>
      </c>
      <c r="I71" s="16">
        <f>I68*5</f>
        <v>0.505</v>
      </c>
    </row>
    <row r="72" spans="1:6" s="16" customFormat="1" ht="11.25">
      <c r="A72" s="95"/>
      <c r="B72" s="96"/>
      <c r="C72" s="30"/>
      <c r="D72" s="89"/>
      <c r="E72" s="30"/>
      <c r="F72" s="89"/>
    </row>
    <row r="73" spans="1:27" s="16" customFormat="1" ht="11.25">
      <c r="A73" s="95"/>
      <c r="B73" s="96"/>
      <c r="C73" s="30"/>
      <c r="D73" s="89"/>
      <c r="E73" s="30"/>
      <c r="F73" s="89"/>
      <c r="G73" s="14"/>
      <c r="H73" s="13"/>
      <c r="I73" s="14"/>
      <c r="J73" s="14"/>
      <c r="K73" s="13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3"/>
      <c r="W73" s="14"/>
      <c r="AA73" s="14"/>
    </row>
    <row r="74" spans="1:6" s="16" customFormat="1" ht="11.25">
      <c r="A74" s="95"/>
      <c r="B74" s="96"/>
      <c r="C74" s="30"/>
      <c r="D74" s="89"/>
      <c r="E74" s="30"/>
      <c r="F74" s="89"/>
    </row>
    <row r="75" spans="1:6" s="16" customFormat="1" ht="11.25">
      <c r="A75" s="95"/>
      <c r="B75" s="96"/>
      <c r="C75" s="30"/>
      <c r="D75" s="89"/>
      <c r="E75" s="30"/>
      <c r="F75" s="89"/>
    </row>
    <row r="76" spans="1:6" s="16" customFormat="1" ht="11.25">
      <c r="A76" s="95"/>
      <c r="B76" s="30"/>
      <c r="C76" s="30"/>
      <c r="D76" s="89"/>
      <c r="E76" s="30"/>
      <c r="F76" s="89"/>
    </row>
    <row r="77" spans="1:6" s="16" customFormat="1" ht="11.25">
      <c r="A77" s="95"/>
      <c r="B77" s="30"/>
      <c r="C77" s="97"/>
      <c r="D77" s="89"/>
      <c r="E77" s="30"/>
      <c r="F77" s="89"/>
    </row>
    <row r="78" spans="1:25" s="16" customFormat="1" ht="12.75">
      <c r="A78" s="98"/>
      <c r="B78" s="98"/>
      <c r="C78" s="98"/>
      <c r="D78" s="99"/>
      <c r="E78" s="98"/>
      <c r="F78" s="98"/>
      <c r="Y78" s="14"/>
    </row>
    <row r="79" spans="1:6" s="16" customFormat="1" ht="11.25">
      <c r="A79" s="100"/>
      <c r="B79" s="30"/>
      <c r="C79" s="97"/>
      <c r="D79" s="89"/>
      <c r="E79" s="97"/>
      <c r="F79" s="101"/>
    </row>
    <row r="80" s="16" customFormat="1" ht="11.25"/>
    <row r="81" s="16" customFormat="1" ht="11.25"/>
    <row r="82" s="16" customFormat="1" ht="11.25">
      <c r="B82" s="8"/>
    </row>
    <row r="83" spans="2:25" s="14" customFormat="1" ht="11.25">
      <c r="B83" s="27"/>
      <c r="X83" s="16"/>
      <c r="Y83" s="16"/>
    </row>
    <row r="84" s="16" customFormat="1" ht="11.25"/>
    <row r="85" s="16" customFormat="1" ht="11.25"/>
    <row r="86" s="16" customFormat="1" ht="11.25"/>
    <row r="87" s="16" customFormat="1" ht="11.25"/>
    <row r="88" s="16" customFormat="1" ht="11.25"/>
    <row r="89" s="16" customFormat="1" ht="11.25"/>
    <row r="90" s="16" customFormat="1" ht="11.25"/>
    <row r="91" s="16" customFormat="1" ht="11.25"/>
    <row r="92" s="16" customFormat="1" ht="11.25">
      <c r="A92" s="6"/>
    </row>
    <row r="93" s="16" customFormat="1" ht="12.75">
      <c r="AA93" s="5"/>
    </row>
    <row r="94" s="16" customFormat="1" ht="12.75">
      <c r="AA94" s="5"/>
    </row>
    <row r="95" s="16" customFormat="1" ht="12.75">
      <c r="AA95" s="5"/>
    </row>
    <row r="96" s="16" customFormat="1" ht="12.75">
      <c r="AA96" s="5"/>
    </row>
    <row r="97" spans="7:27" s="16" customFormat="1" ht="12.75">
      <c r="G97" s="35"/>
      <c r="I97" s="35"/>
      <c r="J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AA97" s="5"/>
    </row>
    <row r="98" s="16" customFormat="1" ht="12.75">
      <c r="AA98" s="5"/>
    </row>
    <row r="99" spans="7:27" s="16" customFormat="1" ht="13.5" thickBot="1">
      <c r="G99" s="36"/>
      <c r="I99" s="36"/>
      <c r="J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AA99" s="5"/>
    </row>
    <row r="100" ht="13.5" thickTop="1"/>
    <row r="101" spans="23:25" ht="12.75">
      <c r="W101" s="37"/>
      <c r="X101" s="37"/>
      <c r="Y101" s="37"/>
    </row>
    <row r="102" spans="23:27" ht="12.75">
      <c r="W102" s="37"/>
      <c r="AA102" s="37"/>
    </row>
  </sheetData>
  <sheetProtection/>
  <printOptions horizontalCentered="1"/>
  <pageMargins left="0" right="0" top="0.26" bottom="0.33" header="0" footer="0"/>
  <pageSetup fitToHeight="1" fitToWidth="1" horizontalDpi="1200" verticalDpi="1200" orientation="portrait" scale="83" r:id="rId4"/>
  <headerFooter alignWithMargins="0">
    <oddFooter>&amp;R&amp;"Helv,Regular"&amp;6\\SERVER1\DPUBLIC\EXCEL\WUTC\&amp;F, &amp;A, &amp;D, &amp;T, Page &amp;P of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2.140625" style="0" customWidth="1"/>
    <col min="3" max="13" width="11.7109375" style="0" customWidth="1"/>
    <col min="14" max="14" width="2.8515625" style="0" customWidth="1"/>
    <col min="15" max="15" width="9.7109375" style="53" customWidth="1"/>
    <col min="16" max="16" width="14.57421875" style="0" bestFit="1" customWidth="1"/>
  </cols>
  <sheetData>
    <row r="1" spans="1:2" ht="12.75">
      <c r="A1" s="38" t="s">
        <v>84</v>
      </c>
      <c r="B1" s="39"/>
    </row>
    <row r="2" spans="1:2" ht="12.75">
      <c r="A2" s="40" t="str">
        <f>'WUTC_AW of Lynnwood_MF'!A1</f>
        <v>Rabanco Ltd (dba Allied Waste of Lynnwood)</v>
      </c>
      <c r="B2" s="40"/>
    </row>
    <row r="3" ht="12.75">
      <c r="B3" s="51"/>
    </row>
    <row r="4" spans="2:15" ht="12.7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O4" s="54" t="str">
        <f>+TEXT(P18,"00.0%")&amp;" of"</f>
        <v>50.0% of</v>
      </c>
    </row>
    <row r="5" spans="2:16" ht="12.75">
      <c r="B5" s="51"/>
      <c r="C5" s="42" t="s">
        <v>14</v>
      </c>
      <c r="D5" s="42" t="s">
        <v>15</v>
      </c>
      <c r="E5" s="42" t="s">
        <v>78</v>
      </c>
      <c r="F5" s="42" t="s">
        <v>31</v>
      </c>
      <c r="G5" s="42" t="s">
        <v>79</v>
      </c>
      <c r="H5" s="42" t="s">
        <v>17</v>
      </c>
      <c r="I5" s="42" t="s">
        <v>18</v>
      </c>
      <c r="J5" s="42" t="s">
        <v>19</v>
      </c>
      <c r="K5" s="42" t="s">
        <v>20</v>
      </c>
      <c r="L5" s="42" t="s">
        <v>21</v>
      </c>
      <c r="M5" s="42" t="s">
        <v>22</v>
      </c>
      <c r="O5" s="54" t="s">
        <v>22</v>
      </c>
      <c r="P5" s="42" t="s">
        <v>74</v>
      </c>
    </row>
    <row r="6" spans="1:17" ht="15.75" customHeight="1">
      <c r="A6" s="46">
        <f>+Pricing!A4</f>
        <v>45047</v>
      </c>
      <c r="B6" s="51"/>
      <c r="C6" s="52">
        <f>'Commodity Tonnages'!C6*Pricing!C4</f>
        <v>1608.0822082505222</v>
      </c>
      <c r="D6" s="56">
        <f>'Commodity Tonnages'!D6*Pricing!D4</f>
        <v>-887.9726319471165</v>
      </c>
      <c r="E6" s="56">
        <f>'Commodity Tonnages'!E6*Pricing!E4</f>
        <v>0</v>
      </c>
      <c r="F6" s="56">
        <f>'Commodity Tonnages'!F6*Pricing!F4</f>
        <v>119.21109713311444</v>
      </c>
      <c r="G6" s="56">
        <f>'Commodity Tonnages'!G6*Pricing!G4</f>
        <v>9.252457342969786</v>
      </c>
      <c r="H6" s="56">
        <f>'Commodity Tonnages'!H6*Pricing!H4</f>
        <v>927.7498666662926</v>
      </c>
      <c r="I6" s="56">
        <f>'Commodity Tonnages'!I6*Pricing!I4</f>
        <v>314.79850470590185</v>
      </c>
      <c r="J6" s="56">
        <f>'Commodity Tonnages'!J6*Pricing!J4</f>
        <v>314.79850470590185</v>
      </c>
      <c r="K6" s="56">
        <f>'Commodity Tonnages'!K6*Pricing!K4</f>
        <v>1794.0875379801491</v>
      </c>
      <c r="L6" s="56">
        <f>'Commodity Tonnages'!L6*Pricing!L4</f>
        <v>-1248.1490173847594</v>
      </c>
      <c r="M6" s="115">
        <f>SUM(C6:L6)</f>
        <v>2951.858527452976</v>
      </c>
      <c r="O6" s="76">
        <f>M6*P6</f>
        <v>1475.929263726488</v>
      </c>
      <c r="P6" s="149">
        <v>0.5</v>
      </c>
      <c r="Q6" s="55"/>
    </row>
    <row r="7" spans="1:17" ht="15.75" customHeight="1">
      <c r="A7" s="46">
        <f>+Pricing!A5</f>
        <v>45107</v>
      </c>
      <c r="B7" s="51"/>
      <c r="C7" s="52">
        <f>'Commodity Tonnages'!C7*Pricing!C5</f>
        <v>1516.4356692026086</v>
      </c>
      <c r="D7" s="56">
        <f>'Commodity Tonnages'!D7*Pricing!D5</f>
        <v>-1013.7114600710626</v>
      </c>
      <c r="E7" s="56">
        <f>'Commodity Tonnages'!E7*Pricing!E5</f>
        <v>0</v>
      </c>
      <c r="F7" s="56">
        <f>'Commodity Tonnages'!F7*Pricing!F5</f>
        <v>93.30412098231929</v>
      </c>
      <c r="G7" s="56">
        <f>'Commodity Tonnages'!G7*Pricing!G5</f>
        <v>7.73558267008098</v>
      </c>
      <c r="H7" s="56">
        <f>'Commodity Tonnages'!H7*Pricing!H5</f>
        <v>740.5739117022202</v>
      </c>
      <c r="I7" s="56">
        <f>'Commodity Tonnages'!I7*Pricing!I5</f>
        <v>162.82925647355526</v>
      </c>
      <c r="J7" s="56">
        <f>'Commodity Tonnages'!J7*Pricing!J5</f>
        <v>162.82925647355526</v>
      </c>
      <c r="K7" s="56">
        <f>'Commodity Tonnages'!K7*Pricing!K5</f>
        <v>1515.2075198760924</v>
      </c>
      <c r="L7" s="56">
        <f>'Commodity Tonnages'!L7*Pricing!L5</f>
        <v>-1207.9341353292077</v>
      </c>
      <c r="M7" s="115">
        <f aca="true" t="shared" si="0" ref="M7:M17">SUM(C7:L7)</f>
        <v>1977.2697219801619</v>
      </c>
      <c r="O7" s="76">
        <f aca="true" t="shared" si="1" ref="O7:O17">M7*P7</f>
        <v>988.6348609900809</v>
      </c>
      <c r="P7" s="149">
        <v>0.5</v>
      </c>
      <c r="Q7" s="55"/>
    </row>
    <row r="8" spans="1:17" ht="15.75" customHeight="1">
      <c r="A8" s="46">
        <f>+Pricing!A6</f>
        <v>45138</v>
      </c>
      <c r="B8" s="47"/>
      <c r="C8" s="52">
        <f>'Commodity Tonnages'!C8*Pricing!C6</f>
        <v>1307.5726126848936</v>
      </c>
      <c r="D8" s="56">
        <f>'Commodity Tonnages'!D8*Pricing!D6</f>
        <v>-895.5698395010236</v>
      </c>
      <c r="E8" s="56">
        <f>'Commodity Tonnages'!E8*Pricing!E6</f>
        <v>0</v>
      </c>
      <c r="F8" s="56">
        <f>'Commodity Tonnages'!F8*Pricing!F6</f>
        <v>86.37743460529362</v>
      </c>
      <c r="G8" s="56">
        <f>'Commodity Tonnages'!G8*Pricing!G6</f>
        <v>6.931134680381057</v>
      </c>
      <c r="H8" s="56">
        <f>'Commodity Tonnages'!H8*Pricing!H6</f>
        <v>380.705823544078</v>
      </c>
      <c r="I8" s="56">
        <f>'Commodity Tonnages'!I8*Pricing!I6</f>
        <v>32.16252257896508</v>
      </c>
      <c r="J8" s="56">
        <f>'Commodity Tonnages'!J8*Pricing!J6</f>
        <v>32.16252257896508</v>
      </c>
      <c r="K8" s="56">
        <f>'Commodity Tonnages'!K8*Pricing!K6</f>
        <v>1449.9138082347636</v>
      </c>
      <c r="L8" s="56">
        <f>'Commodity Tonnages'!L8*Pricing!L6</f>
        <v>-1052.0093250916557</v>
      </c>
      <c r="M8" s="115">
        <f t="shared" si="0"/>
        <v>1348.2466943146605</v>
      </c>
      <c r="O8" s="76">
        <f t="shared" si="1"/>
        <v>674.1233471573303</v>
      </c>
      <c r="P8" s="149">
        <v>0.5</v>
      </c>
      <c r="Q8" s="55"/>
    </row>
    <row r="9" spans="1:17" ht="15.75" customHeight="1">
      <c r="A9" s="46">
        <f>+Pricing!A7</f>
        <v>45169</v>
      </c>
      <c r="B9" s="47"/>
      <c r="C9" s="52">
        <f>'Commodity Tonnages'!C9*Pricing!C7</f>
        <v>1358.8226305381138</v>
      </c>
      <c r="D9" s="56">
        <f>'Commodity Tonnages'!D9*Pricing!D7</f>
        <v>-928.6358544263239</v>
      </c>
      <c r="E9" s="56">
        <f>'Commodity Tonnages'!E9*Pricing!E7</f>
        <v>0</v>
      </c>
      <c r="F9" s="56">
        <f>'Commodity Tonnages'!F9*Pricing!F7</f>
        <v>80.3525183712406</v>
      </c>
      <c r="G9" s="56">
        <f>'Commodity Tonnages'!G9*Pricing!G7</f>
        <v>6.673288779365625</v>
      </c>
      <c r="H9" s="56">
        <f>'Commodity Tonnages'!H9*Pricing!H7</f>
        <v>460.0865261811187</v>
      </c>
      <c r="I9" s="56">
        <f>'Commodity Tonnages'!I9*Pricing!I7</f>
        <v>17.498436023857963</v>
      </c>
      <c r="J9" s="56">
        <f>'Commodity Tonnages'!J9*Pricing!J7</f>
        <v>17.498436023857963</v>
      </c>
      <c r="K9" s="56">
        <f>'Commodity Tonnages'!K9*Pricing!K7</f>
        <v>1512.914386664675</v>
      </c>
      <c r="L9" s="56">
        <f>'Commodity Tonnages'!L9*Pricing!L7</f>
        <v>-1033.0772053718379</v>
      </c>
      <c r="M9" s="115">
        <f t="shared" si="0"/>
        <v>1492.1331627840677</v>
      </c>
      <c r="O9" s="76">
        <f t="shared" si="1"/>
        <v>746.0665813920339</v>
      </c>
      <c r="P9" s="149">
        <v>0.5</v>
      </c>
      <c r="Q9" s="55"/>
    </row>
    <row r="10" spans="1:17" ht="15.75" customHeight="1">
      <c r="A10" s="46">
        <f>+Pricing!A8</f>
        <v>45199</v>
      </c>
      <c r="B10" s="47"/>
      <c r="C10" s="52">
        <f>'Commodity Tonnages'!C10*Pricing!C8</f>
        <v>1339.1234259476137</v>
      </c>
      <c r="D10" s="56">
        <f>'Commodity Tonnages'!D10*Pricing!D8</f>
        <v>-896.3012868884383</v>
      </c>
      <c r="E10" s="56">
        <f>'Commodity Tonnages'!E10*Pricing!E8</f>
        <v>0</v>
      </c>
      <c r="F10" s="56">
        <f>'Commodity Tonnages'!F10*Pricing!F8</f>
        <v>77.51891560622865</v>
      </c>
      <c r="G10" s="56">
        <f>'Commodity Tonnages'!G10*Pricing!G8</f>
        <v>7.091739642702007</v>
      </c>
      <c r="H10" s="56">
        <f>'Commodity Tonnages'!H10*Pricing!H8</f>
        <v>702.2398763212061</v>
      </c>
      <c r="I10" s="56">
        <f>'Commodity Tonnages'!I10*Pricing!I8</f>
        <v>-41.086533890667134</v>
      </c>
      <c r="J10" s="56">
        <f>'Commodity Tonnages'!J10*Pricing!J8</f>
        <v>-41.086533890667134</v>
      </c>
      <c r="K10" s="56">
        <f>'Commodity Tonnages'!K10*Pricing!K8</f>
        <v>1741.7961792584754</v>
      </c>
      <c r="L10" s="56">
        <f>'Commodity Tonnages'!L10*Pricing!L8</f>
        <v>-1030.6477859522531</v>
      </c>
      <c r="M10" s="115">
        <f t="shared" si="0"/>
        <v>1858.6479961541997</v>
      </c>
      <c r="O10" s="76">
        <f t="shared" si="1"/>
        <v>929.3239980770999</v>
      </c>
      <c r="P10" s="149">
        <v>0.5</v>
      </c>
      <c r="Q10" s="55"/>
    </row>
    <row r="11" spans="1:17" ht="15.75" customHeight="1">
      <c r="A11" s="46">
        <f>+Pricing!A9</f>
        <v>45230</v>
      </c>
      <c r="B11" s="47"/>
      <c r="C11" s="52">
        <f>'Commodity Tonnages'!C11*Pricing!C9</f>
        <v>1352.3522979458976</v>
      </c>
      <c r="D11" s="56">
        <f>'Commodity Tonnages'!D11*Pricing!D9</f>
        <v>-745.8299932933126</v>
      </c>
      <c r="E11" s="56">
        <f>'Commodity Tonnages'!E11*Pricing!E9</f>
        <v>0</v>
      </c>
      <c r="F11" s="56">
        <f>'Commodity Tonnages'!F11*Pricing!F9</f>
        <v>88.22236598737106</v>
      </c>
      <c r="G11" s="56">
        <f>'Commodity Tonnages'!G11*Pricing!G9</f>
        <v>7.830746807840803</v>
      </c>
      <c r="H11" s="56">
        <f>'Commodity Tonnages'!H11*Pricing!H9</f>
        <v>1218.6885838252388</v>
      </c>
      <c r="I11" s="56">
        <f>'Commodity Tonnages'!I11*Pricing!I9</f>
        <v>23.64542511617254</v>
      </c>
      <c r="J11" s="56">
        <f>'Commodity Tonnages'!J11*Pricing!J9</f>
        <v>23.64542511617254</v>
      </c>
      <c r="K11" s="56">
        <f>'Commodity Tonnages'!K11*Pricing!K9</f>
        <v>2067.8680308518424</v>
      </c>
      <c r="L11" s="56">
        <f>'Commodity Tonnages'!L11*Pricing!L9</f>
        <v>-1013.3951860497971</v>
      </c>
      <c r="M11" s="115">
        <f t="shared" si="0"/>
        <v>3023.0276963074266</v>
      </c>
      <c r="O11" s="76">
        <f t="shared" si="1"/>
        <v>1511.5138481537133</v>
      </c>
      <c r="P11" s="149">
        <v>0.5</v>
      </c>
      <c r="Q11" s="55"/>
    </row>
    <row r="12" spans="1:17" ht="15.75" customHeight="1">
      <c r="A12" s="46">
        <f>+Pricing!A10</f>
        <v>45260</v>
      </c>
      <c r="B12" s="47"/>
      <c r="C12" s="52">
        <f>'Commodity Tonnages'!C12*Pricing!C10</f>
        <v>1353.9603094355887</v>
      </c>
      <c r="D12" s="56">
        <f>'Commodity Tonnages'!D12*Pricing!D10</f>
        <v>-841.5719754088148</v>
      </c>
      <c r="E12" s="56">
        <f>'Commodity Tonnages'!E12*Pricing!E10</f>
        <v>0</v>
      </c>
      <c r="F12" s="56">
        <f>'Commodity Tonnages'!F12*Pricing!F10</f>
        <v>101.73245936726853</v>
      </c>
      <c r="G12" s="56">
        <f>'Commodity Tonnages'!G12*Pricing!G10</f>
        <v>6.7618445512947885</v>
      </c>
      <c r="H12" s="56">
        <f>'Commodity Tonnages'!H12*Pricing!H10</f>
        <v>767.9923364128166</v>
      </c>
      <c r="I12" s="56">
        <f>'Commodity Tonnages'!I12*Pricing!I10</f>
        <v>-35.22256283134782</v>
      </c>
      <c r="J12" s="56">
        <f>'Commodity Tonnages'!J12*Pricing!J10</f>
        <v>-35.22256283134782</v>
      </c>
      <c r="K12" s="56">
        <f>'Commodity Tonnages'!K12*Pricing!K10</f>
        <v>1797.9813917886615</v>
      </c>
      <c r="L12" s="56">
        <f>'Commodity Tonnages'!L12*Pricing!L10</f>
        <v>-1101.7905305503111</v>
      </c>
      <c r="M12" s="115">
        <f t="shared" si="0"/>
        <v>2014.6207099338087</v>
      </c>
      <c r="O12" s="76">
        <f t="shared" si="1"/>
        <v>1007.3103549669044</v>
      </c>
      <c r="P12" s="149">
        <v>0.5</v>
      </c>
      <c r="Q12" s="55"/>
    </row>
    <row r="13" spans="1:17" ht="15.75" customHeight="1">
      <c r="A13" s="46">
        <f>+Pricing!A11</f>
        <v>45291</v>
      </c>
      <c r="B13" s="47"/>
      <c r="C13" s="52">
        <f>'Commodity Tonnages'!C13*Pricing!C11</f>
        <v>1404.0740489217958</v>
      </c>
      <c r="D13" s="56">
        <f>'Commodity Tonnages'!D13*Pricing!D11</f>
        <v>-1319.5513403600696</v>
      </c>
      <c r="E13" s="56">
        <f>'Commodity Tonnages'!E13*Pricing!E11</f>
        <v>0</v>
      </c>
      <c r="F13" s="56">
        <f>'Commodity Tonnages'!F13*Pricing!F11</f>
        <v>93.73914113290496</v>
      </c>
      <c r="G13" s="56">
        <f>'Commodity Tonnages'!G13*Pricing!G11</f>
        <v>7.716278588271695</v>
      </c>
      <c r="H13" s="56">
        <f>'Commodity Tonnages'!H13*Pricing!H11</f>
        <v>1216.7078794016822</v>
      </c>
      <c r="I13" s="56">
        <f>'Commodity Tonnages'!I13*Pricing!I11</f>
        <v>24.821534502009253</v>
      </c>
      <c r="J13" s="56">
        <f>'Commodity Tonnages'!J13*Pricing!J11</f>
        <v>24.821534502009253</v>
      </c>
      <c r="K13" s="56">
        <f>'Commodity Tonnages'!K13*Pricing!K11</f>
        <v>2005.0325440503234</v>
      </c>
      <c r="L13" s="56">
        <f>'Commodity Tonnages'!L13*Pricing!L11</f>
        <v>-1153.5798590258973</v>
      </c>
      <c r="M13" s="115">
        <f>SUM(C13:L13)</f>
        <v>2303.7817617130295</v>
      </c>
      <c r="O13" s="76">
        <f t="shared" si="1"/>
        <v>1151.8908808565147</v>
      </c>
      <c r="P13" s="149">
        <v>0.5</v>
      </c>
      <c r="Q13" s="55"/>
    </row>
    <row r="14" spans="1:17" ht="15.75" customHeight="1">
      <c r="A14" s="46">
        <f>+Pricing!A12</f>
        <v>45322</v>
      </c>
      <c r="B14" s="47"/>
      <c r="C14" s="52">
        <f>'Commodity Tonnages'!C14*Pricing!C12</f>
        <v>1669.9569676199112</v>
      </c>
      <c r="D14" s="56">
        <f>'Commodity Tonnages'!D14*Pricing!D12</f>
        <v>-600.1536838631307</v>
      </c>
      <c r="E14" s="56">
        <f>'Commodity Tonnages'!E14*Pricing!E12</f>
        <v>0</v>
      </c>
      <c r="F14" s="56">
        <f>'Commodity Tonnages'!F14*Pricing!F12</f>
        <v>95.4036928785688</v>
      </c>
      <c r="G14" s="56">
        <f>'Commodity Tonnages'!G14*Pricing!G12</f>
        <v>7.528191299176888</v>
      </c>
      <c r="H14" s="56">
        <f>'Commodity Tonnages'!H14*Pricing!H12</f>
        <v>1326.4404205174703</v>
      </c>
      <c r="I14" s="56">
        <f>'Commodity Tonnages'!I14*Pricing!I12</f>
        <v>49.61212498145055</v>
      </c>
      <c r="J14" s="56">
        <f>'Commodity Tonnages'!J14*Pricing!J12</f>
        <v>49.61212498145055</v>
      </c>
      <c r="K14" s="56">
        <f>'Commodity Tonnages'!K14*Pricing!K12</f>
        <v>2185.8949860785</v>
      </c>
      <c r="L14" s="56">
        <f>'Commodity Tonnages'!L14*Pricing!L12</f>
        <v>-1625.4064466438906</v>
      </c>
      <c r="M14" s="115">
        <f t="shared" si="0"/>
        <v>3158.8883778495074</v>
      </c>
      <c r="O14" s="76">
        <f t="shared" si="1"/>
        <v>1579.4441889247537</v>
      </c>
      <c r="P14" s="149">
        <v>0.5</v>
      </c>
      <c r="Q14" s="55"/>
    </row>
    <row r="15" spans="1:17" ht="15.75" customHeight="1">
      <c r="A15" s="46">
        <f>+Pricing!A13</f>
        <v>45351</v>
      </c>
      <c r="B15" s="47"/>
      <c r="C15" s="52">
        <f>'Commodity Tonnages'!C15*Pricing!C13</f>
        <v>1524.066221528348</v>
      </c>
      <c r="D15" s="56">
        <f>'Commodity Tonnages'!D15*Pricing!D13</f>
        <v>-480.01932642761653</v>
      </c>
      <c r="E15" s="56">
        <f>'Commodity Tonnages'!E15*Pricing!E13</f>
        <v>0</v>
      </c>
      <c r="F15" s="56">
        <f>'Commodity Tonnages'!F15*Pricing!F13</f>
        <v>122.6599529118321</v>
      </c>
      <c r="G15" s="56">
        <f>'Commodity Tonnages'!G15*Pricing!G13</f>
        <v>6.520327770433554</v>
      </c>
      <c r="H15" s="56">
        <f>'Commodity Tonnages'!H15*Pricing!H13</f>
        <v>1087.65014221358</v>
      </c>
      <c r="I15" s="56">
        <f>'Commodity Tonnages'!I15*Pricing!I13</f>
        <v>-210.55884907737777</v>
      </c>
      <c r="J15" s="56">
        <f>'Commodity Tonnages'!J15*Pricing!J13</f>
        <v>-210.55884907737777</v>
      </c>
      <c r="K15" s="56">
        <f>'Commodity Tonnages'!K15*Pricing!K13</f>
        <v>1942.2140554468044</v>
      </c>
      <c r="L15" s="56">
        <f>'Commodity Tonnages'!L15*Pricing!L13</f>
        <v>-1453.7136793764075</v>
      </c>
      <c r="M15" s="115">
        <f t="shared" si="0"/>
        <v>2328.2599959122185</v>
      </c>
      <c r="O15" s="76">
        <f t="shared" si="1"/>
        <v>1164.1299979561093</v>
      </c>
      <c r="P15" s="149">
        <v>0.5</v>
      </c>
      <c r="Q15" s="55"/>
    </row>
    <row r="16" spans="1:17" ht="15.75" customHeight="1">
      <c r="A16" s="46">
        <f>+Pricing!A14</f>
        <v>45382</v>
      </c>
      <c r="B16" s="47"/>
      <c r="C16" s="52">
        <f>'Commodity Tonnages'!C16*Pricing!C14</f>
        <v>1449.4578958766426</v>
      </c>
      <c r="D16" s="56">
        <f>'Commodity Tonnages'!D16*Pricing!D14</f>
        <v>-431.9641065910266</v>
      </c>
      <c r="E16" s="56">
        <f>'Commodity Tonnages'!E16*Pricing!E14</f>
        <v>0</v>
      </c>
      <c r="F16" s="56">
        <f>'Commodity Tonnages'!F16*Pricing!F14</f>
        <v>98.59941198121979</v>
      </c>
      <c r="G16" s="56">
        <f>'Commodity Tonnages'!G16*Pricing!G14</f>
        <v>5.416665062955309</v>
      </c>
      <c r="H16" s="56">
        <f>'Commodity Tonnages'!H16*Pricing!H14</f>
        <v>1057.0248092900838</v>
      </c>
      <c r="I16" s="56">
        <f>'Commodity Tonnages'!I16*Pricing!I14</f>
        <v>-212.60464425238624</v>
      </c>
      <c r="J16" s="56">
        <f>'Commodity Tonnages'!J16*Pricing!J14</f>
        <v>-212.60464425238624</v>
      </c>
      <c r="K16" s="56">
        <f>'Commodity Tonnages'!K16*Pricing!K14</f>
        <v>1981.7494257374963</v>
      </c>
      <c r="L16" s="56">
        <f>'Commodity Tonnages'!L16*Pricing!L14</f>
        <v>-1404.0921385236052</v>
      </c>
      <c r="M16" s="115">
        <f t="shared" si="0"/>
        <v>2330.982674328994</v>
      </c>
      <c r="O16" s="76">
        <f t="shared" si="1"/>
        <v>1165.491337164497</v>
      </c>
      <c r="P16" s="149">
        <v>0.5</v>
      </c>
      <c r="Q16" s="55"/>
    </row>
    <row r="17" spans="1:17" ht="15.75" customHeight="1">
      <c r="A17" s="46">
        <f>+Pricing!A15</f>
        <v>45412</v>
      </c>
      <c r="B17" s="47"/>
      <c r="C17" s="52">
        <f>'Commodity Tonnages'!C17*Pricing!C15</f>
        <v>1835.9024100170811</v>
      </c>
      <c r="D17" s="56">
        <f>'Commodity Tonnages'!D17*Pricing!D15</f>
        <v>-559.4892840501145</v>
      </c>
      <c r="E17" s="56">
        <f>'Commodity Tonnages'!E17*Pricing!E15</f>
        <v>0</v>
      </c>
      <c r="F17" s="56">
        <f>'Commodity Tonnages'!F17*Pricing!F15</f>
        <v>109.99276591313732</v>
      </c>
      <c r="G17" s="56">
        <v>0</v>
      </c>
      <c r="H17" s="56">
        <f>'Commodity Tonnages'!H17*Pricing!H15</f>
        <v>1227.5540638689138</v>
      </c>
      <c r="I17" s="56">
        <f>'Commodity Tonnages'!I17*Pricing!I15</f>
        <v>123.70522985309034</v>
      </c>
      <c r="J17" s="56">
        <f>'Commodity Tonnages'!J17*Pricing!J15</f>
        <v>123.70522985309034</v>
      </c>
      <c r="K17" s="56">
        <f>'Commodity Tonnages'!K17*Pricing!K15</f>
        <v>2234.555118240049</v>
      </c>
      <c r="L17" s="56">
        <f>'Commodity Tonnages'!L17*Pricing!L15</f>
        <v>-1458.617629345568</v>
      </c>
      <c r="M17" s="115">
        <f t="shared" si="0"/>
        <v>3637.307904349679</v>
      </c>
      <c r="O17" s="76">
        <f t="shared" si="1"/>
        <v>1818.6539521748396</v>
      </c>
      <c r="P17" s="149">
        <v>0.5</v>
      </c>
      <c r="Q17" s="55"/>
    </row>
    <row r="18" spans="1:16" ht="15.75" customHeight="1">
      <c r="A18" s="50" t="s">
        <v>24</v>
      </c>
      <c r="B18" s="47"/>
      <c r="C18" s="112">
        <f aca="true" t="shared" si="2" ref="C18:L18">SUM(C6:C17)</f>
        <v>17719.806697969016</v>
      </c>
      <c r="D18" s="113">
        <f t="shared" si="2"/>
        <v>-9600.77078282805</v>
      </c>
      <c r="E18" s="113">
        <f t="shared" si="2"/>
        <v>0</v>
      </c>
      <c r="F18" s="112">
        <f t="shared" si="2"/>
        <v>1167.1138768704993</v>
      </c>
      <c r="G18" s="112">
        <f t="shared" si="2"/>
        <v>79.45825719547247</v>
      </c>
      <c r="H18" s="112">
        <f t="shared" si="2"/>
        <v>11113.414239944703</v>
      </c>
      <c r="I18" s="112">
        <f t="shared" si="2"/>
        <v>249.60044418322389</v>
      </c>
      <c r="J18" s="112">
        <f t="shared" si="2"/>
        <v>249.60044418322389</v>
      </c>
      <c r="K18" s="112">
        <f t="shared" si="2"/>
        <v>22229.214984207836</v>
      </c>
      <c r="L18" s="113">
        <f t="shared" si="2"/>
        <v>-14782.412938645191</v>
      </c>
      <c r="M18" s="116">
        <f>SUM(C18:L18)</f>
        <v>28425.02522308073</v>
      </c>
      <c r="O18" s="114">
        <f>SUM(O6:O17)</f>
        <v>14212.512611540364</v>
      </c>
      <c r="P18" s="122">
        <f>+O18/M18</f>
        <v>0.49999999999999994</v>
      </c>
    </row>
    <row r="19" spans="1:15" ht="12.75">
      <c r="A19" s="47"/>
      <c r="B19" s="47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O19" s="58"/>
    </row>
    <row r="20" spans="1:15" ht="12.7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8"/>
      <c r="O20" s="59"/>
    </row>
    <row r="21" spans="1:15" ht="12.7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8"/>
      <c r="O21" s="60"/>
    </row>
    <row r="22" spans="1:13" ht="12.7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8"/>
    </row>
    <row r="23" spans="1:13" ht="12.7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8"/>
    </row>
    <row r="24" spans="1:13" ht="12.7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8"/>
    </row>
    <row r="25" spans="1:13" ht="12.7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8"/>
    </row>
    <row r="26" spans="1:13" ht="12.7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8"/>
    </row>
    <row r="27" spans="1:13" ht="12.7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8"/>
    </row>
    <row r="28" spans="1:13" ht="12.7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ht="12.7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2.7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ht="12.7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2.7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ht="12.7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ht="12.7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3" ht="12.7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ht="12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3" ht="12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3" ht="12.7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</row>
    <row r="39" spans="1:13" ht="12.7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3" ht="12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1:13" ht="12.7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3" ht="12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3" ht="12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4" spans="1:13" ht="12.7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</row>
    <row r="45" spans="1:13" ht="12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1:13" ht="12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</row>
    <row r="47" spans="1:13" ht="12.7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1:13" ht="12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1:13" ht="12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1:13" ht="12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</row>
    <row r="51" spans="1:13" ht="12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3" ht="12.7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1:13" ht="12.7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1:13" ht="12.7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1:13" ht="12.7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56" spans="1:13" ht="12.7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12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1:13" ht="12.7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</row>
    <row r="59" spans="1:13" ht="12.7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1:13" ht="12.7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</row>
    <row r="61" spans="1:13" ht="12.7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</row>
    <row r="62" spans="1:13" ht="12.7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</row>
    <row r="63" spans="1:13" ht="12.7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1:13" ht="12.7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65" spans="1:13" ht="12.7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</row>
    <row r="66" spans="1:13" ht="12.7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</row>
    <row r="67" spans="1:13" ht="12.7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</row>
    <row r="68" spans="1:13" ht="12.7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</row>
    <row r="69" spans="1:13" ht="12.7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</row>
    <row r="70" spans="1:13" ht="12.7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</row>
    <row r="71" spans="1:13" ht="12.7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</row>
    <row r="72" spans="1:13" ht="12.7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</row>
    <row r="73" spans="1:13" ht="12.7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</row>
    <row r="74" spans="1:13" ht="12.7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</row>
    <row r="75" spans="1:13" ht="12.7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</row>
    <row r="76" spans="1:13" ht="12.7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</row>
    <row r="77" spans="1:13" ht="12.7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</row>
    <row r="78" spans="1:13" ht="12.7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</row>
    <row r="79" spans="1:13" ht="12.7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</row>
    <row r="80" spans="1:13" ht="12.7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</row>
    <row r="81" spans="1:13" ht="12.7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</row>
    <row r="82" spans="1:13" ht="12.7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</row>
    <row r="83" spans="1:13" ht="12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</row>
    <row r="84" spans="1:13" ht="12.7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</row>
    <row r="85" spans="1:13" ht="12.7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</row>
    <row r="86" spans="1:13" ht="12.7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</row>
    <row r="87" spans="1:13" ht="12.7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</row>
    <row r="88" spans="1:13" ht="12.7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</row>
    <row r="89" spans="1:13" ht="12.7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</row>
    <row r="90" spans="1:13" ht="12.7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</row>
    <row r="91" spans="1:13" ht="12.7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</row>
    <row r="92" spans="1:13" ht="12.7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</row>
    <row r="93" spans="1:13" ht="12.7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</row>
    <row r="94" spans="1:13" ht="12.7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</row>
    <row r="95" spans="1:13" ht="12.7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</row>
    <row r="96" spans="1:13" ht="12.7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</row>
    <row r="97" spans="1:13" ht="12.7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</row>
    <row r="98" spans="1:13" ht="12.7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</row>
    <row r="99" spans="1:13" ht="12.7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</row>
    <row r="100" spans="1:13" ht="12.7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</row>
    <row r="101" spans="1:13" ht="12.7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</row>
    <row r="102" spans="1:13" ht="12.7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</row>
    <row r="103" spans="1:13" ht="12.7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</row>
    <row r="104" spans="1:13" ht="12.7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</row>
    <row r="105" spans="1:13" ht="12.7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</row>
    <row r="106" spans="1:13" ht="12.7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</row>
    <row r="107" spans="1:13" ht="12.7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</row>
    <row r="108" spans="1:13" ht="12.7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1:13" ht="12.7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1:13" ht="12.7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</row>
    <row r="111" spans="1:13" ht="12.7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</row>
    <row r="112" spans="1:13" ht="12.7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</row>
    <row r="113" spans="1:13" ht="12.7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</row>
    <row r="114" spans="1:13" ht="12.7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</row>
    <row r="115" spans="1:13" ht="12.7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</row>
    <row r="116" spans="1:13" ht="12.7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</row>
    <row r="117" spans="1:13" ht="12.7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</row>
    <row r="118" spans="1:13" ht="12.7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</row>
  </sheetData>
  <sheetProtection/>
  <printOptions/>
  <pageMargins left="0.5" right="0.5" top="0.75" bottom="0.75" header="0.5" footer="0.5"/>
  <pageSetup fitToHeight="0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.28125" style="109" bestFit="1" customWidth="1"/>
    <col min="3" max="12" width="11.7109375" style="0" customWidth="1"/>
  </cols>
  <sheetData>
    <row r="1" spans="1:2" ht="12.75">
      <c r="A1" s="38" t="str">
        <f>"Commodity Pricing ("&amp;TEXT(A4,"mmmm yyyy")&amp;" through "&amp;TEXT(A15,"mmmm yyyy")&amp;")"</f>
        <v>Commodity Pricing (May 2023 through April 2024)</v>
      </c>
      <c r="B1" s="106"/>
    </row>
    <row r="2" spans="1:2" ht="12.75">
      <c r="A2" s="40" t="s">
        <v>57</v>
      </c>
      <c r="B2" s="107"/>
    </row>
    <row r="3" spans="2:13" ht="12.75">
      <c r="B3" s="108"/>
      <c r="C3" s="42" t="s">
        <v>14</v>
      </c>
      <c r="D3" s="42" t="s">
        <v>15</v>
      </c>
      <c r="E3" s="42" t="s">
        <v>78</v>
      </c>
      <c r="F3" s="42" t="s">
        <v>31</v>
      </c>
      <c r="G3" s="42" t="s">
        <v>79</v>
      </c>
      <c r="H3" s="42" t="s">
        <v>17</v>
      </c>
      <c r="I3" s="42" t="s">
        <v>18</v>
      </c>
      <c r="J3" s="42" t="s">
        <v>19</v>
      </c>
      <c r="K3" s="42" t="s">
        <v>20</v>
      </c>
      <c r="L3" s="42" t="s">
        <v>21</v>
      </c>
      <c r="M3" s="42"/>
    </row>
    <row r="4" spans="1:13" ht="15.75" customHeight="1">
      <c r="A4" s="104">
        <f>Multi_Family!$C$6</f>
        <v>45047</v>
      </c>
      <c r="B4" s="108" t="s">
        <v>44</v>
      </c>
      <c r="C4" s="119">
        <f>Multi_Family!C74</f>
        <v>1127.976</v>
      </c>
      <c r="D4" s="119">
        <f>Multi_Family!C76</f>
        <v>-65.42</v>
      </c>
      <c r="E4" s="119">
        <f>Multi_Family!C77</f>
        <v>0</v>
      </c>
      <c r="F4" s="119">
        <f>Multi_Family!C72</f>
        <v>92.48</v>
      </c>
      <c r="G4" s="158">
        <f>Multi_Family!C75</f>
        <v>108.384</v>
      </c>
      <c r="H4" s="119">
        <f>Multi_Family!C79</f>
        <v>32.744</v>
      </c>
      <c r="I4" s="119">
        <f>Multi_Family!C73</f>
        <v>157.58863247863246</v>
      </c>
      <c r="J4" s="119">
        <f>Multi_Family!C73</f>
        <v>157.58863247863246</v>
      </c>
      <c r="K4" s="119">
        <f>Multi_Family!C70</f>
        <v>80.80000000000001</v>
      </c>
      <c r="L4" s="119">
        <f>Multi_Family!C78</f>
        <v>-86.31</v>
      </c>
      <c r="M4" s="51"/>
    </row>
    <row r="5" spans="1:13" ht="15.75" customHeight="1">
      <c r="A5" s="46">
        <f aca="true" t="shared" si="0" ref="A5:A15">EOMONTH(A4,1)</f>
        <v>45107</v>
      </c>
      <c r="B5" s="108" t="s">
        <v>45</v>
      </c>
      <c r="C5" s="119">
        <f>Multi_Family!D74</f>
        <v>1099.104</v>
      </c>
      <c r="D5" s="119">
        <f>Multi_Family!D76</f>
        <v>-77.17</v>
      </c>
      <c r="E5" s="119">
        <f>Multi_Family!D77</f>
        <v>0</v>
      </c>
      <c r="F5" s="119">
        <f>Multi_Family!D72</f>
        <v>74.792</v>
      </c>
      <c r="G5" s="158">
        <f>Multi_Family!D75</f>
        <v>93.632</v>
      </c>
      <c r="H5" s="119">
        <f>Multi_Family!D79</f>
        <v>27.008</v>
      </c>
      <c r="I5" s="119">
        <f>Multi_Family!D73</f>
        <v>84.2263247863248</v>
      </c>
      <c r="J5" s="119">
        <f>Multi_Family!D73</f>
        <v>84.2263247863248</v>
      </c>
      <c r="K5" s="119">
        <f>Multi_Family!D70</f>
        <v>70.512</v>
      </c>
      <c r="L5" s="119">
        <f>Multi_Family!D78</f>
        <v>-86.31</v>
      </c>
      <c r="M5" s="51"/>
    </row>
    <row r="6" spans="1:13" ht="15.75" customHeight="1">
      <c r="A6" s="46">
        <f t="shared" si="0"/>
        <v>45138</v>
      </c>
      <c r="B6" s="109" t="s">
        <v>46</v>
      </c>
      <c r="C6" s="119">
        <f>Multi_Family!E74</f>
        <v>1051.7520000000002</v>
      </c>
      <c r="D6" s="119">
        <f>Multi_Family!E76</f>
        <v>-75.66</v>
      </c>
      <c r="E6" s="119">
        <f>Multi_Family!E77</f>
        <v>0</v>
      </c>
      <c r="F6" s="119">
        <f>Multi_Family!E72</f>
        <v>76.84</v>
      </c>
      <c r="G6" s="158">
        <f>Multi_Family!E75</f>
        <v>93.104</v>
      </c>
      <c r="H6" s="119">
        <f>Multi_Family!E79</f>
        <v>15.408000000000001</v>
      </c>
      <c r="I6" s="119">
        <f>Multi_Family!E73</f>
        <v>18.462829059829062</v>
      </c>
      <c r="J6" s="119">
        <f>Multi_Family!E73</f>
        <v>18.462829059829062</v>
      </c>
      <c r="K6" s="119">
        <f>Multi_Family!E70</f>
        <v>74.88</v>
      </c>
      <c r="L6" s="119">
        <f>Multi_Family!E78</f>
        <v>-83.42</v>
      </c>
      <c r="M6" s="48"/>
    </row>
    <row r="7" spans="1:13" ht="15.75" customHeight="1">
      <c r="A7" s="46">
        <f t="shared" si="0"/>
        <v>45169</v>
      </c>
      <c r="B7" s="109" t="s">
        <v>47</v>
      </c>
      <c r="C7" s="119">
        <f>Multi_Family!F74</f>
        <v>1025.08</v>
      </c>
      <c r="D7" s="119">
        <f>Multi_Family!F76</f>
        <v>-73.58</v>
      </c>
      <c r="E7" s="119">
        <f>Multi_Family!F77</f>
        <v>0</v>
      </c>
      <c r="F7" s="119">
        <f>Multi_Family!F72</f>
        <v>67.04</v>
      </c>
      <c r="G7" s="158">
        <f>Multi_Family!F75</f>
        <v>84.072</v>
      </c>
      <c r="H7" s="119">
        <f>Multi_Family!F79</f>
        <v>17.464</v>
      </c>
      <c r="I7" s="119">
        <f>Multi_Family!F73</f>
        <v>9.420952991452996</v>
      </c>
      <c r="J7" s="119">
        <f>Multi_Family!F73</f>
        <v>9.420952991452996</v>
      </c>
      <c r="K7" s="119">
        <f>Multi_Family!F70</f>
        <v>73.28</v>
      </c>
      <c r="L7" s="119">
        <f>Multi_Family!F78</f>
        <v>-76.83</v>
      </c>
      <c r="M7" s="48"/>
    </row>
    <row r="8" spans="1:13" ht="15.75" customHeight="1">
      <c r="A8" s="46">
        <f t="shared" si="0"/>
        <v>45199</v>
      </c>
      <c r="B8" s="109" t="s">
        <v>48</v>
      </c>
      <c r="C8" s="120">
        <f>Multi_Family!G74</f>
        <v>992.04</v>
      </c>
      <c r="D8" s="120">
        <f>Multi_Family!G76</f>
        <v>-69.74</v>
      </c>
      <c r="E8" s="120">
        <f>Multi_Family!G77</f>
        <v>0</v>
      </c>
      <c r="F8" s="120">
        <f>Multi_Family!G72</f>
        <v>63.512</v>
      </c>
      <c r="G8" s="159">
        <f>Multi_Family!G75</f>
        <v>87.736</v>
      </c>
      <c r="H8" s="120">
        <f>Multi_Family!G79</f>
        <v>26.176000000000002</v>
      </c>
      <c r="I8" s="120">
        <f>Multi_Family!G73</f>
        <v>-21.72244444444444</v>
      </c>
      <c r="J8" s="120">
        <f>Multi_Family!G73</f>
        <v>-21.72244444444444</v>
      </c>
      <c r="K8" s="120">
        <f>Multi_Family!G70</f>
        <v>82.84800000000001</v>
      </c>
      <c r="L8" s="119">
        <f>Multi_Family!G78</f>
        <v>-75.27</v>
      </c>
      <c r="M8" s="48"/>
    </row>
    <row r="9" spans="1:13" ht="15.75" customHeight="1">
      <c r="A9" s="46">
        <f t="shared" si="0"/>
        <v>45230</v>
      </c>
      <c r="B9" s="109" t="s">
        <v>49</v>
      </c>
      <c r="C9" s="120">
        <f>Multi_Family!H74</f>
        <v>1018.896</v>
      </c>
      <c r="D9" s="120">
        <f>Multi_Family!H76</f>
        <v>-59.02</v>
      </c>
      <c r="E9" s="120">
        <f>Multi_Family!H77</f>
        <v>0</v>
      </c>
      <c r="F9" s="120">
        <f>Multi_Family!H72</f>
        <v>73.512</v>
      </c>
      <c r="G9" s="159">
        <f>Multi_Family!H75</f>
        <v>98.528</v>
      </c>
      <c r="H9" s="120">
        <f>Multi_Family!H79</f>
        <v>46.2</v>
      </c>
      <c r="I9" s="120">
        <f>Multi_Family!H73</f>
        <v>12.714162393162391</v>
      </c>
      <c r="J9" s="120">
        <f>Multi_Family!H73</f>
        <v>12.714162393162391</v>
      </c>
      <c r="K9" s="120">
        <f>Multi_Family!H70</f>
        <v>100.03200000000001</v>
      </c>
      <c r="L9" s="119">
        <f>Multi_Family!H78</f>
        <v>-75.27</v>
      </c>
      <c r="M9" s="48"/>
    </row>
    <row r="10" spans="1:13" ht="15.75" customHeight="1">
      <c r="A10" s="46">
        <f t="shared" si="0"/>
        <v>45260</v>
      </c>
      <c r="B10" s="109" t="s">
        <v>50</v>
      </c>
      <c r="C10" s="119">
        <f>Multi_Family!I74</f>
        <v>1002.088</v>
      </c>
      <c r="D10" s="119">
        <f>Multi_Family!I76</f>
        <v>-65.42</v>
      </c>
      <c r="E10" s="119">
        <f>Multi_Family!I77</f>
        <v>0</v>
      </c>
      <c r="F10" s="119">
        <f>Multi_Family!I72</f>
        <v>83.272</v>
      </c>
      <c r="G10" s="158">
        <f>Multi_Family!I75</f>
        <v>83.57600000000001</v>
      </c>
      <c r="H10" s="119">
        <f>Multi_Family!I79</f>
        <v>28.6</v>
      </c>
      <c r="I10" s="119">
        <f>Multi_Family!I73</f>
        <v>-18.60464957264958</v>
      </c>
      <c r="J10" s="119">
        <f>Multi_Family!I73</f>
        <v>-18.60464957264958</v>
      </c>
      <c r="K10" s="119">
        <f>Multi_Family!I70</f>
        <v>85.44</v>
      </c>
      <c r="L10" s="119">
        <f>Multi_Family!I78</f>
        <v>-80.39</v>
      </c>
      <c r="M10" s="48"/>
    </row>
    <row r="11" spans="1:13" s="154" customFormat="1" ht="15.75" customHeight="1">
      <c r="A11" s="104">
        <f t="shared" si="0"/>
        <v>45291</v>
      </c>
      <c r="B11" s="156" t="s">
        <v>51</v>
      </c>
      <c r="C11" s="120">
        <f>Multi_Family!J74</f>
        <v>976.1040000000002</v>
      </c>
      <c r="D11" s="120">
        <f>Multi_Family!J76</f>
        <v>-96.35</v>
      </c>
      <c r="E11" s="120">
        <f>Multi_Family!J77</f>
        <v>0</v>
      </c>
      <c r="F11" s="120">
        <f>Multi_Family!J72</f>
        <v>72.072</v>
      </c>
      <c r="G11" s="159">
        <f>Multi_Family!J75</f>
        <v>89.584</v>
      </c>
      <c r="H11" s="120">
        <f>Multi_Family!J79</f>
        <v>42.56</v>
      </c>
      <c r="I11" s="120">
        <f>Multi_Family!J73</f>
        <v>12.315025641025647</v>
      </c>
      <c r="J11" s="120">
        <f>Multi_Family!J73</f>
        <v>12.315025641025647</v>
      </c>
      <c r="K11" s="120">
        <f>Multi_Family!J70</f>
        <v>89.49600000000001</v>
      </c>
      <c r="L11" s="120">
        <f>Multi_Family!J78</f>
        <v>-79.06</v>
      </c>
      <c r="M11" s="157"/>
    </row>
    <row r="12" spans="1:13" ht="15.75" customHeight="1">
      <c r="A12" s="46">
        <f t="shared" si="0"/>
        <v>45322</v>
      </c>
      <c r="B12" s="109" t="s">
        <v>52</v>
      </c>
      <c r="C12" s="119">
        <f>Multi_Family!K74</f>
        <v>1032.008</v>
      </c>
      <c r="D12" s="119">
        <f>Multi_Family!K76</f>
        <v>-60.42</v>
      </c>
      <c r="E12" s="119">
        <f>Multi_Family!K77</f>
        <v>0</v>
      </c>
      <c r="F12" s="119">
        <f>Multi_Family!K72</f>
        <v>70.968</v>
      </c>
      <c r="G12" s="158">
        <f>Multi_Family!K75</f>
        <v>90.72000000000001</v>
      </c>
      <c r="H12" s="119">
        <f>Multi_Family!K79</f>
        <v>51.48</v>
      </c>
      <c r="I12" s="119">
        <f>Multi_Family!K73</f>
        <v>23.630869565217395</v>
      </c>
      <c r="J12" s="119">
        <f>Multi_Family!K73</f>
        <v>23.630869565217395</v>
      </c>
      <c r="K12" s="119">
        <f>Multi_Family!K70</f>
        <v>100.12</v>
      </c>
      <c r="L12" s="119">
        <f>Multi_Family!K78</f>
        <v>-89.27</v>
      </c>
      <c r="M12" s="48"/>
    </row>
    <row r="13" spans="1:13" ht="15.75" customHeight="1">
      <c r="A13" s="46">
        <f t="shared" si="0"/>
        <v>45351</v>
      </c>
      <c r="B13" s="109" t="s">
        <v>53</v>
      </c>
      <c r="C13" s="119">
        <f>Multi_Family!L74</f>
        <v>1081.872</v>
      </c>
      <c r="D13" s="119">
        <f>Multi_Family!L76</f>
        <v>-55.51</v>
      </c>
      <c r="E13" s="119">
        <f>Multi_Family!L77</f>
        <v>0</v>
      </c>
      <c r="F13" s="119">
        <f>Multi_Family!L72</f>
        <v>104.80799999999999</v>
      </c>
      <c r="G13" s="158">
        <f>Multi_Family!L75</f>
        <v>90.256</v>
      </c>
      <c r="H13" s="119">
        <f>Multi_Family!L79</f>
        <v>48.488</v>
      </c>
      <c r="I13" s="119">
        <f>Multi_Family!L73</f>
        <v>-115.20189723320162</v>
      </c>
      <c r="J13" s="119">
        <f>Multi_Family!L73</f>
        <v>-115.20189723320162</v>
      </c>
      <c r="K13" s="119">
        <f>Multi_Family!L70</f>
        <v>102.18400000000001</v>
      </c>
      <c r="L13" s="119">
        <f>Multi_Family!L78</f>
        <v>-91.71</v>
      </c>
      <c r="M13" s="48"/>
    </row>
    <row r="14" spans="1:13" ht="15.75" customHeight="1">
      <c r="A14" s="46">
        <f t="shared" si="0"/>
        <v>45382</v>
      </c>
      <c r="B14" s="109" t="s">
        <v>54</v>
      </c>
      <c r="C14" s="119">
        <f>Multi_Family!M74</f>
        <v>1100.1200000000001</v>
      </c>
      <c r="D14" s="119">
        <f>Multi_Family!M76</f>
        <v>-53.41</v>
      </c>
      <c r="E14" s="119">
        <f>Multi_Family!M77</f>
        <v>0</v>
      </c>
      <c r="F14" s="119">
        <f>Multi_Family!M72</f>
        <v>90.08</v>
      </c>
      <c r="G14" s="158">
        <f>Multi_Family!M75</f>
        <v>80.168</v>
      </c>
      <c r="H14" s="119">
        <f>Multi_Family!M79</f>
        <v>50.384</v>
      </c>
      <c r="I14" s="119">
        <f>Multi_Family!M73</f>
        <v>-124.37162055335969</v>
      </c>
      <c r="J14" s="119">
        <f>Multi_Family!M73</f>
        <v>-124.37162055335969</v>
      </c>
      <c r="K14" s="119">
        <f>Multi_Family!M70</f>
        <v>111.48</v>
      </c>
      <c r="L14" s="119">
        <f>Multi_Family!M78</f>
        <v>-94.71</v>
      </c>
      <c r="M14" s="48"/>
    </row>
    <row r="15" spans="1:13" ht="15.75" customHeight="1">
      <c r="A15" s="46">
        <f t="shared" si="0"/>
        <v>45412</v>
      </c>
      <c r="B15" s="109" t="s">
        <v>55</v>
      </c>
      <c r="C15" s="119">
        <f>Multi_Family!N74</f>
        <v>1269.392</v>
      </c>
      <c r="D15" s="119">
        <f>Multi_Family!N76</f>
        <v>-63.02</v>
      </c>
      <c r="E15" s="119">
        <f>Multi_Family!N77</f>
        <v>0</v>
      </c>
      <c r="F15" s="119">
        <f>Multi_Family!N72</f>
        <v>91.54400000000001</v>
      </c>
      <c r="G15" s="158">
        <f>Multi_Family!N75</f>
        <v>79.144</v>
      </c>
      <c r="H15" s="119">
        <f>Multi_Family!N79</f>
        <v>53.304</v>
      </c>
      <c r="I15" s="119">
        <f>Multi_Family!N73</f>
        <v>65.9247233201581</v>
      </c>
      <c r="J15" s="119">
        <f>Multi_Family!N73</f>
        <v>65.9247233201581</v>
      </c>
      <c r="K15" s="119">
        <f>Multi_Family!N70</f>
        <v>114.512</v>
      </c>
      <c r="L15" s="119">
        <f>Multi_Family!N78</f>
        <v>-89.63</v>
      </c>
      <c r="M15" s="48"/>
    </row>
    <row r="16" spans="1:13" ht="12.75">
      <c r="A16" s="47"/>
      <c r="C16" s="48"/>
      <c r="D16" s="48"/>
      <c r="E16" s="48"/>
      <c r="F16" s="48"/>
      <c r="G16" s="48"/>
      <c r="H16" s="48"/>
      <c r="I16" s="48"/>
      <c r="J16" s="48"/>
      <c r="K16" s="48"/>
      <c r="L16" s="47"/>
      <c r="M16" s="48"/>
    </row>
    <row r="17" spans="1:14" ht="12.75">
      <c r="A17" s="50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 t="s">
        <v>23</v>
      </c>
    </row>
    <row r="18" spans="1:13" ht="12.75">
      <c r="A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8"/>
    </row>
    <row r="19" spans="1:13" ht="12.75">
      <c r="A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8"/>
    </row>
    <row r="20" spans="1:13" ht="12.75">
      <c r="A20" s="47"/>
      <c r="C20" s="47"/>
      <c r="D20" s="47"/>
      <c r="F20" s="47"/>
      <c r="G20" s="47"/>
      <c r="H20" s="47"/>
      <c r="I20" s="47"/>
      <c r="J20" s="47"/>
      <c r="K20" s="47"/>
      <c r="L20" s="47"/>
      <c r="M20" s="48"/>
    </row>
    <row r="21" spans="1:13" ht="12.75">
      <c r="A21" s="47"/>
      <c r="C21" s="47"/>
      <c r="D21" s="47"/>
      <c r="F21" s="47"/>
      <c r="G21" s="47"/>
      <c r="H21" s="47"/>
      <c r="I21" s="47"/>
      <c r="J21" s="47"/>
      <c r="K21" s="47"/>
      <c r="L21" s="47"/>
      <c r="M21" s="48"/>
    </row>
    <row r="22" spans="1:13" ht="12.75">
      <c r="A22" s="47"/>
      <c r="C22" s="47"/>
      <c r="D22" s="47"/>
      <c r="G22" s="47"/>
      <c r="H22" s="47"/>
      <c r="I22" s="47"/>
      <c r="J22" s="47"/>
      <c r="K22" s="47"/>
      <c r="L22" s="47"/>
      <c r="M22" s="48"/>
    </row>
    <row r="23" spans="1:13" ht="12.75">
      <c r="A23" s="47"/>
      <c r="C23" s="47"/>
      <c r="D23" s="47"/>
      <c r="F23" s="47"/>
      <c r="G23" s="47"/>
      <c r="H23" s="47"/>
      <c r="I23" s="47"/>
      <c r="J23" s="47"/>
      <c r="K23" s="47"/>
      <c r="L23" s="47"/>
      <c r="M23" s="48"/>
    </row>
    <row r="24" spans="1:13" ht="12.75">
      <c r="A24" s="47"/>
      <c r="C24" s="47"/>
      <c r="D24" s="47"/>
      <c r="F24" s="47"/>
      <c r="G24" s="47"/>
      <c r="H24" s="47"/>
      <c r="I24" s="47"/>
      <c r="J24" s="47"/>
      <c r="K24" s="47"/>
      <c r="L24" s="47"/>
      <c r="M24" s="48"/>
    </row>
    <row r="25" spans="1:13" ht="12.75">
      <c r="A25" s="47"/>
      <c r="C25" s="47"/>
      <c r="D25" s="47"/>
      <c r="F25" s="47"/>
      <c r="G25" s="47"/>
      <c r="H25" s="47"/>
      <c r="I25" s="47"/>
      <c r="J25" s="47"/>
      <c r="K25" s="47"/>
      <c r="L25" s="47"/>
      <c r="M25" s="48"/>
    </row>
    <row r="26" spans="1:13" ht="12.75">
      <c r="A26" s="47"/>
      <c r="C26" s="47"/>
      <c r="D26" s="47"/>
      <c r="F26" s="47"/>
      <c r="G26" s="47"/>
      <c r="H26" s="47"/>
      <c r="I26" s="47"/>
      <c r="J26" s="47"/>
      <c r="K26" s="47"/>
      <c r="L26" s="47"/>
      <c r="M26" s="48"/>
    </row>
    <row r="27" spans="1:13" ht="12.75">
      <c r="A27" s="47"/>
      <c r="C27" s="47"/>
      <c r="D27" s="47"/>
      <c r="F27" s="47"/>
      <c r="G27" s="47"/>
      <c r="H27" s="47"/>
      <c r="I27" s="47"/>
      <c r="J27" s="47"/>
      <c r="K27" s="47"/>
      <c r="L27" s="47"/>
      <c r="M27" s="48"/>
    </row>
    <row r="28" spans="1:13" ht="12.75">
      <c r="A28" s="47"/>
      <c r="C28" s="47"/>
      <c r="D28" s="47"/>
      <c r="F28" s="47"/>
      <c r="G28" s="47"/>
      <c r="H28" s="47"/>
      <c r="I28" s="47"/>
      <c r="J28" s="47"/>
      <c r="K28" s="47"/>
      <c r="L28" s="47"/>
      <c r="M28" s="47"/>
    </row>
    <row r="29" spans="1:13" ht="12.75">
      <c r="A29" s="47"/>
      <c r="C29" s="47"/>
      <c r="D29" s="47"/>
      <c r="F29" s="47"/>
      <c r="G29" s="47"/>
      <c r="H29" s="47"/>
      <c r="I29" s="47"/>
      <c r="J29" s="47"/>
      <c r="K29" s="47"/>
      <c r="L29" s="47"/>
      <c r="M29" s="47"/>
    </row>
    <row r="30" spans="1:13" ht="12.75">
      <c r="A30" s="47"/>
      <c r="C30" s="47"/>
      <c r="D30" s="47"/>
      <c r="F30" s="47"/>
      <c r="G30" s="47"/>
      <c r="H30" s="47"/>
      <c r="I30" s="47"/>
      <c r="J30" s="47"/>
      <c r="K30" s="47"/>
      <c r="L30" s="47"/>
      <c r="M30" s="47"/>
    </row>
    <row r="31" spans="1:13" ht="12.75">
      <c r="A31" s="47"/>
      <c r="C31" s="47"/>
      <c r="D31" s="47"/>
      <c r="F31" s="47"/>
      <c r="G31" s="47"/>
      <c r="H31" s="47"/>
      <c r="I31" s="47"/>
      <c r="J31" s="47"/>
      <c r="K31" s="47"/>
      <c r="L31" s="47"/>
      <c r="M31" s="47"/>
    </row>
    <row r="32" spans="1:13" ht="12.75">
      <c r="A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ht="12.75">
      <c r="A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ht="12.75">
      <c r="A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3" ht="12.75">
      <c r="A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ht="12.75">
      <c r="A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3" ht="12.75">
      <c r="A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3" ht="12.75">
      <c r="A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</row>
    <row r="39" spans="1:13" ht="12.75">
      <c r="A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3" ht="12.75">
      <c r="A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1:13" ht="12.75">
      <c r="A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3" ht="12.75">
      <c r="A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3" ht="12.75">
      <c r="A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4" spans="1:13" ht="12.75">
      <c r="A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</row>
    <row r="45" spans="1:13" ht="12.75">
      <c r="A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1:13" ht="12.75">
      <c r="A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</row>
    <row r="47" spans="1:13" ht="12.75">
      <c r="A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1:13" ht="12.75">
      <c r="A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1:13" ht="12.75">
      <c r="A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1:13" ht="12.75">
      <c r="A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</row>
    <row r="51" spans="1:13" ht="12.75">
      <c r="A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3" ht="12.75">
      <c r="A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1:13" ht="12.75">
      <c r="A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1:13" ht="12.75">
      <c r="A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1:13" ht="12.75">
      <c r="A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56" spans="1:13" ht="12.75">
      <c r="A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12.75">
      <c r="A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1:13" ht="12.75">
      <c r="A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</row>
    <row r="59" spans="1:13" ht="12.75">
      <c r="A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1:13" ht="12.75">
      <c r="A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</row>
    <row r="61" spans="1:13" ht="12.75">
      <c r="A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</row>
    <row r="62" spans="1:13" ht="12.75">
      <c r="A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</row>
    <row r="63" spans="1:13" ht="12.75">
      <c r="A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1:13" ht="12.75">
      <c r="A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65" spans="1:13" ht="12.75">
      <c r="A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</row>
    <row r="66" spans="1:13" ht="12.75">
      <c r="A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</row>
    <row r="67" spans="1:13" ht="12.75">
      <c r="A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</row>
    <row r="68" spans="1:13" ht="12.75">
      <c r="A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</row>
    <row r="69" spans="1:13" ht="12.75">
      <c r="A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</row>
    <row r="70" spans="1:13" ht="12.75">
      <c r="A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</row>
    <row r="71" spans="1:13" ht="12.75">
      <c r="A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</row>
    <row r="72" spans="1:13" ht="12.75">
      <c r="A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</row>
    <row r="73" spans="1:13" ht="12.75">
      <c r="A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</row>
    <row r="74" spans="1:13" ht="12.75">
      <c r="A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</row>
    <row r="75" spans="1:13" ht="12.75">
      <c r="A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</row>
    <row r="76" spans="1:13" ht="12.75">
      <c r="A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</row>
    <row r="77" spans="1:13" ht="12.75">
      <c r="A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</row>
    <row r="78" spans="1:13" ht="12.75">
      <c r="A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</row>
    <row r="79" spans="1:13" ht="12.75">
      <c r="A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</row>
    <row r="80" spans="1:13" ht="12.75">
      <c r="A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</row>
    <row r="81" spans="1:13" ht="12.75">
      <c r="A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</row>
    <row r="82" spans="1:13" ht="12.75">
      <c r="A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</row>
    <row r="83" spans="1:13" ht="12.75">
      <c r="A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</row>
    <row r="84" spans="1:13" ht="12.75">
      <c r="A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</row>
    <row r="85" spans="1:13" ht="12.75">
      <c r="A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</row>
    <row r="86" spans="1:13" ht="12.75">
      <c r="A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</row>
    <row r="87" spans="1:13" ht="12.75">
      <c r="A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</row>
    <row r="88" spans="1:13" ht="12.75">
      <c r="A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</row>
    <row r="89" spans="1:13" ht="12.75">
      <c r="A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</row>
    <row r="90" spans="1:13" ht="12.75">
      <c r="A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</row>
    <row r="91" spans="1:13" ht="12.75">
      <c r="A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</row>
    <row r="92" spans="1:13" ht="12.75">
      <c r="A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</row>
    <row r="93" spans="1:13" ht="12.75">
      <c r="A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</row>
    <row r="94" spans="1:13" ht="12.75">
      <c r="A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</row>
    <row r="95" spans="1:13" ht="12.75">
      <c r="A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</row>
    <row r="96" spans="1:13" ht="12.75">
      <c r="A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</row>
    <row r="97" spans="1:13" ht="12.75">
      <c r="A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</row>
    <row r="98" spans="1:13" ht="12.75">
      <c r="A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</row>
    <row r="99" spans="1:13" ht="12.75">
      <c r="A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</row>
    <row r="100" spans="1:13" ht="12.75">
      <c r="A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</row>
    <row r="101" spans="1:13" ht="12.75">
      <c r="A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</row>
    <row r="102" spans="1:13" ht="12.75">
      <c r="A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</row>
    <row r="103" spans="1:13" ht="12.75">
      <c r="A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</row>
    <row r="104" spans="1:13" ht="12.75">
      <c r="A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</row>
    <row r="105" spans="1:13" ht="12.75">
      <c r="A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</row>
    <row r="106" spans="1:13" ht="12.75">
      <c r="A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</row>
    <row r="107" spans="1:13" ht="12.75">
      <c r="A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</row>
    <row r="108" spans="1:13" ht="12.75">
      <c r="A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1:13" ht="12.75">
      <c r="A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1:13" ht="12.75">
      <c r="A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</row>
    <row r="111" spans="1:13" ht="12.75">
      <c r="A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</row>
    <row r="112" spans="1:13" ht="12.75">
      <c r="A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</row>
    <row r="113" spans="1:13" ht="12.75">
      <c r="A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</row>
    <row r="114" spans="1:13" ht="12.75">
      <c r="A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</row>
    <row r="115" spans="1:13" ht="12.75">
      <c r="A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</row>
    <row r="116" spans="1:13" ht="12.75">
      <c r="A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</row>
    <row r="117" spans="1:13" ht="12.75">
      <c r="A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</row>
    <row r="118" spans="1:13" ht="12.75">
      <c r="A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</row>
  </sheetData>
  <sheetProtection/>
  <printOptions/>
  <pageMargins left="0.5" right="0.5" top="0.75" bottom="0.7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8"/>
  <sheetViews>
    <sheetView showGridLines="0" zoomScalePageLayoutView="0" workbookViewId="0" topLeftCell="A1">
      <selection activeCell="C45" sqref="C45"/>
    </sheetView>
  </sheetViews>
  <sheetFormatPr defaultColWidth="9.140625" defaultRowHeight="12.75"/>
  <cols>
    <col min="2" max="2" width="2.57421875" style="0" customWidth="1"/>
    <col min="3" max="12" width="11.7109375" style="0" customWidth="1"/>
    <col min="13" max="13" width="2.7109375" style="0" customWidth="1"/>
    <col min="14" max="14" width="11.7109375" style="0" customWidth="1"/>
    <col min="15" max="15" width="14.8515625" style="0" bestFit="1" customWidth="1"/>
  </cols>
  <sheetData>
    <row r="1" spans="1:2" ht="12.75">
      <c r="A1" s="38" t="str">
        <f>"Multi-Family Tonnages by Commodity ("&amp;TEXT(A6,"mmmm yyyy")&amp;" through "&amp;TEXT(A17,"mmmm yyyy")&amp;")"</f>
        <v>Multi-Family Tonnages by Commodity (May 2023 through April 2024)</v>
      </c>
      <c r="B1" s="39"/>
    </row>
    <row r="2" spans="1:2" ht="12.75">
      <c r="A2" s="40" t="s">
        <v>56</v>
      </c>
      <c r="B2" s="40"/>
    </row>
    <row r="3" spans="1:14" ht="12.75">
      <c r="A3" s="39"/>
      <c r="B3" s="41"/>
      <c r="C3" s="42" t="s">
        <v>14</v>
      </c>
      <c r="D3" s="42" t="s">
        <v>15</v>
      </c>
      <c r="E3" s="42" t="s">
        <v>78</v>
      </c>
      <c r="F3" s="42" t="s">
        <v>31</v>
      </c>
      <c r="G3" s="42" t="s">
        <v>79</v>
      </c>
      <c r="H3" s="42" t="s">
        <v>17</v>
      </c>
      <c r="I3" s="42" t="s">
        <v>18</v>
      </c>
      <c r="J3" s="42" t="s">
        <v>19</v>
      </c>
      <c r="K3" s="42" t="s">
        <v>20</v>
      </c>
      <c r="L3" s="42" t="s">
        <v>21</v>
      </c>
      <c r="M3" s="42"/>
      <c r="N3" s="42" t="s">
        <v>22</v>
      </c>
    </row>
    <row r="4" spans="1:5" s="44" customFormat="1" ht="12.75">
      <c r="A4" s="43"/>
      <c r="B4" s="43"/>
      <c r="D4" s="45"/>
      <c r="E4" s="45"/>
    </row>
    <row r="5" spans="1:14" ht="12.75">
      <c r="A5" s="46"/>
      <c r="B5" s="47"/>
      <c r="C5" s="48"/>
      <c r="D5" s="48"/>
      <c r="E5" s="48"/>
      <c r="F5" s="48"/>
      <c r="G5" s="48"/>
      <c r="H5" s="48"/>
      <c r="I5" s="48"/>
      <c r="J5" s="48"/>
      <c r="L5" s="47"/>
      <c r="M5" s="44"/>
      <c r="N5" s="48" t="s">
        <v>23</v>
      </c>
    </row>
    <row r="6" spans="1:16" ht="12.75">
      <c r="A6" s="104">
        <f>Multi_Family!$C$6</f>
        <v>45047</v>
      </c>
      <c r="B6" s="47" t="s">
        <v>44</v>
      </c>
      <c r="C6" s="84">
        <f>Multi_Family!C32</f>
        <v>1.4256351272106162</v>
      </c>
      <c r="D6" s="85">
        <f>Multi_Family!C34</f>
        <v>13.573412289011257</v>
      </c>
      <c r="E6" s="84">
        <f>Multi_Family!C35</f>
        <v>0</v>
      </c>
      <c r="F6" s="84">
        <f>Multi_Family!C30</f>
        <v>1.2890473305916352</v>
      </c>
      <c r="G6" s="84">
        <f>Multi_Family!C33</f>
        <v>0.08536737288686325</v>
      </c>
      <c r="H6" s="84">
        <f>Multi_Family!C37</f>
        <v>28.33343106114991</v>
      </c>
      <c r="I6" s="84">
        <f>Multi_Family!C31/2</f>
        <v>1.9975965255526</v>
      </c>
      <c r="J6" s="84">
        <f>Multi_Family!C31/2</f>
        <v>1.9975965255526</v>
      </c>
      <c r="K6" s="84">
        <f>Multi_Family!C28</f>
        <v>22.20405368787313</v>
      </c>
      <c r="L6" s="84">
        <f>Multi_Family!C36</f>
        <v>14.461232967034634</v>
      </c>
      <c r="M6" s="44"/>
      <c r="N6" s="105">
        <f aca="true" t="shared" si="0" ref="N6:N17">SUM(C6:L6)</f>
        <v>85.36737288686325</v>
      </c>
      <c r="O6" s="57"/>
      <c r="P6" s="49"/>
    </row>
    <row r="7" spans="1:16" ht="12.75">
      <c r="A7" s="46">
        <f aca="true" t="shared" si="1" ref="A7:A17">EOMONTH(A6,1)</f>
        <v>45107</v>
      </c>
      <c r="B7" s="47" t="s">
        <v>45</v>
      </c>
      <c r="C7" s="84">
        <f>Multi_Family!D32</f>
        <v>1.3797017108504823</v>
      </c>
      <c r="D7" s="85">
        <f>Multi_Family!D34</f>
        <v>13.136082157199203</v>
      </c>
      <c r="E7" s="84">
        <f>Multi_Family!D35</f>
        <v>0</v>
      </c>
      <c r="F7" s="84">
        <f>Multi_Family!D30</f>
        <v>1.2475147205893584</v>
      </c>
      <c r="G7" s="84">
        <f>Multi_Family!D33</f>
        <v>0.08261686891320254</v>
      </c>
      <c r="H7" s="84">
        <f>Multi_Family!D37</f>
        <v>27.42053879229192</v>
      </c>
      <c r="I7" s="84">
        <f>Multi_Family!D31/2</f>
        <v>1.9332347325689394</v>
      </c>
      <c r="J7" s="84">
        <f>Multi_Family!D31/2</f>
        <v>1.9332347325689394</v>
      </c>
      <c r="K7" s="84">
        <f>Multi_Family!D28</f>
        <v>21.48864760432398</v>
      </c>
      <c r="L7" s="84">
        <f>Multi_Family!D36</f>
        <v>13.99529759389651</v>
      </c>
      <c r="M7" s="44"/>
      <c r="N7" s="105">
        <f t="shared" si="0"/>
        <v>82.61686891320254</v>
      </c>
      <c r="P7" s="49"/>
    </row>
    <row r="8" spans="1:16" ht="12.75">
      <c r="A8" s="46">
        <f t="shared" si="1"/>
        <v>45138</v>
      </c>
      <c r="B8" s="47" t="s">
        <v>46</v>
      </c>
      <c r="C8" s="84">
        <f>Multi_Family!E32</f>
        <v>1.2432328274012252</v>
      </c>
      <c r="D8" s="85">
        <f>Multi_Family!E34</f>
        <v>11.836767638131425</v>
      </c>
      <c r="E8" s="84">
        <f>Multi_Family!E35</f>
        <v>0</v>
      </c>
      <c r="F8" s="84">
        <f>Multi_Family!E30</f>
        <v>1.12412070022506</v>
      </c>
      <c r="G8" s="84">
        <f>Multi_Family!E33</f>
        <v>0.0744450794851033</v>
      </c>
      <c r="H8" s="84">
        <f>Multi_Family!E37</f>
        <v>24.708321881105785</v>
      </c>
      <c r="I8" s="84">
        <f>Multi_Family!E31/2</f>
        <v>1.7420148599514174</v>
      </c>
      <c r="J8" s="84">
        <f>Multi_Family!E31/2</f>
        <v>1.7420148599514174</v>
      </c>
      <c r="K8" s="84">
        <f>Multi_Family!E28</f>
        <v>19.36316517407537</v>
      </c>
      <c r="L8" s="84">
        <f>Multi_Family!E36</f>
        <v>12.6109964647765</v>
      </c>
      <c r="M8" s="44"/>
      <c r="N8" s="105">
        <f t="shared" si="0"/>
        <v>74.4450794851033</v>
      </c>
      <c r="P8" s="49"/>
    </row>
    <row r="9" spans="1:16" ht="12.75">
      <c r="A9" s="46">
        <f t="shared" si="1"/>
        <v>45169</v>
      </c>
      <c r="B9" s="47" t="s">
        <v>47</v>
      </c>
      <c r="C9" s="84">
        <f>Multi_Family!F32</f>
        <v>1.325577155478708</v>
      </c>
      <c r="D9" s="85">
        <f>Multi_Family!F34</f>
        <v>12.620764534198477</v>
      </c>
      <c r="E9" s="84">
        <f>Multi_Family!F35</f>
        <v>0</v>
      </c>
      <c r="F9" s="84">
        <f>Multi_Family!F30</f>
        <v>1.1985757513609874</v>
      </c>
      <c r="G9" s="84">
        <f>Multi_Family!F33</f>
        <v>0.07937587757357532</v>
      </c>
      <c r="H9" s="84">
        <f>Multi_Family!F37</f>
        <v>26.344853766669647</v>
      </c>
      <c r="I9" s="84">
        <f>Multi_Family!F31/2</f>
        <v>1.8573955352216627</v>
      </c>
      <c r="J9" s="84">
        <f>Multi_Family!F31/2</f>
        <v>1.8573955352216627</v>
      </c>
      <c r="K9" s="84">
        <f>Multi_Family!F28</f>
        <v>20.64566575688694</v>
      </c>
      <c r="L9" s="84">
        <f>Multi_Family!F36</f>
        <v>13.446273660963659</v>
      </c>
      <c r="M9" s="44"/>
      <c r="N9" s="105">
        <f t="shared" si="0"/>
        <v>79.37587757357532</v>
      </c>
      <c r="P9" s="49"/>
    </row>
    <row r="10" spans="1:16" ht="12.75">
      <c r="A10" s="46">
        <f t="shared" si="1"/>
        <v>45199</v>
      </c>
      <c r="B10" s="47" t="s">
        <v>48</v>
      </c>
      <c r="C10" s="84">
        <f>Multi_Family!G32</f>
        <v>1.3498683782383913</v>
      </c>
      <c r="D10" s="85">
        <f>Multi_Family!G34</f>
        <v>12.852040247898456</v>
      </c>
      <c r="E10" s="84">
        <f>Multi_Family!G35</f>
        <v>0</v>
      </c>
      <c r="F10" s="84">
        <f>Multi_Family!G30</f>
        <v>1.2205396713413</v>
      </c>
      <c r="G10" s="84">
        <f>Multi_Family!G33</f>
        <v>0.08083044181068212</v>
      </c>
      <c r="H10" s="84">
        <f>Multi_Family!G37</f>
        <v>26.82762363696539</v>
      </c>
      <c r="I10" s="84">
        <f>Multi_Family!G31/2</f>
        <v>1.8914323383699616</v>
      </c>
      <c r="J10" s="84">
        <f>Multi_Family!G31/2</f>
        <v>1.8914323383699616</v>
      </c>
      <c r="K10" s="84">
        <f>Multi_Family!G28</f>
        <v>21.023997914958418</v>
      </c>
      <c r="L10" s="84">
        <f>Multi_Family!G36</f>
        <v>13.69267684272955</v>
      </c>
      <c r="M10" s="44"/>
      <c r="N10" s="105">
        <f t="shared" si="0"/>
        <v>80.83044181068212</v>
      </c>
      <c r="P10" s="49"/>
    </row>
    <row r="11" spans="1:16" ht="12.75">
      <c r="A11" s="46">
        <f t="shared" si="1"/>
        <v>45230</v>
      </c>
      <c r="B11" s="47" t="s">
        <v>49</v>
      </c>
      <c r="C11" s="84">
        <f>Multi_Family!H32</f>
        <v>1.3272721631509965</v>
      </c>
      <c r="D11" s="85">
        <f>Multi_Family!H34</f>
        <v>12.636902631198112</v>
      </c>
      <c r="E11" s="84">
        <f>Multi_Family!H35</f>
        <v>0</v>
      </c>
      <c r="F11" s="84">
        <f>Multi_Family!H30</f>
        <v>1.2001083630886258</v>
      </c>
      <c r="G11" s="84">
        <f>Multi_Family!H33</f>
        <v>0.07947737503898183</v>
      </c>
      <c r="H11" s="84">
        <f>Multi_Family!H37</f>
        <v>26.37854077543807</v>
      </c>
      <c r="I11" s="84">
        <f>Multi_Family!H31/2</f>
        <v>1.859770575912175</v>
      </c>
      <c r="J11" s="84">
        <f>Multi_Family!H31/2</f>
        <v>1.859770575912175</v>
      </c>
      <c r="K11" s="84">
        <f>Multi_Family!H28</f>
        <v>20.672065247639175</v>
      </c>
      <c r="L11" s="84">
        <f>Multi_Family!H36</f>
        <v>13.463467331603523</v>
      </c>
      <c r="M11" s="44"/>
      <c r="N11" s="105">
        <f t="shared" si="0"/>
        <v>79.47737503898183</v>
      </c>
      <c r="P11" s="49"/>
    </row>
    <row r="12" spans="1:16" ht="12.75">
      <c r="A12" s="46">
        <f t="shared" si="1"/>
        <v>45260</v>
      </c>
      <c r="B12" s="47" t="s">
        <v>50</v>
      </c>
      <c r="C12" s="84">
        <f>Multi_Family!I32</f>
        <v>1.3511391309302065</v>
      </c>
      <c r="D12" s="85">
        <f>Multi_Family!I34</f>
        <v>12.864139031012147</v>
      </c>
      <c r="E12" s="84">
        <f>Multi_Family!I35</f>
        <v>0</v>
      </c>
      <c r="F12" s="84">
        <f>Multi_Family!I30</f>
        <v>1.2216886752722227</v>
      </c>
      <c r="G12" s="84">
        <f>Multi_Family!I33</f>
        <v>0.08090653478623992</v>
      </c>
      <c r="H12" s="84">
        <f>Multi_Family!I37</f>
        <v>26.852878895553026</v>
      </c>
      <c r="I12" s="84">
        <f>Multi_Family!I31/2</f>
        <v>1.893212913998014</v>
      </c>
      <c r="J12" s="84">
        <f>Multi_Family!I31/2</f>
        <v>1.893212913998014</v>
      </c>
      <c r="K12" s="84">
        <f>Multi_Family!I28</f>
        <v>21.043789697901</v>
      </c>
      <c r="L12" s="84">
        <f>Multi_Family!I36</f>
        <v>13.705566992789041</v>
      </c>
      <c r="M12" s="44"/>
      <c r="N12" s="105">
        <f t="shared" si="0"/>
        <v>80.90653478623992</v>
      </c>
      <c r="P12" s="49"/>
    </row>
    <row r="13" spans="1:16" s="154" customFormat="1" ht="12.75">
      <c r="A13" s="104">
        <f t="shared" si="1"/>
        <v>45291</v>
      </c>
      <c r="B13" s="70" t="s">
        <v>51</v>
      </c>
      <c r="C13" s="151">
        <f>Multi_Family!J32</f>
        <v>1.4384471828020329</v>
      </c>
      <c r="D13" s="152">
        <f>Multi_Family!J34</f>
        <v>13.695395333264864</v>
      </c>
      <c r="E13" s="151">
        <f>Multi_Family!J35</f>
        <v>0</v>
      </c>
      <c r="F13" s="151">
        <f>Multi_Family!J30</f>
        <v>1.30063188385094</v>
      </c>
      <c r="G13" s="151">
        <f>Multi_Family!J33</f>
        <v>0.0861345618444331</v>
      </c>
      <c r="H13" s="151">
        <f>Multi_Family!J37</f>
        <v>28.588061076167346</v>
      </c>
      <c r="I13" s="151">
        <f>Multi_Family!J31/2</f>
        <v>2.015548747159735</v>
      </c>
      <c r="J13" s="151">
        <f>Multi_Family!J31/2</f>
        <v>2.015548747159735</v>
      </c>
      <c r="K13" s="151">
        <f>Multi_Family!J28</f>
        <v>22.40359953573705</v>
      </c>
      <c r="L13" s="151">
        <f>Multi_Family!J36</f>
        <v>14.591194776446969</v>
      </c>
      <c r="M13" s="153"/>
      <c r="N13" s="145">
        <f t="shared" si="0"/>
        <v>86.13456184443311</v>
      </c>
      <c r="P13" s="155"/>
    </row>
    <row r="14" spans="1:16" ht="12.75">
      <c r="A14" s="46">
        <f t="shared" si="1"/>
        <v>45322</v>
      </c>
      <c r="B14" s="47" t="s">
        <v>52</v>
      </c>
      <c r="C14" s="84">
        <f>Multi_Family!K32</f>
        <v>1.6181628123230742</v>
      </c>
      <c r="D14" s="85">
        <f>Multi_Family!K34</f>
        <v>9.933030186413948</v>
      </c>
      <c r="E14" s="84">
        <f>Multi_Family!K35</f>
        <v>0</v>
      </c>
      <c r="F14" s="84">
        <f>Multi_Family!K30</f>
        <v>1.3443198748530154</v>
      </c>
      <c r="G14" s="84">
        <f>Multi_Family!K33</f>
        <v>0.08298270832426022</v>
      </c>
      <c r="H14" s="84">
        <f>Multi_Family!K37</f>
        <v>25.766130934682796</v>
      </c>
      <c r="I14" s="84">
        <f>Multi_Family!K31/2</f>
        <v>2.0994625206037836</v>
      </c>
      <c r="J14" s="84">
        <f>Multi_Family!K31/2</f>
        <v>2.0994625206037836</v>
      </c>
      <c r="K14" s="84">
        <f>Multi_Family!K28</f>
        <v>21.832750560112864</v>
      </c>
      <c r="L14" s="84">
        <f>Multi_Family!K36</f>
        <v>18.207756767602675</v>
      </c>
      <c r="M14" s="44"/>
      <c r="N14" s="105">
        <f t="shared" si="0"/>
        <v>82.98405888552021</v>
      </c>
      <c r="P14" s="49"/>
    </row>
    <row r="15" spans="1:16" ht="12.75">
      <c r="A15" s="46">
        <f t="shared" si="1"/>
        <v>45351</v>
      </c>
      <c r="B15" s="47" t="s">
        <v>53</v>
      </c>
      <c r="C15" s="84">
        <f>Multi_Family!L32</f>
        <v>1.4087306275865794</v>
      </c>
      <c r="D15" s="85">
        <f>Multi_Family!L34</f>
        <v>8.647438775493002</v>
      </c>
      <c r="E15" s="84">
        <f>Multi_Family!L35</f>
        <v>0</v>
      </c>
      <c r="F15" s="84">
        <f>Multi_Family!L30</f>
        <v>1.1703300598411581</v>
      </c>
      <c r="G15" s="84">
        <f>Multi_Family!L33</f>
        <v>0.07224259628649125</v>
      </c>
      <c r="H15" s="84">
        <f>Multi_Family!L37</f>
        <v>22.431326146955534</v>
      </c>
      <c r="I15" s="84">
        <f>Multi_Family!L31/2</f>
        <v>1.8277376860482288</v>
      </c>
      <c r="J15" s="84">
        <f>Multi_Family!L31/2</f>
        <v>1.8277376860482288</v>
      </c>
      <c r="K15" s="84">
        <f>Multi_Family!L28</f>
        <v>19.00702708297585</v>
      </c>
      <c r="L15" s="84">
        <f>Multi_Family!L36</f>
        <v>15.851201388904238</v>
      </c>
      <c r="M15" s="44"/>
      <c r="N15" s="105">
        <f t="shared" si="0"/>
        <v>72.24377205013933</v>
      </c>
      <c r="P15" s="49"/>
    </row>
    <row r="16" spans="1:16" ht="12.75">
      <c r="A16" s="46">
        <f t="shared" si="1"/>
        <v>45382</v>
      </c>
      <c r="B16" s="47" t="s">
        <v>54</v>
      </c>
      <c r="C16" s="84">
        <f>Multi_Family!M32</f>
        <v>1.3175452640408705</v>
      </c>
      <c r="D16" s="85">
        <f>Multi_Family!M34</f>
        <v>8.087700928497036</v>
      </c>
      <c r="E16" s="84">
        <f>Multi_Family!M35</f>
        <v>0</v>
      </c>
      <c r="F16" s="84">
        <f>Multi_Family!M30</f>
        <v>1.094576065510877</v>
      </c>
      <c r="G16" s="84">
        <f>Multi_Family!M33</f>
        <v>0.06756642379696771</v>
      </c>
      <c r="H16" s="84">
        <f>Multi_Family!M37</f>
        <v>20.979374588958475</v>
      </c>
      <c r="I16" s="84">
        <f>Multi_Family!M31/2</f>
        <v>1.7094305220632833</v>
      </c>
      <c r="J16" s="84">
        <f>Multi_Family!M31/2</f>
        <v>1.7094305220632833</v>
      </c>
      <c r="K16" s="84">
        <f>Multi_Family!M28</f>
        <v>17.776726100982206</v>
      </c>
      <c r="L16" s="84">
        <f>Multi_Family!M36</f>
        <v>14.825173038999106</v>
      </c>
      <c r="M16" s="44"/>
      <c r="N16" s="105">
        <f t="shared" si="0"/>
        <v>67.56752345491212</v>
      </c>
      <c r="P16" s="49"/>
    </row>
    <row r="17" spans="1:16" ht="12.75">
      <c r="A17" s="46">
        <f t="shared" si="1"/>
        <v>45412</v>
      </c>
      <c r="B17" s="47" t="s">
        <v>55</v>
      </c>
      <c r="C17" s="84">
        <f>Multi_Family!N32</f>
        <v>1.4462848434660696</v>
      </c>
      <c r="D17" s="85">
        <f>Multi_Family!N34</f>
        <v>8.877963885276333</v>
      </c>
      <c r="E17" s="84">
        <f>Multi_Family!N35</f>
        <v>0</v>
      </c>
      <c r="F17" s="84">
        <f>Multi_Family!N30</f>
        <v>1.2015289468795038</v>
      </c>
      <c r="G17" s="84">
        <f>Multi_Family!N33</f>
        <v>0.07416845351108049</v>
      </c>
      <c r="H17" s="84">
        <f>Multi_Family!N37</f>
        <v>23.02930481519049</v>
      </c>
      <c r="I17" s="84">
        <f>Multi_Family!N31/2</f>
        <v>1.8764618738303365</v>
      </c>
      <c r="J17" s="84">
        <f>Multi_Family!N31/2</f>
        <v>1.8764618738303365</v>
      </c>
      <c r="K17" s="84">
        <f>Multi_Family!N28</f>
        <v>19.513720118765274</v>
      </c>
      <c r="L17" s="84">
        <f>Multi_Family!N36</f>
        <v>16.27376580771581</v>
      </c>
      <c r="M17" s="44"/>
      <c r="N17" s="105">
        <f t="shared" si="0"/>
        <v>74.16966061846523</v>
      </c>
      <c r="P17" s="49"/>
    </row>
    <row r="18" spans="1:15" ht="12.75">
      <c r="A18" s="50" t="s">
        <v>24</v>
      </c>
      <c r="B18" s="47"/>
      <c r="C18" s="117">
        <f aca="true" t="shared" si="2" ref="C18:L18">SUM(C6:C17)</f>
        <v>16.631597223479254</v>
      </c>
      <c r="D18" s="117">
        <f t="shared" si="2"/>
        <v>138.76163763759425</v>
      </c>
      <c r="E18" s="117">
        <f t="shared" si="2"/>
        <v>0</v>
      </c>
      <c r="F18" s="117">
        <f t="shared" si="2"/>
        <v>14.612982043404683</v>
      </c>
      <c r="G18" s="117">
        <f t="shared" si="2"/>
        <v>0.9461142942578811</v>
      </c>
      <c r="H18" s="117">
        <f t="shared" si="2"/>
        <v>307.66038637112837</v>
      </c>
      <c r="I18" s="117">
        <f t="shared" si="2"/>
        <v>22.703298831280133</v>
      </c>
      <c r="J18" s="117">
        <f t="shared" si="2"/>
        <v>22.703298831280133</v>
      </c>
      <c r="K18" s="117">
        <f t="shared" si="2"/>
        <v>246.97520848223124</v>
      </c>
      <c r="L18" s="117">
        <f t="shared" si="2"/>
        <v>175.12460363346221</v>
      </c>
      <c r="M18" s="44"/>
      <c r="N18" s="118">
        <f>SUM(N6:N17)</f>
        <v>946.1191273481184</v>
      </c>
      <c r="O18" s="48"/>
    </row>
    <row r="19" spans="1:14" ht="12.7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4"/>
      <c r="N19" s="48"/>
    </row>
    <row r="20" spans="1:14" ht="12.75">
      <c r="A20" s="38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4"/>
      <c r="N20" s="48"/>
    </row>
    <row r="21" spans="1:14" ht="12.75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4"/>
      <c r="N21" s="48"/>
    </row>
    <row r="22" spans="1:14" ht="12.7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4"/>
      <c r="N22" s="48"/>
    </row>
    <row r="23" spans="1:14" ht="12.7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4"/>
      <c r="N23" s="48"/>
    </row>
    <row r="24" spans="1:14" ht="12.7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4"/>
      <c r="N24" s="48"/>
    </row>
    <row r="25" spans="1:14" ht="12.75">
      <c r="A25" s="47"/>
      <c r="B25" s="47"/>
      <c r="C25" s="47"/>
      <c r="E25" s="47"/>
      <c r="F25" s="47"/>
      <c r="G25" s="47"/>
      <c r="H25" s="47"/>
      <c r="I25" s="47"/>
      <c r="J25" s="47"/>
      <c r="K25" s="47"/>
      <c r="L25" s="47"/>
      <c r="M25" s="44"/>
      <c r="N25" s="48"/>
    </row>
    <row r="26" spans="1:14" ht="12.7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4"/>
      <c r="N26" s="48"/>
    </row>
    <row r="27" spans="1:14" ht="12.7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4"/>
      <c r="N27" s="48"/>
    </row>
    <row r="28" spans="1:14" ht="12.7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4"/>
      <c r="N28" s="47"/>
    </row>
    <row r="29" spans="1:14" ht="12.7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4"/>
      <c r="N29" s="47"/>
    </row>
    <row r="30" spans="1:14" ht="12.7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4"/>
      <c r="N30" s="47"/>
    </row>
    <row r="31" spans="1:14" ht="12.7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4"/>
      <c r="N31" s="47"/>
    </row>
    <row r="32" spans="1:14" ht="12.7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4"/>
      <c r="N32" s="47"/>
    </row>
    <row r="33" spans="1:14" ht="12.7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4"/>
      <c r="N33" s="47"/>
    </row>
    <row r="34" spans="1:14" ht="12.7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4"/>
      <c r="N34" s="47"/>
    </row>
    <row r="35" spans="1:14" ht="12.7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4"/>
      <c r="N35" s="47"/>
    </row>
    <row r="36" spans="1:14" ht="12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4"/>
      <c r="N36" s="47"/>
    </row>
    <row r="37" spans="1:14" ht="12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4"/>
      <c r="N37" s="47"/>
    </row>
    <row r="38" spans="1:14" ht="12.7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4"/>
      <c r="N38" s="47"/>
    </row>
    <row r="39" spans="1:14" ht="12.7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</row>
    <row r="40" spans="1:14" ht="12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</row>
    <row r="41" spans="1:14" ht="12.7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14" ht="12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</row>
    <row r="43" spans="1:14" ht="12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</row>
    <row r="44" spans="1:14" ht="12.7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</row>
    <row r="45" spans="1:14" ht="12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</row>
    <row r="46" spans="1:14" ht="12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</row>
    <row r="47" spans="1:14" ht="12.7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</row>
    <row r="48" spans="1:14" ht="12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</row>
    <row r="49" spans="1:14" ht="12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</row>
    <row r="50" spans="1:14" ht="12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</row>
    <row r="51" spans="1:14" ht="12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</row>
    <row r="52" spans="1:14" ht="12.7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</row>
    <row r="53" spans="1:14" ht="12.7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</row>
    <row r="54" spans="1:14" ht="12.7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</row>
    <row r="55" spans="1:14" ht="12.7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</row>
    <row r="56" spans="1:14" ht="12.7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7" spans="1:14" ht="12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ht="12.7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spans="1:14" ht="12.7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</row>
    <row r="60" spans="1:14" ht="12.7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</row>
    <row r="61" spans="1:14" ht="12.7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</row>
    <row r="62" spans="1:14" ht="12.7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</row>
    <row r="63" spans="1:14" ht="12.7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</row>
    <row r="64" spans="1:14" ht="12.7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</row>
    <row r="65" spans="1:14" ht="12.7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</row>
    <row r="66" spans="1:14" ht="12.7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</row>
    <row r="67" spans="1:14" ht="12.7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</row>
    <row r="68" spans="1:14" ht="12.7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</row>
    <row r="69" spans="1:14" ht="12.7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</row>
    <row r="70" spans="1:14" ht="12.7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</row>
    <row r="71" spans="1:14" ht="12.7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</row>
    <row r="72" spans="1:14" ht="12.7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</row>
    <row r="73" spans="1:14" ht="12.7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</row>
    <row r="74" spans="1:14" ht="12.7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</row>
    <row r="75" spans="1:14" ht="12.7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</row>
    <row r="76" spans="1:14" ht="12.7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</row>
    <row r="77" spans="1:14" ht="12.7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</row>
    <row r="78" spans="1:14" ht="12.7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</row>
    <row r="79" spans="1:14" ht="12.7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</row>
    <row r="80" spans="1:14" ht="12.7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</row>
    <row r="81" spans="1:14" ht="12.7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</row>
    <row r="82" spans="1:14" ht="12.7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</row>
    <row r="83" spans="1:14" ht="12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</row>
    <row r="84" spans="1:14" ht="12.7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</row>
    <row r="85" spans="1:14" ht="12.7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</row>
    <row r="86" spans="1:14" ht="12.7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</row>
    <row r="87" spans="1:14" ht="12.7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</row>
    <row r="88" spans="1:14" ht="12.7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</row>
    <row r="89" spans="1:14" ht="12.7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</row>
    <row r="90" spans="1:14" ht="12.7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</row>
    <row r="91" spans="1:14" ht="12.7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</row>
    <row r="92" spans="1:14" ht="12.7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</row>
    <row r="93" spans="1:14" ht="12.7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</row>
    <row r="94" spans="1:14" ht="12.7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</row>
    <row r="95" spans="1:14" ht="12.7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</row>
    <row r="96" spans="1:14" ht="12.7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</row>
    <row r="97" spans="1:14" ht="12.7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</row>
    <row r="98" spans="1:14" ht="12.7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</row>
    <row r="99" spans="1:14" ht="12.7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</row>
    <row r="100" spans="1:14" ht="12.7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</row>
    <row r="101" spans="1:14" ht="12.7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</row>
    <row r="102" spans="1:14" ht="12.7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</row>
    <row r="103" spans="1:14" ht="12.7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</row>
    <row r="104" spans="1:14" ht="12.7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</row>
    <row r="105" spans="1:14" ht="12.7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</row>
    <row r="106" spans="1:14" ht="12.7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</row>
    <row r="107" spans="1:14" ht="12.7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</row>
    <row r="108" spans="1:14" ht="12.7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</row>
    <row r="109" spans="1:14" ht="12.7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</row>
    <row r="110" spans="1:14" ht="12.7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</row>
    <row r="111" spans="1:14" ht="12.7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</row>
    <row r="112" spans="1:14" ht="12.7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</row>
    <row r="113" spans="1:14" ht="12.7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</row>
    <row r="114" spans="1:14" ht="12.7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</row>
    <row r="115" spans="1:14" ht="12.7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</row>
    <row r="116" spans="1:14" ht="12.7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</row>
    <row r="117" spans="1:14" ht="12.7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</row>
    <row r="118" spans="1:14" ht="12.7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</row>
  </sheetData>
  <sheetProtection/>
  <printOptions/>
  <pageMargins left="0.5" right="0.5" top="0.75" bottom="0.75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5"/>
  <sheetViews>
    <sheetView showGridLines="0" zoomScalePageLayoutView="0" workbookViewId="0" topLeftCell="A1">
      <pane xSplit="2" ySplit="6" topLeftCell="C43" activePane="bottomRight" state="frozen"/>
      <selection pane="topLeft" activeCell="I58" sqref="I58"/>
      <selection pane="topRight" activeCell="I58" sqref="I58"/>
      <selection pane="bottomLeft" activeCell="I58" sqref="I58"/>
      <selection pane="bottomRight" activeCell="C69" sqref="C69:N79"/>
    </sheetView>
  </sheetViews>
  <sheetFormatPr defaultColWidth="9.140625" defaultRowHeight="12.75"/>
  <cols>
    <col min="1" max="1" width="6.00390625" style="47" customWidth="1"/>
    <col min="2" max="2" width="17.8515625" style="47" customWidth="1"/>
    <col min="3" max="4" width="9.8515625" style="47" customWidth="1"/>
    <col min="5" max="5" width="11.28125" style="47" customWidth="1"/>
    <col min="6" max="7" width="9.57421875" style="47" customWidth="1"/>
    <col min="8" max="8" width="9.8515625" style="47" customWidth="1"/>
    <col min="9" max="9" width="10.421875" style="47" customWidth="1"/>
    <col min="10" max="10" width="10.7109375" style="47" customWidth="1"/>
    <col min="11" max="11" width="9.140625" style="47" customWidth="1"/>
    <col min="12" max="12" width="9.140625" style="70" customWidth="1"/>
    <col min="13" max="14" width="9.140625" style="47" customWidth="1"/>
    <col min="15" max="15" width="10.7109375" style="47" bestFit="1" customWidth="1"/>
    <col min="16" max="16384" width="9.140625" style="47" customWidth="1"/>
  </cols>
  <sheetData>
    <row r="1" ht="11.25"/>
    <row r="2" spans="2:3" ht="11.25">
      <c r="B2" s="61" t="str">
        <f>+'WUTC_AW of Lynnwood_MF'!A1</f>
        <v>Rabanco Ltd (dba Allied Waste of Lynnwood)</v>
      </c>
      <c r="C2" s="62"/>
    </row>
    <row r="3" ht="11.25">
      <c r="C3" s="62"/>
    </row>
    <row r="4" spans="3:10" ht="11.25">
      <c r="C4" s="63"/>
      <c r="D4" s="63"/>
      <c r="E4" s="63"/>
      <c r="F4" s="63"/>
      <c r="G4" s="63"/>
      <c r="H4" s="64"/>
      <c r="I4" s="64"/>
      <c r="J4" s="61"/>
    </row>
    <row r="5" spans="3:10" ht="11.25">
      <c r="C5" s="63"/>
      <c r="D5" s="63"/>
      <c r="E5" s="63"/>
      <c r="F5" s="63"/>
      <c r="G5" s="63"/>
      <c r="H5" s="64"/>
      <c r="I5" s="64"/>
      <c r="J5" s="63"/>
    </row>
    <row r="6" spans="3:14" ht="9.75" customHeight="1">
      <c r="C6" s="161">
        <v>45047</v>
      </c>
      <c r="D6" s="65">
        <f aca="true" t="shared" si="0" ref="D6:N6">EOMONTH(C6,1)</f>
        <v>45107</v>
      </c>
      <c r="E6" s="65">
        <f t="shared" si="0"/>
        <v>45138</v>
      </c>
      <c r="F6" s="65">
        <f t="shared" si="0"/>
        <v>45169</v>
      </c>
      <c r="G6" s="65">
        <f t="shared" si="0"/>
        <v>45199</v>
      </c>
      <c r="H6" s="65">
        <f t="shared" si="0"/>
        <v>45230</v>
      </c>
      <c r="I6" s="65">
        <f t="shared" si="0"/>
        <v>45260</v>
      </c>
      <c r="J6" s="65">
        <f t="shared" si="0"/>
        <v>45291</v>
      </c>
      <c r="K6" s="65">
        <f t="shared" si="0"/>
        <v>45322</v>
      </c>
      <c r="L6" s="65">
        <f t="shared" si="0"/>
        <v>45351</v>
      </c>
      <c r="M6" s="65">
        <f t="shared" si="0"/>
        <v>45382</v>
      </c>
      <c r="N6" s="65">
        <f t="shared" si="0"/>
        <v>45412</v>
      </c>
    </row>
    <row r="7" spans="1:14" s="48" customFormat="1" ht="11.25">
      <c r="A7" s="66" t="s">
        <v>25</v>
      </c>
      <c r="C7" s="102">
        <v>85.36737288686325</v>
      </c>
      <c r="D7" s="137">
        <v>82.61686891320254</v>
      </c>
      <c r="E7" s="102">
        <v>74.4450794851033</v>
      </c>
      <c r="F7" s="102">
        <v>79.37587757357532</v>
      </c>
      <c r="G7" s="102">
        <v>80.83044181068212</v>
      </c>
      <c r="H7" s="102">
        <v>79.47737503898183</v>
      </c>
      <c r="I7" s="102">
        <v>80.90653478623992</v>
      </c>
      <c r="J7" s="102">
        <v>86.13456184443311</v>
      </c>
      <c r="K7" s="102">
        <v>82.98270832426022</v>
      </c>
      <c r="L7" s="102">
        <v>72.24259628649125</v>
      </c>
      <c r="M7" s="102">
        <v>67.56642379696771</v>
      </c>
      <c r="N7" s="102">
        <v>74.16845351108049</v>
      </c>
    </row>
    <row r="8" spans="1:14" ht="11.25">
      <c r="A8" s="47" t="s">
        <v>26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</row>
    <row r="9" spans="1:14" ht="11.25">
      <c r="A9" s="47" t="s">
        <v>27</v>
      </c>
      <c r="C9" s="68">
        <f aca="true" t="shared" si="1" ref="C9:N9">+C7*C8</f>
        <v>0</v>
      </c>
      <c r="D9" s="68">
        <f t="shared" si="1"/>
        <v>0</v>
      </c>
      <c r="E9" s="68">
        <f t="shared" si="1"/>
        <v>0</v>
      </c>
      <c r="F9" s="68">
        <f t="shared" si="1"/>
        <v>0</v>
      </c>
      <c r="G9" s="68">
        <f t="shared" si="1"/>
        <v>0</v>
      </c>
      <c r="H9" s="68">
        <f t="shared" si="1"/>
        <v>0</v>
      </c>
      <c r="I9" s="68">
        <f t="shared" si="1"/>
        <v>0</v>
      </c>
      <c r="J9" s="68">
        <f t="shared" si="1"/>
        <v>0</v>
      </c>
      <c r="K9" s="68">
        <f t="shared" si="1"/>
        <v>0</v>
      </c>
      <c r="L9" s="139">
        <f t="shared" si="1"/>
        <v>0</v>
      </c>
      <c r="M9" s="68">
        <f t="shared" si="1"/>
        <v>0</v>
      </c>
      <c r="N9" s="68">
        <f t="shared" si="1"/>
        <v>0</v>
      </c>
    </row>
    <row r="10" spans="1:14" ht="11.25">
      <c r="A10" s="61" t="s">
        <v>28</v>
      </c>
      <c r="C10" s="69">
        <f aca="true" t="shared" si="2" ref="C10:N10">+C7-C9</f>
        <v>85.36737288686325</v>
      </c>
      <c r="D10" s="69">
        <f t="shared" si="2"/>
        <v>82.61686891320254</v>
      </c>
      <c r="E10" s="69">
        <f t="shared" si="2"/>
        <v>74.4450794851033</v>
      </c>
      <c r="F10" s="69">
        <f t="shared" si="2"/>
        <v>79.37587757357532</v>
      </c>
      <c r="G10" s="69">
        <f t="shared" si="2"/>
        <v>80.83044181068212</v>
      </c>
      <c r="H10" s="69">
        <f t="shared" si="2"/>
        <v>79.47737503898183</v>
      </c>
      <c r="I10" s="69">
        <f t="shared" si="2"/>
        <v>80.90653478623992</v>
      </c>
      <c r="J10" s="69">
        <f t="shared" si="2"/>
        <v>86.13456184443311</v>
      </c>
      <c r="K10" s="69">
        <f t="shared" si="2"/>
        <v>82.98270832426022</v>
      </c>
      <c r="L10" s="140">
        <f t="shared" si="2"/>
        <v>72.24259628649125</v>
      </c>
      <c r="M10" s="69">
        <f t="shared" si="2"/>
        <v>67.56642379696771</v>
      </c>
      <c r="N10" s="69">
        <f t="shared" si="2"/>
        <v>74.16845351108049</v>
      </c>
    </row>
    <row r="11" ht="11.25"/>
    <row r="12" ht="11.25">
      <c r="A12" s="61" t="s">
        <v>29</v>
      </c>
    </row>
    <row r="13" spans="2:14" s="70" customFormat="1" ht="11.25">
      <c r="B13" s="70" t="s">
        <v>16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</row>
    <row r="14" spans="2:14" s="70" customFormat="1" ht="11.25">
      <c r="B14" s="70" t="s">
        <v>20</v>
      </c>
      <c r="C14" s="103">
        <v>0.2601</v>
      </c>
      <c r="D14" s="103">
        <v>0.2601</v>
      </c>
      <c r="E14" s="103">
        <v>0.2601</v>
      </c>
      <c r="F14" s="103">
        <v>0.2601</v>
      </c>
      <c r="G14" s="103">
        <v>0.2601</v>
      </c>
      <c r="H14" s="103">
        <v>0.2601</v>
      </c>
      <c r="I14" s="103">
        <v>0.2601</v>
      </c>
      <c r="J14" s="103">
        <v>0.2601</v>
      </c>
      <c r="K14" s="103">
        <v>0.2631</v>
      </c>
      <c r="L14" s="103">
        <v>0.2631</v>
      </c>
      <c r="M14" s="103">
        <v>0.2631</v>
      </c>
      <c r="N14" s="103">
        <v>0.2631</v>
      </c>
    </row>
    <row r="15" spans="2:14" s="70" customFormat="1" ht="11.25">
      <c r="B15" s="70" t="s">
        <v>30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</row>
    <row r="16" spans="2:14" s="70" customFormat="1" ht="11.25">
      <c r="B16" s="70" t="s">
        <v>31</v>
      </c>
      <c r="C16" s="103">
        <v>0.0151</v>
      </c>
      <c r="D16" s="103">
        <v>0.0151</v>
      </c>
      <c r="E16" s="103">
        <v>0.0151</v>
      </c>
      <c r="F16" s="103">
        <v>0.0151</v>
      </c>
      <c r="G16" s="103">
        <v>0.0151</v>
      </c>
      <c r="H16" s="103">
        <v>0.0151</v>
      </c>
      <c r="I16" s="103">
        <v>0.0151</v>
      </c>
      <c r="J16" s="103">
        <v>0.0151</v>
      </c>
      <c r="K16" s="103">
        <v>0.0162</v>
      </c>
      <c r="L16" s="103">
        <v>0.0162</v>
      </c>
      <c r="M16" s="103">
        <v>0.0162</v>
      </c>
      <c r="N16" s="103">
        <v>0.0162</v>
      </c>
    </row>
    <row r="17" spans="2:14" s="70" customFormat="1" ht="11.25">
      <c r="B17" s="70" t="s">
        <v>32</v>
      </c>
      <c r="C17" s="103">
        <v>0.0468</v>
      </c>
      <c r="D17" s="103">
        <v>0.0468</v>
      </c>
      <c r="E17" s="103">
        <v>0.0468</v>
      </c>
      <c r="F17" s="103">
        <v>0.0468</v>
      </c>
      <c r="G17" s="103">
        <v>0.0468</v>
      </c>
      <c r="H17" s="103">
        <v>0.0468</v>
      </c>
      <c r="I17" s="103">
        <v>0.0468</v>
      </c>
      <c r="J17" s="103">
        <v>0.0468</v>
      </c>
      <c r="K17" s="103">
        <v>0.050600000000000006</v>
      </c>
      <c r="L17" s="103">
        <v>0.050600000000000006</v>
      </c>
      <c r="M17" s="103">
        <v>0.050600000000000006</v>
      </c>
      <c r="N17" s="103">
        <v>0.050600000000000006</v>
      </c>
    </row>
    <row r="18" spans="2:14" s="70" customFormat="1" ht="11.25">
      <c r="B18" s="70" t="s">
        <v>33</v>
      </c>
      <c r="C18" s="103">
        <v>0.0167</v>
      </c>
      <c r="D18" s="103">
        <v>0.0167</v>
      </c>
      <c r="E18" s="103">
        <v>0.0167</v>
      </c>
      <c r="F18" s="103">
        <v>0.0167</v>
      </c>
      <c r="G18" s="103">
        <v>0.0167</v>
      </c>
      <c r="H18" s="103">
        <v>0.0167</v>
      </c>
      <c r="I18" s="103">
        <v>0.0167</v>
      </c>
      <c r="J18" s="103">
        <v>0.0167</v>
      </c>
      <c r="K18" s="103">
        <v>0.0195</v>
      </c>
      <c r="L18" s="103">
        <v>0.0195</v>
      </c>
      <c r="M18" s="103">
        <v>0.0195</v>
      </c>
      <c r="N18" s="103">
        <v>0.0195</v>
      </c>
    </row>
    <row r="19" spans="2:14" s="70" customFormat="1" ht="11.25">
      <c r="B19" s="47" t="s">
        <v>34</v>
      </c>
      <c r="C19" s="103">
        <v>0.001</v>
      </c>
      <c r="D19" s="103">
        <v>0.001</v>
      </c>
      <c r="E19" s="103">
        <v>0.001</v>
      </c>
      <c r="F19" s="103">
        <v>0.001</v>
      </c>
      <c r="G19" s="103">
        <v>0.001</v>
      </c>
      <c r="H19" s="103">
        <v>0.001</v>
      </c>
      <c r="I19" s="103">
        <v>0.001</v>
      </c>
      <c r="J19" s="103">
        <v>0.001</v>
      </c>
      <c r="K19" s="103">
        <v>0.001</v>
      </c>
      <c r="L19" s="103">
        <v>0.001</v>
      </c>
      <c r="M19" s="103">
        <v>0.001</v>
      </c>
      <c r="N19" s="103">
        <v>0.001</v>
      </c>
    </row>
    <row r="20" spans="2:14" s="70" customFormat="1" ht="11.25">
      <c r="B20" s="47" t="s">
        <v>15</v>
      </c>
      <c r="C20" s="103">
        <v>0.159</v>
      </c>
      <c r="D20" s="103">
        <v>0.159</v>
      </c>
      <c r="E20" s="103">
        <v>0.159</v>
      </c>
      <c r="F20" s="103">
        <v>0.159</v>
      </c>
      <c r="G20" s="103">
        <v>0.159</v>
      </c>
      <c r="H20" s="103">
        <v>0.159</v>
      </c>
      <c r="I20" s="103">
        <v>0.159</v>
      </c>
      <c r="J20" s="103">
        <v>0.159</v>
      </c>
      <c r="K20" s="103">
        <v>0.1197</v>
      </c>
      <c r="L20" s="103">
        <v>0.1197</v>
      </c>
      <c r="M20" s="103">
        <v>0.1197</v>
      </c>
      <c r="N20" s="103">
        <v>0.1197</v>
      </c>
    </row>
    <row r="21" spans="2:14" s="70" customFormat="1" ht="11.25">
      <c r="B21" s="70" t="s">
        <v>77</v>
      </c>
      <c r="C21" s="103">
        <v>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</row>
    <row r="22" spans="2:14" s="70" customFormat="1" ht="11.25">
      <c r="B22" s="70" t="s">
        <v>35</v>
      </c>
      <c r="C22" s="103">
        <v>0.1694</v>
      </c>
      <c r="D22" s="103">
        <v>0.1694</v>
      </c>
      <c r="E22" s="103">
        <v>0.1694</v>
      </c>
      <c r="F22" s="103">
        <v>0.1694</v>
      </c>
      <c r="G22" s="103">
        <v>0.1694</v>
      </c>
      <c r="H22" s="103">
        <v>0.1694</v>
      </c>
      <c r="I22" s="103">
        <v>0.1694</v>
      </c>
      <c r="J22" s="103">
        <v>0.1694</v>
      </c>
      <c r="K22" s="103">
        <v>0.2194162752130806</v>
      </c>
      <c r="L22" s="103">
        <v>0.2194162752130806</v>
      </c>
      <c r="M22" s="103">
        <v>0.2194162752130806</v>
      </c>
      <c r="N22" s="103">
        <v>0.2194162752130806</v>
      </c>
    </row>
    <row r="23" spans="2:14" s="70" customFormat="1" ht="11.25">
      <c r="B23" s="70" t="s">
        <v>36</v>
      </c>
      <c r="C23" s="103">
        <v>0.3319</v>
      </c>
      <c r="D23" s="103">
        <v>0.3319</v>
      </c>
      <c r="E23" s="103">
        <v>0.3319</v>
      </c>
      <c r="F23" s="103">
        <v>0.3319</v>
      </c>
      <c r="G23" s="103">
        <v>0.3319</v>
      </c>
      <c r="H23" s="103">
        <v>0.3319</v>
      </c>
      <c r="I23" s="103">
        <v>0.3319</v>
      </c>
      <c r="J23" s="103">
        <v>0.3319</v>
      </c>
      <c r="K23" s="103">
        <v>0.3105</v>
      </c>
      <c r="L23" s="103">
        <v>0.3105</v>
      </c>
      <c r="M23" s="103">
        <v>0.3105</v>
      </c>
      <c r="N23" s="103">
        <v>0.3105</v>
      </c>
    </row>
    <row r="24" spans="3:14" ht="11.25">
      <c r="C24" s="71">
        <v>1</v>
      </c>
      <c r="D24" s="71">
        <v>1</v>
      </c>
      <c r="E24" s="71">
        <v>1</v>
      </c>
      <c r="F24" s="71">
        <v>1</v>
      </c>
      <c r="G24" s="71">
        <v>1</v>
      </c>
      <c r="H24" s="71">
        <v>1</v>
      </c>
      <c r="I24" s="71">
        <v>1</v>
      </c>
      <c r="J24" s="71">
        <v>1</v>
      </c>
      <c r="K24" s="71">
        <v>1</v>
      </c>
      <c r="L24" s="141">
        <v>1</v>
      </c>
      <c r="M24" s="71">
        <v>1</v>
      </c>
      <c r="N24" s="71">
        <v>1</v>
      </c>
    </row>
    <row r="26" ht="11.25">
      <c r="A26" s="61" t="s">
        <v>37</v>
      </c>
    </row>
    <row r="27" spans="2:14" ht="11.25">
      <c r="B27" s="47" t="s">
        <v>16</v>
      </c>
      <c r="C27" s="57">
        <f aca="true" t="shared" si="3" ref="C27:C37">+C$10*C13</f>
        <v>0</v>
      </c>
      <c r="D27" s="57">
        <f aca="true" t="shared" si="4" ref="D27:N27">+D$10*D13</f>
        <v>0</v>
      </c>
      <c r="E27" s="57">
        <f t="shared" si="4"/>
        <v>0</v>
      </c>
      <c r="F27" s="57">
        <f t="shared" si="4"/>
        <v>0</v>
      </c>
      <c r="G27" s="57">
        <f t="shared" si="4"/>
        <v>0</v>
      </c>
      <c r="H27" s="57">
        <f t="shared" si="4"/>
        <v>0</v>
      </c>
      <c r="I27" s="57">
        <f t="shared" si="4"/>
        <v>0</v>
      </c>
      <c r="J27" s="57">
        <f t="shared" si="4"/>
        <v>0</v>
      </c>
      <c r="K27" s="57">
        <f t="shared" si="4"/>
        <v>0</v>
      </c>
      <c r="L27" s="142">
        <f t="shared" si="4"/>
        <v>0</v>
      </c>
      <c r="M27" s="57">
        <f t="shared" si="4"/>
        <v>0</v>
      </c>
      <c r="N27" s="57">
        <f t="shared" si="4"/>
        <v>0</v>
      </c>
    </row>
    <row r="28" spans="2:14" ht="11.25">
      <c r="B28" s="47" t="s">
        <v>20</v>
      </c>
      <c r="C28" s="57">
        <f t="shared" si="3"/>
        <v>22.20405368787313</v>
      </c>
      <c r="D28" s="57">
        <f aca="true" t="shared" si="5" ref="D28:N28">+D$10*D14</f>
        <v>21.48864760432398</v>
      </c>
      <c r="E28" s="57">
        <f t="shared" si="5"/>
        <v>19.36316517407537</v>
      </c>
      <c r="F28" s="57">
        <f t="shared" si="5"/>
        <v>20.64566575688694</v>
      </c>
      <c r="G28" s="57">
        <f t="shared" si="5"/>
        <v>21.023997914958418</v>
      </c>
      <c r="H28" s="57">
        <f t="shared" si="5"/>
        <v>20.672065247639175</v>
      </c>
      <c r="I28" s="57">
        <f t="shared" si="5"/>
        <v>21.043789697901</v>
      </c>
      <c r="J28" s="57">
        <f t="shared" si="5"/>
        <v>22.40359953573705</v>
      </c>
      <c r="K28" s="57">
        <f t="shared" si="5"/>
        <v>21.832750560112864</v>
      </c>
      <c r="L28" s="142">
        <f t="shared" si="5"/>
        <v>19.00702708297585</v>
      </c>
      <c r="M28" s="57">
        <f t="shared" si="5"/>
        <v>17.776726100982206</v>
      </c>
      <c r="N28" s="57">
        <f t="shared" si="5"/>
        <v>19.513720118765274</v>
      </c>
    </row>
    <row r="29" spans="2:14" ht="11.25">
      <c r="B29" s="47" t="s">
        <v>30</v>
      </c>
      <c r="C29" s="57">
        <f t="shared" si="3"/>
        <v>0</v>
      </c>
      <c r="D29" s="57">
        <f aca="true" t="shared" si="6" ref="D29:N29">+D$10*D15</f>
        <v>0</v>
      </c>
      <c r="E29" s="57">
        <f t="shared" si="6"/>
        <v>0</v>
      </c>
      <c r="F29" s="57">
        <f t="shared" si="6"/>
        <v>0</v>
      </c>
      <c r="G29" s="57">
        <f t="shared" si="6"/>
        <v>0</v>
      </c>
      <c r="H29" s="57">
        <f t="shared" si="6"/>
        <v>0</v>
      </c>
      <c r="I29" s="57">
        <f t="shared" si="6"/>
        <v>0</v>
      </c>
      <c r="J29" s="57">
        <f t="shared" si="6"/>
        <v>0</v>
      </c>
      <c r="K29" s="57">
        <f t="shared" si="6"/>
        <v>0</v>
      </c>
      <c r="L29" s="142">
        <f t="shared" si="6"/>
        <v>0</v>
      </c>
      <c r="M29" s="57">
        <f t="shared" si="6"/>
        <v>0</v>
      </c>
      <c r="N29" s="57">
        <f t="shared" si="6"/>
        <v>0</v>
      </c>
    </row>
    <row r="30" spans="2:14" ht="11.25">
      <c r="B30" s="47" t="s">
        <v>31</v>
      </c>
      <c r="C30" s="57">
        <f t="shared" si="3"/>
        <v>1.2890473305916352</v>
      </c>
      <c r="D30" s="57">
        <f aca="true" t="shared" si="7" ref="D30:N30">+D$10*D16</f>
        <v>1.2475147205893584</v>
      </c>
      <c r="E30" s="57">
        <f t="shared" si="7"/>
        <v>1.12412070022506</v>
      </c>
      <c r="F30" s="57">
        <f t="shared" si="7"/>
        <v>1.1985757513609874</v>
      </c>
      <c r="G30" s="57">
        <f t="shared" si="7"/>
        <v>1.2205396713413</v>
      </c>
      <c r="H30" s="57">
        <f t="shared" si="7"/>
        <v>1.2001083630886258</v>
      </c>
      <c r="I30" s="57">
        <f t="shared" si="7"/>
        <v>1.2216886752722227</v>
      </c>
      <c r="J30" s="57">
        <f t="shared" si="7"/>
        <v>1.30063188385094</v>
      </c>
      <c r="K30" s="57">
        <f t="shared" si="7"/>
        <v>1.3443198748530154</v>
      </c>
      <c r="L30" s="142">
        <f t="shared" si="7"/>
        <v>1.1703300598411581</v>
      </c>
      <c r="M30" s="57">
        <f t="shared" si="7"/>
        <v>1.094576065510877</v>
      </c>
      <c r="N30" s="57">
        <f t="shared" si="7"/>
        <v>1.2015289468795038</v>
      </c>
    </row>
    <row r="31" spans="2:14" ht="11.25">
      <c r="B31" s="47" t="s">
        <v>32</v>
      </c>
      <c r="C31" s="57">
        <f t="shared" si="3"/>
        <v>3.9951930511052</v>
      </c>
      <c r="D31" s="57">
        <f aca="true" t="shared" si="8" ref="D31:N31">+D$10*D17</f>
        <v>3.866469465137879</v>
      </c>
      <c r="E31" s="57">
        <f t="shared" si="8"/>
        <v>3.4840297199028347</v>
      </c>
      <c r="F31" s="57">
        <f t="shared" si="8"/>
        <v>3.7147910704433253</v>
      </c>
      <c r="G31" s="57">
        <f t="shared" si="8"/>
        <v>3.782864676739923</v>
      </c>
      <c r="H31" s="57">
        <f t="shared" si="8"/>
        <v>3.71954115182435</v>
      </c>
      <c r="I31" s="57">
        <f t="shared" si="8"/>
        <v>3.786425827996028</v>
      </c>
      <c r="J31" s="57">
        <f t="shared" si="8"/>
        <v>4.03109749431947</v>
      </c>
      <c r="K31" s="57">
        <f t="shared" si="8"/>
        <v>4.198925041207567</v>
      </c>
      <c r="L31" s="142">
        <f t="shared" si="8"/>
        <v>3.6554753720964577</v>
      </c>
      <c r="M31" s="57">
        <f t="shared" si="8"/>
        <v>3.4188610441265666</v>
      </c>
      <c r="N31" s="57">
        <f t="shared" si="8"/>
        <v>3.752923747660673</v>
      </c>
    </row>
    <row r="32" spans="2:14" ht="11.25">
      <c r="B32" s="47" t="s">
        <v>33</v>
      </c>
      <c r="C32" s="57">
        <f t="shared" si="3"/>
        <v>1.4256351272106162</v>
      </c>
      <c r="D32" s="57">
        <f aca="true" t="shared" si="9" ref="D32:N32">+D$10*D18</f>
        <v>1.3797017108504823</v>
      </c>
      <c r="E32" s="57">
        <f t="shared" si="9"/>
        <v>1.2432328274012252</v>
      </c>
      <c r="F32" s="57">
        <f t="shared" si="9"/>
        <v>1.325577155478708</v>
      </c>
      <c r="G32" s="57">
        <f t="shared" si="9"/>
        <v>1.3498683782383913</v>
      </c>
      <c r="H32" s="57">
        <f t="shared" si="9"/>
        <v>1.3272721631509965</v>
      </c>
      <c r="I32" s="57">
        <f t="shared" si="9"/>
        <v>1.3511391309302065</v>
      </c>
      <c r="J32" s="57">
        <f t="shared" si="9"/>
        <v>1.4384471828020329</v>
      </c>
      <c r="K32" s="57">
        <f t="shared" si="9"/>
        <v>1.6181628123230742</v>
      </c>
      <c r="L32" s="142">
        <f t="shared" si="9"/>
        <v>1.4087306275865794</v>
      </c>
      <c r="M32" s="57">
        <f t="shared" si="9"/>
        <v>1.3175452640408705</v>
      </c>
      <c r="N32" s="57">
        <f t="shared" si="9"/>
        <v>1.4462848434660696</v>
      </c>
    </row>
    <row r="33" spans="2:14" ht="11.25">
      <c r="B33" s="47" t="s">
        <v>34</v>
      </c>
      <c r="C33" s="57">
        <f t="shared" si="3"/>
        <v>0.08536737288686325</v>
      </c>
      <c r="D33" s="57">
        <f aca="true" t="shared" si="10" ref="D33:N33">+D$10*D19</f>
        <v>0.08261686891320254</v>
      </c>
      <c r="E33" s="57">
        <f t="shared" si="10"/>
        <v>0.0744450794851033</v>
      </c>
      <c r="F33" s="57">
        <f t="shared" si="10"/>
        <v>0.07937587757357532</v>
      </c>
      <c r="G33" s="57">
        <f t="shared" si="10"/>
        <v>0.08083044181068212</v>
      </c>
      <c r="H33" s="57">
        <f t="shared" si="10"/>
        <v>0.07947737503898183</v>
      </c>
      <c r="I33" s="57">
        <f t="shared" si="10"/>
        <v>0.08090653478623992</v>
      </c>
      <c r="J33" s="57">
        <f t="shared" si="10"/>
        <v>0.0861345618444331</v>
      </c>
      <c r="K33" s="57">
        <f t="shared" si="10"/>
        <v>0.08298270832426022</v>
      </c>
      <c r="L33" s="142">
        <f t="shared" si="10"/>
        <v>0.07224259628649125</v>
      </c>
      <c r="M33" s="57">
        <f t="shared" si="10"/>
        <v>0.06756642379696771</v>
      </c>
      <c r="N33" s="57">
        <f t="shared" si="10"/>
        <v>0.07416845351108049</v>
      </c>
    </row>
    <row r="34" spans="2:14" ht="11.25">
      <c r="B34" s="47" t="s">
        <v>15</v>
      </c>
      <c r="C34" s="57">
        <f t="shared" si="3"/>
        <v>13.573412289011257</v>
      </c>
      <c r="D34" s="57">
        <f aca="true" t="shared" si="11" ref="D34:N34">+D$10*D20</f>
        <v>13.136082157199203</v>
      </c>
      <c r="E34" s="57">
        <f t="shared" si="11"/>
        <v>11.836767638131425</v>
      </c>
      <c r="F34" s="57">
        <f t="shared" si="11"/>
        <v>12.620764534198477</v>
      </c>
      <c r="G34" s="57">
        <f t="shared" si="11"/>
        <v>12.852040247898456</v>
      </c>
      <c r="H34" s="57">
        <f t="shared" si="11"/>
        <v>12.636902631198112</v>
      </c>
      <c r="I34" s="57">
        <f t="shared" si="11"/>
        <v>12.864139031012147</v>
      </c>
      <c r="J34" s="57">
        <f t="shared" si="11"/>
        <v>13.695395333264864</v>
      </c>
      <c r="K34" s="57">
        <f t="shared" si="11"/>
        <v>9.933030186413948</v>
      </c>
      <c r="L34" s="142">
        <f t="shared" si="11"/>
        <v>8.647438775493002</v>
      </c>
      <c r="M34" s="57">
        <f t="shared" si="11"/>
        <v>8.087700928497036</v>
      </c>
      <c r="N34" s="57">
        <f t="shared" si="11"/>
        <v>8.877963885276333</v>
      </c>
    </row>
    <row r="35" spans="2:14" ht="11.25">
      <c r="B35" s="70" t="s">
        <v>77</v>
      </c>
      <c r="C35" s="57">
        <f t="shared" si="3"/>
        <v>0</v>
      </c>
      <c r="D35" s="57">
        <f aca="true" t="shared" si="12" ref="D35:N35">+D$10*D21</f>
        <v>0</v>
      </c>
      <c r="E35" s="57">
        <f t="shared" si="12"/>
        <v>0</v>
      </c>
      <c r="F35" s="57">
        <f t="shared" si="12"/>
        <v>0</v>
      </c>
      <c r="G35" s="57">
        <f t="shared" si="12"/>
        <v>0</v>
      </c>
      <c r="H35" s="57">
        <f t="shared" si="12"/>
        <v>0</v>
      </c>
      <c r="I35" s="57">
        <f t="shared" si="12"/>
        <v>0</v>
      </c>
      <c r="J35" s="57">
        <f t="shared" si="12"/>
        <v>0</v>
      </c>
      <c r="K35" s="57">
        <f t="shared" si="12"/>
        <v>0</v>
      </c>
      <c r="L35" s="142">
        <f t="shared" si="12"/>
        <v>0</v>
      </c>
      <c r="M35" s="57">
        <f t="shared" si="12"/>
        <v>0</v>
      </c>
      <c r="N35" s="57">
        <f t="shared" si="12"/>
        <v>0</v>
      </c>
    </row>
    <row r="36" spans="2:14" ht="11.25">
      <c r="B36" s="47" t="s">
        <v>35</v>
      </c>
      <c r="C36" s="57">
        <f t="shared" si="3"/>
        <v>14.461232967034634</v>
      </c>
      <c r="D36" s="57">
        <f aca="true" t="shared" si="13" ref="D36:N36">+D$10*D22</f>
        <v>13.99529759389651</v>
      </c>
      <c r="E36" s="57">
        <f t="shared" si="13"/>
        <v>12.6109964647765</v>
      </c>
      <c r="F36" s="57">
        <f t="shared" si="13"/>
        <v>13.446273660963659</v>
      </c>
      <c r="G36" s="57">
        <f t="shared" si="13"/>
        <v>13.69267684272955</v>
      </c>
      <c r="H36" s="57">
        <f t="shared" si="13"/>
        <v>13.463467331603523</v>
      </c>
      <c r="I36" s="57">
        <f t="shared" si="13"/>
        <v>13.705566992789041</v>
      </c>
      <c r="J36" s="57">
        <f t="shared" si="13"/>
        <v>14.591194776446969</v>
      </c>
      <c r="K36" s="57">
        <f t="shared" si="13"/>
        <v>18.207756767602675</v>
      </c>
      <c r="L36" s="142">
        <f t="shared" si="13"/>
        <v>15.851201388904238</v>
      </c>
      <c r="M36" s="57">
        <f t="shared" si="13"/>
        <v>14.825173038999106</v>
      </c>
      <c r="N36" s="57">
        <f t="shared" si="13"/>
        <v>16.27376580771581</v>
      </c>
    </row>
    <row r="37" spans="2:14" ht="11.25">
      <c r="B37" s="47" t="s">
        <v>36</v>
      </c>
      <c r="C37" s="68">
        <f t="shared" si="3"/>
        <v>28.33343106114991</v>
      </c>
      <c r="D37" s="68">
        <f aca="true" t="shared" si="14" ref="D37:N37">+D$10*D23</f>
        <v>27.42053879229192</v>
      </c>
      <c r="E37" s="68">
        <f t="shared" si="14"/>
        <v>24.708321881105785</v>
      </c>
      <c r="F37" s="68">
        <f t="shared" si="14"/>
        <v>26.344853766669647</v>
      </c>
      <c r="G37" s="68">
        <f t="shared" si="14"/>
        <v>26.82762363696539</v>
      </c>
      <c r="H37" s="68">
        <f t="shared" si="14"/>
        <v>26.37854077543807</v>
      </c>
      <c r="I37" s="68">
        <f t="shared" si="14"/>
        <v>26.852878895553026</v>
      </c>
      <c r="J37" s="68">
        <f t="shared" si="14"/>
        <v>28.588061076167346</v>
      </c>
      <c r="K37" s="68">
        <f t="shared" si="14"/>
        <v>25.766130934682796</v>
      </c>
      <c r="L37" s="139">
        <f t="shared" si="14"/>
        <v>22.431326146955534</v>
      </c>
      <c r="M37" s="68">
        <f t="shared" si="14"/>
        <v>20.979374588958475</v>
      </c>
      <c r="N37" s="68">
        <f t="shared" si="14"/>
        <v>23.02930481519049</v>
      </c>
    </row>
    <row r="38" spans="3:14" ht="11.25">
      <c r="C38" s="57">
        <f>SUM(C27:C37)</f>
        <v>85.36737288686325</v>
      </c>
      <c r="D38" s="57">
        <f aca="true" t="shared" si="15" ref="D38:N38">SUM(D27:D37)</f>
        <v>82.61686891320254</v>
      </c>
      <c r="E38" s="57">
        <f t="shared" si="15"/>
        <v>74.4450794851033</v>
      </c>
      <c r="F38" s="57">
        <f t="shared" si="15"/>
        <v>79.37587757357532</v>
      </c>
      <c r="G38" s="57">
        <f t="shared" si="15"/>
        <v>80.83044181068212</v>
      </c>
      <c r="H38" s="57">
        <f t="shared" si="15"/>
        <v>79.47737503898183</v>
      </c>
      <c r="I38" s="57">
        <f t="shared" si="15"/>
        <v>80.90653478623992</v>
      </c>
      <c r="J38" s="57">
        <f t="shared" si="15"/>
        <v>86.13456184443311</v>
      </c>
      <c r="K38" s="57">
        <f t="shared" si="15"/>
        <v>82.9840588855202</v>
      </c>
      <c r="L38" s="142">
        <f t="shared" si="15"/>
        <v>72.24377205013931</v>
      </c>
      <c r="M38" s="57">
        <f t="shared" si="15"/>
        <v>67.5675234549121</v>
      </c>
      <c r="N38" s="57">
        <f t="shared" si="15"/>
        <v>74.16966061846524</v>
      </c>
    </row>
    <row r="40" ht="11.25">
      <c r="A40" s="61" t="s">
        <v>38</v>
      </c>
    </row>
    <row r="41" spans="2:14" ht="11.25">
      <c r="B41" s="47" t="s">
        <v>16</v>
      </c>
      <c r="C41" s="72">
        <v>1</v>
      </c>
      <c r="D41" s="73">
        <v>1</v>
      </c>
      <c r="E41" s="73">
        <v>1</v>
      </c>
      <c r="F41" s="73">
        <v>1</v>
      </c>
      <c r="G41" s="73">
        <v>1</v>
      </c>
      <c r="H41" s="73">
        <v>1</v>
      </c>
      <c r="I41" s="73">
        <v>1</v>
      </c>
      <c r="J41" s="73">
        <v>1</v>
      </c>
      <c r="K41" s="73">
        <v>1</v>
      </c>
      <c r="L41" s="67">
        <v>1</v>
      </c>
      <c r="M41" s="73">
        <v>1</v>
      </c>
      <c r="N41" s="73">
        <v>1</v>
      </c>
    </row>
    <row r="42" spans="2:14" ht="11.25">
      <c r="B42" s="47" t="s">
        <v>20</v>
      </c>
      <c r="C42" s="72">
        <v>1</v>
      </c>
      <c r="D42" s="73">
        <v>1</v>
      </c>
      <c r="E42" s="73">
        <v>1</v>
      </c>
      <c r="F42" s="73">
        <v>1</v>
      </c>
      <c r="G42" s="73">
        <v>1</v>
      </c>
      <c r="H42" s="73">
        <v>1</v>
      </c>
      <c r="I42" s="73">
        <v>1</v>
      </c>
      <c r="J42" s="73">
        <v>1</v>
      </c>
      <c r="K42" s="73">
        <v>1</v>
      </c>
      <c r="L42" s="67">
        <v>1</v>
      </c>
      <c r="M42" s="73">
        <v>1</v>
      </c>
      <c r="N42" s="73">
        <v>1</v>
      </c>
    </row>
    <row r="43" spans="2:14" ht="11.25">
      <c r="B43" s="47" t="s">
        <v>30</v>
      </c>
      <c r="C43" s="72">
        <v>1</v>
      </c>
      <c r="D43" s="73">
        <v>1</v>
      </c>
      <c r="E43" s="73">
        <v>1</v>
      </c>
      <c r="F43" s="73">
        <v>1</v>
      </c>
      <c r="G43" s="73">
        <v>1</v>
      </c>
      <c r="H43" s="73">
        <v>1</v>
      </c>
      <c r="I43" s="73">
        <v>1</v>
      </c>
      <c r="J43" s="73">
        <v>1</v>
      </c>
      <c r="K43" s="73">
        <v>1</v>
      </c>
      <c r="L43" s="67">
        <v>1</v>
      </c>
      <c r="M43" s="73">
        <v>1</v>
      </c>
      <c r="N43" s="73">
        <v>1</v>
      </c>
    </row>
    <row r="44" spans="2:14" ht="11.25">
      <c r="B44" s="47" t="s">
        <v>31</v>
      </c>
      <c r="C44" s="72">
        <v>1</v>
      </c>
      <c r="D44" s="73">
        <v>1</v>
      </c>
      <c r="E44" s="73">
        <v>1</v>
      </c>
      <c r="F44" s="73">
        <v>1</v>
      </c>
      <c r="G44" s="73">
        <v>1</v>
      </c>
      <c r="H44" s="73">
        <v>1</v>
      </c>
      <c r="I44" s="73">
        <v>1</v>
      </c>
      <c r="J44" s="73">
        <v>1</v>
      </c>
      <c r="K44" s="73">
        <v>1</v>
      </c>
      <c r="L44" s="67">
        <v>1</v>
      </c>
      <c r="M44" s="73">
        <v>1</v>
      </c>
      <c r="N44" s="73">
        <v>1</v>
      </c>
    </row>
    <row r="45" spans="2:14" ht="11.25">
      <c r="B45" s="47" t="s">
        <v>32</v>
      </c>
      <c r="C45" s="72">
        <v>1</v>
      </c>
      <c r="D45" s="73">
        <v>1</v>
      </c>
      <c r="E45" s="73">
        <v>1</v>
      </c>
      <c r="F45" s="73">
        <v>1</v>
      </c>
      <c r="G45" s="73">
        <v>1</v>
      </c>
      <c r="H45" s="73">
        <v>1</v>
      </c>
      <c r="I45" s="73">
        <v>1</v>
      </c>
      <c r="J45" s="73">
        <v>1</v>
      </c>
      <c r="K45" s="73">
        <v>1</v>
      </c>
      <c r="L45" s="67">
        <v>1</v>
      </c>
      <c r="M45" s="73">
        <v>1</v>
      </c>
      <c r="N45" s="73">
        <v>1</v>
      </c>
    </row>
    <row r="46" spans="2:14" ht="11.25">
      <c r="B46" s="47" t="s">
        <v>33</v>
      </c>
      <c r="C46" s="72">
        <v>1</v>
      </c>
      <c r="D46" s="73">
        <v>1</v>
      </c>
      <c r="E46" s="73">
        <v>1</v>
      </c>
      <c r="F46" s="73">
        <v>1</v>
      </c>
      <c r="G46" s="73">
        <v>1</v>
      </c>
      <c r="H46" s="73">
        <v>1</v>
      </c>
      <c r="I46" s="73">
        <v>1</v>
      </c>
      <c r="J46" s="73">
        <v>1</v>
      </c>
      <c r="K46" s="73">
        <v>1</v>
      </c>
      <c r="L46" s="67">
        <v>1</v>
      </c>
      <c r="M46" s="73">
        <v>1</v>
      </c>
      <c r="N46" s="73">
        <v>1</v>
      </c>
    </row>
    <row r="47" spans="2:14" ht="11.25">
      <c r="B47" s="47" t="s">
        <v>34</v>
      </c>
      <c r="C47" s="72">
        <v>1</v>
      </c>
      <c r="D47" s="73">
        <v>1</v>
      </c>
      <c r="E47" s="73">
        <v>1</v>
      </c>
      <c r="F47" s="73">
        <v>1</v>
      </c>
      <c r="G47" s="73">
        <v>1</v>
      </c>
      <c r="H47" s="73">
        <v>1</v>
      </c>
      <c r="I47" s="73">
        <v>1</v>
      </c>
      <c r="J47" s="73">
        <v>1</v>
      </c>
      <c r="K47" s="73">
        <v>1</v>
      </c>
      <c r="L47" s="67">
        <v>1</v>
      </c>
      <c r="M47" s="73">
        <v>1</v>
      </c>
      <c r="N47" s="73">
        <v>1</v>
      </c>
    </row>
    <row r="48" spans="2:14" ht="11.25">
      <c r="B48" s="47" t="s">
        <v>15</v>
      </c>
      <c r="C48" s="72">
        <v>1</v>
      </c>
      <c r="D48" s="73">
        <v>1</v>
      </c>
      <c r="E48" s="73">
        <v>1</v>
      </c>
      <c r="F48" s="73">
        <v>1</v>
      </c>
      <c r="G48" s="73">
        <v>1</v>
      </c>
      <c r="H48" s="73">
        <v>1</v>
      </c>
      <c r="I48" s="73">
        <v>1</v>
      </c>
      <c r="J48" s="73">
        <v>1</v>
      </c>
      <c r="K48" s="73">
        <v>1</v>
      </c>
      <c r="L48" s="67">
        <v>1</v>
      </c>
      <c r="M48" s="73">
        <v>1</v>
      </c>
      <c r="N48" s="73">
        <v>1</v>
      </c>
    </row>
    <row r="49" spans="2:14" ht="11.25">
      <c r="B49" s="70" t="s">
        <v>77</v>
      </c>
      <c r="C49" s="72">
        <v>1</v>
      </c>
      <c r="D49" s="73">
        <v>1</v>
      </c>
      <c r="E49" s="73">
        <v>1</v>
      </c>
      <c r="F49" s="73">
        <v>1</v>
      </c>
      <c r="G49" s="73">
        <v>1</v>
      </c>
      <c r="H49" s="73">
        <v>1</v>
      </c>
      <c r="I49" s="73">
        <v>1</v>
      </c>
      <c r="J49" s="73">
        <v>1</v>
      </c>
      <c r="K49" s="73">
        <v>1</v>
      </c>
      <c r="L49" s="67">
        <v>1</v>
      </c>
      <c r="M49" s="73">
        <v>1</v>
      </c>
      <c r="N49" s="73">
        <v>1</v>
      </c>
    </row>
    <row r="50" spans="2:14" ht="11.25">
      <c r="B50" s="47" t="s">
        <v>35</v>
      </c>
      <c r="C50" s="72">
        <v>1</v>
      </c>
      <c r="D50" s="73">
        <v>1</v>
      </c>
      <c r="E50" s="73">
        <v>1</v>
      </c>
      <c r="F50" s="73">
        <v>1</v>
      </c>
      <c r="G50" s="73">
        <v>1</v>
      </c>
      <c r="H50" s="73">
        <v>1</v>
      </c>
      <c r="I50" s="73">
        <v>1</v>
      </c>
      <c r="J50" s="73">
        <v>1</v>
      </c>
      <c r="K50" s="73">
        <v>1</v>
      </c>
      <c r="L50" s="67">
        <v>1</v>
      </c>
      <c r="M50" s="73">
        <v>1</v>
      </c>
      <c r="N50" s="73">
        <v>1</v>
      </c>
    </row>
    <row r="51" spans="3:14" ht="14.25" customHeight="1">
      <c r="C51" s="71"/>
      <c r="D51" s="73"/>
      <c r="E51" s="73"/>
      <c r="F51" s="73"/>
      <c r="G51" s="73"/>
      <c r="H51" s="73"/>
      <c r="I51" s="73"/>
      <c r="J51" s="73"/>
      <c r="K51" s="73"/>
      <c r="L51" s="67"/>
      <c r="M51" s="73"/>
      <c r="N51" s="73"/>
    </row>
    <row r="52" spans="1:14" ht="11.25">
      <c r="A52" s="47" t="s">
        <v>36</v>
      </c>
      <c r="C52" s="71">
        <f>+C65/C37</f>
        <v>1.0000000000000002</v>
      </c>
      <c r="D52" s="73">
        <v>1</v>
      </c>
      <c r="E52" s="73">
        <v>1</v>
      </c>
      <c r="F52" s="73">
        <v>1</v>
      </c>
      <c r="G52" s="73">
        <v>1</v>
      </c>
      <c r="H52" s="73">
        <v>1</v>
      </c>
      <c r="I52" s="73">
        <v>1</v>
      </c>
      <c r="J52" s="73">
        <v>1</v>
      </c>
      <c r="K52" s="73">
        <v>1</v>
      </c>
      <c r="L52" s="67">
        <v>1</v>
      </c>
      <c r="M52" s="73">
        <v>1</v>
      </c>
      <c r="N52" s="73">
        <v>1</v>
      </c>
    </row>
    <row r="53" spans="12:14" ht="11.25">
      <c r="L53" s="141"/>
      <c r="N53" s="73"/>
    </row>
    <row r="54" spans="1:14" ht="11.25">
      <c r="A54" s="61" t="s">
        <v>39</v>
      </c>
      <c r="L54" s="141"/>
      <c r="N54" s="73"/>
    </row>
    <row r="55" spans="2:14" ht="11.25">
      <c r="B55" s="47" t="s">
        <v>16</v>
      </c>
      <c r="C55" s="57">
        <f>+C27*C41</f>
        <v>0</v>
      </c>
      <c r="D55" s="57">
        <f aca="true" t="shared" si="16" ref="D55:N55">+D27*D41</f>
        <v>0</v>
      </c>
      <c r="E55" s="57">
        <f t="shared" si="16"/>
        <v>0</v>
      </c>
      <c r="F55" s="57">
        <f t="shared" si="16"/>
        <v>0</v>
      </c>
      <c r="G55" s="57">
        <f t="shared" si="16"/>
        <v>0</v>
      </c>
      <c r="H55" s="57">
        <f t="shared" si="16"/>
        <v>0</v>
      </c>
      <c r="I55" s="57">
        <f t="shared" si="16"/>
        <v>0</v>
      </c>
      <c r="J55" s="57">
        <f t="shared" si="16"/>
        <v>0</v>
      </c>
      <c r="K55" s="57">
        <f t="shared" si="16"/>
        <v>0</v>
      </c>
      <c r="L55" s="142">
        <f t="shared" si="16"/>
        <v>0</v>
      </c>
      <c r="M55" s="57">
        <f t="shared" si="16"/>
        <v>0</v>
      </c>
      <c r="N55" s="57">
        <f t="shared" si="16"/>
        <v>0</v>
      </c>
    </row>
    <row r="56" spans="2:14" ht="11.25">
      <c r="B56" s="47" t="s">
        <v>20</v>
      </c>
      <c r="C56" s="57">
        <f aca="true" t="shared" si="17" ref="C56:N56">+C28*C42</f>
        <v>22.20405368787313</v>
      </c>
      <c r="D56" s="57">
        <f t="shared" si="17"/>
        <v>21.48864760432398</v>
      </c>
      <c r="E56" s="57">
        <f t="shared" si="17"/>
        <v>19.36316517407537</v>
      </c>
      <c r="F56" s="57">
        <f t="shared" si="17"/>
        <v>20.64566575688694</v>
      </c>
      <c r="G56" s="57">
        <f t="shared" si="17"/>
        <v>21.023997914958418</v>
      </c>
      <c r="H56" s="57">
        <f t="shared" si="17"/>
        <v>20.672065247639175</v>
      </c>
      <c r="I56" s="57">
        <f t="shared" si="17"/>
        <v>21.043789697901</v>
      </c>
      <c r="J56" s="57">
        <f t="shared" si="17"/>
        <v>22.40359953573705</v>
      </c>
      <c r="K56" s="57">
        <f t="shared" si="17"/>
        <v>21.832750560112864</v>
      </c>
      <c r="L56" s="142">
        <f t="shared" si="17"/>
        <v>19.00702708297585</v>
      </c>
      <c r="M56" s="57">
        <f t="shared" si="17"/>
        <v>17.776726100982206</v>
      </c>
      <c r="N56" s="57">
        <f t="shared" si="17"/>
        <v>19.513720118765274</v>
      </c>
    </row>
    <row r="57" spans="2:14" ht="11.25">
      <c r="B57" s="47" t="s">
        <v>30</v>
      </c>
      <c r="C57" s="57">
        <f aca="true" t="shared" si="18" ref="C57:N57">+C29*C43</f>
        <v>0</v>
      </c>
      <c r="D57" s="57">
        <f t="shared" si="18"/>
        <v>0</v>
      </c>
      <c r="E57" s="57">
        <f t="shared" si="18"/>
        <v>0</v>
      </c>
      <c r="F57" s="57">
        <f t="shared" si="18"/>
        <v>0</v>
      </c>
      <c r="G57" s="57">
        <f t="shared" si="18"/>
        <v>0</v>
      </c>
      <c r="H57" s="57">
        <f t="shared" si="18"/>
        <v>0</v>
      </c>
      <c r="I57" s="57">
        <f t="shared" si="18"/>
        <v>0</v>
      </c>
      <c r="J57" s="57">
        <f t="shared" si="18"/>
        <v>0</v>
      </c>
      <c r="K57" s="57">
        <f t="shared" si="18"/>
        <v>0</v>
      </c>
      <c r="L57" s="142">
        <f t="shared" si="18"/>
        <v>0</v>
      </c>
      <c r="M57" s="57">
        <f t="shared" si="18"/>
        <v>0</v>
      </c>
      <c r="N57" s="57">
        <f t="shared" si="18"/>
        <v>0</v>
      </c>
    </row>
    <row r="58" spans="2:14" ht="11.25">
      <c r="B58" s="47" t="s">
        <v>31</v>
      </c>
      <c r="C58" s="57">
        <f aca="true" t="shared" si="19" ref="C58:N58">+C30*C44</f>
        <v>1.2890473305916352</v>
      </c>
      <c r="D58" s="57">
        <f t="shared" si="19"/>
        <v>1.2475147205893584</v>
      </c>
      <c r="E58" s="57">
        <f t="shared" si="19"/>
        <v>1.12412070022506</v>
      </c>
      <c r="F58" s="57">
        <f t="shared" si="19"/>
        <v>1.1985757513609874</v>
      </c>
      <c r="G58" s="57">
        <f t="shared" si="19"/>
        <v>1.2205396713413</v>
      </c>
      <c r="H58" s="57">
        <f t="shared" si="19"/>
        <v>1.2001083630886258</v>
      </c>
      <c r="I58" s="57">
        <f t="shared" si="19"/>
        <v>1.2216886752722227</v>
      </c>
      <c r="J58" s="57">
        <f t="shared" si="19"/>
        <v>1.30063188385094</v>
      </c>
      <c r="K58" s="57">
        <f t="shared" si="19"/>
        <v>1.3443198748530154</v>
      </c>
      <c r="L58" s="142">
        <f t="shared" si="19"/>
        <v>1.1703300598411581</v>
      </c>
      <c r="M58" s="57">
        <f t="shared" si="19"/>
        <v>1.094576065510877</v>
      </c>
      <c r="N58" s="57">
        <f t="shared" si="19"/>
        <v>1.2015289468795038</v>
      </c>
    </row>
    <row r="59" spans="2:14" ht="11.25">
      <c r="B59" s="47" t="s">
        <v>32</v>
      </c>
      <c r="C59" s="57">
        <f aca="true" t="shared" si="20" ref="C59:N59">+C31*C45</f>
        <v>3.9951930511052</v>
      </c>
      <c r="D59" s="57">
        <f t="shared" si="20"/>
        <v>3.866469465137879</v>
      </c>
      <c r="E59" s="57">
        <f t="shared" si="20"/>
        <v>3.4840297199028347</v>
      </c>
      <c r="F59" s="57">
        <f t="shared" si="20"/>
        <v>3.7147910704433253</v>
      </c>
      <c r="G59" s="57">
        <f t="shared" si="20"/>
        <v>3.782864676739923</v>
      </c>
      <c r="H59" s="57">
        <f t="shared" si="20"/>
        <v>3.71954115182435</v>
      </c>
      <c r="I59" s="57">
        <f t="shared" si="20"/>
        <v>3.786425827996028</v>
      </c>
      <c r="J59" s="57">
        <f t="shared" si="20"/>
        <v>4.03109749431947</v>
      </c>
      <c r="K59" s="57">
        <f t="shared" si="20"/>
        <v>4.198925041207567</v>
      </c>
      <c r="L59" s="142">
        <f t="shared" si="20"/>
        <v>3.6554753720964577</v>
      </c>
      <c r="M59" s="57">
        <f t="shared" si="20"/>
        <v>3.4188610441265666</v>
      </c>
      <c r="N59" s="57">
        <f t="shared" si="20"/>
        <v>3.752923747660673</v>
      </c>
    </row>
    <row r="60" spans="2:14" ht="11.25">
      <c r="B60" s="47" t="s">
        <v>33</v>
      </c>
      <c r="C60" s="74">
        <f aca="true" t="shared" si="21" ref="C60:N60">+C32*C46</f>
        <v>1.4256351272106162</v>
      </c>
      <c r="D60" s="74">
        <f t="shared" si="21"/>
        <v>1.3797017108504823</v>
      </c>
      <c r="E60" s="74">
        <f t="shared" si="21"/>
        <v>1.2432328274012252</v>
      </c>
      <c r="F60" s="74">
        <f t="shared" si="21"/>
        <v>1.325577155478708</v>
      </c>
      <c r="G60" s="74">
        <f t="shared" si="21"/>
        <v>1.3498683782383913</v>
      </c>
      <c r="H60" s="74">
        <f t="shared" si="21"/>
        <v>1.3272721631509965</v>
      </c>
      <c r="I60" s="74">
        <f t="shared" si="21"/>
        <v>1.3511391309302065</v>
      </c>
      <c r="J60" s="74">
        <f t="shared" si="21"/>
        <v>1.4384471828020329</v>
      </c>
      <c r="K60" s="74">
        <f t="shared" si="21"/>
        <v>1.6181628123230742</v>
      </c>
      <c r="L60" s="143">
        <f t="shared" si="21"/>
        <v>1.4087306275865794</v>
      </c>
      <c r="M60" s="74">
        <f t="shared" si="21"/>
        <v>1.3175452640408705</v>
      </c>
      <c r="N60" s="74">
        <f t="shared" si="21"/>
        <v>1.4462848434660696</v>
      </c>
    </row>
    <row r="61" spans="2:14" ht="11.25">
      <c r="B61" s="47" t="s">
        <v>34</v>
      </c>
      <c r="C61" s="57">
        <f aca="true" t="shared" si="22" ref="C61:N61">+C33*C47</f>
        <v>0.08536737288686325</v>
      </c>
      <c r="D61" s="57">
        <f t="shared" si="22"/>
        <v>0.08261686891320254</v>
      </c>
      <c r="E61" s="57">
        <f t="shared" si="22"/>
        <v>0.0744450794851033</v>
      </c>
      <c r="F61" s="57">
        <f t="shared" si="22"/>
        <v>0.07937587757357532</v>
      </c>
      <c r="G61" s="57">
        <f t="shared" si="22"/>
        <v>0.08083044181068212</v>
      </c>
      <c r="H61" s="57">
        <f t="shared" si="22"/>
        <v>0.07947737503898183</v>
      </c>
      <c r="I61" s="57">
        <f t="shared" si="22"/>
        <v>0.08090653478623992</v>
      </c>
      <c r="J61" s="57">
        <f t="shared" si="22"/>
        <v>0.0861345618444331</v>
      </c>
      <c r="K61" s="57">
        <f t="shared" si="22"/>
        <v>0.08298270832426022</v>
      </c>
      <c r="L61" s="142">
        <f t="shared" si="22"/>
        <v>0.07224259628649125</v>
      </c>
      <c r="M61" s="57">
        <f t="shared" si="22"/>
        <v>0.06756642379696771</v>
      </c>
      <c r="N61" s="57">
        <f t="shared" si="22"/>
        <v>0.07416845351108049</v>
      </c>
    </row>
    <row r="62" spans="2:14" ht="11.25">
      <c r="B62" s="47" t="s">
        <v>27</v>
      </c>
      <c r="C62" s="57">
        <f aca="true" t="shared" si="23" ref="C62:N62">+C34*C48</f>
        <v>13.573412289011257</v>
      </c>
      <c r="D62" s="57">
        <f t="shared" si="23"/>
        <v>13.136082157199203</v>
      </c>
      <c r="E62" s="57">
        <f t="shared" si="23"/>
        <v>11.836767638131425</v>
      </c>
      <c r="F62" s="57">
        <f t="shared" si="23"/>
        <v>12.620764534198477</v>
      </c>
      <c r="G62" s="57">
        <f t="shared" si="23"/>
        <v>12.852040247898456</v>
      </c>
      <c r="H62" s="57">
        <f t="shared" si="23"/>
        <v>12.636902631198112</v>
      </c>
      <c r="I62" s="57">
        <f t="shared" si="23"/>
        <v>12.864139031012147</v>
      </c>
      <c r="J62" s="57">
        <f t="shared" si="23"/>
        <v>13.695395333264864</v>
      </c>
      <c r="K62" s="57">
        <f t="shared" si="23"/>
        <v>9.933030186413948</v>
      </c>
      <c r="L62" s="142">
        <f t="shared" si="23"/>
        <v>8.647438775493002</v>
      </c>
      <c r="M62" s="57">
        <f t="shared" si="23"/>
        <v>8.087700928497036</v>
      </c>
      <c r="N62" s="57">
        <f t="shared" si="23"/>
        <v>8.877963885276333</v>
      </c>
    </row>
    <row r="63" spans="2:14" ht="11.25">
      <c r="B63" s="70" t="s">
        <v>77</v>
      </c>
      <c r="C63" s="57">
        <f aca="true" t="shared" si="24" ref="C63:N63">+C35*C49</f>
        <v>0</v>
      </c>
      <c r="D63" s="57">
        <f t="shared" si="24"/>
        <v>0</v>
      </c>
      <c r="E63" s="57">
        <f t="shared" si="24"/>
        <v>0</v>
      </c>
      <c r="F63" s="57">
        <f t="shared" si="24"/>
        <v>0</v>
      </c>
      <c r="G63" s="57">
        <f t="shared" si="24"/>
        <v>0</v>
      </c>
      <c r="H63" s="57">
        <f t="shared" si="24"/>
        <v>0</v>
      </c>
      <c r="I63" s="57">
        <f t="shared" si="24"/>
        <v>0</v>
      </c>
      <c r="J63" s="57">
        <f t="shared" si="24"/>
        <v>0</v>
      </c>
      <c r="K63" s="57">
        <f t="shared" si="24"/>
        <v>0</v>
      </c>
      <c r="L63" s="142">
        <f t="shared" si="24"/>
        <v>0</v>
      </c>
      <c r="M63" s="57">
        <f t="shared" si="24"/>
        <v>0</v>
      </c>
      <c r="N63" s="57">
        <f t="shared" si="24"/>
        <v>0</v>
      </c>
    </row>
    <row r="64" spans="2:14" ht="11.25">
      <c r="B64" s="47" t="s">
        <v>35</v>
      </c>
      <c r="C64" s="57">
        <f aca="true" t="shared" si="25" ref="C64:N64">+C36*C50</f>
        <v>14.461232967034634</v>
      </c>
      <c r="D64" s="57">
        <f t="shared" si="25"/>
        <v>13.99529759389651</v>
      </c>
      <c r="E64" s="57">
        <f t="shared" si="25"/>
        <v>12.6109964647765</v>
      </c>
      <c r="F64" s="57">
        <f t="shared" si="25"/>
        <v>13.446273660963659</v>
      </c>
      <c r="G64" s="57">
        <f t="shared" si="25"/>
        <v>13.69267684272955</v>
      </c>
      <c r="H64" s="57">
        <f t="shared" si="25"/>
        <v>13.463467331603523</v>
      </c>
      <c r="I64" s="57">
        <f t="shared" si="25"/>
        <v>13.705566992789041</v>
      </c>
      <c r="J64" s="57">
        <f t="shared" si="25"/>
        <v>14.591194776446969</v>
      </c>
      <c r="K64" s="57">
        <f t="shared" si="25"/>
        <v>18.207756767602675</v>
      </c>
      <c r="L64" s="142">
        <f t="shared" si="25"/>
        <v>15.851201388904238</v>
      </c>
      <c r="M64" s="57">
        <f t="shared" si="25"/>
        <v>14.825173038999106</v>
      </c>
      <c r="N64" s="57">
        <f t="shared" si="25"/>
        <v>16.27376580771581</v>
      </c>
    </row>
    <row r="65" spans="2:14" ht="11.25">
      <c r="B65" s="47" t="s">
        <v>36</v>
      </c>
      <c r="C65" s="68">
        <f aca="true" t="shared" si="26" ref="C65:N65">+C7-SUM(C55:C64)</f>
        <v>28.333431061149916</v>
      </c>
      <c r="D65" s="68">
        <f t="shared" si="26"/>
        <v>27.42053879229192</v>
      </c>
      <c r="E65" s="68">
        <f t="shared" si="26"/>
        <v>24.70832188110579</v>
      </c>
      <c r="F65" s="68">
        <f t="shared" si="26"/>
        <v>26.344853766669644</v>
      </c>
      <c r="G65" s="68">
        <f t="shared" si="26"/>
        <v>26.8276236369654</v>
      </c>
      <c r="H65" s="68">
        <f t="shared" si="26"/>
        <v>26.37854077543807</v>
      </c>
      <c r="I65" s="68">
        <f t="shared" si="26"/>
        <v>26.852878895553033</v>
      </c>
      <c r="J65" s="68">
        <f t="shared" si="26"/>
        <v>28.58806107616735</v>
      </c>
      <c r="K65" s="68">
        <f t="shared" si="26"/>
        <v>25.764780373422816</v>
      </c>
      <c r="L65" s="139">
        <f t="shared" si="26"/>
        <v>22.430150383307478</v>
      </c>
      <c r="M65" s="68">
        <f t="shared" si="26"/>
        <v>20.978274931014084</v>
      </c>
      <c r="N65" s="68">
        <f t="shared" si="26"/>
        <v>23.028097707805735</v>
      </c>
    </row>
    <row r="66" spans="3:14" ht="11.25">
      <c r="C66" s="57">
        <f aca="true" t="shared" si="27" ref="C66:N66">SUM(C55:C65)</f>
        <v>85.36737288686325</v>
      </c>
      <c r="D66" s="57">
        <f t="shared" si="27"/>
        <v>82.61686891320254</v>
      </c>
      <c r="E66" s="57">
        <f t="shared" si="27"/>
        <v>74.4450794851033</v>
      </c>
      <c r="F66" s="57">
        <f t="shared" si="27"/>
        <v>79.37587757357532</v>
      </c>
      <c r="G66" s="57">
        <f t="shared" si="27"/>
        <v>80.83044181068212</v>
      </c>
      <c r="H66" s="57">
        <f t="shared" si="27"/>
        <v>79.47737503898183</v>
      </c>
      <c r="I66" s="57">
        <f t="shared" si="27"/>
        <v>80.90653478623992</v>
      </c>
      <c r="J66" s="57">
        <f t="shared" si="27"/>
        <v>86.13456184443311</v>
      </c>
      <c r="K66" s="57">
        <f t="shared" si="27"/>
        <v>82.98270832426022</v>
      </c>
      <c r="L66" s="142">
        <f t="shared" si="27"/>
        <v>72.24259628649125</v>
      </c>
      <c r="M66" s="57">
        <f t="shared" si="27"/>
        <v>67.56642379696771</v>
      </c>
      <c r="N66" s="57">
        <f t="shared" si="27"/>
        <v>74.16845351108049</v>
      </c>
    </row>
    <row r="67" ht="7.5" customHeight="1"/>
    <row r="68" spans="1:5" ht="11.25">
      <c r="A68" s="75" t="s">
        <v>40</v>
      </c>
      <c r="E68" s="47" t="s">
        <v>63</v>
      </c>
    </row>
    <row r="69" spans="2:14" ht="11.25">
      <c r="B69" s="47" t="s">
        <v>16</v>
      </c>
      <c r="C69" s="191">
        <v>0</v>
      </c>
      <c r="D69" s="191">
        <v>0</v>
      </c>
      <c r="E69" s="191">
        <v>0</v>
      </c>
      <c r="F69" s="191">
        <v>0</v>
      </c>
      <c r="G69" s="192">
        <v>0</v>
      </c>
      <c r="H69" s="192">
        <v>0</v>
      </c>
      <c r="I69" s="191">
        <v>0</v>
      </c>
      <c r="J69" s="191">
        <v>0</v>
      </c>
      <c r="K69" s="191">
        <v>0</v>
      </c>
      <c r="L69" s="193">
        <v>0</v>
      </c>
      <c r="M69" s="193">
        <v>0</v>
      </c>
      <c r="N69" s="191">
        <v>0</v>
      </c>
    </row>
    <row r="70" spans="2:16" ht="11.25">
      <c r="B70" s="47" t="s">
        <v>20</v>
      </c>
      <c r="C70" s="191">
        <v>80.80000000000001</v>
      </c>
      <c r="D70" s="191">
        <v>70.512</v>
      </c>
      <c r="E70" s="191">
        <v>74.88</v>
      </c>
      <c r="F70" s="191">
        <v>73.28</v>
      </c>
      <c r="G70" s="192">
        <v>82.84800000000001</v>
      </c>
      <c r="H70" s="192">
        <v>100.03200000000001</v>
      </c>
      <c r="I70" s="191">
        <v>85.44</v>
      </c>
      <c r="J70" s="191">
        <v>89.49600000000001</v>
      </c>
      <c r="K70" s="191">
        <v>100.12</v>
      </c>
      <c r="L70" s="191">
        <v>102.18400000000001</v>
      </c>
      <c r="M70" s="191">
        <v>111.48</v>
      </c>
      <c r="N70" s="191">
        <v>114.512</v>
      </c>
      <c r="P70" s="138"/>
    </row>
    <row r="71" spans="2:16" ht="11.25">
      <c r="B71" s="47" t="s">
        <v>30</v>
      </c>
      <c r="C71" s="191"/>
      <c r="D71" s="191"/>
      <c r="E71" s="191"/>
      <c r="F71" s="191"/>
      <c r="G71" s="192"/>
      <c r="H71" s="192"/>
      <c r="I71" s="191"/>
      <c r="J71" s="191"/>
      <c r="K71" s="191"/>
      <c r="L71" s="191"/>
      <c r="M71" s="191"/>
      <c r="N71" s="191"/>
      <c r="P71" s="138"/>
    </row>
    <row r="72" spans="2:16" ht="11.25">
      <c r="B72" s="47" t="s">
        <v>31</v>
      </c>
      <c r="C72" s="191">
        <v>92.48</v>
      </c>
      <c r="D72" s="191">
        <v>74.792</v>
      </c>
      <c r="E72" s="191">
        <v>76.84</v>
      </c>
      <c r="F72" s="191">
        <v>67.04</v>
      </c>
      <c r="G72" s="192">
        <v>63.512</v>
      </c>
      <c r="H72" s="192">
        <v>73.512</v>
      </c>
      <c r="I72" s="191">
        <v>83.272</v>
      </c>
      <c r="J72" s="191">
        <v>72.072</v>
      </c>
      <c r="K72" s="191">
        <v>70.968</v>
      </c>
      <c r="L72" s="191">
        <v>104.80799999999999</v>
      </c>
      <c r="M72" s="191">
        <v>90.08</v>
      </c>
      <c r="N72" s="191">
        <v>91.54400000000001</v>
      </c>
      <c r="P72" s="138"/>
    </row>
    <row r="73" spans="2:16" ht="11.25">
      <c r="B73" s="47" t="s">
        <v>32</v>
      </c>
      <c r="C73" s="191">
        <v>157.58863247863246</v>
      </c>
      <c r="D73" s="191">
        <v>84.2263247863248</v>
      </c>
      <c r="E73" s="191">
        <v>18.462829059829062</v>
      </c>
      <c r="F73" s="191">
        <v>9.420952991452996</v>
      </c>
      <c r="G73" s="192">
        <v>-21.72244444444444</v>
      </c>
      <c r="H73" s="192">
        <v>12.714162393162391</v>
      </c>
      <c r="I73" s="191">
        <v>-18.60464957264958</v>
      </c>
      <c r="J73" s="191">
        <v>12.315025641025647</v>
      </c>
      <c r="K73" s="191">
        <v>23.630869565217395</v>
      </c>
      <c r="L73" s="191">
        <v>-115.20189723320162</v>
      </c>
      <c r="M73" s="191">
        <v>-124.37162055335969</v>
      </c>
      <c r="N73" s="191">
        <v>65.9247233201581</v>
      </c>
      <c r="P73" s="138"/>
    </row>
    <row r="74" spans="2:16" ht="11.25">
      <c r="B74" s="47" t="s">
        <v>33</v>
      </c>
      <c r="C74" s="191">
        <v>1127.976</v>
      </c>
      <c r="D74" s="191">
        <v>1099.104</v>
      </c>
      <c r="E74" s="191">
        <v>1051.7520000000002</v>
      </c>
      <c r="F74" s="191">
        <v>1025.08</v>
      </c>
      <c r="G74" s="192">
        <v>992.04</v>
      </c>
      <c r="H74" s="192">
        <v>1018.896</v>
      </c>
      <c r="I74" s="191">
        <v>1002.088</v>
      </c>
      <c r="J74" s="191">
        <v>976.1040000000002</v>
      </c>
      <c r="K74" s="191">
        <v>1032.008</v>
      </c>
      <c r="L74" s="191">
        <v>1081.872</v>
      </c>
      <c r="M74" s="191">
        <v>1100.1200000000001</v>
      </c>
      <c r="N74" s="191">
        <v>1269.392</v>
      </c>
      <c r="P74" s="138"/>
    </row>
    <row r="75" spans="2:16" ht="11.25">
      <c r="B75" s="47" t="s">
        <v>34</v>
      </c>
      <c r="C75" s="191">
        <v>108.384</v>
      </c>
      <c r="D75" s="191">
        <v>93.632</v>
      </c>
      <c r="E75" s="191">
        <v>93.104</v>
      </c>
      <c r="F75" s="191">
        <v>84.072</v>
      </c>
      <c r="G75" s="192">
        <v>87.736</v>
      </c>
      <c r="H75" s="192">
        <v>98.528</v>
      </c>
      <c r="I75" s="191">
        <v>83.57600000000001</v>
      </c>
      <c r="J75" s="191">
        <v>89.584</v>
      </c>
      <c r="K75" s="191">
        <v>90.72000000000001</v>
      </c>
      <c r="L75" s="191">
        <v>90.256</v>
      </c>
      <c r="M75" s="191">
        <v>80.168</v>
      </c>
      <c r="N75" s="191">
        <v>79.144</v>
      </c>
      <c r="P75" s="138"/>
    </row>
    <row r="76" spans="2:16" ht="11.25">
      <c r="B76" s="47" t="s">
        <v>27</v>
      </c>
      <c r="C76" s="193">
        <v>-65.42</v>
      </c>
      <c r="D76" s="193">
        <v>-77.17</v>
      </c>
      <c r="E76" s="193">
        <v>-75.66</v>
      </c>
      <c r="F76" s="193">
        <v>-73.58</v>
      </c>
      <c r="G76" s="194">
        <v>-69.74</v>
      </c>
      <c r="H76" s="194">
        <v>-59.02</v>
      </c>
      <c r="I76" s="191">
        <v>-65.42</v>
      </c>
      <c r="J76" s="191">
        <v>-96.35</v>
      </c>
      <c r="K76" s="191">
        <v>-60.42</v>
      </c>
      <c r="L76" s="191">
        <v>-55.51</v>
      </c>
      <c r="M76" s="191">
        <v>-53.41</v>
      </c>
      <c r="N76" s="191">
        <v>-63.02</v>
      </c>
      <c r="P76" s="138"/>
    </row>
    <row r="77" spans="2:16" ht="11.25">
      <c r="B77" s="70" t="s">
        <v>77</v>
      </c>
      <c r="C77" s="193">
        <v>0</v>
      </c>
      <c r="D77" s="193">
        <v>0</v>
      </c>
      <c r="E77" s="193">
        <v>0</v>
      </c>
      <c r="F77" s="193">
        <v>0</v>
      </c>
      <c r="G77" s="194">
        <v>0</v>
      </c>
      <c r="H77" s="194">
        <v>0</v>
      </c>
      <c r="I77" s="193">
        <v>0</v>
      </c>
      <c r="J77" s="193">
        <v>0</v>
      </c>
      <c r="K77" s="193">
        <v>0</v>
      </c>
      <c r="L77" s="193">
        <v>0</v>
      </c>
      <c r="M77" s="193">
        <v>0</v>
      </c>
      <c r="N77" s="193">
        <v>0</v>
      </c>
      <c r="P77" s="138"/>
    </row>
    <row r="78" spans="2:14" ht="11.25">
      <c r="B78" s="47" t="s">
        <v>35</v>
      </c>
      <c r="C78" s="193">
        <v>-86.31</v>
      </c>
      <c r="D78" s="193">
        <v>-86.31</v>
      </c>
      <c r="E78" s="193">
        <v>-83.42</v>
      </c>
      <c r="F78" s="193">
        <v>-76.83</v>
      </c>
      <c r="G78" s="194">
        <v>-75.27</v>
      </c>
      <c r="H78" s="194">
        <v>-75.27</v>
      </c>
      <c r="I78" s="193">
        <v>-80.39</v>
      </c>
      <c r="J78" s="193">
        <v>-79.06</v>
      </c>
      <c r="K78" s="193">
        <v>-89.27</v>
      </c>
      <c r="L78" s="193">
        <v>-91.71</v>
      </c>
      <c r="M78" s="193">
        <v>-94.71</v>
      </c>
      <c r="N78" s="193">
        <v>-89.63</v>
      </c>
    </row>
    <row r="79" spans="2:15" ht="11.25">
      <c r="B79" s="47" t="s">
        <v>36</v>
      </c>
      <c r="C79" s="191">
        <v>32.744</v>
      </c>
      <c r="D79" s="191">
        <v>27.008</v>
      </c>
      <c r="E79" s="191">
        <v>15.408000000000001</v>
      </c>
      <c r="F79" s="191">
        <v>17.464</v>
      </c>
      <c r="G79" s="192">
        <v>26.176000000000002</v>
      </c>
      <c r="H79" s="192">
        <v>46.2</v>
      </c>
      <c r="I79" s="191">
        <v>28.6</v>
      </c>
      <c r="J79" s="191">
        <v>42.56</v>
      </c>
      <c r="K79" s="191">
        <v>51.48</v>
      </c>
      <c r="L79" s="191">
        <v>48.488</v>
      </c>
      <c r="M79" s="191">
        <v>50.384</v>
      </c>
      <c r="N79" s="193">
        <v>53.304</v>
      </c>
      <c r="O79" s="87">
        <f>SUM(C69:N79)</f>
        <v>14623.138908432145</v>
      </c>
    </row>
    <row r="80" ht="7.5" customHeight="1"/>
    <row r="81" ht="11.25">
      <c r="A81" s="61" t="s">
        <v>41</v>
      </c>
    </row>
    <row r="82" spans="2:15" ht="11.25">
      <c r="B82" s="47" t="s">
        <v>16</v>
      </c>
      <c r="C82" s="76">
        <f>+C69*C55</f>
        <v>0</v>
      </c>
      <c r="D82" s="57">
        <f aca="true" t="shared" si="28" ref="D82:M82">+D69*D55</f>
        <v>0</v>
      </c>
      <c r="E82" s="57">
        <f t="shared" si="28"/>
        <v>0</v>
      </c>
      <c r="F82" s="57">
        <f t="shared" si="28"/>
        <v>0</v>
      </c>
      <c r="G82" s="57">
        <f t="shared" si="28"/>
        <v>0</v>
      </c>
      <c r="H82" s="57">
        <f t="shared" si="28"/>
        <v>0</v>
      </c>
      <c r="I82" s="57">
        <f t="shared" si="28"/>
        <v>0</v>
      </c>
      <c r="J82" s="57">
        <f t="shared" si="28"/>
        <v>0</v>
      </c>
      <c r="K82" s="57">
        <f t="shared" si="28"/>
        <v>0</v>
      </c>
      <c r="L82" s="142">
        <f t="shared" si="28"/>
        <v>0</v>
      </c>
      <c r="M82" s="57">
        <f t="shared" si="28"/>
        <v>0</v>
      </c>
      <c r="N82" s="57">
        <f>+N69*N55</f>
        <v>0</v>
      </c>
      <c r="O82" s="87">
        <f aca="true" t="shared" si="29" ref="O82:O92">SUM(C82:N82)</f>
        <v>0</v>
      </c>
    </row>
    <row r="83" spans="2:15" ht="11.25">
      <c r="B83" s="47" t="s">
        <v>20</v>
      </c>
      <c r="C83" s="76">
        <f aca="true" t="shared" si="30" ref="C83:N83">+C70*C56</f>
        <v>1794.0875379801491</v>
      </c>
      <c r="D83" s="57">
        <f t="shared" si="30"/>
        <v>1515.2075198760924</v>
      </c>
      <c r="E83" s="57">
        <f t="shared" si="30"/>
        <v>1449.9138082347636</v>
      </c>
      <c r="F83" s="57">
        <f t="shared" si="30"/>
        <v>1512.914386664675</v>
      </c>
      <c r="G83" s="57">
        <f t="shared" si="30"/>
        <v>1741.7961792584754</v>
      </c>
      <c r="H83" s="57">
        <f t="shared" si="30"/>
        <v>2067.8680308518424</v>
      </c>
      <c r="I83" s="57">
        <f t="shared" si="30"/>
        <v>1797.9813917886615</v>
      </c>
      <c r="J83" s="57">
        <f t="shared" si="30"/>
        <v>2005.0325440503234</v>
      </c>
      <c r="K83" s="57">
        <f t="shared" si="30"/>
        <v>2185.8949860785</v>
      </c>
      <c r="L83" s="142">
        <f t="shared" si="30"/>
        <v>1942.2140554468044</v>
      </c>
      <c r="M83" s="57">
        <f t="shared" si="30"/>
        <v>1981.7494257374963</v>
      </c>
      <c r="N83" s="57">
        <f t="shared" si="30"/>
        <v>2234.555118240049</v>
      </c>
      <c r="O83" s="87">
        <f t="shared" si="29"/>
        <v>22229.214984207836</v>
      </c>
    </row>
    <row r="84" spans="2:15" ht="11.25">
      <c r="B84" s="47" t="s">
        <v>30</v>
      </c>
      <c r="C84" s="76">
        <f aca="true" t="shared" si="31" ref="C84:N84">+C71*C57</f>
        <v>0</v>
      </c>
      <c r="D84" s="57">
        <f t="shared" si="31"/>
        <v>0</v>
      </c>
      <c r="E84" s="57">
        <f t="shared" si="31"/>
        <v>0</v>
      </c>
      <c r="F84" s="57">
        <f t="shared" si="31"/>
        <v>0</v>
      </c>
      <c r="G84" s="57">
        <f t="shared" si="31"/>
        <v>0</v>
      </c>
      <c r="H84" s="57">
        <f t="shared" si="31"/>
        <v>0</v>
      </c>
      <c r="I84" s="57">
        <f t="shared" si="31"/>
        <v>0</v>
      </c>
      <c r="J84" s="57">
        <f t="shared" si="31"/>
        <v>0</v>
      </c>
      <c r="K84" s="57">
        <f t="shared" si="31"/>
        <v>0</v>
      </c>
      <c r="L84" s="142">
        <f t="shared" si="31"/>
        <v>0</v>
      </c>
      <c r="M84" s="57">
        <f t="shared" si="31"/>
        <v>0</v>
      </c>
      <c r="N84" s="57">
        <f t="shared" si="31"/>
        <v>0</v>
      </c>
      <c r="O84" s="87">
        <f t="shared" si="29"/>
        <v>0</v>
      </c>
    </row>
    <row r="85" spans="2:15" ht="11.25">
      <c r="B85" s="47" t="s">
        <v>31</v>
      </c>
      <c r="C85" s="76">
        <f aca="true" t="shared" si="32" ref="C85:N85">+C72*C58</f>
        <v>119.21109713311444</v>
      </c>
      <c r="D85" s="57">
        <f t="shared" si="32"/>
        <v>93.30412098231929</v>
      </c>
      <c r="E85" s="57">
        <f t="shared" si="32"/>
        <v>86.37743460529362</v>
      </c>
      <c r="F85" s="57">
        <f t="shared" si="32"/>
        <v>80.3525183712406</v>
      </c>
      <c r="G85" s="57">
        <f t="shared" si="32"/>
        <v>77.51891560622865</v>
      </c>
      <c r="H85" s="57">
        <f t="shared" si="32"/>
        <v>88.22236598737106</v>
      </c>
      <c r="I85" s="57">
        <f t="shared" si="32"/>
        <v>101.73245936726853</v>
      </c>
      <c r="J85" s="57">
        <f t="shared" si="32"/>
        <v>93.73914113290496</v>
      </c>
      <c r="K85" s="57">
        <f t="shared" si="32"/>
        <v>95.4036928785688</v>
      </c>
      <c r="L85" s="142">
        <f t="shared" si="32"/>
        <v>122.6599529118321</v>
      </c>
      <c r="M85" s="57">
        <f t="shared" si="32"/>
        <v>98.59941198121979</v>
      </c>
      <c r="N85" s="57">
        <f t="shared" si="32"/>
        <v>109.99276591313732</v>
      </c>
      <c r="O85" s="87">
        <f t="shared" si="29"/>
        <v>1167.1138768704993</v>
      </c>
    </row>
    <row r="86" spans="2:15" ht="11.25">
      <c r="B86" s="47" t="s">
        <v>32</v>
      </c>
      <c r="C86" s="76">
        <f aca="true" t="shared" si="33" ref="C86:N86">+C73*C59</f>
        <v>629.5970094118037</v>
      </c>
      <c r="D86" s="57">
        <f t="shared" si="33"/>
        <v>325.6585129471105</v>
      </c>
      <c r="E86" s="57">
        <f t="shared" si="33"/>
        <v>64.32504515793016</v>
      </c>
      <c r="F86" s="57">
        <f t="shared" si="33"/>
        <v>34.996872047715925</v>
      </c>
      <c r="G86" s="57">
        <f t="shared" si="33"/>
        <v>-82.17306778133427</v>
      </c>
      <c r="H86" s="57">
        <f t="shared" si="33"/>
        <v>47.29085023234508</v>
      </c>
      <c r="I86" s="57">
        <f t="shared" si="33"/>
        <v>-70.44512566269565</v>
      </c>
      <c r="J86" s="57">
        <f t="shared" si="33"/>
        <v>49.64306900401851</v>
      </c>
      <c r="K86" s="57">
        <f t="shared" si="33"/>
        <v>99.2242499629011</v>
      </c>
      <c r="L86" s="142">
        <f t="shared" si="33"/>
        <v>-421.11769815475554</v>
      </c>
      <c r="M86" s="57">
        <f t="shared" si="33"/>
        <v>-425.2092885047725</v>
      </c>
      <c r="N86" s="57">
        <f t="shared" si="33"/>
        <v>247.4104597061807</v>
      </c>
      <c r="O86" s="87">
        <f t="shared" si="29"/>
        <v>499.20088836644777</v>
      </c>
    </row>
    <row r="87" spans="2:15" ht="11.25">
      <c r="B87" s="47" t="s">
        <v>33</v>
      </c>
      <c r="C87" s="76">
        <f aca="true" t="shared" si="34" ref="C87:N87">+C74*C60</f>
        <v>1608.0822082505222</v>
      </c>
      <c r="D87" s="57">
        <f t="shared" si="34"/>
        <v>1516.4356692026086</v>
      </c>
      <c r="E87" s="57">
        <f t="shared" si="34"/>
        <v>1307.5726126848936</v>
      </c>
      <c r="F87" s="57">
        <f t="shared" si="34"/>
        <v>1358.8226305381138</v>
      </c>
      <c r="G87" s="57">
        <f t="shared" si="34"/>
        <v>1339.1234259476137</v>
      </c>
      <c r="H87" s="57">
        <f t="shared" si="34"/>
        <v>1352.3522979458976</v>
      </c>
      <c r="I87" s="57">
        <f t="shared" si="34"/>
        <v>1353.9603094355887</v>
      </c>
      <c r="J87" s="57">
        <f t="shared" si="34"/>
        <v>1404.0740489217958</v>
      </c>
      <c r="K87" s="57">
        <f t="shared" si="34"/>
        <v>1669.9569676199112</v>
      </c>
      <c r="L87" s="142">
        <f t="shared" si="34"/>
        <v>1524.066221528348</v>
      </c>
      <c r="M87" s="57">
        <f t="shared" si="34"/>
        <v>1449.4578958766426</v>
      </c>
      <c r="N87" s="57">
        <f t="shared" si="34"/>
        <v>1835.9024100170811</v>
      </c>
      <c r="O87" s="87">
        <f t="shared" si="29"/>
        <v>17719.806697969016</v>
      </c>
    </row>
    <row r="88" spans="2:15" ht="11.25">
      <c r="B88" s="47" t="s">
        <v>34</v>
      </c>
      <c r="C88" s="76">
        <f aca="true" t="shared" si="35" ref="C88:N88">+C75*C61</f>
        <v>9.252457342969786</v>
      </c>
      <c r="D88" s="57">
        <f t="shared" si="35"/>
        <v>7.73558267008098</v>
      </c>
      <c r="E88" s="57">
        <f t="shared" si="35"/>
        <v>6.931134680381057</v>
      </c>
      <c r="F88" s="57">
        <f t="shared" si="35"/>
        <v>6.673288779365625</v>
      </c>
      <c r="G88" s="57">
        <f t="shared" si="35"/>
        <v>7.091739642702007</v>
      </c>
      <c r="H88" s="57">
        <f t="shared" si="35"/>
        <v>7.830746807840803</v>
      </c>
      <c r="I88" s="57">
        <f t="shared" si="35"/>
        <v>6.7618445512947885</v>
      </c>
      <c r="J88" s="57">
        <f t="shared" si="35"/>
        <v>7.716278588271695</v>
      </c>
      <c r="K88" s="57">
        <f t="shared" si="35"/>
        <v>7.528191299176888</v>
      </c>
      <c r="L88" s="142">
        <f t="shared" si="35"/>
        <v>6.520327770433554</v>
      </c>
      <c r="M88" s="57">
        <f t="shared" si="35"/>
        <v>5.416665062955309</v>
      </c>
      <c r="N88" s="57">
        <f t="shared" si="35"/>
        <v>5.869988084680955</v>
      </c>
      <c r="O88" s="87">
        <f t="shared" si="29"/>
        <v>85.32824528015342</v>
      </c>
    </row>
    <row r="89" spans="2:15" ht="11.25">
      <c r="B89" s="47" t="s">
        <v>27</v>
      </c>
      <c r="C89" s="76">
        <f aca="true" t="shared" si="36" ref="C89:N89">+C76*C62</f>
        <v>-887.9726319471165</v>
      </c>
      <c r="D89" s="57">
        <f t="shared" si="36"/>
        <v>-1013.7114600710626</v>
      </c>
      <c r="E89" s="57">
        <f t="shared" si="36"/>
        <v>-895.5698395010236</v>
      </c>
      <c r="F89" s="57">
        <f t="shared" si="36"/>
        <v>-928.6358544263239</v>
      </c>
      <c r="G89" s="57">
        <f t="shared" si="36"/>
        <v>-896.3012868884383</v>
      </c>
      <c r="H89" s="57">
        <f t="shared" si="36"/>
        <v>-745.8299932933126</v>
      </c>
      <c r="I89" s="57">
        <f t="shared" si="36"/>
        <v>-841.5719754088148</v>
      </c>
      <c r="J89" s="57">
        <f t="shared" si="36"/>
        <v>-1319.5513403600696</v>
      </c>
      <c r="K89" s="57">
        <f t="shared" si="36"/>
        <v>-600.1536838631307</v>
      </c>
      <c r="L89" s="142">
        <f t="shared" si="36"/>
        <v>-480.01932642761653</v>
      </c>
      <c r="M89" s="57">
        <f t="shared" si="36"/>
        <v>-431.9641065910266</v>
      </c>
      <c r="N89" s="57">
        <f t="shared" si="36"/>
        <v>-559.4892840501145</v>
      </c>
      <c r="O89" s="87">
        <f t="shared" si="29"/>
        <v>-9600.77078282805</v>
      </c>
    </row>
    <row r="90" spans="2:15" ht="11.25">
      <c r="B90" s="70" t="s">
        <v>77</v>
      </c>
      <c r="C90" s="76">
        <f aca="true" t="shared" si="37" ref="C90:N90">+C77*C63</f>
        <v>0</v>
      </c>
      <c r="D90" s="57">
        <f t="shared" si="37"/>
        <v>0</v>
      </c>
      <c r="E90" s="57">
        <f t="shared" si="37"/>
        <v>0</v>
      </c>
      <c r="F90" s="57">
        <f t="shared" si="37"/>
        <v>0</v>
      </c>
      <c r="G90" s="57">
        <f t="shared" si="37"/>
        <v>0</v>
      </c>
      <c r="H90" s="57">
        <f t="shared" si="37"/>
        <v>0</v>
      </c>
      <c r="I90" s="57">
        <f t="shared" si="37"/>
        <v>0</v>
      </c>
      <c r="J90" s="57">
        <f t="shared" si="37"/>
        <v>0</v>
      </c>
      <c r="K90" s="57">
        <f t="shared" si="37"/>
        <v>0</v>
      </c>
      <c r="L90" s="142">
        <f t="shared" si="37"/>
        <v>0</v>
      </c>
      <c r="M90" s="57">
        <f t="shared" si="37"/>
        <v>0</v>
      </c>
      <c r="N90" s="57">
        <f t="shared" si="37"/>
        <v>0</v>
      </c>
      <c r="O90" s="87">
        <f t="shared" si="29"/>
        <v>0</v>
      </c>
    </row>
    <row r="91" spans="2:15" ht="11.25">
      <c r="B91" s="47" t="s">
        <v>35</v>
      </c>
      <c r="C91" s="76">
        <f aca="true" t="shared" si="38" ref="C91:N91">+C78*C64</f>
        <v>-1248.1490173847594</v>
      </c>
      <c r="D91" s="57">
        <f t="shared" si="38"/>
        <v>-1207.9341353292077</v>
      </c>
      <c r="E91" s="57">
        <f t="shared" si="38"/>
        <v>-1052.0093250916557</v>
      </c>
      <c r="F91" s="57">
        <f t="shared" si="38"/>
        <v>-1033.0772053718379</v>
      </c>
      <c r="G91" s="57">
        <f t="shared" si="38"/>
        <v>-1030.6477859522531</v>
      </c>
      <c r="H91" s="57">
        <f t="shared" si="38"/>
        <v>-1013.3951860497971</v>
      </c>
      <c r="I91" s="57">
        <f t="shared" si="38"/>
        <v>-1101.7905305503111</v>
      </c>
      <c r="J91" s="57">
        <f t="shared" si="38"/>
        <v>-1153.5798590258973</v>
      </c>
      <c r="K91" s="57">
        <f t="shared" si="38"/>
        <v>-1625.4064466438906</v>
      </c>
      <c r="L91" s="142">
        <f t="shared" si="38"/>
        <v>-1453.7136793764075</v>
      </c>
      <c r="M91" s="57">
        <f t="shared" si="38"/>
        <v>-1404.0921385236052</v>
      </c>
      <c r="N91" s="57">
        <f t="shared" si="38"/>
        <v>-1458.617629345568</v>
      </c>
      <c r="O91" s="87">
        <f t="shared" si="29"/>
        <v>-14782.412938645191</v>
      </c>
    </row>
    <row r="92" spans="2:15" ht="11.25">
      <c r="B92" s="47" t="s">
        <v>36</v>
      </c>
      <c r="C92" s="77">
        <f aca="true" t="shared" si="39" ref="C92:N92">+C79*C65</f>
        <v>927.7498666662929</v>
      </c>
      <c r="D92" s="68">
        <f t="shared" si="39"/>
        <v>740.5739117022202</v>
      </c>
      <c r="E92" s="68">
        <f t="shared" si="39"/>
        <v>380.70582354407804</v>
      </c>
      <c r="F92" s="68">
        <f t="shared" si="39"/>
        <v>460.08652618111864</v>
      </c>
      <c r="G92" s="68">
        <f t="shared" si="39"/>
        <v>702.2398763212063</v>
      </c>
      <c r="H92" s="68">
        <f t="shared" si="39"/>
        <v>1218.6885838252388</v>
      </c>
      <c r="I92" s="68">
        <f t="shared" si="39"/>
        <v>767.9923364128168</v>
      </c>
      <c r="J92" s="68">
        <f t="shared" si="39"/>
        <v>1216.7078794016825</v>
      </c>
      <c r="K92" s="57">
        <f t="shared" si="39"/>
        <v>1326.3708936238065</v>
      </c>
      <c r="L92" s="142">
        <f t="shared" si="39"/>
        <v>1087.593131785813</v>
      </c>
      <c r="M92" s="57">
        <f t="shared" si="39"/>
        <v>1056.9694041242137</v>
      </c>
      <c r="N92" s="57">
        <f t="shared" si="39"/>
        <v>1227.489720216877</v>
      </c>
      <c r="O92" s="87">
        <f t="shared" si="29"/>
        <v>11113.167953805367</v>
      </c>
    </row>
    <row r="93" spans="1:15" ht="11.25">
      <c r="A93" s="61" t="s">
        <v>42</v>
      </c>
      <c r="B93" s="61"/>
      <c r="C93" s="78">
        <f aca="true" t="shared" si="40" ref="C93:N93">SUM(C82:C92)</f>
        <v>2951.858527452977</v>
      </c>
      <c r="D93" s="79">
        <f t="shared" si="40"/>
        <v>1977.2697219801616</v>
      </c>
      <c r="E93" s="79">
        <f t="shared" si="40"/>
        <v>1348.246694314661</v>
      </c>
      <c r="F93" s="79">
        <f t="shared" si="40"/>
        <v>1492.1331627840677</v>
      </c>
      <c r="G93" s="79">
        <f t="shared" si="40"/>
        <v>1858.6479961542002</v>
      </c>
      <c r="H93" s="79">
        <f t="shared" si="40"/>
        <v>3023.0276963074266</v>
      </c>
      <c r="I93" s="79">
        <f t="shared" si="40"/>
        <v>2014.6207099338094</v>
      </c>
      <c r="J93" s="79">
        <f t="shared" si="40"/>
        <v>2303.7817617130295</v>
      </c>
      <c r="K93" s="86">
        <f t="shared" si="40"/>
        <v>3158.818850955843</v>
      </c>
      <c r="L93" s="144">
        <f t="shared" si="40"/>
        <v>2328.2029854844523</v>
      </c>
      <c r="M93" s="86">
        <f t="shared" si="40"/>
        <v>2330.927269163123</v>
      </c>
      <c r="N93" s="86">
        <f t="shared" si="40"/>
        <v>3643.113548782323</v>
      </c>
      <c r="O93" s="87">
        <f>SUM(C93:N93)</f>
        <v>28430.648925026075</v>
      </c>
    </row>
    <row r="94" spans="1:15" ht="11.25">
      <c r="A94" s="61" t="s">
        <v>43</v>
      </c>
      <c r="B94" s="61"/>
      <c r="C94" s="78">
        <f aca="true" t="shared" si="41" ref="C94:N94">+C93/C66</f>
        <v>34.578298800000006</v>
      </c>
      <c r="D94" s="79">
        <f t="shared" si="41"/>
        <v>23.9330024</v>
      </c>
      <c r="E94" s="79">
        <f t="shared" si="41"/>
        <v>18.110622000000006</v>
      </c>
      <c r="F94" s="79">
        <f t="shared" si="41"/>
        <v>18.798320199999996</v>
      </c>
      <c r="G94" s="79">
        <f t="shared" si="41"/>
        <v>22.994406000000005</v>
      </c>
      <c r="H94" s="79">
        <f t="shared" si="41"/>
        <v>38.03633040000001</v>
      </c>
      <c r="I94" s="79">
        <f t="shared" si="41"/>
        <v>24.900593200000003</v>
      </c>
      <c r="J94" s="79">
        <f t="shared" si="41"/>
        <v>26.746310800000003</v>
      </c>
      <c r="K94" s="105">
        <f t="shared" si="41"/>
        <v>38.06598886375891</v>
      </c>
      <c r="L94" s="145">
        <f t="shared" si="41"/>
        <v>32.22756524767655</v>
      </c>
      <c r="M94" s="105">
        <f t="shared" si="41"/>
        <v>34.498307564233286</v>
      </c>
      <c r="N94" s="105">
        <f t="shared" si="41"/>
        <v>49.11944871869353</v>
      </c>
      <c r="O94" s="87"/>
    </row>
    <row r="95" ht="7.5" customHeight="1"/>
    <row r="96" spans="1:14" ht="11.25">
      <c r="A96" s="61"/>
      <c r="C96" s="87">
        <v>58.24</v>
      </c>
      <c r="D96" s="87">
        <v>76.24</v>
      </c>
      <c r="E96" s="87">
        <v>75.16</v>
      </c>
      <c r="F96" s="87">
        <v>81.6</v>
      </c>
      <c r="G96" s="87">
        <v>81.6</v>
      </c>
      <c r="H96" s="87">
        <v>79.11</v>
      </c>
      <c r="I96" s="87">
        <v>59.76</v>
      </c>
      <c r="J96" s="87">
        <v>42.14</v>
      </c>
      <c r="K96" s="87">
        <v>31.17</v>
      </c>
      <c r="L96" s="87">
        <v>40.52</v>
      </c>
      <c r="M96" s="87">
        <v>45.69</v>
      </c>
      <c r="N96" s="87">
        <v>53.3</v>
      </c>
    </row>
    <row r="97" spans="3:14" ht="11.25">
      <c r="C97" s="76">
        <f>C94-C96</f>
        <v>-23.661701199999996</v>
      </c>
      <c r="D97" s="76">
        <f aca="true" t="shared" si="42" ref="D97:N97">D94-D96</f>
        <v>-52.306997599999995</v>
      </c>
      <c r="E97" s="76">
        <f t="shared" si="42"/>
        <v>-57.04937799999999</v>
      </c>
      <c r="F97" s="76">
        <f t="shared" si="42"/>
        <v>-62.8016798</v>
      </c>
      <c r="G97" s="76">
        <f t="shared" si="42"/>
        <v>-58.60559399999999</v>
      </c>
      <c r="H97" s="76">
        <f t="shared" si="42"/>
        <v>-41.07366959999999</v>
      </c>
      <c r="I97" s="76">
        <f t="shared" si="42"/>
        <v>-34.859406799999995</v>
      </c>
      <c r="J97" s="76">
        <f t="shared" si="42"/>
        <v>-15.393689199999997</v>
      </c>
      <c r="K97" s="76">
        <f t="shared" si="42"/>
        <v>6.895988863758909</v>
      </c>
      <c r="L97" s="76">
        <f t="shared" si="42"/>
        <v>-8.292434752323452</v>
      </c>
      <c r="M97" s="76">
        <f t="shared" si="42"/>
        <v>-11.191692435766711</v>
      </c>
      <c r="N97" s="76">
        <f t="shared" si="42"/>
        <v>-4.180551281306464</v>
      </c>
    </row>
    <row r="98" spans="1:10" ht="11.25">
      <c r="A98" s="61"/>
      <c r="B98" s="61"/>
      <c r="C98" s="78"/>
      <c r="D98" s="78"/>
      <c r="E98" s="78"/>
      <c r="F98" s="78"/>
      <c r="G98" s="78"/>
      <c r="H98" s="78"/>
      <c r="I98" s="78"/>
      <c r="J98" s="82"/>
    </row>
    <row r="99" spans="3:10" ht="7.5" customHeight="1">
      <c r="C99" s="81"/>
      <c r="D99" s="81"/>
      <c r="E99" s="81"/>
      <c r="F99" s="81"/>
      <c r="G99" s="81"/>
      <c r="H99" s="81"/>
      <c r="I99" s="81"/>
      <c r="J99" s="81"/>
    </row>
    <row r="100" spans="1:10" ht="11.25">
      <c r="A100" s="61"/>
      <c r="B100" s="61"/>
      <c r="C100" s="82"/>
      <c r="D100" s="82"/>
      <c r="E100" s="82"/>
      <c r="F100" s="82"/>
      <c r="G100" s="82"/>
      <c r="H100" s="82"/>
      <c r="I100" s="82"/>
      <c r="J100" s="82"/>
    </row>
    <row r="101" spans="3:10" ht="7.5" customHeight="1">
      <c r="C101" s="81"/>
      <c r="D101" s="81"/>
      <c r="E101" s="81"/>
      <c r="F101" s="81"/>
      <c r="G101" s="81"/>
      <c r="H101" s="81"/>
      <c r="I101" s="81"/>
      <c r="J101" s="81"/>
    </row>
    <row r="102" spans="1:10" ht="11.25">
      <c r="A102" s="61"/>
      <c r="C102" s="80"/>
      <c r="D102" s="80"/>
      <c r="E102" s="80"/>
      <c r="F102" s="80"/>
      <c r="G102" s="80"/>
      <c r="H102" s="80"/>
      <c r="I102" s="80"/>
      <c r="J102" s="83"/>
    </row>
    <row r="105" ht="11.25">
      <c r="B105" s="47" t="str">
        <f ca="1">CELL("filename")</f>
        <v>C:\Users\abooth215\AppData\Local\Temp\bca76ca1-7c61-41e8-9b1e-917ef37809d1_02-Lynnwood Commodity Credit Filing - June 2024 (1).zip.9d1\[Lynnwood Multi Family Commodity Credit Template - June 2024.xls]WUTC_AW of Lynnwood_MF</v>
      </c>
    </row>
  </sheetData>
  <sheetProtection/>
  <printOptions/>
  <pageMargins left="0.5" right="0.5" top="0.75" bottom="0.75" header="0.5" footer="0.5"/>
  <pageSetup fitToWidth="0" fitToHeight="1" orientation="portrait" scale="60" r:id="rId3"/>
  <rowBreaks count="1" manualBreakCount="1">
    <brk id="53" max="1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4:F25"/>
  <sheetViews>
    <sheetView showGridLines="0" zoomScalePageLayoutView="0" workbookViewId="0" topLeftCell="A3">
      <selection activeCell="K15" sqref="K15"/>
    </sheetView>
  </sheetViews>
  <sheetFormatPr defaultColWidth="9.140625" defaultRowHeight="12.75"/>
  <cols>
    <col min="1" max="1" width="37.7109375" style="0" bestFit="1" customWidth="1"/>
    <col min="2" max="3" width="11.28125" style="0" bestFit="1" customWidth="1"/>
    <col min="4" max="4" width="12.28125" style="0" bestFit="1" customWidth="1"/>
    <col min="5" max="5" width="11.8515625" style="0" bestFit="1" customWidth="1"/>
    <col min="6" max="6" width="10.7109375" style="0" bestFit="1" customWidth="1"/>
  </cols>
  <sheetData>
    <row r="3" ht="13.5" thickBot="1"/>
    <row r="4" spans="1:3" ht="13.5" thickBot="1">
      <c r="A4" s="211" t="s">
        <v>130</v>
      </c>
      <c r="B4" s="162"/>
      <c r="C4" s="163">
        <f>+Recap!D17</f>
        <v>-39828.84899999999</v>
      </c>
    </row>
    <row r="6" spans="5:6" ht="12.75">
      <c r="E6" s="164" t="s">
        <v>85</v>
      </c>
      <c r="F6" s="164" t="s">
        <v>86</v>
      </c>
    </row>
    <row r="7" spans="1:6" ht="12.75">
      <c r="A7" t="s">
        <v>87</v>
      </c>
      <c r="C7" s="165">
        <f>C4</f>
        <v>-39828.84899999999</v>
      </c>
      <c r="E7" s="167">
        <f>C7*E12</f>
        <v>-34282.7968790571</v>
      </c>
      <c r="F7" s="166">
        <f>C7*F12</f>
        <v>-5546.052120942883</v>
      </c>
    </row>
    <row r="11" spans="1:6" ht="12.75">
      <c r="A11" t="s">
        <v>88</v>
      </c>
      <c r="B11" t="s">
        <v>89</v>
      </c>
      <c r="C11" t="s">
        <v>90</v>
      </c>
      <c r="D11" t="s">
        <v>22</v>
      </c>
      <c r="E11" t="s">
        <v>91</v>
      </c>
      <c r="F11" t="s">
        <v>92</v>
      </c>
    </row>
    <row r="12" spans="1:6" ht="12.75">
      <c r="A12">
        <v>4197</v>
      </c>
      <c r="B12" s="167">
        <f>+Recap!Q13</f>
        <v>87874.33999999998</v>
      </c>
      <c r="C12" s="167">
        <f>+Recap!Q14</f>
        <v>14215.749999999998</v>
      </c>
      <c r="D12" s="167">
        <f>B12+C12</f>
        <v>102090.08999999998</v>
      </c>
      <c r="E12" s="168">
        <f>B12/$D$12</f>
        <v>0.8607528899230081</v>
      </c>
      <c r="F12" s="168">
        <f>C12/$D$12</f>
        <v>0.1392471100769918</v>
      </c>
    </row>
    <row r="20" spans="1:5" ht="12.75">
      <c r="A20" s="160" t="s">
        <v>93</v>
      </c>
      <c r="E20" s="165">
        <f>F7</f>
        <v>-5546.052120942883</v>
      </c>
    </row>
    <row r="22" spans="1:5" ht="12.75">
      <c r="A22" s="160" t="s">
        <v>95</v>
      </c>
      <c r="E22" s="169">
        <f>'WUTC_AW of Lynnwood_MF'!B26</f>
        <v>101086.85319999998</v>
      </c>
    </row>
    <row r="24" spans="1:6" ht="12.75">
      <c r="A24" s="160" t="s">
        <v>94</v>
      </c>
      <c r="E24" s="170">
        <v>0</v>
      </c>
      <c r="F24" t="s">
        <v>128</v>
      </c>
    </row>
    <row r="25" ht="12.75">
      <c r="F25" t="s">
        <v>129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3">
      <selection activeCell="L13" sqref="L13"/>
    </sheetView>
  </sheetViews>
  <sheetFormatPr defaultColWidth="9.140625" defaultRowHeight="12.75"/>
  <cols>
    <col min="1" max="1" width="31.00390625" style="0" customWidth="1"/>
    <col min="2" max="3" width="12.57421875" style="0" bestFit="1" customWidth="1"/>
    <col min="4" max="4" width="25.28125" style="0" customWidth="1"/>
    <col min="5" max="5" width="12.28125" style="0" customWidth="1"/>
    <col min="9" max="9" width="30.28125" style="0" bestFit="1" customWidth="1"/>
    <col min="10" max="10" width="12.28125" style="0" bestFit="1" customWidth="1"/>
    <col min="12" max="12" width="18.421875" style="0" bestFit="1" customWidth="1"/>
    <col min="14" max="14" width="24.8515625" style="0" bestFit="1" customWidth="1"/>
    <col min="17" max="17" width="19.421875" style="0" bestFit="1" customWidth="1"/>
    <col min="19" max="19" width="12.28125" style="0" bestFit="1" customWidth="1"/>
  </cols>
  <sheetData>
    <row r="1" spans="1:19" ht="12.75">
      <c r="A1" s="195" t="s">
        <v>122</v>
      </c>
      <c r="B1" s="196"/>
      <c r="C1" s="196"/>
      <c r="D1" s="195"/>
      <c r="H1" t="s">
        <v>96</v>
      </c>
      <c r="Q1" s="172" t="s">
        <v>97</v>
      </c>
      <c r="S1" t="s">
        <v>98</v>
      </c>
    </row>
    <row r="2" spans="1:17" ht="15.75">
      <c r="A2" s="197" t="s">
        <v>114</v>
      </c>
      <c r="B2" s="207">
        <v>45383</v>
      </c>
      <c r="C2" s="198"/>
      <c r="D2" s="197"/>
      <c r="H2" t="s">
        <v>22</v>
      </c>
      <c r="I2" s="173" t="str">
        <f>"Revenue Retained "</f>
        <v>Revenue Retained </v>
      </c>
      <c r="J2" s="174"/>
      <c r="K2" s="175"/>
      <c r="L2" s="174"/>
      <c r="M2" s="175"/>
      <c r="N2" s="175"/>
      <c r="O2" s="176"/>
      <c r="Q2" s="172"/>
    </row>
    <row r="3" spans="9:17" ht="12.75">
      <c r="I3" s="178" t="s">
        <v>125</v>
      </c>
      <c r="J3" s="177"/>
      <c r="K3" s="178"/>
      <c r="L3" s="177"/>
      <c r="M3" s="178"/>
      <c r="N3" s="178"/>
      <c r="O3" s="179"/>
      <c r="Q3" s="172"/>
    </row>
    <row r="4" spans="2:19" ht="13.5" thickBot="1">
      <c r="B4" s="212" t="s">
        <v>115</v>
      </c>
      <c r="C4" s="212"/>
      <c r="D4" s="213"/>
      <c r="I4" s="160"/>
      <c r="J4" s="180" t="s">
        <v>22</v>
      </c>
      <c r="K4" s="160"/>
      <c r="L4" s="181" t="s">
        <v>99</v>
      </c>
      <c r="M4" s="160"/>
      <c r="N4" s="182" t="s">
        <v>100</v>
      </c>
      <c r="O4" s="160"/>
      <c r="Q4" s="172" t="s">
        <v>101</v>
      </c>
      <c r="S4" t="s">
        <v>98</v>
      </c>
    </row>
    <row r="5" spans="2:19" ht="12.75">
      <c r="B5" s="199" t="s">
        <v>123</v>
      </c>
      <c r="C5" s="199" t="s">
        <v>124</v>
      </c>
      <c r="D5" s="199" t="s">
        <v>22</v>
      </c>
      <c r="I5" t="s">
        <v>102</v>
      </c>
      <c r="J5" s="183">
        <f>L5*2</f>
        <v>175686.35838992673</v>
      </c>
      <c r="K5" s="160"/>
      <c r="L5" s="184">
        <f>L13+L22</f>
        <v>87843.17919496336</v>
      </c>
      <c r="M5" s="160"/>
      <c r="N5" s="184">
        <f>L5</f>
        <v>87843.17919496336</v>
      </c>
      <c r="O5" s="160"/>
      <c r="Q5" s="172">
        <f>Q13+Q22</f>
        <v>87874.33999999998</v>
      </c>
      <c r="S5" s="185">
        <f>L5-Q5</f>
        <v>-31.160805036619422</v>
      </c>
    </row>
    <row r="6" spans="1:19" ht="12.75">
      <c r="A6" s="200" t="s">
        <v>116</v>
      </c>
      <c r="B6" s="195">
        <v>129666.42000000001</v>
      </c>
      <c r="C6" s="195">
        <v>0</v>
      </c>
      <c r="D6" s="195">
        <f>SUM(B6:C6)</f>
        <v>129666.42000000001</v>
      </c>
      <c r="I6" t="s">
        <v>103</v>
      </c>
      <c r="J6" s="183">
        <f>L6*2</f>
        <v>28425.02522308073</v>
      </c>
      <c r="K6" s="160"/>
      <c r="L6" s="184">
        <f>L14+L23</f>
        <v>14212.512611540365</v>
      </c>
      <c r="M6" s="160"/>
      <c r="N6" s="184">
        <f>L6</f>
        <v>14212.512611540365</v>
      </c>
      <c r="O6" s="160"/>
      <c r="Q6" s="172">
        <f>Q14+Q23</f>
        <v>14215.749999999998</v>
      </c>
      <c r="S6" s="185">
        <f>L6-Q6</f>
        <v>-3.2373884596327116</v>
      </c>
    </row>
    <row r="7" spans="1:4" ht="12.75">
      <c r="A7" s="201" t="s">
        <v>117</v>
      </c>
      <c r="B7" s="196">
        <v>0</v>
      </c>
      <c r="C7" s="196">
        <v>0</v>
      </c>
      <c r="D7" s="196">
        <f>SUM(B7:C7)</f>
        <v>0</v>
      </c>
    </row>
    <row r="8" spans="1:19" ht="13.5" thickBot="1">
      <c r="A8" s="201" t="s">
        <v>118</v>
      </c>
      <c r="B8" s="208">
        <v>5499.96</v>
      </c>
      <c r="C8" s="196">
        <v>0</v>
      </c>
      <c r="D8" s="196">
        <f>SUM(B8:C8)</f>
        <v>5499.96</v>
      </c>
      <c r="I8" s="186" t="s">
        <v>104</v>
      </c>
      <c r="J8" s="187">
        <f>SUM(J5:J6)</f>
        <v>204111.38361300746</v>
      </c>
      <c r="K8" s="160"/>
      <c r="L8" s="187">
        <f>SUM(L5:L6)</f>
        <v>102055.69180650373</v>
      </c>
      <c r="M8" s="188"/>
      <c r="N8" s="187">
        <f>SUM(N5:N6)</f>
        <v>102055.69180650373</v>
      </c>
      <c r="O8" s="185"/>
      <c r="Q8" s="187">
        <f>SUM(Q5:Q6)</f>
        <v>102090.08999999998</v>
      </c>
      <c r="S8" s="187">
        <f>L8-Q8</f>
        <v>-34.398193496250315</v>
      </c>
    </row>
    <row r="9" spans="1:4" ht="12.75">
      <c r="A9" s="201" t="s">
        <v>119</v>
      </c>
      <c r="B9" s="202">
        <v>6758.319</v>
      </c>
      <c r="C9" s="196">
        <v>0</v>
      </c>
      <c r="D9" s="196">
        <f>B9+C9</f>
        <v>6758.319</v>
      </c>
    </row>
    <row r="10" spans="1:15" ht="15.75">
      <c r="A10" s="203" t="s">
        <v>22</v>
      </c>
      <c r="B10" s="204">
        <v>141924.699</v>
      </c>
      <c r="C10" s="204">
        <v>0</v>
      </c>
      <c r="D10" s="204">
        <f>SUM(D6:D9)</f>
        <v>141924.699</v>
      </c>
      <c r="H10" t="s">
        <v>105</v>
      </c>
      <c r="I10" s="173" t="str">
        <f>"Revenue Retained "</f>
        <v>Revenue Retained </v>
      </c>
      <c r="J10" s="174"/>
      <c r="K10" s="175"/>
      <c r="L10" s="174"/>
      <c r="M10" s="175"/>
      <c r="N10" s="175"/>
      <c r="O10" s="176"/>
    </row>
    <row r="11" ht="12.75">
      <c r="I11" s="178" t="s">
        <v>126</v>
      </c>
    </row>
    <row r="12" spans="2:19" ht="13.5" thickBot="1">
      <c r="B12" s="212" t="s">
        <v>120</v>
      </c>
      <c r="C12" s="212"/>
      <c r="D12" s="213"/>
      <c r="J12" s="180" t="s">
        <v>22</v>
      </c>
      <c r="K12" s="160"/>
      <c r="L12" s="181" t="s">
        <v>99</v>
      </c>
      <c r="M12" s="160"/>
      <c r="N12" s="182" t="s">
        <v>100</v>
      </c>
      <c r="Q12" s="172" t="s">
        <v>101</v>
      </c>
      <c r="S12" t="s">
        <v>98</v>
      </c>
    </row>
    <row r="13" spans="2:19" ht="12.75">
      <c r="B13" s="199" t="s">
        <v>123</v>
      </c>
      <c r="C13" s="199" t="s">
        <v>124</v>
      </c>
      <c r="D13" s="199" t="s">
        <v>22</v>
      </c>
      <c r="I13" t="s">
        <v>102</v>
      </c>
      <c r="J13" s="183">
        <f>L13*2</f>
        <v>175686.35838992673</v>
      </c>
      <c r="K13" s="160"/>
      <c r="L13" s="189">
        <v>87843.17919496336</v>
      </c>
      <c r="M13" s="160"/>
      <c r="N13" s="184">
        <f>L13</f>
        <v>87843.17919496336</v>
      </c>
      <c r="Q13" s="190">
        <v>87874.33999999998</v>
      </c>
      <c r="S13" s="185">
        <f>L13-Q13</f>
        <v>-31.160805036619422</v>
      </c>
    </row>
    <row r="14" spans="2:19" ht="12.75">
      <c r="B14" s="195">
        <v>102095.85</v>
      </c>
      <c r="C14" s="195">
        <v>0</v>
      </c>
      <c r="D14" s="195">
        <v>102095.85</v>
      </c>
      <c r="I14" t="s">
        <v>103</v>
      </c>
      <c r="J14" s="183">
        <f>L14*2</f>
        <v>28425.02522308073</v>
      </c>
      <c r="K14" s="160"/>
      <c r="L14" s="189">
        <v>14212.512611540365</v>
      </c>
      <c r="M14" s="160"/>
      <c r="N14" s="184">
        <f>L14</f>
        <v>14212.512611540365</v>
      </c>
      <c r="Q14" s="190">
        <v>14215.749999999998</v>
      </c>
      <c r="S14" s="185">
        <f>L14-Q14</f>
        <v>-3.2373884596327116</v>
      </c>
    </row>
    <row r="16" spans="2:19" ht="13.5" thickBot="1">
      <c r="B16" s="212" t="s">
        <v>121</v>
      </c>
      <c r="C16" s="212"/>
      <c r="D16" s="213"/>
      <c r="I16" s="186" t="s">
        <v>104</v>
      </c>
      <c r="J16" s="187">
        <f>SUM(J13:J14)</f>
        <v>204111.38361300746</v>
      </c>
      <c r="K16" s="160"/>
      <c r="L16" s="187">
        <f>SUM(L13:L14)</f>
        <v>102055.69180650373</v>
      </c>
      <c r="M16" s="188"/>
      <c r="N16" s="187">
        <f>SUM(N13:N14)</f>
        <v>102055.69180650373</v>
      </c>
      <c r="Q16" s="187">
        <f>SUM(Q13:Q14)</f>
        <v>102090.08999999998</v>
      </c>
      <c r="S16" s="187">
        <f>L16-Q16</f>
        <v>-34.398193496250315</v>
      </c>
    </row>
    <row r="17" spans="2:4" ht="12.75">
      <c r="B17" s="205"/>
      <c r="C17" s="205"/>
      <c r="D17" s="209">
        <f>D14-D10</f>
        <v>-39828.84899999999</v>
      </c>
    </row>
    <row r="18" spans="8:14" ht="15.75">
      <c r="H18" t="s">
        <v>106</v>
      </c>
      <c r="I18" s="173" t="str">
        <f>"Revenue Retained "</f>
        <v>Revenue Retained </v>
      </c>
      <c r="J18" s="174"/>
      <c r="K18" s="175"/>
      <c r="L18" s="174"/>
      <c r="M18" s="175"/>
      <c r="N18" s="175"/>
    </row>
    <row r="19" spans="9:14" ht="12.75">
      <c r="I19" s="178" t="s">
        <v>127</v>
      </c>
      <c r="J19" s="177"/>
      <c r="K19" s="178"/>
      <c r="L19" s="177"/>
      <c r="M19" s="178"/>
      <c r="N19" s="178"/>
    </row>
    <row r="20" ht="12.75">
      <c r="F20" s="210"/>
    </row>
    <row r="21" spans="6:19" ht="13.5" thickBot="1">
      <c r="F21" s="210"/>
      <c r="J21" s="180" t="s">
        <v>22</v>
      </c>
      <c r="K21" s="160"/>
      <c r="L21" s="181" t="s">
        <v>99</v>
      </c>
      <c r="M21" s="160"/>
      <c r="N21" s="182" t="s">
        <v>100</v>
      </c>
      <c r="Q21" s="172" t="s">
        <v>101</v>
      </c>
      <c r="S21" t="s">
        <v>98</v>
      </c>
    </row>
    <row r="22" spans="9:19" ht="12.75">
      <c r="I22" t="s">
        <v>102</v>
      </c>
      <c r="J22" s="183">
        <f>L22*2</f>
        <v>0</v>
      </c>
      <c r="K22" s="160"/>
      <c r="L22" s="189"/>
      <c r="M22" s="160"/>
      <c r="N22" s="184">
        <f>L22</f>
        <v>0</v>
      </c>
      <c r="Q22" s="206"/>
      <c r="S22" s="185">
        <f>L22-Q22</f>
        <v>0</v>
      </c>
    </row>
    <row r="23" spans="9:19" ht="12.75">
      <c r="I23" t="s">
        <v>103</v>
      </c>
      <c r="J23" s="183">
        <f>L23*2</f>
        <v>0</v>
      </c>
      <c r="K23" s="160"/>
      <c r="L23" s="189"/>
      <c r="M23" s="160"/>
      <c r="N23" s="184">
        <f>L23</f>
        <v>0</v>
      </c>
      <c r="Q23" s="206"/>
      <c r="S23" s="185">
        <f>L23-Q23</f>
        <v>0</v>
      </c>
    </row>
    <row r="25" spans="9:19" ht="13.5" thickBot="1">
      <c r="I25" s="186" t="s">
        <v>104</v>
      </c>
      <c r="J25" s="187">
        <f>SUM(J22:J23)</f>
        <v>0</v>
      </c>
      <c r="K25" s="160"/>
      <c r="L25" s="187">
        <f>SUM(L22:L23)</f>
        <v>0</v>
      </c>
      <c r="M25" s="188"/>
      <c r="N25" s="187">
        <f>SUM(N22:N23)</f>
        <v>0</v>
      </c>
      <c r="Q25" s="187">
        <f>SUM(Q22:Q23)</f>
        <v>0</v>
      </c>
      <c r="S25" s="187">
        <f>L25-Q25</f>
        <v>0</v>
      </c>
    </row>
  </sheetData>
  <sheetProtection/>
  <mergeCells count="3">
    <mergeCell ref="B4:D4"/>
    <mergeCell ref="B12:D12"/>
    <mergeCell ref="B16:D1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Waste Industries,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JG00116</dc:creator>
  <cp:keywords/>
  <dc:description/>
  <cp:lastModifiedBy>Booth, Avery (UTC)</cp:lastModifiedBy>
  <cp:lastPrinted>2019-06-13T22:49:12Z</cp:lastPrinted>
  <dcterms:created xsi:type="dcterms:W3CDTF">2008-05-23T15:47:44Z</dcterms:created>
  <dcterms:modified xsi:type="dcterms:W3CDTF">2024-07-01T17:36:34Z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DocumentSetType">
    <vt:lpwstr>Initial Filing</vt:lpwstr>
  </property>
  <property fmtid="{D5CDD505-2E9C-101B-9397-08002B2CF9AE}" pid="5" name="IsDocumentOrder">
    <vt:lpwstr>False</vt:lpwstr>
  </property>
  <property fmtid="{D5CDD505-2E9C-101B-9397-08002B2CF9AE}" pid="6" name="IsHighlyConfidential">
    <vt:lpwstr>False</vt:lpwstr>
  </property>
  <property fmtid="{D5CDD505-2E9C-101B-9397-08002B2CF9AE}" pid="7" name="CaseCompanyNames">
    <vt:lpwstr>RABANCO LTD.            </vt:lpwstr>
  </property>
  <property fmtid="{D5CDD505-2E9C-101B-9397-08002B2CF9AE}" pid="8" name="IsConfidential">
    <vt:lpwstr>False</vt:lpwstr>
  </property>
  <property fmtid="{D5CDD505-2E9C-101B-9397-08002B2CF9AE}" pid="9" name="DocketNumber">
    <vt:lpwstr>240517</vt:lpwstr>
  </property>
  <property fmtid="{D5CDD505-2E9C-101B-9397-08002B2CF9AE}" pid="10" name="Date1">
    <vt:lpwstr>2024-06-07T00:00:00Z</vt:lpwstr>
  </property>
  <property fmtid="{D5CDD505-2E9C-101B-9397-08002B2CF9AE}" pid="11" name="Nickname">
    <vt:lpwstr/>
  </property>
  <property fmtid="{D5CDD505-2E9C-101B-9397-08002B2CF9AE}" pid="12" name="CaseType">
    <vt:lpwstr>Tariff Revision</vt:lpwstr>
  </property>
  <property fmtid="{D5CDD505-2E9C-101B-9397-08002B2CF9AE}" pid="13" name="OpenedDate">
    <vt:lpwstr>2024-06-07T00:00:00Z</vt:lpwstr>
  </property>
  <property fmtid="{D5CDD505-2E9C-101B-9397-08002B2CF9AE}" pid="14" name="Prefix">
    <vt:lpwstr>TG</vt:lpwstr>
  </property>
  <property fmtid="{D5CDD505-2E9C-101B-9397-08002B2CF9AE}" pid="15" name="IndustryCode">
    <vt:lpwstr>227</vt:lpwstr>
  </property>
  <property fmtid="{D5CDD505-2E9C-101B-9397-08002B2CF9AE}" pid="16" name="CaseStatus">
    <vt:lpwstr>Pending</vt:lpwstr>
  </property>
</Properties>
</file>