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Regulatory Filings\2022 Regulatory Filings\I-937 Filings\2022 EEI Annual EIA Report\Annual Emissions Calculations\"/>
    </mc:Choice>
  </mc:AlternateContent>
  <xr:revisionPtr revIDLastSave="0" documentId="13_ncr:1_{5CEFEFB8-9CD6-4D5A-B77E-3361A8A52EE1}" xr6:coauthVersionLast="46" xr6:coauthVersionMax="46" xr10:uidLastSave="{00000000-0000-0000-0000-000000000000}"/>
  <bookViews>
    <workbookView xWindow="-120" yWindow="-120" windowWidth="28380" windowHeight="15270" xr2:uid="{00000000-000D-0000-FFFF-FFFF00000000}"/>
  </bookViews>
  <sheets>
    <sheet name="Summary" sheetId="1" r:id="rId1"/>
    <sheet name="Known Resources" sheetId="4" r:id="rId2"/>
    <sheet name="Unknown Resourc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4" l="1"/>
  <c r="D42" i="4" s="1"/>
  <c r="D8" i="4"/>
  <c r="D7" i="4"/>
  <c r="D6" i="4"/>
  <c r="D5" i="4"/>
  <c r="D4" i="4"/>
  <c r="U9" i="4"/>
  <c r="U7" i="4"/>
  <c r="U8" i="4"/>
  <c r="U6" i="4"/>
  <c r="F56" i="8" l="1"/>
  <c r="G56" i="8"/>
  <c r="F57" i="8"/>
  <c r="B42" i="4"/>
  <c r="T4" i="4" l="1"/>
  <c r="U4" i="4" s="1"/>
  <c r="T5" i="4"/>
  <c r="U5" i="4" s="1"/>
  <c r="T6" i="4"/>
  <c r="T7" i="4"/>
  <c r="T8" i="4"/>
  <c r="T9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T34" i="4"/>
  <c r="U34" i="4" s="1"/>
  <c r="N32" i="4"/>
  <c r="T32" i="4" s="1"/>
  <c r="U32" i="4" s="1"/>
  <c r="N31" i="4"/>
  <c r="T31" i="4" s="1"/>
  <c r="U31" i="4" s="1"/>
  <c r="I30" i="4"/>
  <c r="N30" i="4" s="1"/>
  <c r="T30" i="4" s="1"/>
  <c r="U30" i="4" s="1"/>
  <c r="I29" i="4"/>
  <c r="N29" i="4" s="1"/>
  <c r="T29" i="4" s="1"/>
  <c r="U29" i="4" s="1"/>
  <c r="I28" i="4"/>
  <c r="N28" i="4" s="1"/>
  <c r="T28" i="4" s="1"/>
  <c r="U28" i="4" s="1"/>
  <c r="I27" i="4"/>
  <c r="N27" i="4" s="1"/>
  <c r="T27" i="4" s="1"/>
  <c r="U27" i="4" s="1"/>
  <c r="N26" i="4"/>
  <c r="T26" i="4" s="1"/>
  <c r="U26" i="4" s="1"/>
  <c r="I25" i="4"/>
  <c r="N25" i="4" s="1"/>
  <c r="T25" i="4" s="1"/>
  <c r="U25" i="4" s="1"/>
  <c r="N23" i="4"/>
  <c r="T23" i="4" s="1"/>
  <c r="U23" i="4" s="1"/>
  <c r="D19" i="4" l="1"/>
  <c r="C19" i="4" s="1"/>
  <c r="D9" i="4"/>
  <c r="C9" i="4" s="1"/>
  <c r="C8" i="4"/>
  <c r="C7" i="4"/>
  <c r="G24" i="1" l="1"/>
  <c r="G30" i="1"/>
  <c r="G31" i="1"/>
  <c r="G29" i="1"/>
  <c r="F6" i="8" l="1"/>
  <c r="F7" i="8"/>
  <c r="F8" i="8"/>
  <c r="F9" i="8"/>
  <c r="F10" i="8"/>
  <c r="G10" i="8" s="1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" i="8"/>
  <c r="F62" i="8" l="1"/>
  <c r="D21" i="1" s="1"/>
  <c r="C4" i="4" l="1"/>
  <c r="C5" i="4"/>
  <c r="D28" i="4" l="1"/>
  <c r="D29" i="4"/>
  <c r="D25" i="4"/>
  <c r="D26" i="4"/>
  <c r="C13" i="4" l="1"/>
  <c r="C14" i="4"/>
  <c r="C15" i="4"/>
  <c r="C16" i="4"/>
  <c r="C17" i="4"/>
  <c r="C18" i="4"/>
  <c r="B1" i="4" l="1"/>
  <c r="C2" i="4"/>
  <c r="B3" i="4"/>
  <c r="D22" i="1"/>
  <c r="G11" i="1"/>
  <c r="G10" i="1"/>
  <c r="D13" i="1"/>
  <c r="D5" i="1" s="1"/>
  <c r="E10" i="1" l="1"/>
  <c r="E12" i="1"/>
  <c r="E11" i="1"/>
  <c r="D18" i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E18" i="1" l="1"/>
  <c r="E21" i="1"/>
  <c r="G20" i="8" l="1"/>
  <c r="G38" i="8"/>
  <c r="G49" i="8"/>
  <c r="C6" i="4" l="1"/>
  <c r="C42" i="4"/>
  <c r="F3" i="8" s="1"/>
  <c r="G5" i="8" s="1"/>
  <c r="G57" i="8" l="1"/>
  <c r="G40" i="8"/>
  <c r="G15" i="8"/>
  <c r="G21" i="8"/>
  <c r="G24" i="8"/>
  <c r="G7" i="8"/>
  <c r="G43" i="8"/>
  <c r="G46" i="8"/>
  <c r="G50" i="8"/>
  <c r="G25" i="8"/>
  <c r="G32" i="8"/>
  <c r="G37" i="8"/>
  <c r="G53" i="8"/>
  <c r="G23" i="8"/>
  <c r="G36" i="8"/>
  <c r="G54" i="8"/>
  <c r="G55" i="8"/>
  <c r="G48" i="8"/>
  <c r="G17" i="8"/>
  <c r="G12" i="8"/>
  <c r="G6" i="8"/>
  <c r="G33" i="8"/>
  <c r="G14" i="8"/>
  <c r="G28" i="8"/>
  <c r="G30" i="8"/>
  <c r="G8" i="8"/>
  <c r="G52" i="8"/>
  <c r="G22" i="8"/>
  <c r="G45" i="8"/>
  <c r="G41" i="8"/>
  <c r="G51" i="8"/>
  <c r="G27" i="8"/>
  <c r="G42" i="8"/>
  <c r="G18" i="8"/>
  <c r="G34" i="8"/>
  <c r="G35" i="8"/>
  <c r="G13" i="8"/>
  <c r="G16" i="8"/>
  <c r="G19" i="8"/>
  <c r="G31" i="8"/>
  <c r="G9" i="8"/>
  <c r="G26" i="8"/>
  <c r="G11" i="8"/>
  <c r="G47" i="8"/>
  <c r="G29" i="8"/>
  <c r="G44" i="8"/>
  <c r="G39" i="8"/>
  <c r="F18" i="1"/>
  <c r="G62" i="8" l="1"/>
  <c r="F21" i="1" s="1"/>
  <c r="F22" i="1" s="1"/>
  <c r="G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  <author>Booth, Kevin</author>
    <author>Loeppky, Janna</author>
  </authors>
  <commentList>
    <comment ref="U4" authorId="0" shapeId="0" xr:uid="{93E2C937-E88B-4CBB-BF64-73A8FC5778F1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Adjustment for CH4 and N2O combined and recorded on Rathdrum Unit 1</t>
        </r>
      </text>
    </comment>
    <comment ref="T7" authorId="0" shapeId="0" xr:uid="{72BBED01-1669-4A11-8367-DD46934D0D0F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for Avista's 15% ownership share
</t>
        </r>
      </text>
    </comment>
    <comment ref="U7" authorId="0" shapeId="0" xr:uid="{D6363AD4-5074-4F18-A6EA-83A140DE4BC1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Adjustments for both units for CH4 and N2O added to Colstrip Unit 3</t>
        </r>
      </text>
    </comment>
    <comment ref="T8" authorId="0" shapeId="0" xr:uid="{EFAAE530-6C4C-4FC4-B633-D466CADC9F54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for Avista's 15% ownership share</t>
        </r>
      </text>
    </comment>
    <comment ref="I9" authorId="1" shapeId="0" xr:uid="{3CC391EC-E91E-4E2F-BF34-6E41A5826C6D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includes de minimis amount of natual gas (&lt;0.1% of total)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3" shapeId="0" xr:uid="{E2760FF4-C27A-436A-A744-7F1F9FC410FB}">
      <text>
        <r>
          <rPr>
            <sz val="8"/>
            <color indexed="81"/>
            <rFont val="Tahoma"/>
            <family val="2"/>
          </rPr>
          <t xml:space="preserve">Avista Corp. FERC Financial Report, Form No. 1, unless otherwise noted
</t>
        </r>
      </text>
    </comment>
    <comment ref="K21" authorId="3" shapeId="0" xr:uid="{6F3C9631-478B-40A8-AD48-41C6C4D88BFB}">
      <text>
        <r>
          <rPr>
            <b/>
            <sz val="8"/>
            <color indexed="81"/>
            <rFont val="Tahoma"/>
            <family val="2"/>
          </rPr>
          <t>Avista Corp.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3" shapeId="0" xr:uid="{AA51AD4D-9C0E-45EC-B351-390F0ED3B4B2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D1E24A15-1BB5-4CFA-916A-8E9DF34EAD78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21" authorId="3" shapeId="0" xr:uid="{407A54A8-EDC9-4249-8F6A-1A442FDED27F}">
      <text>
        <r>
          <rPr>
            <b/>
            <sz val="8"/>
            <color indexed="81"/>
            <rFont val="Tahoma"/>
            <family val="2"/>
          </rPr>
          <t>Total from EPA Part 75 EDR for respective plant and year, when available.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1" authorId="1" shapeId="0" xr:uid="{4A1A059A-401B-4D78-AD1B-32845CDFACE9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 total CT NG use from emission inventory for KFGS </t>
        </r>
      </text>
    </comment>
    <comment ref="I32" authorId="4" shapeId="0" xr:uid="{F4DB25C2-3DD4-44B8-B495-A75A11E41606}">
      <text>
        <r>
          <rPr>
            <b/>
            <sz val="9"/>
            <color indexed="81"/>
            <rFont val="Tahoma"/>
            <family val="2"/>
          </rPr>
          <t>Booth, Kevin:</t>
        </r>
        <r>
          <rPr>
            <sz val="9"/>
            <color indexed="81"/>
            <rFont val="Tahoma"/>
            <family val="2"/>
          </rPr>
          <t xml:space="preserve">
Boiler NG use from emission inventory for KFGS </t>
        </r>
      </text>
    </comment>
    <comment ref="Y34" authorId="5" shapeId="0" xr:uid="{C012577E-9607-49A3-8E85-87658B3D7189}">
      <text>
        <r>
          <rPr>
            <b/>
            <sz val="9"/>
            <color indexed="81"/>
            <rFont val="Tahoma"/>
            <charset val="1"/>
          </rPr>
          <t>Loeppky, Janna:</t>
        </r>
        <r>
          <rPr>
            <sz val="9"/>
            <color indexed="81"/>
            <rFont val="Tahoma"/>
            <charset val="1"/>
          </rPr>
          <t xml:space="preserve">
Download from Acid Rain Program (ARP) on CAMD
ampd.epa.gov/ampd/</t>
        </r>
      </text>
    </comment>
    <comment ref="P37" authorId="1" shapeId="0" xr:uid="{8A5375D1-1ADB-4DF8-99F6-4BE0729CA41E}">
      <text>
        <r>
          <rPr>
            <b/>
            <sz val="8"/>
            <color indexed="81"/>
            <rFont val="Tahoma"/>
            <family val="2"/>
          </rPr>
          <t xml:space="preserve">all values from USEPA 40 CFR 98 Table C-2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37" authorId="1" shapeId="0" xr:uid="{E68E42A3-1F2F-4652-98C1-2F4C0AB39E56}">
      <text>
        <r>
          <rPr>
            <b/>
            <sz val="8"/>
            <color indexed="81"/>
            <rFont val="Tahoma"/>
            <family val="2"/>
          </rPr>
          <t xml:space="preserve">all values from USEPA 40 CFR 98 Table C-2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2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<sst xmlns="http://schemas.openxmlformats.org/spreadsheetml/2006/main" count="499" uniqueCount="270">
  <si>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</si>
  <si>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</si>
  <si>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</si>
  <si>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</si>
  <si>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</si>
  <si>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</si>
  <si>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</si>
  <si>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</si>
  <si>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</si>
  <si>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</si>
  <si>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</si>
  <si>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</si>
  <si>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</si>
  <si>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</si>
  <si>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</si>
  <si>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</si>
  <si>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</si>
  <si>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</si>
  <si>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</si>
  <si>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</si>
  <si>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</si>
  <si>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</si>
  <si>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</si>
  <si>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</si>
  <si>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</si>
  <si>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</si>
  <si>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</si>
  <si>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</si>
  <si>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</si>
  <si>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</si>
  <si>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</si>
  <si>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</si>
  <si>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</si>
  <si>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</si>
  <si>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</si>
  <si>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</si>
  <si>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</si>
  <si>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</si>
  <si>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</si>
  <si>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</si>
  <si>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</si>
  <si>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</si>
  <si>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</si>
  <si>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</si>
  <si>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</si>
  <si>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</si>
  <si>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</si>
  <si>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Kootenai Electric Cooperative</t>
  </si>
  <si>
    <t>Macquarie Energy LLC</t>
  </si>
  <si>
    <t>Morgan Stanley Capital Group</t>
  </si>
  <si>
    <t>PacifiCorp</t>
  </si>
  <si>
    <t>Lancaster</t>
  </si>
  <si>
    <t>Seattle City Light</t>
  </si>
  <si>
    <t>Sovereign Power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</si>
  <si>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</si>
  <si>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</si>
  <si>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</si>
  <si>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</si>
  <si>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</si>
  <si>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</si>
  <si>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</si>
  <si>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</si>
  <si>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</si>
  <si>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</si>
  <si>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</si>
  <si>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</si>
  <si>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</si>
  <si>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</si>
  <si>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</si>
  <si>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</si>
  <si>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</si>
  <si>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</si>
  <si>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</si>
  <si>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</si>
  <si>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</si>
  <si>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</si>
  <si>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</si>
  <si>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</si>
  <si>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</si>
  <si>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</si>
  <si>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</si>
  <si>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</si>
  <si>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</si>
  <si>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</si>
  <si>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</si>
  <si>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</si>
  <si>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</si>
  <si>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</si>
  <si>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</si>
  <si>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</si>
  <si>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</si>
  <si>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</si>
  <si>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</si>
  <si>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</si>
  <si>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</si>
  <si>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</si>
  <si>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</si>
  <si>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</si>
  <si>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</si>
  <si>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</si>
  <si>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</si>
  <si>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</si>
  <si>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</si>
  <si>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</si>
  <si>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</si>
  <si>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</si>
  <si>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</si>
  <si>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</si>
  <si>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</si>
  <si>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</si>
  <si>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</si>
  <si>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</si>
  <si>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</si>
  <si>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</si>
  <si>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</si>
  <si>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</si>
  <si>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</si>
  <si>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</si>
  <si>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</si>
  <si>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</si>
  <si>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</si>
  <si>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</si>
  <si>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</si>
  <si>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</si>
  <si>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</si>
  <si>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</si>
  <si>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</si>
  <si>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</si>
  <si>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</si>
  <si>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</si>
  <si>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</si>
  <si>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</si>
  <si>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</si>
  <si>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</si>
  <si>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</si>
  <si>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</si>
  <si>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</si>
  <si>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</si>
  <si>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</si>
  <si>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</si>
  <si>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</si>
  <si>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</si>
  <si>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</si>
  <si>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</si>
  <si>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</si>
  <si>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</si>
  <si>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</si>
  <si>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</si>
  <si>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</si>
  <si>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</si>
  <si>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Avista =</t>
  </si>
  <si>
    <t>Net Purchase</t>
  </si>
  <si>
    <t xml:space="preserve">Kettle Falls Boiler </t>
  </si>
  <si>
    <t xml:space="preserve"> 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</si>
  <si>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</si>
  <si>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</si>
  <si>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</si>
  <si>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</si>
  <si>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</si>
  <si>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</si>
  <si>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</si>
  <si>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</si>
  <si>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</si>
  <si>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</si>
  <si>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</si>
  <si>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</si>
  <si>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</si>
  <si>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Vitol Inc.</t>
  </si>
  <si>
    <t>Little Falls-Hydro</t>
  </si>
  <si>
    <t>MWh</t>
  </si>
  <si>
    <t>MW</t>
  </si>
  <si>
    <t>Type</t>
  </si>
  <si>
    <t>Adams-Neilson Solar</t>
  </si>
  <si>
    <t>The City of Cove (PURPA Hydro)</t>
  </si>
  <si>
    <t>Clark Fork Hydro (PURPA Hydro)</t>
  </si>
  <si>
    <t>Spokane County (Sewer Plant Digester)</t>
  </si>
  <si>
    <t>Known Resource Serving WA - EPA</t>
  </si>
  <si>
    <t>Known Resource Serving WA - EIA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</si>
  <si>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</si>
  <si>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PUD of Douglas County (% share of Wells Dam)</t>
  </si>
  <si>
    <t>Rattlesnake Flat, LLC (Wind)</t>
  </si>
  <si>
    <t>Washington Department of Ecology Unknown Resource Default Rate =</t>
  </si>
  <si>
    <t>Metric Tons CO2e from Purchases</t>
  </si>
  <si>
    <t>N</t>
  </si>
  <si>
    <t>O</t>
  </si>
  <si>
    <t>(Y or N)</t>
  </si>
  <si>
    <t>Y</t>
  </si>
  <si>
    <t>CH4 Emission factor</t>
  </si>
  <si>
    <t>N2O Emission factor</t>
  </si>
  <si>
    <t>Units for 
J</t>
  </si>
  <si>
    <t>CH4 emissions in kg</t>
  </si>
  <si>
    <t xml:space="preserve">N2O emissions in kg </t>
  </si>
  <si>
    <t>M = F * H * L</t>
  </si>
  <si>
    <t>N = F * J * L</t>
  </si>
  <si>
    <t>kg CH4/GJ</t>
  </si>
  <si>
    <t>kg N2O/GJ</t>
  </si>
  <si>
    <t>MMBtu</t>
  </si>
  <si>
    <t>kg/Mmbtu</t>
  </si>
  <si>
    <t>Mmbtu/bbl</t>
  </si>
  <si>
    <t>Mmbtu/ton</t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</si>
  <si>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2e</t>
    </r>
    <r>
      <rPr>
        <b/>
        <sz val="11"/>
        <color theme="1"/>
        <rFont val="Calibri"/>
        <family val="2"/>
        <scheme val="minor"/>
      </rPr>
      <t>/MWh</t>
    </r>
  </si>
  <si>
    <t>Metric</t>
  </si>
  <si>
    <t xml:space="preserve">Kettle Falls (Biomass)  </t>
  </si>
  <si>
    <t>Lancaster (Rathdrum)</t>
  </si>
  <si>
    <t>CO2 Metric Tons</t>
  </si>
  <si>
    <t>CO2e Metric Tons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</si>
  <si>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2e</t>
    </r>
    <r>
      <rPr>
        <sz val="11"/>
        <color theme="1"/>
        <rFont val="Calibri"/>
        <family val="2"/>
        <scheme val="minor"/>
      </rPr>
      <t xml:space="preserve"> per MWh</t>
    </r>
  </si>
  <si>
    <t>Avangrid Renewables, LLC</t>
  </si>
  <si>
    <t>BP Energy</t>
  </si>
  <si>
    <t xml:space="preserve">Black Hills Power, Inc. </t>
  </si>
  <si>
    <t>California Independent System Operator</t>
  </si>
  <si>
    <t>Brookfield Energy Marketing LP</t>
  </si>
  <si>
    <t>CP Energy Marketing</t>
  </si>
  <si>
    <t>Calpine Energy Services, LP</t>
  </si>
  <si>
    <t xml:space="preserve">Chelan County PUD </t>
  </si>
  <si>
    <t>City of Spokane</t>
  </si>
  <si>
    <t>ConocoPhillips Company</t>
  </si>
  <si>
    <t>Douglas County PUD No. 1</t>
  </si>
  <si>
    <t xml:space="preserve">Dynasty Power, Inc. </t>
  </si>
  <si>
    <t>EDF Trading No Amercia</t>
  </si>
  <si>
    <t>Enel X North America, Inc.</t>
  </si>
  <si>
    <t xml:space="preserve">Energy Keepers, Inc. </t>
  </si>
  <si>
    <t>Eugene Water &amp; Electric Board</t>
  </si>
  <si>
    <t>Exelon Generation Company, LLC</t>
  </si>
  <si>
    <t>Grant County PUD No. 2</t>
  </si>
  <si>
    <t>Guzman Energy, LLC</t>
  </si>
  <si>
    <t>Gridforce Energy Management, LLC</t>
  </si>
  <si>
    <t>Idaho County Power &amp; Light</t>
  </si>
  <si>
    <t>Macquarie Energy, LLC</t>
  </si>
  <si>
    <t>Idaho Power Company</t>
  </si>
  <si>
    <t>Inland Power &amp; Light Company</t>
  </si>
  <si>
    <t>Rainbow Energy Marketing</t>
  </si>
  <si>
    <t>Shell Energy</t>
  </si>
  <si>
    <t>TransAlta Energy Marketing</t>
  </si>
  <si>
    <t>The Energy Authority</t>
  </si>
  <si>
    <t>Tacoma Power</t>
  </si>
  <si>
    <t>Snohomish County PUD No. 1</t>
  </si>
  <si>
    <t>Pend Oreille County PUD No. 1</t>
  </si>
  <si>
    <t>Portland General Electric</t>
  </si>
  <si>
    <t>Powerex</t>
  </si>
  <si>
    <t>Nevada Power Company</t>
  </si>
  <si>
    <t>NextEra Energy Power Marketing, LLC</t>
  </si>
  <si>
    <t>NorthWestern Energy</t>
  </si>
  <si>
    <t>BP Energy Company</t>
  </si>
  <si>
    <t>Black Hills Power, Inc.</t>
  </si>
  <si>
    <t>British Columbia Hydro and Power Authority</t>
  </si>
  <si>
    <t xml:space="preserve">Morgan Stanley Capital Group Inc. </t>
  </si>
  <si>
    <t>Mecuria Energy America., LLC</t>
  </si>
  <si>
    <t>Sacramento Municipal Utility District</t>
  </si>
  <si>
    <t>Powerex Corporation</t>
  </si>
  <si>
    <t xml:space="preserve">Portland General Electric </t>
  </si>
  <si>
    <t>Pend Oreille Public Utility District</t>
  </si>
  <si>
    <t>Talen Energy Montana, LLC</t>
  </si>
  <si>
    <t>Turlock Irrigation Dist.</t>
  </si>
  <si>
    <t xml:space="preserve">Vitol, Inc. </t>
  </si>
  <si>
    <t>NaturEner Power Watch, LLC</t>
  </si>
  <si>
    <t>Calpine Energy Services</t>
  </si>
  <si>
    <t>Chelan County PUD No. 1</t>
  </si>
  <si>
    <t xml:space="preserve">Citigroup Energy, Inc. </t>
  </si>
  <si>
    <t>Clatskanie Peoples PUD</t>
  </si>
  <si>
    <t>EDF Trading North Amercia, LLC</t>
  </si>
  <si>
    <t>Energy Keepers</t>
  </si>
  <si>
    <t>Eugene Water Electric Board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</si>
  <si>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</si>
  <si>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</si>
  <si>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r>
      <t>Is direct 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measurement data available?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</si>
  <si>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
metric tons</t>
    </r>
  </si>
  <si>
    <t>Great Northern Spokane (Solar)</t>
  </si>
  <si>
    <t>Total MT, CO2e (CH4 + N2O)</t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</si>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</sst>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5" formatCode="#,##0;[Red]\(#,##0\)"/>
    <numFmt numFmtId="176" formatCode="_(* #,##0.000_);_(* \(#,##0.000\);_(* &quot;-&quot;??_);_(@_)"/>
    <numFmt numFmtId="177" formatCode="_(* #,##0.0000_);_(* \(#,##0.00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vertAlign val="subscript"/>
      <sz val="10"/>
      <name val="Arial"/>
      <family val="2"/>
    </font>
    <font>
      <sz val="10"/>
      <name val="Arial"/>
    </font>
    <font>
      <sz val="10"/>
      <color indexed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21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9" fontId="1" fillId="0" borderId="2" xfId="2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0" fontId="29" fillId="0" borderId="0" xfId="4" applyFont="1" applyAlignment="1">
      <alignment horizontal="lef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0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3" fontId="11" fillId="0" borderId="0" xfId="4" applyNumberFormat="1" applyAlignment="1">
      <alignment horizontal="right" vertical="top" wrapText="1"/>
    </xf>
    <xf numFmtId="0" fontId="0" fillId="0" borderId="4" xfId="0" applyFont="1" applyBorder="1" applyAlignment="1">
      <alignment horizontal="center"/>
    </xf>
    <xf numFmtId="0" fontId="0" fillId="0" borderId="0" xfId="0"/>
    <xf numFmtId="165" fontId="0" fillId="0" borderId="8" xfId="1" applyNumberFormat="1" applyFont="1" applyBorder="1"/>
    <xf numFmtId="176" fontId="0" fillId="2" borderId="10" xfId="1" applyNumberFormat="1" applyFont="1" applyFill="1" applyBorder="1"/>
    <xf numFmtId="0" fontId="0" fillId="12" borderId="2" xfId="0" applyFill="1" applyBorder="1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17" fillId="3" borderId="0" xfId="0" applyFont="1" applyFill="1" applyAlignment="1">
      <alignment horizontal="center"/>
    </xf>
    <xf numFmtId="2" fontId="0" fillId="5" borderId="0" xfId="0" applyNumberFormat="1" applyFill="1"/>
    <xf numFmtId="2" fontId="0" fillId="5" borderId="35" xfId="0" applyNumberFormat="1" applyFill="1" applyBorder="1"/>
    <xf numFmtId="2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5" borderId="38" xfId="0" applyNumberFormat="1" applyFont="1" applyFill="1" applyBorder="1" applyAlignment="1">
      <alignment horizontal="center" vertical="center" wrapText="1"/>
    </xf>
    <xf numFmtId="0" fontId="0" fillId="5" borderId="39" xfId="0" applyFill="1" applyBorder="1"/>
    <xf numFmtId="0" fontId="0" fillId="5" borderId="0" xfId="0" applyFill="1" applyAlignment="1">
      <alignment wrapText="1"/>
    </xf>
    <xf numFmtId="2" fontId="0" fillId="5" borderId="0" xfId="0" applyNumberFormat="1" applyFill="1" applyAlignment="1">
      <alignment wrapText="1"/>
    </xf>
    <xf numFmtId="2" fontId="0" fillId="5" borderId="35" xfId="0" applyNumberFormat="1" applyFill="1" applyBorder="1" applyAlignment="1">
      <alignment wrapText="1"/>
    </xf>
    <xf numFmtId="2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5" borderId="38" xfId="0" applyNumberFormat="1" applyFill="1" applyBorder="1" applyAlignment="1">
      <alignment horizontal="center" vertical="center" wrapText="1"/>
    </xf>
    <xf numFmtId="0" fontId="0" fillId="5" borderId="0" xfId="0" applyFill="1"/>
    <xf numFmtId="2" fontId="0" fillId="5" borderId="1" xfId="0" applyNumberFormat="1" applyFill="1" applyBorder="1"/>
    <xf numFmtId="2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9" fontId="34" fillId="5" borderId="2" xfId="2" applyFont="1" applyFill="1" applyBorder="1" applyAlignment="1" applyProtection="1">
      <alignment horizontal="center" vertical="center" wrapText="1"/>
      <protection locked="0"/>
    </xf>
    <xf numFmtId="2" fontId="34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ill="1" applyBorder="1" applyAlignment="1" applyProtection="1">
      <alignment horizontal="center" vertical="center" wrapText="1"/>
      <protection locked="0"/>
    </xf>
    <xf numFmtId="3" fontId="0" fillId="5" borderId="38" xfId="0" applyNumberFormat="1" applyFill="1" applyBorder="1" applyAlignment="1" applyProtection="1">
      <alignment horizontal="center" vertical="center" wrapText="1"/>
      <protection locked="0"/>
    </xf>
    <xf numFmtId="0" fontId="0" fillId="5" borderId="39" xfId="0" applyFill="1" applyBorder="1" applyProtection="1">
      <protection locked="0"/>
    </xf>
    <xf numFmtId="2" fontId="18" fillId="6" borderId="0" xfId="0" applyNumberFormat="1" applyFont="1" applyFill="1" applyAlignment="1" applyProtection="1">
      <alignment horizontal="center" vertical="center"/>
      <protection locked="0"/>
    </xf>
    <xf numFmtId="2" fontId="19" fillId="5" borderId="38" xfId="0" applyNumberFormat="1" applyFont="1" applyFill="1" applyBorder="1" applyAlignment="1" applyProtection="1">
      <alignment horizontal="center" vertical="center" wrapText="1"/>
      <protection locked="0"/>
    </xf>
    <xf numFmtId="9" fontId="34" fillId="8" borderId="2" xfId="2" applyFont="1" applyFill="1" applyBorder="1" applyAlignment="1" applyProtection="1">
      <alignment horizontal="center" vertical="center"/>
      <protection locked="0"/>
    </xf>
    <xf numFmtId="4" fontId="0" fillId="7" borderId="2" xfId="0" applyNumberFormat="1" applyFill="1" applyBorder="1" applyAlignment="1" applyProtection="1">
      <alignment horizontal="center" vertical="center" wrapText="1"/>
      <protection locked="0"/>
    </xf>
    <xf numFmtId="3" fontId="0" fillId="7" borderId="2" xfId="0" applyNumberFormat="1" applyFill="1" applyBorder="1" applyAlignment="1" applyProtection="1">
      <alignment horizontal="center" vertical="center" wrapText="1"/>
      <protection locked="0"/>
    </xf>
    <xf numFmtId="2" fontId="0" fillId="5" borderId="38" xfId="0" applyNumberFormat="1" applyFill="1" applyBorder="1" applyAlignment="1" applyProtection="1">
      <alignment horizontal="center" vertical="center" wrapText="1"/>
      <protection locked="0"/>
    </xf>
    <xf numFmtId="3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4" borderId="2" xfId="1" applyNumberFormat="1" applyFont="1" applyFill="1" applyBorder="1" applyAlignment="1" applyProtection="1">
      <alignment horizontal="center" vertical="center"/>
      <protection locked="0"/>
    </xf>
    <xf numFmtId="165" fontId="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on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 applyProtection="1">
      <alignment horizontal="center" vertical="center"/>
      <protection locked="0"/>
    </xf>
    <xf numFmtId="166" fontId="0" fillId="4" borderId="2" xfId="2" applyNumberFormat="1" applyFont="1" applyFill="1" applyBorder="1" applyAlignment="1" applyProtection="1">
      <alignment horizontal="center" vertical="center"/>
      <protection locked="0"/>
    </xf>
    <xf numFmtId="2" fontId="0" fillId="4" borderId="2" xfId="2" applyNumberFormat="1" applyFont="1" applyFill="1" applyBorder="1" applyAlignment="1" applyProtection="1">
      <alignment horizontal="center" vertical="center"/>
      <protection locked="0"/>
    </xf>
    <xf numFmtId="3" fontId="0" fillId="3" borderId="2" xfId="0" applyNumberFormat="1" applyFill="1" applyBorder="1" applyAlignment="1" applyProtection="1">
      <alignment horizontal="center" vertical="center" wrapText="1"/>
      <protection locked="0"/>
    </xf>
    <xf numFmtId="165" fontId="11" fillId="1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/>
    <xf numFmtId="165" fontId="0" fillId="2" borderId="0" xfId="1" applyNumberFormat="1" applyFont="1" applyFill="1" applyBorder="1"/>
    <xf numFmtId="0" fontId="8" fillId="0" borderId="0" xfId="0" applyFont="1"/>
    <xf numFmtId="0" fontId="0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0" fontId="0" fillId="5" borderId="0" xfId="0" applyFill="1" applyAlignment="1">
      <alignment horizontal="centerContinuous"/>
    </xf>
    <xf numFmtId="2" fontId="35" fillId="5" borderId="1" xfId="0" applyNumberFormat="1" applyFont="1" applyFill="1" applyBorder="1" applyAlignment="1">
      <alignment horizontal="centerContinuous"/>
    </xf>
    <xf numFmtId="9" fontId="35" fillId="5" borderId="7" xfId="2" applyFont="1" applyFill="1" applyBorder="1" applyAlignment="1">
      <alignment horizontal="centerContinuous"/>
    </xf>
    <xf numFmtId="4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 wrapText="1"/>
    </xf>
    <xf numFmtId="170" fontId="0" fillId="5" borderId="2" xfId="0" applyNumberFormat="1" applyFill="1" applyBorder="1" applyAlignment="1">
      <alignment horizontal="center" vertical="center" wrapText="1"/>
    </xf>
    <xf numFmtId="1" fontId="0" fillId="5" borderId="2" xfId="0" applyNumberFormat="1" applyFill="1" applyBorder="1" applyAlignment="1">
      <alignment horizontal="center" vertical="center" wrapText="1"/>
    </xf>
    <xf numFmtId="173" fontId="0" fillId="5" borderId="2" xfId="0" applyNumberFormat="1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/>
    </xf>
    <xf numFmtId="2" fontId="18" fillId="6" borderId="0" xfId="0" applyNumberFormat="1" applyFont="1" applyFill="1" applyAlignment="1">
      <alignment horizontal="center" vertical="center"/>
    </xf>
    <xf numFmtId="4" fontId="19" fillId="6" borderId="2" xfId="0" applyNumberFormat="1" applyFont="1" applyFill="1" applyBorder="1" applyAlignment="1">
      <alignment horizontal="center" vertical="center"/>
    </xf>
    <xf numFmtId="2" fontId="19" fillId="6" borderId="2" xfId="0" applyNumberFormat="1" applyFont="1" applyFill="1" applyBorder="1" applyAlignment="1">
      <alignment horizontal="center" vertical="center" wrapText="1"/>
    </xf>
    <xf numFmtId="173" fontId="19" fillId="6" borderId="2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4" fontId="19" fillId="6" borderId="3" xfId="0" applyNumberFormat="1" applyFont="1" applyFill="1" applyBorder="1" applyAlignment="1">
      <alignment horizontal="center" vertical="center" wrapText="1"/>
    </xf>
    <xf numFmtId="4" fontId="19" fillId="6" borderId="2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9" fontId="34" fillId="7" borderId="2" xfId="2" applyFont="1" applyFill="1" applyBorder="1" applyAlignment="1" applyProtection="1">
      <alignment horizontal="center" vertical="center"/>
    </xf>
    <xf numFmtId="39" fontId="1" fillId="7" borderId="2" xfId="1" applyNumberFormat="1" applyFill="1" applyBorder="1" applyAlignment="1" applyProtection="1">
      <alignment horizontal="center" vertical="center"/>
    </xf>
    <xf numFmtId="39" fontId="11" fillId="7" borderId="2" xfId="1" applyNumberFormat="1" applyFont="1" applyFill="1" applyBorder="1" applyAlignment="1" applyProtection="1">
      <alignment horizontal="center" vertical="center"/>
    </xf>
    <xf numFmtId="4" fontId="0" fillId="7" borderId="2" xfId="0" applyNumberFormat="1" applyFill="1" applyBorder="1" applyAlignment="1">
      <alignment horizontal="center" vertical="center" wrapText="1"/>
    </xf>
    <xf numFmtId="173" fontId="0" fillId="4" borderId="2" xfId="0" applyNumberFormat="1" applyFill="1" applyBorder="1" applyAlignment="1" applyProtection="1">
      <alignment horizontal="center" vertical="center"/>
      <protection locked="0"/>
    </xf>
    <xf numFmtId="173" fontId="1" fillId="4" borderId="2" xfId="2" applyNumberFormat="1" applyFill="1" applyBorder="1" applyAlignment="1" applyProtection="1">
      <alignment horizontal="center" vertical="center"/>
      <protection locked="0"/>
    </xf>
    <xf numFmtId="9" fontId="1" fillId="7" borderId="2" xfId="2" applyFill="1" applyBorder="1" applyAlignment="1" applyProtection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9" fontId="0" fillId="7" borderId="2" xfId="2" applyFont="1" applyFill="1" applyBorder="1" applyAlignment="1" applyProtection="1">
      <alignment horizontal="center" vertical="center"/>
    </xf>
    <xf numFmtId="4" fontId="0" fillId="14" borderId="2" xfId="0" applyNumberFormat="1" applyFill="1" applyBorder="1" applyAlignment="1">
      <alignment horizontal="center" vertical="center" wrapText="1"/>
    </xf>
    <xf numFmtId="177" fontId="0" fillId="12" borderId="6" xfId="0" applyNumberFormat="1" applyFill="1" applyBorder="1"/>
  </cellXfs>
  <cellStyles count="23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Percent" xfId="2" builtinId="5"/>
    <cellStyle name="Style 21" xfId="5" xr:uid="{00000000-0005-0000-0000-000006000000}"/>
    <cellStyle name="Style 22" xfId="3" xr:uid="{00000000-0005-0000-0000-000007000000}"/>
    <cellStyle name="Style 23" xfId="6" xr:uid="{00000000-0005-0000-0000-000008000000}"/>
    <cellStyle name="Style 24" xfId="7" xr:uid="{00000000-0005-0000-0000-000009000000}"/>
    <cellStyle name="Style 25" xfId="8" xr:uid="{00000000-0005-0000-0000-00000A000000}"/>
    <cellStyle name="Style 26" xfId="9" xr:uid="{00000000-0005-0000-0000-00000B000000}"/>
    <cellStyle name="Style 27" xfId="10" xr:uid="{00000000-0005-0000-0000-00000C000000}"/>
    <cellStyle name="Style 28" xfId="11" xr:uid="{00000000-0005-0000-0000-00000D000000}"/>
    <cellStyle name="Style 29" xfId="12" xr:uid="{00000000-0005-0000-0000-00000E000000}"/>
    <cellStyle name="Style 30" xfId="13" xr:uid="{00000000-0005-0000-0000-00000F000000}"/>
    <cellStyle name="Style 31" xfId="14" xr:uid="{00000000-0005-0000-0000-000010000000}"/>
    <cellStyle name="Style 32" xfId="15" xr:uid="{00000000-0005-0000-0000-000011000000}"/>
    <cellStyle name="Style 33" xfId="16" xr:uid="{00000000-0005-0000-0000-000012000000}"/>
    <cellStyle name="Style 34" xfId="17" xr:uid="{00000000-0005-0000-0000-000013000000}"/>
    <cellStyle name="Style 35" xfId="18" xr:uid="{00000000-0005-0000-0000-000014000000}"/>
    <cellStyle name="Style 36" xfId="19" xr:uid="{00000000-0005-0000-0000-000015000000}"/>
    <cellStyle name="Style 39" xfId="22" xr:uid="{00000000-0005-0000-0000-000016000000}"/>
  </cellStyles>
  <dxfs count="4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24</xdr:row>
      <xdr:rowOff>0</xdr:rowOff>
    </xdr:from>
    <xdr:to>
      <xdr:col>6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G22" sqref="G22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3" t="s">
        <v>5</v>
      </c>
    </row>
    <row r="2" spans="1:11" ht="15.75" thickBot="1" x14ac:dyDescent="0.3"/>
    <row r="3" spans="1:11" x14ac:dyDescent="0.25">
      <c r="A3" s="54"/>
      <c r="B3" s="55" t="s">
        <v>9</v>
      </c>
      <c r="C3" s="56" t="s">
        <v>17</v>
      </c>
      <c r="D3" s="61"/>
      <c r="E3" s="59"/>
    </row>
    <row r="4" spans="1:11" x14ac:dyDescent="0.25">
      <c r="A4" s="176" t="s">
        <v>10</v>
      </c>
      <c r="B4" s="181"/>
      <c r="C4" s="32">
        <v>2021</v>
      </c>
      <c r="D4" s="64" t="s">
        <v>31</v>
      </c>
      <c r="E4" s="60"/>
    </row>
    <row r="5" spans="1:11" ht="15.75" thickBot="1" x14ac:dyDescent="0.3">
      <c r="A5" s="182" t="s">
        <v>15</v>
      </c>
      <c r="B5" s="183"/>
      <c r="C5" s="57">
        <v>571856</v>
      </c>
      <c r="D5" s="58">
        <f>+D13/C5</f>
        <v>9.9897753980022941</v>
      </c>
    </row>
    <row r="6" spans="1:11" x14ac:dyDescent="0.25">
      <c r="A6" s="5"/>
      <c r="B6" s="5"/>
      <c r="C6" s="16"/>
      <c r="E6" s="15"/>
    </row>
    <row r="7" spans="1:11" ht="19.5" thickBot="1" x14ac:dyDescent="0.35">
      <c r="A7" s="5"/>
      <c r="B7" s="52" t="s">
        <v>28</v>
      </c>
      <c r="C7" s="16"/>
      <c r="E7" s="15"/>
    </row>
    <row r="8" spans="1:11" x14ac:dyDescent="0.25">
      <c r="A8" s="34"/>
      <c r="B8" s="35"/>
      <c r="C8" s="35"/>
      <c r="D8" s="35"/>
      <c r="E8" s="35"/>
      <c r="F8" s="36" t="s">
        <v>14</v>
      </c>
      <c r="G8" s="47" t="s">
        <v>32</v>
      </c>
    </row>
    <row r="9" spans="1:11" x14ac:dyDescent="0.25">
      <c r="A9" s="37"/>
      <c r="B9" s="11"/>
      <c r="C9" s="11"/>
      <c r="D9" s="13" t="s">
        <v>8</v>
      </c>
      <c r="E9" s="25" t="s">
        <v>21</v>
      </c>
      <c r="F9" s="18" t="s">
        <v>27</v>
      </c>
      <c r="G9" s="48" t="s">
        <v>14</v>
      </c>
      <c r="I9" s="122"/>
      <c r="J9" s="122"/>
      <c r="K9" s="122"/>
    </row>
    <row r="10" spans="1:11" x14ac:dyDescent="0.25">
      <c r="A10" s="176" t="s">
        <v>6</v>
      </c>
      <c r="B10" s="179"/>
      <c r="C10" s="181"/>
      <c r="D10" s="62">
        <v>2649921</v>
      </c>
      <c r="E10" s="12">
        <f>+D10/D13</f>
        <v>0.46386384192589403</v>
      </c>
      <c r="F10" s="33">
        <v>235525</v>
      </c>
      <c r="G10" s="49">
        <f>+D10/F10</f>
        <v>11.251124084492092</v>
      </c>
      <c r="I10" s="122"/>
      <c r="J10" s="122"/>
      <c r="K10" s="122"/>
    </row>
    <row r="11" spans="1:11" x14ac:dyDescent="0.25">
      <c r="A11" s="176" t="s">
        <v>11</v>
      </c>
      <c r="B11" s="179"/>
      <c r="C11" s="181"/>
      <c r="D11" s="62">
        <v>2132911</v>
      </c>
      <c r="E11" s="12">
        <f>+D11/D13</f>
        <v>0.37336218360698326</v>
      </c>
      <c r="F11" s="27">
        <v>25820</v>
      </c>
      <c r="G11" s="49">
        <f>+D11/F11</f>
        <v>82.606932610379545</v>
      </c>
    </row>
    <row r="12" spans="1:11" x14ac:dyDescent="0.25">
      <c r="A12" s="176" t="s">
        <v>12</v>
      </c>
      <c r="B12" s="179"/>
      <c r="C12" s="181"/>
      <c r="D12" s="62">
        <v>929881</v>
      </c>
      <c r="E12" s="12">
        <f>+D12/D13</f>
        <v>0.16277397446712272</v>
      </c>
      <c r="F12" s="5"/>
      <c r="G12" s="38"/>
    </row>
    <row r="13" spans="1:11" ht="15.75" thickBot="1" x14ac:dyDescent="0.3">
      <c r="A13" s="39"/>
      <c r="B13" s="184" t="s">
        <v>7</v>
      </c>
      <c r="C13" s="183"/>
      <c r="D13" s="63">
        <f>SUM(D10:D12)</f>
        <v>5712713</v>
      </c>
      <c r="E13" s="40"/>
      <c r="F13" s="41"/>
      <c r="G13" s="42"/>
      <c r="I13" s="123"/>
    </row>
    <row r="15" spans="1:11" ht="19.5" thickBot="1" x14ac:dyDescent="0.35">
      <c r="B15" s="53" t="s">
        <v>29</v>
      </c>
    </row>
    <row r="16" spans="1:11" x14ac:dyDescent="0.25">
      <c r="A16" s="34"/>
      <c r="B16" s="35"/>
      <c r="C16" s="35"/>
      <c r="D16" s="35"/>
      <c r="E16" s="36" t="s">
        <v>22</v>
      </c>
      <c r="F16" s="43" t="s">
        <v>201</v>
      </c>
      <c r="G16" s="44"/>
    </row>
    <row r="17" spans="1:9" ht="18" x14ac:dyDescent="0.35">
      <c r="A17" s="45"/>
      <c r="B17" s="5"/>
      <c r="C17" s="5"/>
      <c r="D17" s="25" t="s">
        <v>13</v>
      </c>
      <c r="E17" s="18" t="s">
        <v>23</v>
      </c>
      <c r="F17" s="14" t="s">
        <v>3</v>
      </c>
      <c r="G17" s="38"/>
    </row>
    <row r="18" spans="1:9" x14ac:dyDescent="0.25">
      <c r="A18" s="176" t="s">
        <v>25</v>
      </c>
      <c r="B18" s="177"/>
      <c r="C18" s="178"/>
      <c r="D18" s="6">
        <f>+'Known Resources'!B42*0.65</f>
        <v>7283350.1000000006</v>
      </c>
      <c r="E18" s="12">
        <f>+D18/(D18+D21)</f>
        <v>1.1520704956693335</v>
      </c>
      <c r="F18" s="6">
        <f>+'Known Resources'!D42*0.65</f>
        <v>1890905.9291411098</v>
      </c>
      <c r="G18" s="38"/>
      <c r="I18" s="107"/>
    </row>
    <row r="19" spans="1:9" s="115" customFormat="1" x14ac:dyDescent="0.25">
      <c r="A19" s="185" t="s">
        <v>176</v>
      </c>
      <c r="B19" s="185"/>
      <c r="C19" s="185"/>
      <c r="D19" s="6"/>
      <c r="E19" s="12"/>
      <c r="F19" s="128"/>
      <c r="G19" s="38"/>
      <c r="I19" s="107"/>
    </row>
    <row r="20" spans="1:9" s="115" customFormat="1" ht="15.75" thickBot="1" x14ac:dyDescent="0.3">
      <c r="A20" s="185" t="s">
        <v>177</v>
      </c>
      <c r="B20" s="185"/>
      <c r="C20" s="185"/>
      <c r="D20" s="6"/>
      <c r="E20" s="12"/>
      <c r="F20" s="128"/>
      <c r="G20" s="38"/>
      <c r="I20" s="107"/>
    </row>
    <row r="21" spans="1:9" ht="18" x14ac:dyDescent="0.35">
      <c r="A21" s="176" t="s">
        <v>26</v>
      </c>
      <c r="B21" s="179"/>
      <c r="C21" s="180"/>
      <c r="D21" s="50">
        <f>'Unknown Resources'!F62*0.65</f>
        <v>-961384.45000000007</v>
      </c>
      <c r="E21" s="51">
        <f>+D21/(D18+D21)</f>
        <v>-0.15207049566933348</v>
      </c>
      <c r="F21" s="66">
        <f>+'Unknown Resources'!G62*0.65</f>
        <v>-109.00620925413948</v>
      </c>
      <c r="G21" s="68" t="s">
        <v>30</v>
      </c>
    </row>
    <row r="22" spans="1:9" ht="18.75" thickBot="1" x14ac:dyDescent="0.4">
      <c r="A22" s="39"/>
      <c r="B22" s="41"/>
      <c r="C22" s="41"/>
      <c r="D22" s="65">
        <f>+C4</f>
        <v>2021</v>
      </c>
      <c r="E22" s="46" t="s">
        <v>2</v>
      </c>
      <c r="F22" s="67">
        <f>SUM(F18:F21)</f>
        <v>1890796.9229318558</v>
      </c>
      <c r="G22" s="69">
        <f>+F22/G24</f>
        <v>1.8412585002325925</v>
      </c>
    </row>
    <row r="23" spans="1:9" ht="18" x14ac:dyDescent="0.35">
      <c r="A23" t="s">
        <v>122</v>
      </c>
    </row>
    <row r="24" spans="1:9" ht="18" x14ac:dyDescent="0.35">
      <c r="F24" s="17" t="s">
        <v>269</v>
      </c>
      <c r="G24" s="27">
        <f>G29</f>
        <v>1026904.6539054703</v>
      </c>
      <c r="H24" s="24"/>
    </row>
    <row r="26" spans="1:9" x14ac:dyDescent="0.25">
      <c r="B26" s="24" t="s">
        <v>16</v>
      </c>
      <c r="F26" s="19"/>
      <c r="G26" s="19"/>
    </row>
    <row r="27" spans="1:9" x14ac:dyDescent="0.25">
      <c r="E27" s="19"/>
      <c r="F27" s="19"/>
      <c r="G27" s="22" t="s">
        <v>20</v>
      </c>
    </row>
    <row r="28" spans="1:9" ht="18" x14ac:dyDescent="0.35">
      <c r="E28" s="19"/>
      <c r="F28" s="19"/>
      <c r="G28" s="23" t="s">
        <v>178</v>
      </c>
      <c r="H28" s="126" t="s">
        <v>1</v>
      </c>
    </row>
    <row r="29" spans="1:9" x14ac:dyDescent="0.25">
      <c r="E29" s="19"/>
      <c r="F29" s="20" t="s">
        <v>17</v>
      </c>
      <c r="G29" s="21">
        <f>H29/1.1023</f>
        <v>1026904.6539054703</v>
      </c>
      <c r="H29" s="21">
        <v>1131957</v>
      </c>
    </row>
    <row r="30" spans="1:9" x14ac:dyDescent="0.25">
      <c r="E30" s="19"/>
      <c r="F30" s="20" t="s">
        <v>18</v>
      </c>
      <c r="G30" s="21">
        <f t="shared" ref="G30:G31" si="0">H30/1.1023</f>
        <v>2176429.2842238955</v>
      </c>
      <c r="H30" s="21">
        <v>2399078</v>
      </c>
    </row>
    <row r="31" spans="1:9" x14ac:dyDescent="0.25">
      <c r="E31" s="19"/>
      <c r="F31" s="20" t="s">
        <v>19</v>
      </c>
      <c r="G31" s="21">
        <f t="shared" si="0"/>
        <v>6301427.9234328223</v>
      </c>
      <c r="H31" s="21">
        <v>6946064</v>
      </c>
    </row>
  </sheetData>
  <mergeCells count="10">
    <mergeCell ref="A18:C18"/>
    <mergeCell ref="A21:C21"/>
    <mergeCell ref="A4:B4"/>
    <mergeCell ref="A5:B5"/>
    <mergeCell ref="A10:C10"/>
    <mergeCell ref="A11:C11"/>
    <mergeCell ref="A12:C12"/>
    <mergeCell ref="B13:C13"/>
    <mergeCell ref="A19:C19"/>
    <mergeCell ref="A20:C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2"/>
  <sheetViews>
    <sheetView topLeftCell="A22" workbookViewId="0">
      <selection activeCell="D40" sqref="D40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  <col min="21" max="21" width="11.5703125" bestFit="1" customWidth="1"/>
    <col min="22" max="22" width="14.28515625" bestFit="1" customWidth="1"/>
  </cols>
  <sheetData>
    <row r="1" spans="1:34" ht="18.75" x14ac:dyDescent="0.3">
      <c r="A1" s="3" t="s">
        <v>4</v>
      </c>
      <c r="B1" s="31">
        <f>+Summary!C4</f>
        <v>2021</v>
      </c>
    </row>
    <row r="2" spans="1:34" ht="18.75" x14ac:dyDescent="0.3">
      <c r="A2" s="3"/>
      <c r="B2" s="7" t="s">
        <v>24</v>
      </c>
      <c r="C2" s="7">
        <f>+Summary!C4</f>
        <v>2021</v>
      </c>
      <c r="D2" s="7" t="s">
        <v>201</v>
      </c>
      <c r="F2" s="72">
        <v>2021</v>
      </c>
      <c r="G2" s="73" t="s">
        <v>170</v>
      </c>
      <c r="H2" s="72" t="s">
        <v>171</v>
      </c>
      <c r="I2" s="74" t="s">
        <v>169</v>
      </c>
    </row>
    <row r="3" spans="1:34" ht="19.5" x14ac:dyDescent="0.35">
      <c r="A3" s="4" t="s">
        <v>0</v>
      </c>
      <c r="B3" s="8">
        <f>+Summary!C4</f>
        <v>2021</v>
      </c>
      <c r="C3" s="8" t="s">
        <v>200</v>
      </c>
      <c r="D3" s="8" t="s">
        <v>3</v>
      </c>
      <c r="E3" s="2"/>
      <c r="F3" s="72" t="s">
        <v>54</v>
      </c>
      <c r="G3" s="73">
        <v>233.4</v>
      </c>
      <c r="H3" s="72" t="s">
        <v>55</v>
      </c>
      <c r="I3" s="74">
        <f>1521720000*0.001</f>
        <v>1521720</v>
      </c>
      <c r="K3" s="115" t="s">
        <v>123</v>
      </c>
      <c r="L3" s="127" t="s">
        <v>124</v>
      </c>
      <c r="M3" s="127" t="s">
        <v>125</v>
      </c>
      <c r="N3" s="127" t="s">
        <v>126</v>
      </c>
      <c r="O3" s="127" t="s">
        <v>127</v>
      </c>
      <c r="P3" s="127" t="s">
        <v>128</v>
      </c>
      <c r="Q3" s="127" t="s">
        <v>129</v>
      </c>
      <c r="R3" s="127" t="s">
        <v>146</v>
      </c>
      <c r="S3" s="127" t="s">
        <v>130</v>
      </c>
      <c r="T3" s="127" t="s">
        <v>204</v>
      </c>
      <c r="U3" s="127" t="s">
        <v>205</v>
      </c>
      <c r="V3" s="127" t="s">
        <v>131</v>
      </c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</row>
    <row r="4" spans="1:34" x14ac:dyDescent="0.25">
      <c r="A4" s="26" t="s">
        <v>33</v>
      </c>
      <c r="B4" s="27">
        <v>1521720</v>
      </c>
      <c r="C4" s="105">
        <f t="shared" ref="C4:C9" si="0">D4/B4</f>
        <v>0.98894792220847139</v>
      </c>
      <c r="D4" s="6">
        <f>(U7+U8)</f>
        <v>1504901.8321830751</v>
      </c>
      <c r="F4" s="72" t="s">
        <v>56</v>
      </c>
      <c r="G4" s="73">
        <v>166.5</v>
      </c>
      <c r="H4" s="72" t="s">
        <v>57</v>
      </c>
      <c r="I4" s="74">
        <f>182100000*0.001</f>
        <v>182100</v>
      </c>
      <c r="K4" s="115" t="s">
        <v>132</v>
      </c>
      <c r="L4" s="127" t="s">
        <v>133</v>
      </c>
      <c r="M4" s="127">
        <v>7456</v>
      </c>
      <c r="N4" s="127">
        <v>1</v>
      </c>
      <c r="O4" s="127"/>
      <c r="P4" s="127">
        <v>2021</v>
      </c>
      <c r="Q4" s="127" t="s">
        <v>134</v>
      </c>
      <c r="R4" s="127"/>
      <c r="S4" s="127">
        <v>60611.03</v>
      </c>
      <c r="T4" s="122">
        <f>S4/1.1023</f>
        <v>54985.965708064949</v>
      </c>
      <c r="U4" s="107">
        <f>T4+X43</f>
        <v>55107.550179022946</v>
      </c>
      <c r="V4" s="120">
        <v>1019883.725</v>
      </c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</row>
    <row r="5" spans="1:34" x14ac:dyDescent="0.25">
      <c r="A5" s="28" t="s">
        <v>34</v>
      </c>
      <c r="B5" s="27">
        <v>182100</v>
      </c>
      <c r="C5" s="105">
        <f t="shared" si="0"/>
        <v>0.5664839104693481</v>
      </c>
      <c r="D5" s="6">
        <f>U4+U5</f>
        <v>103156.72009646829</v>
      </c>
      <c r="F5" s="72" t="s">
        <v>58</v>
      </c>
      <c r="G5" s="73">
        <v>61.8</v>
      </c>
      <c r="H5" s="72" t="s">
        <v>57</v>
      </c>
      <c r="I5" s="74">
        <f>1668000*0.001</f>
        <v>1668</v>
      </c>
      <c r="K5" s="115" t="s">
        <v>132</v>
      </c>
      <c r="L5" s="127" t="s">
        <v>133</v>
      </c>
      <c r="M5" s="127">
        <v>7456</v>
      </c>
      <c r="N5" s="127">
        <v>2</v>
      </c>
      <c r="O5" s="127"/>
      <c r="P5" s="127">
        <v>2021</v>
      </c>
      <c r="Q5" s="127" t="s">
        <v>134</v>
      </c>
      <c r="R5" s="127"/>
      <c r="S5" s="127">
        <v>52964.6</v>
      </c>
      <c r="T5" s="122">
        <f t="shared" ref="T5:T9" si="1">S5/1.1023</f>
        <v>48049.169917445339</v>
      </c>
      <c r="U5" s="107">
        <f>T5</f>
        <v>48049.169917445339</v>
      </c>
      <c r="V5" s="120">
        <v>891236.39500000002</v>
      </c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</row>
    <row r="6" spans="1:34" x14ac:dyDescent="0.25">
      <c r="A6" s="28" t="s">
        <v>35</v>
      </c>
      <c r="B6" s="27">
        <v>1668</v>
      </c>
      <c r="C6" s="105">
        <f t="shared" si="0"/>
        <v>0.66299986767625896</v>
      </c>
      <c r="D6" s="6">
        <f>U28+X44</f>
        <v>1105.883779284</v>
      </c>
      <c r="F6" s="72" t="s">
        <v>59</v>
      </c>
      <c r="G6" s="73">
        <v>26</v>
      </c>
      <c r="H6" s="72" t="s">
        <v>57</v>
      </c>
      <c r="I6" s="74">
        <f>69727000*0.001</f>
        <v>69727</v>
      </c>
      <c r="K6" s="115" t="s">
        <v>132</v>
      </c>
      <c r="L6" s="127" t="s">
        <v>135</v>
      </c>
      <c r="M6" s="127">
        <v>55179</v>
      </c>
      <c r="N6" s="127" t="s">
        <v>136</v>
      </c>
      <c r="O6" s="127"/>
      <c r="P6" s="127">
        <v>2021</v>
      </c>
      <c r="Q6" s="127" t="s">
        <v>134</v>
      </c>
      <c r="R6" s="127"/>
      <c r="S6" s="127">
        <v>764869.01</v>
      </c>
      <c r="T6" s="122">
        <f t="shared" si="1"/>
        <v>693884.61398893222</v>
      </c>
      <c r="U6" s="107">
        <f>T6+X50</f>
        <v>694535.10184706724</v>
      </c>
      <c r="V6" s="120">
        <v>12900000</v>
      </c>
      <c r="X6" s="115"/>
      <c r="Y6" s="115"/>
      <c r="Z6" s="115"/>
      <c r="AA6" s="115"/>
      <c r="AB6" s="115"/>
      <c r="AC6" s="115"/>
      <c r="AD6" s="115"/>
      <c r="AE6" s="115"/>
      <c r="AF6" s="115"/>
      <c r="AG6" s="119"/>
      <c r="AH6" s="115"/>
    </row>
    <row r="7" spans="1:34" x14ac:dyDescent="0.25">
      <c r="A7" s="28" t="s">
        <v>36</v>
      </c>
      <c r="B7" s="27">
        <v>69727</v>
      </c>
      <c r="C7" s="105">
        <f t="shared" si="0"/>
        <v>0.4908261651335637</v>
      </c>
      <c r="D7" s="6">
        <f>U29+X45</f>
        <v>34223.836016267996</v>
      </c>
      <c r="F7" s="72" t="s">
        <v>60</v>
      </c>
      <c r="G7" s="73">
        <v>295</v>
      </c>
      <c r="H7" s="72" t="s">
        <v>57</v>
      </c>
      <c r="I7" s="74">
        <f>1533635000*0.001</f>
        <v>1533635</v>
      </c>
      <c r="K7" s="115" t="s">
        <v>137</v>
      </c>
      <c r="L7" s="127" t="s">
        <v>138</v>
      </c>
      <c r="M7" s="127">
        <v>6076</v>
      </c>
      <c r="N7" s="127">
        <v>3</v>
      </c>
      <c r="O7" s="127"/>
      <c r="P7" s="127">
        <v>2021</v>
      </c>
      <c r="Q7" s="127" t="s">
        <v>134</v>
      </c>
      <c r="R7" s="127"/>
      <c r="S7" s="127">
        <v>5111275.0539999995</v>
      </c>
      <c r="T7" s="122">
        <f>(0.15*S7)/1.1023</f>
        <v>695537.74662070198</v>
      </c>
      <c r="U7" s="107">
        <f>T7+X41+X42</f>
        <v>707261.51715994196</v>
      </c>
      <c r="V7" s="120">
        <v>49500000</v>
      </c>
      <c r="X7" s="115"/>
      <c r="Y7" s="115"/>
      <c r="Z7" s="115"/>
      <c r="AA7" s="115"/>
      <c r="AB7" s="115"/>
      <c r="AC7" s="115"/>
      <c r="AD7" s="115"/>
      <c r="AE7" s="115"/>
      <c r="AF7" s="115"/>
      <c r="AG7" s="119"/>
      <c r="AH7" s="119"/>
    </row>
    <row r="8" spans="1:34" x14ac:dyDescent="0.25">
      <c r="A8" s="28" t="s">
        <v>37</v>
      </c>
      <c r="B8" s="27">
        <v>1533635</v>
      </c>
      <c r="C8" s="105">
        <f t="shared" si="0"/>
        <v>0.37111824788366304</v>
      </c>
      <c r="D8" s="6">
        <f>U9</f>
        <v>569159.9340930616</v>
      </c>
      <c r="F8" s="72" t="s">
        <v>61</v>
      </c>
      <c r="G8" s="73">
        <v>7.2</v>
      </c>
      <c r="H8" s="72" t="s">
        <v>57</v>
      </c>
      <c r="I8" s="75">
        <f>3117000*0.001</f>
        <v>3117</v>
      </c>
      <c r="K8" s="115" t="s">
        <v>137</v>
      </c>
      <c r="L8" s="127" t="s">
        <v>138</v>
      </c>
      <c r="M8" s="127">
        <v>6076</v>
      </c>
      <c r="N8" s="127">
        <v>4</v>
      </c>
      <c r="O8" s="127"/>
      <c r="P8" s="127">
        <v>2021</v>
      </c>
      <c r="Q8" s="127" t="s">
        <v>134</v>
      </c>
      <c r="R8" s="127"/>
      <c r="S8" s="127">
        <v>5861592.7949999999</v>
      </c>
      <c r="T8" s="122">
        <f>(0.15*S8)/1.1023</f>
        <v>797640.3150231333</v>
      </c>
      <c r="U8" s="107">
        <f>T8</f>
        <v>797640.3150231333</v>
      </c>
      <c r="V8" s="120">
        <v>55900000</v>
      </c>
      <c r="X8" s="115"/>
      <c r="Y8" s="115"/>
      <c r="Z8" s="115"/>
      <c r="AA8" s="115"/>
      <c r="AB8" s="115"/>
      <c r="AC8" s="115"/>
      <c r="AD8" s="115"/>
      <c r="AE8" s="115"/>
      <c r="AF8" s="115"/>
      <c r="AG8" s="119"/>
      <c r="AH8" s="119"/>
    </row>
    <row r="9" spans="1:34" x14ac:dyDescent="0.25">
      <c r="A9" s="28" t="s">
        <v>155</v>
      </c>
      <c r="B9" s="27">
        <v>3117</v>
      </c>
      <c r="C9" s="105">
        <f t="shared" si="0"/>
        <v>0.64252063434456219</v>
      </c>
      <c r="D9" s="6">
        <f>U31+X47</f>
        <v>2002.7368172520003</v>
      </c>
      <c r="F9" s="72" t="s">
        <v>62</v>
      </c>
      <c r="G9" s="76">
        <v>50.7</v>
      </c>
      <c r="H9" s="72" t="s">
        <v>63</v>
      </c>
      <c r="I9" s="74">
        <f>322814000*0.001</f>
        <v>322814</v>
      </c>
      <c r="K9" s="115" t="s">
        <v>139</v>
      </c>
      <c r="L9" s="127" t="s">
        <v>140</v>
      </c>
      <c r="M9" s="127">
        <v>7350</v>
      </c>
      <c r="N9" s="127" t="s">
        <v>141</v>
      </c>
      <c r="O9" s="127"/>
      <c r="P9" s="127">
        <v>2021</v>
      </c>
      <c r="Q9" s="127" t="s">
        <v>134</v>
      </c>
      <c r="R9" s="127"/>
      <c r="S9" s="127">
        <v>626763.18400000001</v>
      </c>
      <c r="T9" s="122">
        <f t="shared" si="1"/>
        <v>568595.83053615165</v>
      </c>
      <c r="U9" s="107">
        <f>T9+X46</f>
        <v>569159.9340930616</v>
      </c>
      <c r="V9" s="120">
        <v>10500000</v>
      </c>
      <c r="X9" s="115"/>
      <c r="Y9" s="115"/>
      <c r="Z9" s="115"/>
      <c r="AA9" s="115"/>
      <c r="AB9" s="115"/>
      <c r="AC9" s="115"/>
      <c r="AD9" s="115"/>
      <c r="AE9" s="115"/>
      <c r="AF9" s="115"/>
      <c r="AG9" s="119"/>
      <c r="AH9" s="119"/>
    </row>
    <row r="10" spans="1:34" x14ac:dyDescent="0.25">
      <c r="A10" s="28" t="s">
        <v>202</v>
      </c>
      <c r="B10" s="27">
        <v>322814</v>
      </c>
      <c r="C10" s="105">
        <v>0</v>
      </c>
      <c r="D10" s="6">
        <v>0</v>
      </c>
      <c r="F10" s="72" t="s">
        <v>64</v>
      </c>
      <c r="G10" s="73">
        <v>14.8</v>
      </c>
      <c r="H10" s="72" t="s">
        <v>65</v>
      </c>
      <c r="I10" s="74">
        <f>89308000*0.001</f>
        <v>89308</v>
      </c>
      <c r="W10" s="121"/>
      <c r="AF10" s="119"/>
    </row>
    <row r="11" spans="1:34" x14ac:dyDescent="0.25">
      <c r="A11" s="28" t="s">
        <v>39</v>
      </c>
      <c r="B11" s="27">
        <v>89308</v>
      </c>
      <c r="C11" s="105">
        <v>0</v>
      </c>
      <c r="D11" s="6">
        <v>0</v>
      </c>
      <c r="F11" s="72" t="s">
        <v>66</v>
      </c>
      <c r="G11" s="73">
        <v>14.8</v>
      </c>
      <c r="H11" s="72" t="s">
        <v>65</v>
      </c>
      <c r="I11" s="74">
        <f>65021000*0.001</f>
        <v>65021</v>
      </c>
      <c r="L11" s="127"/>
      <c r="M11" s="127"/>
      <c r="N11" s="127"/>
      <c r="O11" s="127"/>
      <c r="P11" s="127"/>
      <c r="Q11" s="127"/>
      <c r="R11" s="127"/>
      <c r="S11" s="127"/>
      <c r="T11" s="127"/>
      <c r="W11" s="121"/>
      <c r="AF11" s="115"/>
    </row>
    <row r="12" spans="1:34" x14ac:dyDescent="0.25">
      <c r="A12" s="28" t="s">
        <v>40</v>
      </c>
      <c r="B12" s="27">
        <v>65021</v>
      </c>
      <c r="C12" s="105">
        <v>0</v>
      </c>
      <c r="D12" s="6">
        <v>0</v>
      </c>
      <c r="F12" s="72" t="s">
        <v>67</v>
      </c>
      <c r="G12" s="73">
        <v>37.6</v>
      </c>
      <c r="H12" s="72" t="s">
        <v>65</v>
      </c>
      <c r="I12" s="74">
        <f>131047000*0.001</f>
        <v>131047</v>
      </c>
      <c r="L12" s="127"/>
      <c r="M12" s="127"/>
      <c r="N12" s="127"/>
      <c r="O12" s="127"/>
      <c r="P12" s="127"/>
      <c r="Q12" s="127"/>
      <c r="R12" s="127"/>
      <c r="S12" s="127"/>
      <c r="T12" s="127"/>
      <c r="W12" s="121"/>
      <c r="AF12" s="119"/>
    </row>
    <row r="13" spans="1:34" x14ac:dyDescent="0.25">
      <c r="A13" s="28" t="s">
        <v>41</v>
      </c>
      <c r="B13" s="27">
        <v>131047</v>
      </c>
      <c r="C13" s="105">
        <f t="shared" ref="C13:C18" si="2">(V17*2204.62262)/B13</f>
        <v>0</v>
      </c>
      <c r="D13" s="6">
        <v>0</v>
      </c>
      <c r="F13" s="72" t="s">
        <v>168</v>
      </c>
      <c r="G13" s="73">
        <v>43.2</v>
      </c>
      <c r="H13" s="72" t="s">
        <v>65</v>
      </c>
      <c r="I13" s="74">
        <f>207022000*0.001</f>
        <v>207022</v>
      </c>
      <c r="L13" s="127"/>
      <c r="M13" s="127"/>
      <c r="N13" s="127"/>
      <c r="O13" s="127"/>
      <c r="P13" s="127"/>
      <c r="Q13" s="127"/>
      <c r="R13" s="127"/>
      <c r="S13" s="127"/>
      <c r="T13" s="127"/>
      <c r="W13" s="121"/>
    </row>
    <row r="14" spans="1:34" x14ac:dyDescent="0.25">
      <c r="A14" s="28" t="s">
        <v>42</v>
      </c>
      <c r="B14" s="27">
        <v>207022</v>
      </c>
      <c r="C14" s="105">
        <f t="shared" si="2"/>
        <v>0</v>
      </c>
      <c r="D14" s="6">
        <v>0</v>
      </c>
      <c r="F14" s="72" t="s">
        <v>68</v>
      </c>
      <c r="G14" s="73">
        <v>71.099999999999994</v>
      </c>
      <c r="H14" s="72" t="s">
        <v>65</v>
      </c>
      <c r="I14" s="74">
        <f>478013000*0.001</f>
        <v>478013</v>
      </c>
      <c r="L14" s="127"/>
      <c r="M14" s="127"/>
      <c r="N14" s="127"/>
      <c r="O14" s="127"/>
      <c r="P14" s="127"/>
      <c r="Q14" s="127"/>
      <c r="R14" s="127"/>
      <c r="S14" s="127"/>
      <c r="T14" s="119"/>
      <c r="W14" s="121"/>
    </row>
    <row r="15" spans="1:34" x14ac:dyDescent="0.25">
      <c r="A15" s="28" t="s">
        <v>43</v>
      </c>
      <c r="B15" s="27">
        <v>478013</v>
      </c>
      <c r="C15" s="105">
        <f t="shared" si="2"/>
        <v>0</v>
      </c>
      <c r="D15" s="6">
        <v>0</v>
      </c>
      <c r="F15" s="72" t="s">
        <v>69</v>
      </c>
      <c r="G15" s="73">
        <v>10</v>
      </c>
      <c r="H15" s="72" t="s">
        <v>65</v>
      </c>
      <c r="I15" s="74">
        <f>56179000*0.001</f>
        <v>56179</v>
      </c>
      <c r="L15" s="127"/>
      <c r="M15" s="127"/>
      <c r="N15" s="127"/>
      <c r="O15" s="127"/>
      <c r="P15" s="127"/>
      <c r="Q15" s="127"/>
      <c r="R15" s="127"/>
      <c r="S15" s="127"/>
      <c r="T15" s="119"/>
    </row>
    <row r="16" spans="1:34" x14ac:dyDescent="0.25">
      <c r="A16" s="28" t="s">
        <v>44</v>
      </c>
      <c r="B16" s="27">
        <v>56179</v>
      </c>
      <c r="C16" s="105">
        <f t="shared" si="2"/>
        <v>0</v>
      </c>
      <c r="D16" s="6">
        <v>0</v>
      </c>
      <c r="F16" s="72" t="s">
        <v>70</v>
      </c>
      <c r="G16" s="73">
        <v>265</v>
      </c>
      <c r="H16" s="72" t="s">
        <v>65</v>
      </c>
      <c r="I16" s="74">
        <f>1002923000*0.001</f>
        <v>1002923</v>
      </c>
      <c r="L16" s="127"/>
      <c r="M16" s="127"/>
      <c r="N16" s="127"/>
      <c r="O16" s="127"/>
      <c r="P16" s="127"/>
      <c r="Q16" s="127"/>
      <c r="R16" s="127"/>
      <c r="S16" s="127"/>
      <c r="T16" s="119"/>
    </row>
    <row r="17" spans="1:25" x14ac:dyDescent="0.25">
      <c r="A17" s="28" t="s">
        <v>45</v>
      </c>
      <c r="B17" s="27">
        <v>1002923</v>
      </c>
      <c r="C17" s="105">
        <f t="shared" si="2"/>
        <v>0</v>
      </c>
      <c r="D17" s="6">
        <v>0</v>
      </c>
      <c r="F17" s="72" t="s">
        <v>71</v>
      </c>
      <c r="G17" s="73">
        <v>487.8</v>
      </c>
      <c r="H17" s="72" t="s">
        <v>65</v>
      </c>
      <c r="I17" s="74">
        <f>1568975000*0.001</f>
        <v>1568975</v>
      </c>
      <c r="L17" s="127"/>
      <c r="M17" s="127"/>
      <c r="N17" s="127"/>
      <c r="O17" s="127"/>
      <c r="P17" s="127"/>
      <c r="Q17" s="127"/>
      <c r="R17" s="127"/>
      <c r="S17" s="127"/>
      <c r="T17" s="119"/>
    </row>
    <row r="18" spans="1:25" x14ac:dyDescent="0.25">
      <c r="A18" s="28" t="s">
        <v>46</v>
      </c>
      <c r="B18" s="27">
        <v>1568975</v>
      </c>
      <c r="C18" s="105">
        <f t="shared" si="2"/>
        <v>0</v>
      </c>
      <c r="D18" s="6">
        <v>0</v>
      </c>
    </row>
    <row r="19" spans="1:25" x14ac:dyDescent="0.25">
      <c r="A19" s="28" t="s">
        <v>203</v>
      </c>
      <c r="B19" s="27">
        <v>1820368</v>
      </c>
      <c r="C19" s="105">
        <f>D19/B19</f>
        <v>0.38153554767336451</v>
      </c>
      <c r="D19" s="6">
        <f>U6</f>
        <v>694535.10184706724</v>
      </c>
    </row>
    <row r="20" spans="1:25" ht="15.75" x14ac:dyDescent="0.25">
      <c r="A20" s="28" t="s">
        <v>120</v>
      </c>
      <c r="B20" s="27"/>
      <c r="C20" s="27">
        <v>0</v>
      </c>
      <c r="D20" s="6">
        <f t="shared" ref="D20:D41" si="3">(+B20*C20)/2000</f>
        <v>0</v>
      </c>
      <c r="F20" s="133">
        <v>2021</v>
      </c>
      <c r="G20" s="134"/>
      <c r="H20" s="135"/>
      <c r="I20" s="136" t="s">
        <v>72</v>
      </c>
      <c r="J20" s="136" t="s">
        <v>73</v>
      </c>
      <c r="K20" s="137" t="s">
        <v>74</v>
      </c>
      <c r="L20" s="138" t="s">
        <v>75</v>
      </c>
      <c r="M20" s="137" t="s">
        <v>76</v>
      </c>
      <c r="N20" s="137" t="s">
        <v>77</v>
      </c>
      <c r="O20" s="137" t="s">
        <v>78</v>
      </c>
      <c r="P20" s="138" t="s">
        <v>79</v>
      </c>
      <c r="Q20" s="138" t="s">
        <v>80</v>
      </c>
      <c r="R20" s="139" t="s">
        <v>81</v>
      </c>
      <c r="S20" s="139" t="s">
        <v>82</v>
      </c>
      <c r="T20" s="139" t="s">
        <v>83</v>
      </c>
      <c r="U20" s="140" t="s">
        <v>84</v>
      </c>
      <c r="V20" s="141"/>
      <c r="W20" s="142"/>
      <c r="X20" s="139" t="s">
        <v>183</v>
      </c>
      <c r="Y20" s="140" t="s">
        <v>184</v>
      </c>
    </row>
    <row r="21" spans="1:25" ht="105.75" x14ac:dyDescent="0.25">
      <c r="A21" s="27" t="s">
        <v>172</v>
      </c>
      <c r="B21" s="27">
        <v>43328</v>
      </c>
      <c r="C21" s="27">
        <v>0</v>
      </c>
      <c r="D21" s="6">
        <f t="shared" si="3"/>
        <v>0</v>
      </c>
      <c r="F21" s="143"/>
      <c r="G21" s="144"/>
      <c r="H21" s="145"/>
      <c r="I21" s="146" t="s">
        <v>85</v>
      </c>
      <c r="J21" s="146" t="s">
        <v>86</v>
      </c>
      <c r="K21" s="146" t="s">
        <v>87</v>
      </c>
      <c r="L21" s="146" t="s">
        <v>88</v>
      </c>
      <c r="M21" s="146" t="s">
        <v>89</v>
      </c>
      <c r="N21" s="146" t="s">
        <v>90</v>
      </c>
      <c r="O21" s="146" t="s">
        <v>91</v>
      </c>
      <c r="P21" s="147" t="s">
        <v>92</v>
      </c>
      <c r="Q21" s="147" t="s">
        <v>93</v>
      </c>
      <c r="R21" s="147" t="s">
        <v>94</v>
      </c>
      <c r="S21" s="147" t="s">
        <v>95</v>
      </c>
      <c r="T21" s="147" t="s">
        <v>263</v>
      </c>
      <c r="U21" s="148" t="s">
        <v>264</v>
      </c>
      <c r="V21" s="149"/>
      <c r="W21" s="142"/>
      <c r="X21" s="147" t="s">
        <v>265</v>
      </c>
      <c r="Y21" s="147" t="s">
        <v>266</v>
      </c>
    </row>
    <row r="22" spans="1:25" ht="30" x14ac:dyDescent="0.25">
      <c r="A22" s="27" t="s">
        <v>156</v>
      </c>
      <c r="B22" s="27">
        <v>402688</v>
      </c>
      <c r="C22" s="27">
        <v>0</v>
      </c>
      <c r="D22" s="6">
        <f t="shared" si="3"/>
        <v>0</v>
      </c>
      <c r="F22" s="150"/>
      <c r="G22" s="151"/>
      <c r="H22" s="135"/>
      <c r="I22" s="152"/>
      <c r="J22" s="152"/>
      <c r="K22" s="152"/>
      <c r="L22" s="152"/>
      <c r="M22" s="152" t="s">
        <v>96</v>
      </c>
      <c r="N22" s="152" t="s">
        <v>97</v>
      </c>
      <c r="O22" s="152"/>
      <c r="P22" s="148"/>
      <c r="Q22" s="148"/>
      <c r="R22" s="77"/>
      <c r="S22" s="77"/>
      <c r="T22" s="148" t="s">
        <v>98</v>
      </c>
      <c r="U22" s="153" t="s">
        <v>99</v>
      </c>
      <c r="V22" s="149"/>
      <c r="W22" s="142"/>
      <c r="X22" s="148" t="s">
        <v>185</v>
      </c>
      <c r="Y22" s="148"/>
    </row>
    <row r="23" spans="1:25" ht="34.5" customHeight="1" x14ac:dyDescent="0.25">
      <c r="A23" s="27" t="s">
        <v>148</v>
      </c>
      <c r="B23" s="27">
        <v>2989</v>
      </c>
      <c r="C23" s="27">
        <v>0</v>
      </c>
      <c r="D23" s="6">
        <f t="shared" si="3"/>
        <v>0</v>
      </c>
      <c r="F23" s="78" t="s">
        <v>100</v>
      </c>
      <c r="G23" s="79" t="s">
        <v>57</v>
      </c>
      <c r="H23" s="80">
        <v>0.5</v>
      </c>
      <c r="I23" s="84">
        <v>1000</v>
      </c>
      <c r="J23" s="81" t="s">
        <v>101</v>
      </c>
      <c r="K23" s="82">
        <v>5.0999999999999997E-2</v>
      </c>
      <c r="L23" s="83" t="s">
        <v>102</v>
      </c>
      <c r="M23" s="81" t="s">
        <v>103</v>
      </c>
      <c r="N23" s="84">
        <f>I23*K23</f>
        <v>51</v>
      </c>
      <c r="O23" s="84" t="s">
        <v>104</v>
      </c>
      <c r="P23" s="83">
        <v>14</v>
      </c>
      <c r="Q23" s="81" t="s">
        <v>105</v>
      </c>
      <c r="R23" s="154">
        <v>1</v>
      </c>
      <c r="S23" s="155">
        <v>1</v>
      </c>
      <c r="T23" s="156">
        <f>+N23*P23*R23*S23*3.66666666666667</f>
        <v>2618.0000000000023</v>
      </c>
      <c r="U23" s="85">
        <f>T23/1000</f>
        <v>2.6180000000000021</v>
      </c>
      <c r="V23" s="157"/>
      <c r="W23" s="158"/>
      <c r="X23" s="156" t="s">
        <v>186</v>
      </c>
      <c r="Y23" s="85">
        <v>2.61</v>
      </c>
    </row>
    <row r="24" spans="1:25" x14ac:dyDescent="0.25">
      <c r="A24" s="27" t="s">
        <v>157</v>
      </c>
      <c r="B24" s="27">
        <v>332485</v>
      </c>
      <c r="C24" s="27">
        <v>0</v>
      </c>
      <c r="D24" s="6">
        <f t="shared" si="3"/>
        <v>0</v>
      </c>
      <c r="F24" s="86" t="s">
        <v>106</v>
      </c>
      <c r="G24" s="159" t="s">
        <v>107</v>
      </c>
      <c r="H24" s="159" t="s">
        <v>108</v>
      </c>
      <c r="I24" s="87"/>
      <c r="J24" s="88"/>
      <c r="K24" s="88"/>
      <c r="L24" s="88"/>
      <c r="M24" s="88"/>
      <c r="N24" s="88"/>
      <c r="O24" s="88"/>
      <c r="P24" s="89"/>
      <c r="Q24" s="90"/>
      <c r="R24" s="91"/>
      <c r="S24" s="91"/>
      <c r="T24" s="91"/>
      <c r="U24" s="88"/>
      <c r="V24" s="160"/>
      <c r="W24" s="158"/>
      <c r="X24" s="91"/>
      <c r="Y24" s="91"/>
    </row>
    <row r="25" spans="1:25" ht="30" x14ac:dyDescent="0.25">
      <c r="A25" s="27" t="s">
        <v>158</v>
      </c>
      <c r="B25" s="27">
        <v>7709</v>
      </c>
      <c r="C25" s="27">
        <v>0</v>
      </c>
      <c r="D25" s="6">
        <f t="shared" si="3"/>
        <v>0</v>
      </c>
      <c r="F25" s="92" t="s">
        <v>33</v>
      </c>
      <c r="G25" s="92" t="s">
        <v>55</v>
      </c>
      <c r="H25" s="161">
        <v>0.15</v>
      </c>
      <c r="I25" s="93">
        <f>943534</f>
        <v>943534</v>
      </c>
      <c r="J25" s="94" t="s">
        <v>109</v>
      </c>
      <c r="K25" s="95">
        <v>16.97</v>
      </c>
      <c r="L25" s="94" t="s">
        <v>110</v>
      </c>
      <c r="M25" s="94" t="s">
        <v>103</v>
      </c>
      <c r="N25" s="162">
        <f>I25*K25</f>
        <v>16011771.979999999</v>
      </c>
      <c r="O25" s="96" t="s">
        <v>111</v>
      </c>
      <c r="P25" s="97">
        <v>93.4</v>
      </c>
      <c r="Q25" s="96" t="s">
        <v>112</v>
      </c>
      <c r="R25" s="98">
        <v>0.98</v>
      </c>
      <c r="S25" s="99">
        <v>1</v>
      </c>
      <c r="T25" s="163">
        <f t="shared" ref="T25:T30" si="4">+N25*P25*R25*S25</f>
        <v>1465589512.8733599</v>
      </c>
      <c r="U25" s="163">
        <f t="shared" ref="U25:U34" si="5">T25/1000</f>
        <v>1465589.51287336</v>
      </c>
      <c r="V25" s="164"/>
      <c r="W25" s="158"/>
      <c r="X25" s="165" t="s">
        <v>186</v>
      </c>
      <c r="Y25" s="166"/>
    </row>
    <row r="26" spans="1:25" ht="25.5" x14ac:dyDescent="0.25">
      <c r="A26" s="27" t="s">
        <v>159</v>
      </c>
      <c r="B26" s="27">
        <v>0</v>
      </c>
      <c r="C26" s="27">
        <v>0</v>
      </c>
      <c r="D26" s="6">
        <f t="shared" si="3"/>
        <v>0</v>
      </c>
      <c r="F26" s="92" t="s">
        <v>33</v>
      </c>
      <c r="G26" s="92" t="s">
        <v>113</v>
      </c>
      <c r="H26" s="100">
        <v>0.15</v>
      </c>
      <c r="I26" s="93">
        <v>2207</v>
      </c>
      <c r="J26" s="94" t="s">
        <v>114</v>
      </c>
      <c r="K26" s="97">
        <v>5.88</v>
      </c>
      <c r="L26" s="101" t="s">
        <v>115</v>
      </c>
      <c r="M26" s="94" t="s">
        <v>103</v>
      </c>
      <c r="N26" s="162">
        <f>(I26*K26)</f>
        <v>12977.16</v>
      </c>
      <c r="O26" s="96" t="s">
        <v>111</v>
      </c>
      <c r="P26" s="97">
        <v>73.959999999999994</v>
      </c>
      <c r="Q26" s="96" t="s">
        <v>112</v>
      </c>
      <c r="R26" s="98">
        <v>0.99</v>
      </c>
      <c r="S26" s="99">
        <v>1</v>
      </c>
      <c r="T26" s="163">
        <f t="shared" si="4"/>
        <v>950192.84606399992</v>
      </c>
      <c r="U26" s="163">
        <f t="shared" si="5"/>
        <v>950.19284606399992</v>
      </c>
      <c r="V26" s="164"/>
      <c r="W26" s="158"/>
      <c r="X26" s="165" t="s">
        <v>183</v>
      </c>
      <c r="Y26" s="166"/>
    </row>
    <row r="27" spans="1:25" x14ac:dyDescent="0.25">
      <c r="A27" s="27" t="s">
        <v>121</v>
      </c>
      <c r="B27" s="27">
        <v>360783</v>
      </c>
      <c r="C27" s="27">
        <v>0</v>
      </c>
      <c r="D27" s="6">
        <f t="shared" si="3"/>
        <v>0</v>
      </c>
      <c r="F27" s="92" t="s">
        <v>116</v>
      </c>
      <c r="G27" s="92" t="s">
        <v>57</v>
      </c>
      <c r="H27" s="100">
        <v>1</v>
      </c>
      <c r="I27" s="97">
        <f>2174374/1000</f>
        <v>2174.3739999999998</v>
      </c>
      <c r="J27" s="94" t="s">
        <v>117</v>
      </c>
      <c r="K27" s="102">
        <v>1026</v>
      </c>
      <c r="L27" s="94" t="s">
        <v>118</v>
      </c>
      <c r="M27" s="94" t="s">
        <v>103</v>
      </c>
      <c r="N27" s="162">
        <f t="shared" ref="N27:N31" si="6">I27*K27</f>
        <v>2230907.7239999999</v>
      </c>
      <c r="O27" s="96" t="s">
        <v>111</v>
      </c>
      <c r="P27" s="97">
        <v>53.06</v>
      </c>
      <c r="Q27" s="96" t="s">
        <v>112</v>
      </c>
      <c r="R27" s="98">
        <v>0.995</v>
      </c>
      <c r="S27" s="99">
        <v>1</v>
      </c>
      <c r="T27" s="163">
        <f t="shared" si="4"/>
        <v>117780104.0162628</v>
      </c>
      <c r="U27" s="163">
        <f t="shared" si="5"/>
        <v>117780.10401626281</v>
      </c>
      <c r="V27" s="164"/>
      <c r="W27" s="158"/>
      <c r="X27" s="165" t="s">
        <v>186</v>
      </c>
      <c r="Y27" s="166"/>
    </row>
    <row r="28" spans="1:25" x14ac:dyDescent="0.25">
      <c r="A28" s="27" t="s">
        <v>160</v>
      </c>
      <c r="B28" s="27"/>
      <c r="C28" s="27">
        <v>0</v>
      </c>
      <c r="D28" s="6">
        <f t="shared" si="3"/>
        <v>0</v>
      </c>
      <c r="F28" s="92" t="s">
        <v>119</v>
      </c>
      <c r="G28" s="92" t="s">
        <v>57</v>
      </c>
      <c r="H28" s="100">
        <v>1</v>
      </c>
      <c r="I28" s="97">
        <f>20395/1000</f>
        <v>20.395</v>
      </c>
      <c r="J28" s="94" t="s">
        <v>117</v>
      </c>
      <c r="K28" s="102">
        <v>1026</v>
      </c>
      <c r="L28" s="94" t="s">
        <v>118</v>
      </c>
      <c r="M28" s="94" t="s">
        <v>103</v>
      </c>
      <c r="N28" s="162">
        <f t="shared" si="6"/>
        <v>20925.27</v>
      </c>
      <c r="O28" s="96" t="s">
        <v>111</v>
      </c>
      <c r="P28" s="97">
        <v>53.06</v>
      </c>
      <c r="Q28" s="96" t="s">
        <v>112</v>
      </c>
      <c r="R28" s="98">
        <v>0.995</v>
      </c>
      <c r="S28" s="99">
        <v>1</v>
      </c>
      <c r="T28" s="163">
        <f t="shared" si="4"/>
        <v>1104743.352069</v>
      </c>
      <c r="U28" s="163">
        <f t="shared" si="5"/>
        <v>1104.7433520689999</v>
      </c>
      <c r="V28" s="164"/>
      <c r="W28" s="158"/>
      <c r="X28" s="165" t="s">
        <v>183</v>
      </c>
      <c r="Y28" s="167"/>
    </row>
    <row r="29" spans="1:25" ht="29.25" customHeight="1" x14ac:dyDescent="0.25">
      <c r="A29" s="27" t="s">
        <v>179</v>
      </c>
      <c r="B29" s="27">
        <v>452357</v>
      </c>
      <c r="C29" s="27">
        <v>0</v>
      </c>
      <c r="D29" s="6">
        <f t="shared" si="3"/>
        <v>0</v>
      </c>
      <c r="F29" s="92" t="s">
        <v>36</v>
      </c>
      <c r="G29" s="92" t="s">
        <v>57</v>
      </c>
      <c r="H29" s="100">
        <v>1</v>
      </c>
      <c r="I29" s="97">
        <f>631165/1000</f>
        <v>631.16499999999996</v>
      </c>
      <c r="J29" s="94" t="s">
        <v>117</v>
      </c>
      <c r="K29" s="102">
        <v>1026</v>
      </c>
      <c r="L29" s="94" t="s">
        <v>118</v>
      </c>
      <c r="M29" s="94" t="s">
        <v>103</v>
      </c>
      <c r="N29" s="162">
        <f t="shared" si="6"/>
        <v>647575.28999999992</v>
      </c>
      <c r="O29" s="96" t="s">
        <v>111</v>
      </c>
      <c r="P29" s="97">
        <v>53.06</v>
      </c>
      <c r="Q29" s="96" t="s">
        <v>112</v>
      </c>
      <c r="R29" s="98">
        <v>0.995</v>
      </c>
      <c r="S29" s="99">
        <v>1</v>
      </c>
      <c r="T29" s="163">
        <f t="shared" si="4"/>
        <v>34188543.162962995</v>
      </c>
      <c r="U29" s="163">
        <f t="shared" si="5"/>
        <v>34188.543162962997</v>
      </c>
      <c r="V29" s="164"/>
      <c r="W29" s="158"/>
      <c r="X29" s="165" t="s">
        <v>183</v>
      </c>
      <c r="Y29" s="167"/>
    </row>
    <row r="30" spans="1:25" ht="27" customHeight="1" x14ac:dyDescent="0.25">
      <c r="A30" s="27" t="s">
        <v>163</v>
      </c>
      <c r="B30" s="27">
        <v>20971</v>
      </c>
      <c r="C30" s="27">
        <v>0</v>
      </c>
      <c r="D30" s="6">
        <f t="shared" si="3"/>
        <v>0</v>
      </c>
      <c r="F30" s="92" t="s">
        <v>37</v>
      </c>
      <c r="G30" s="92" t="s">
        <v>57</v>
      </c>
      <c r="H30" s="100">
        <v>1</v>
      </c>
      <c r="I30" s="97">
        <f>10088230/1000</f>
        <v>10088.23</v>
      </c>
      <c r="J30" s="94" t="s">
        <v>117</v>
      </c>
      <c r="K30" s="102">
        <v>1026</v>
      </c>
      <c r="L30" s="94" t="s">
        <v>118</v>
      </c>
      <c r="M30" s="94" t="s">
        <v>103</v>
      </c>
      <c r="N30" s="162">
        <f>I30*K30</f>
        <v>10350523.98</v>
      </c>
      <c r="O30" s="96" t="s">
        <v>111</v>
      </c>
      <c r="P30" s="97">
        <v>53.06</v>
      </c>
      <c r="Q30" s="96" t="s">
        <v>112</v>
      </c>
      <c r="R30" s="98">
        <v>0.995</v>
      </c>
      <c r="S30" s="99">
        <v>1</v>
      </c>
      <c r="T30" s="163">
        <f t="shared" si="4"/>
        <v>546452808.36690605</v>
      </c>
      <c r="U30" s="163">
        <f t="shared" si="5"/>
        <v>546452.80836690601</v>
      </c>
      <c r="V30" s="164"/>
      <c r="W30" s="158"/>
      <c r="X30" s="165" t="s">
        <v>186</v>
      </c>
      <c r="Y30" s="168"/>
    </row>
    <row r="31" spans="1:25" x14ac:dyDescent="0.25">
      <c r="A31" s="27" t="s">
        <v>164</v>
      </c>
      <c r="B31" s="27">
        <v>6925</v>
      </c>
      <c r="C31" s="27">
        <v>0</v>
      </c>
      <c r="D31" s="6">
        <f t="shared" si="3"/>
        <v>0</v>
      </c>
      <c r="F31" s="92" t="s">
        <v>38</v>
      </c>
      <c r="G31" s="92" t="s">
        <v>57</v>
      </c>
      <c r="H31" s="100">
        <v>1</v>
      </c>
      <c r="I31" s="97">
        <v>36.935000000000002</v>
      </c>
      <c r="J31" s="94" t="s">
        <v>117</v>
      </c>
      <c r="K31" s="102">
        <v>1026</v>
      </c>
      <c r="L31" s="94" t="s">
        <v>118</v>
      </c>
      <c r="M31" s="94" t="s">
        <v>103</v>
      </c>
      <c r="N31" s="162">
        <f t="shared" si="6"/>
        <v>37895.310000000005</v>
      </c>
      <c r="O31" s="96" t="s">
        <v>111</v>
      </c>
      <c r="P31" s="97">
        <v>53.06</v>
      </c>
      <c r="Q31" s="96" t="s">
        <v>112</v>
      </c>
      <c r="R31" s="98">
        <v>0.995</v>
      </c>
      <c r="S31" s="99">
        <v>1</v>
      </c>
      <c r="T31" s="163">
        <f>+N31*P31*R31*S31</f>
        <v>2000671.5228570004</v>
      </c>
      <c r="U31" s="163">
        <f t="shared" si="5"/>
        <v>2000.6715228570004</v>
      </c>
      <c r="V31" s="164"/>
      <c r="W31" s="158"/>
      <c r="X31" s="165" t="s">
        <v>183</v>
      </c>
      <c r="Y31" s="167"/>
    </row>
    <row r="32" spans="1:25" x14ac:dyDescent="0.25">
      <c r="A32" s="27" t="s">
        <v>161</v>
      </c>
      <c r="B32" s="27">
        <v>6641</v>
      </c>
      <c r="C32" s="27">
        <v>0</v>
      </c>
      <c r="D32" s="6">
        <f t="shared" si="3"/>
        <v>0</v>
      </c>
      <c r="F32" s="92" t="s">
        <v>152</v>
      </c>
      <c r="G32" s="169" t="s">
        <v>57</v>
      </c>
      <c r="H32" s="100">
        <v>1</v>
      </c>
      <c r="I32" s="97">
        <v>5.31</v>
      </c>
      <c r="J32" s="94" t="s">
        <v>117</v>
      </c>
      <c r="K32" s="102">
        <v>1026</v>
      </c>
      <c r="L32" s="94" t="s">
        <v>118</v>
      </c>
      <c r="M32" s="94" t="s">
        <v>103</v>
      </c>
      <c r="N32" s="162">
        <f>I32*K32</f>
        <v>5448.0599999999995</v>
      </c>
      <c r="O32" s="96" t="s">
        <v>111</v>
      </c>
      <c r="P32" s="97">
        <v>53.06</v>
      </c>
      <c r="Q32" s="96" t="s">
        <v>112</v>
      </c>
      <c r="R32" s="98">
        <v>0.995</v>
      </c>
      <c r="S32" s="99">
        <v>1</v>
      </c>
      <c r="T32" s="163">
        <f>+N32*P32*R32*S32</f>
        <v>287628.69328199996</v>
      </c>
      <c r="U32" s="163">
        <f t="shared" si="5"/>
        <v>287.62869328199997</v>
      </c>
      <c r="V32" s="164"/>
      <c r="W32" s="158"/>
      <c r="X32" s="165" t="s">
        <v>183</v>
      </c>
      <c r="Y32" s="167"/>
    </row>
    <row r="33" spans="1:25" x14ac:dyDescent="0.25">
      <c r="A33" s="27" t="s">
        <v>162</v>
      </c>
      <c r="B33" s="27">
        <v>50784</v>
      </c>
      <c r="C33" s="27"/>
      <c r="D33" s="6">
        <f t="shared" si="3"/>
        <v>0</v>
      </c>
      <c r="F33" s="103"/>
      <c r="G33" s="104"/>
      <c r="H33" s="100">
        <v>1</v>
      </c>
      <c r="I33" s="97"/>
      <c r="J33" s="94"/>
      <c r="K33" s="102" t="s">
        <v>153</v>
      </c>
      <c r="L33" s="94" t="s">
        <v>153</v>
      </c>
      <c r="M33" s="94" t="s">
        <v>153</v>
      </c>
      <c r="N33" s="162">
        <v>0</v>
      </c>
      <c r="O33" s="96" t="s">
        <v>153</v>
      </c>
      <c r="P33" s="97" t="s">
        <v>153</v>
      </c>
      <c r="Q33" s="96" t="s">
        <v>153</v>
      </c>
      <c r="R33" s="170" t="s">
        <v>153</v>
      </c>
      <c r="S33" s="171" t="s">
        <v>153</v>
      </c>
      <c r="T33" s="163">
        <v>0</v>
      </c>
      <c r="U33" s="163">
        <v>0</v>
      </c>
      <c r="V33" s="164"/>
      <c r="W33" s="158"/>
      <c r="X33" s="165"/>
      <c r="Y33" s="166" t="s">
        <v>153</v>
      </c>
    </row>
    <row r="34" spans="1:25" ht="30" x14ac:dyDescent="0.25">
      <c r="A34" s="27" t="s">
        <v>175</v>
      </c>
      <c r="B34" s="27">
        <v>1123</v>
      </c>
      <c r="C34" s="27"/>
      <c r="D34" s="6">
        <f t="shared" si="3"/>
        <v>0</v>
      </c>
      <c r="F34" s="103" t="s">
        <v>51</v>
      </c>
      <c r="G34" s="104"/>
      <c r="H34" s="100">
        <v>1</v>
      </c>
      <c r="I34" s="97"/>
      <c r="J34" s="94"/>
      <c r="K34" s="97">
        <v>16.826000000000001</v>
      </c>
      <c r="L34" s="94" t="s">
        <v>110</v>
      </c>
      <c r="M34" s="94" t="s">
        <v>103</v>
      </c>
      <c r="N34" s="162">
        <v>0</v>
      </c>
      <c r="O34" s="96"/>
      <c r="P34" s="97"/>
      <c r="Q34" s="96"/>
      <c r="R34" s="98"/>
      <c r="S34" s="99"/>
      <c r="T34" s="163">
        <f>+N34*P34*R34*S34</f>
        <v>0</v>
      </c>
      <c r="U34" s="163">
        <f t="shared" si="5"/>
        <v>0</v>
      </c>
      <c r="V34" s="164"/>
      <c r="W34" s="158"/>
      <c r="X34" s="172" t="s">
        <v>186</v>
      </c>
      <c r="Y34" s="173">
        <v>693877.49399999995</v>
      </c>
    </row>
    <row r="35" spans="1:25" x14ac:dyDescent="0.25">
      <c r="A35" s="27" t="s">
        <v>147</v>
      </c>
      <c r="B35" s="27">
        <v>35127</v>
      </c>
      <c r="C35" s="27"/>
      <c r="D35" s="6">
        <f t="shared" si="3"/>
        <v>0</v>
      </c>
    </row>
    <row r="36" spans="1:25" ht="15.75" x14ac:dyDescent="0.25">
      <c r="A36" s="27" t="s">
        <v>165</v>
      </c>
      <c r="B36" s="27">
        <v>545</v>
      </c>
      <c r="C36" s="27"/>
      <c r="D36" s="6">
        <f t="shared" si="3"/>
        <v>0</v>
      </c>
      <c r="F36" s="133">
        <v>2021</v>
      </c>
      <c r="G36" s="134"/>
      <c r="H36" s="135"/>
      <c r="I36" s="136" t="s">
        <v>72</v>
      </c>
      <c r="J36" s="136" t="s">
        <v>73</v>
      </c>
      <c r="K36" s="137" t="s">
        <v>74</v>
      </c>
      <c r="L36" s="138" t="s">
        <v>75</v>
      </c>
      <c r="M36" s="137" t="s">
        <v>76</v>
      </c>
      <c r="N36" s="137" t="s">
        <v>77</v>
      </c>
      <c r="O36" s="137" t="s">
        <v>78</v>
      </c>
      <c r="P36" s="138" t="s">
        <v>79</v>
      </c>
      <c r="Q36" s="138" t="s">
        <v>80</v>
      </c>
      <c r="R36" s="138" t="s">
        <v>81</v>
      </c>
      <c r="S36" s="138" t="s">
        <v>82</v>
      </c>
      <c r="T36" s="139" t="s">
        <v>83</v>
      </c>
      <c r="U36" s="139" t="s">
        <v>84</v>
      </c>
      <c r="V36" s="140" t="s">
        <v>183</v>
      </c>
    </row>
    <row r="37" spans="1:25" ht="60" x14ac:dyDescent="0.25">
      <c r="A37" s="27" t="s">
        <v>166</v>
      </c>
      <c r="B37" s="27">
        <v>223</v>
      </c>
      <c r="C37" s="27"/>
      <c r="D37" s="6">
        <f t="shared" si="3"/>
        <v>0</v>
      </c>
      <c r="F37" s="143"/>
      <c r="G37" s="144"/>
      <c r="H37" s="145"/>
      <c r="I37" s="146" t="s">
        <v>85</v>
      </c>
      <c r="J37" s="146" t="s">
        <v>86</v>
      </c>
      <c r="K37" s="146" t="s">
        <v>87</v>
      </c>
      <c r="L37" s="146" t="s">
        <v>88</v>
      </c>
      <c r="M37" s="146" t="s">
        <v>89</v>
      </c>
      <c r="N37" s="146" t="s">
        <v>90</v>
      </c>
      <c r="O37" s="146" t="s">
        <v>91</v>
      </c>
      <c r="P37" s="147" t="s">
        <v>187</v>
      </c>
      <c r="Q37" s="147" t="s">
        <v>93</v>
      </c>
      <c r="R37" s="147" t="s">
        <v>188</v>
      </c>
      <c r="S37" s="147" t="s">
        <v>189</v>
      </c>
      <c r="T37" s="147" t="s">
        <v>95</v>
      </c>
      <c r="U37" s="147" t="s">
        <v>190</v>
      </c>
      <c r="V37" s="148" t="s">
        <v>191</v>
      </c>
      <c r="X37" s="130" t="s">
        <v>268</v>
      </c>
    </row>
    <row r="38" spans="1:25" ht="30" x14ac:dyDescent="0.25">
      <c r="A38" s="28" t="s">
        <v>173</v>
      </c>
      <c r="B38" s="27">
        <v>2337</v>
      </c>
      <c r="C38" s="27"/>
      <c r="D38" s="6">
        <f t="shared" si="3"/>
        <v>0</v>
      </c>
      <c r="F38" s="150"/>
      <c r="G38" s="134"/>
      <c r="H38" s="135"/>
      <c r="I38" s="152"/>
      <c r="J38" s="152"/>
      <c r="K38" s="152"/>
      <c r="L38" s="152"/>
      <c r="M38" s="152" t="s">
        <v>96</v>
      </c>
      <c r="N38" s="152" t="s">
        <v>97</v>
      </c>
      <c r="O38" s="152"/>
      <c r="P38" s="148"/>
      <c r="Q38" s="148"/>
      <c r="R38" s="148"/>
      <c r="S38" s="148"/>
      <c r="T38" s="77"/>
      <c r="U38" s="148" t="s">
        <v>192</v>
      </c>
      <c r="V38" s="153" t="s">
        <v>193</v>
      </c>
      <c r="X38" s="130"/>
    </row>
    <row r="39" spans="1:25" ht="30" x14ac:dyDescent="0.25">
      <c r="A39" s="28" t="s">
        <v>174</v>
      </c>
      <c r="B39" s="27">
        <v>886</v>
      </c>
      <c r="C39" s="27"/>
      <c r="D39" s="6">
        <f t="shared" si="3"/>
        <v>0</v>
      </c>
      <c r="F39" s="189"/>
      <c r="G39" s="190"/>
      <c r="H39" s="191"/>
      <c r="I39" s="192">
        <v>1000</v>
      </c>
      <c r="J39" s="193" t="s">
        <v>101</v>
      </c>
      <c r="K39" s="194">
        <v>5.0999999999999997E-2</v>
      </c>
      <c r="L39" s="195" t="s">
        <v>102</v>
      </c>
      <c r="M39" s="193" t="s">
        <v>103</v>
      </c>
      <c r="N39" s="192">
        <v>51</v>
      </c>
      <c r="O39" s="192" t="s">
        <v>104</v>
      </c>
      <c r="P39" s="196">
        <v>1E-3</v>
      </c>
      <c r="Q39" s="193" t="s">
        <v>194</v>
      </c>
      <c r="R39" s="196">
        <v>2E-3</v>
      </c>
      <c r="S39" s="193" t="s">
        <v>195</v>
      </c>
      <c r="T39" s="155">
        <v>1</v>
      </c>
      <c r="U39" s="197">
        <v>5.1000000000000004E-2</v>
      </c>
      <c r="V39" s="197">
        <v>0.10200000000000001</v>
      </c>
      <c r="X39" s="130"/>
    </row>
    <row r="40" spans="1:25" ht="15.75" thickBot="1" x14ac:dyDescent="0.3">
      <c r="A40" s="29" t="s">
        <v>180</v>
      </c>
      <c r="B40" s="30">
        <v>423510</v>
      </c>
      <c r="C40" s="30"/>
      <c r="D40" s="9">
        <f t="shared" si="3"/>
        <v>0</v>
      </c>
      <c r="F40" s="198" t="s">
        <v>106</v>
      </c>
      <c r="G40" s="199" t="s">
        <v>107</v>
      </c>
      <c r="H40" s="199" t="s">
        <v>108</v>
      </c>
      <c r="I40" s="200"/>
      <c r="J40" s="201"/>
      <c r="K40" s="201"/>
      <c r="L40" s="201"/>
      <c r="M40" s="201"/>
      <c r="N40" s="201"/>
      <c r="O40" s="201"/>
      <c r="P40" s="202"/>
      <c r="Q40" s="203"/>
      <c r="R40" s="202"/>
      <c r="S40" s="203"/>
      <c r="T40" s="91"/>
      <c r="U40" s="204"/>
      <c r="V40" s="205"/>
      <c r="X40" s="130"/>
      <c r="Y40" s="70" t="s">
        <v>106</v>
      </c>
    </row>
    <row r="41" spans="1:25" ht="16.5" thickTop="1" thickBot="1" x14ac:dyDescent="0.3">
      <c r="A41" s="174" t="s">
        <v>267</v>
      </c>
      <c r="B41" s="175">
        <v>106</v>
      </c>
      <c r="C41" s="175"/>
      <c r="D41" s="9">
        <f t="shared" si="3"/>
        <v>0</v>
      </c>
      <c r="F41" s="206" t="s">
        <v>33</v>
      </c>
      <c r="G41" s="206" t="s">
        <v>55</v>
      </c>
      <c r="H41" s="207">
        <v>0.15</v>
      </c>
      <c r="I41" s="208">
        <v>943534</v>
      </c>
      <c r="J41" s="208" t="s">
        <v>109</v>
      </c>
      <c r="K41" s="208">
        <v>16.97</v>
      </c>
      <c r="L41" s="209" t="s">
        <v>110</v>
      </c>
      <c r="M41" s="209" t="s">
        <v>103</v>
      </c>
      <c r="N41" s="210">
        <v>16011771.979999999</v>
      </c>
      <c r="O41" s="209" t="s">
        <v>196</v>
      </c>
      <c r="P41" s="211">
        <v>1.0999999999999999E-2</v>
      </c>
      <c r="Q41" s="96" t="s">
        <v>197</v>
      </c>
      <c r="R41" s="211">
        <v>1.6000000000000001E-3</v>
      </c>
      <c r="S41" s="96" t="s">
        <v>197</v>
      </c>
      <c r="T41" s="212">
        <v>1</v>
      </c>
      <c r="U41" s="162">
        <v>176129.49177999998</v>
      </c>
      <c r="V41" s="162">
        <v>25618.835167999998</v>
      </c>
      <c r="X41" s="130">
        <v>11720.617089359999</v>
      </c>
      <c r="Y41" s="127" t="s">
        <v>33</v>
      </c>
    </row>
    <row r="42" spans="1:25" ht="16.5" thickTop="1" thickBot="1" x14ac:dyDescent="0.3">
      <c r="A42" s="1"/>
      <c r="B42" s="10">
        <f>SUM(B4:B41)</f>
        <v>11205154</v>
      </c>
      <c r="C42" s="217">
        <f>D42/B42</f>
        <v>0.25962035370798797</v>
      </c>
      <c r="D42" s="10">
        <f>SUM(D4:D41)</f>
        <v>2909086.0448324764</v>
      </c>
      <c r="F42" s="206" t="s">
        <v>33</v>
      </c>
      <c r="G42" s="206" t="s">
        <v>113</v>
      </c>
      <c r="H42" s="213">
        <v>0.15</v>
      </c>
      <c r="I42" s="208">
        <v>2207</v>
      </c>
      <c r="J42" s="208" t="s">
        <v>114</v>
      </c>
      <c r="K42" s="208">
        <v>5.88</v>
      </c>
      <c r="L42" s="209" t="s">
        <v>198</v>
      </c>
      <c r="M42" s="209" t="s">
        <v>103</v>
      </c>
      <c r="N42" s="210">
        <v>12977.16</v>
      </c>
      <c r="O42" s="209" t="s">
        <v>111</v>
      </c>
      <c r="P42" s="211">
        <v>3.0000000000000001E-3</v>
      </c>
      <c r="Q42" s="96" t="s">
        <v>197</v>
      </c>
      <c r="R42" s="211">
        <v>5.9999999999999995E-4</v>
      </c>
      <c r="S42" s="96" t="s">
        <v>197</v>
      </c>
      <c r="T42" s="212">
        <v>1</v>
      </c>
      <c r="U42" s="162">
        <v>38.931480000000001</v>
      </c>
      <c r="V42" s="162">
        <v>7.7862959999999992</v>
      </c>
      <c r="X42" s="130">
        <v>3.1534498799999997</v>
      </c>
      <c r="Y42" s="127" t="s">
        <v>33</v>
      </c>
    </row>
    <row r="43" spans="1:25" x14ac:dyDescent="0.25">
      <c r="F43" s="206" t="s">
        <v>116</v>
      </c>
      <c r="G43" s="206" t="s">
        <v>57</v>
      </c>
      <c r="H43" s="213">
        <v>1</v>
      </c>
      <c r="I43" s="208">
        <v>2174.3739999999998</v>
      </c>
      <c r="J43" s="208" t="s">
        <v>117</v>
      </c>
      <c r="K43" s="208">
        <v>1026</v>
      </c>
      <c r="L43" s="209" t="s">
        <v>118</v>
      </c>
      <c r="M43" s="209" t="s">
        <v>103</v>
      </c>
      <c r="N43" s="210">
        <v>2230907.7239999999</v>
      </c>
      <c r="O43" s="209" t="s">
        <v>196</v>
      </c>
      <c r="P43" s="211">
        <v>1E-3</v>
      </c>
      <c r="Q43" s="96" t="s">
        <v>197</v>
      </c>
      <c r="R43" s="211">
        <v>1E-4</v>
      </c>
      <c r="S43" s="96" t="s">
        <v>197</v>
      </c>
      <c r="T43" s="212">
        <v>1</v>
      </c>
      <c r="U43" s="162">
        <v>2230.9077240000001</v>
      </c>
      <c r="V43" s="162">
        <v>223.09077239999999</v>
      </c>
      <c r="X43" s="130">
        <v>121.584470958</v>
      </c>
      <c r="Y43" s="127" t="s">
        <v>116</v>
      </c>
    </row>
    <row r="44" spans="1:25" x14ac:dyDescent="0.25">
      <c r="A44" s="127"/>
      <c r="B44" s="131"/>
      <c r="C44" s="132"/>
      <c r="F44" s="206" t="s">
        <v>119</v>
      </c>
      <c r="G44" s="206" t="s">
        <v>57</v>
      </c>
      <c r="H44" s="213">
        <v>1</v>
      </c>
      <c r="I44" s="208">
        <v>20.395</v>
      </c>
      <c r="J44" s="208" t="s">
        <v>117</v>
      </c>
      <c r="K44" s="208">
        <v>1026</v>
      </c>
      <c r="L44" s="209" t="s">
        <v>118</v>
      </c>
      <c r="M44" s="209" t="s">
        <v>103</v>
      </c>
      <c r="N44" s="210">
        <v>20925.27</v>
      </c>
      <c r="O44" s="209" t="s">
        <v>111</v>
      </c>
      <c r="P44" s="211">
        <v>1E-3</v>
      </c>
      <c r="Q44" s="96" t="s">
        <v>197</v>
      </c>
      <c r="R44" s="211">
        <v>1E-4</v>
      </c>
      <c r="S44" s="96" t="s">
        <v>197</v>
      </c>
      <c r="T44" s="212">
        <v>1</v>
      </c>
      <c r="U44" s="162">
        <v>20.925270000000001</v>
      </c>
      <c r="V44" s="162">
        <v>2.092527</v>
      </c>
      <c r="X44" s="130">
        <v>1.1404272150000001</v>
      </c>
      <c r="Y44" s="127" t="s">
        <v>119</v>
      </c>
    </row>
    <row r="45" spans="1:25" x14ac:dyDescent="0.25">
      <c r="A45" s="127"/>
      <c r="B45" s="131"/>
      <c r="C45" s="132"/>
      <c r="F45" s="206" t="s">
        <v>36</v>
      </c>
      <c r="G45" s="206" t="s">
        <v>57</v>
      </c>
      <c r="H45" s="213">
        <v>1</v>
      </c>
      <c r="I45" s="208">
        <v>631.16499999999996</v>
      </c>
      <c r="J45" s="208" t="s">
        <v>117</v>
      </c>
      <c r="K45" s="208">
        <v>1026</v>
      </c>
      <c r="L45" s="209" t="s">
        <v>118</v>
      </c>
      <c r="M45" s="209" t="s">
        <v>103</v>
      </c>
      <c r="N45" s="210">
        <v>647575.28999999992</v>
      </c>
      <c r="O45" s="209" t="s">
        <v>196</v>
      </c>
      <c r="P45" s="211">
        <v>1E-3</v>
      </c>
      <c r="Q45" s="96" t="s">
        <v>197</v>
      </c>
      <c r="R45" s="211">
        <v>1E-4</v>
      </c>
      <c r="S45" s="96" t="s">
        <v>197</v>
      </c>
      <c r="T45" s="212">
        <v>1</v>
      </c>
      <c r="U45" s="162">
        <v>647.57528999999988</v>
      </c>
      <c r="V45" s="162">
        <v>64.757528999999991</v>
      </c>
      <c r="X45" s="130">
        <v>35.292853304999994</v>
      </c>
      <c r="Y45" s="127" t="s">
        <v>36</v>
      </c>
    </row>
    <row r="46" spans="1:25" x14ac:dyDescent="0.25">
      <c r="A46" s="127"/>
      <c r="B46" s="131"/>
      <c r="C46" s="132"/>
      <c r="D46" s="71"/>
      <c r="F46" s="206" t="s">
        <v>37</v>
      </c>
      <c r="G46" s="206" t="s">
        <v>57</v>
      </c>
      <c r="H46" s="213">
        <v>1</v>
      </c>
      <c r="I46" s="208">
        <v>10088.23</v>
      </c>
      <c r="J46" s="208" t="s">
        <v>117</v>
      </c>
      <c r="K46" s="208">
        <v>1026</v>
      </c>
      <c r="L46" s="209" t="s">
        <v>118</v>
      </c>
      <c r="M46" s="209" t="s">
        <v>103</v>
      </c>
      <c r="N46" s="210">
        <v>10350523.98</v>
      </c>
      <c r="O46" s="209" t="s">
        <v>111</v>
      </c>
      <c r="P46" s="211">
        <v>1E-3</v>
      </c>
      <c r="Q46" s="96" t="s">
        <v>197</v>
      </c>
      <c r="R46" s="211">
        <v>1E-4</v>
      </c>
      <c r="S46" s="96" t="s">
        <v>197</v>
      </c>
      <c r="T46" s="212">
        <v>1</v>
      </c>
      <c r="U46" s="162">
        <v>10350.52398</v>
      </c>
      <c r="V46" s="162">
        <v>1035.052398</v>
      </c>
      <c r="X46" s="130">
        <v>564.10355691000007</v>
      </c>
      <c r="Y46" s="127" t="s">
        <v>37</v>
      </c>
    </row>
    <row r="47" spans="1:25" x14ac:dyDescent="0.25">
      <c r="A47" s="127"/>
      <c r="B47" s="131"/>
      <c r="C47" s="132"/>
      <c r="D47" s="71"/>
      <c r="F47" s="206" t="s">
        <v>38</v>
      </c>
      <c r="G47" s="206" t="s">
        <v>57</v>
      </c>
      <c r="H47" s="213">
        <v>1</v>
      </c>
      <c r="I47" s="208">
        <v>36.935000000000002</v>
      </c>
      <c r="J47" s="208" t="s">
        <v>117</v>
      </c>
      <c r="K47" s="208">
        <v>1026</v>
      </c>
      <c r="L47" s="209" t="s">
        <v>118</v>
      </c>
      <c r="M47" s="209" t="s">
        <v>103</v>
      </c>
      <c r="N47" s="210">
        <v>37895.310000000005</v>
      </c>
      <c r="O47" s="209" t="s">
        <v>196</v>
      </c>
      <c r="P47" s="211">
        <v>1E-3</v>
      </c>
      <c r="Q47" s="96" t="s">
        <v>197</v>
      </c>
      <c r="R47" s="211">
        <v>1E-4</v>
      </c>
      <c r="S47" s="96" t="s">
        <v>197</v>
      </c>
      <c r="T47" s="212">
        <v>1</v>
      </c>
      <c r="U47" s="162">
        <v>37.895310000000009</v>
      </c>
      <c r="V47" s="162">
        <v>3.7895310000000006</v>
      </c>
      <c r="X47" s="130">
        <v>2.0652943950000004</v>
      </c>
      <c r="Y47" s="127" t="s">
        <v>38</v>
      </c>
    </row>
    <row r="48" spans="1:25" x14ac:dyDescent="0.25">
      <c r="A48" s="127"/>
      <c r="B48" s="131"/>
      <c r="C48" s="132"/>
      <c r="F48" s="206" t="s">
        <v>152</v>
      </c>
      <c r="G48" s="206" t="s">
        <v>57</v>
      </c>
      <c r="H48" s="213">
        <v>1</v>
      </c>
      <c r="I48" s="208">
        <v>5.31</v>
      </c>
      <c r="J48" s="208" t="s">
        <v>117</v>
      </c>
      <c r="K48" s="208">
        <v>1026</v>
      </c>
      <c r="L48" s="209" t="s">
        <v>118</v>
      </c>
      <c r="M48" s="209" t="s">
        <v>103</v>
      </c>
      <c r="N48" s="210">
        <v>5448.0599999999995</v>
      </c>
      <c r="O48" s="209" t="s">
        <v>111</v>
      </c>
      <c r="P48" s="211">
        <v>1E-3</v>
      </c>
      <c r="Q48" s="96" t="s">
        <v>197</v>
      </c>
      <c r="R48" s="211">
        <v>1E-4</v>
      </c>
      <c r="S48" s="96" t="s">
        <v>197</v>
      </c>
      <c r="T48" s="212">
        <v>1</v>
      </c>
      <c r="U48" s="162">
        <v>5.4480599999999999</v>
      </c>
      <c r="V48" s="162">
        <v>0.54480600000000001</v>
      </c>
      <c r="X48" s="130">
        <v>0.29691926999999996</v>
      </c>
      <c r="Y48" s="127" t="s">
        <v>152</v>
      </c>
    </row>
    <row r="49" spans="1:25" x14ac:dyDescent="0.25">
      <c r="A49" s="127"/>
      <c r="B49" s="131"/>
      <c r="C49" s="132"/>
      <c r="F49" s="214"/>
      <c r="G49" s="206"/>
      <c r="H49" s="215">
        <v>1</v>
      </c>
      <c r="I49" s="208">
        <v>0</v>
      </c>
      <c r="J49" s="208">
        <v>0</v>
      </c>
      <c r="K49" s="208">
        <v>0</v>
      </c>
      <c r="L49" s="209" t="s">
        <v>153</v>
      </c>
      <c r="M49" s="209" t="s">
        <v>153</v>
      </c>
      <c r="N49" s="210" t="s">
        <v>153</v>
      </c>
      <c r="O49" s="209"/>
      <c r="P49" s="211"/>
      <c r="Q49" s="96"/>
      <c r="R49" s="211"/>
      <c r="S49" s="96"/>
      <c r="T49" s="212"/>
      <c r="U49" s="162"/>
      <c r="V49" s="162"/>
      <c r="X49" s="130"/>
      <c r="Y49" s="127"/>
    </row>
    <row r="50" spans="1:25" x14ac:dyDescent="0.25">
      <c r="A50" s="127"/>
      <c r="B50" s="131"/>
      <c r="C50" s="132"/>
      <c r="F50" s="214" t="s">
        <v>51</v>
      </c>
      <c r="G50" s="206"/>
      <c r="H50" s="213">
        <v>1</v>
      </c>
      <c r="I50" s="208">
        <v>0</v>
      </c>
      <c r="J50" s="208">
        <v>0</v>
      </c>
      <c r="K50" s="208">
        <v>16.826000000000001</v>
      </c>
      <c r="L50" s="209" t="s">
        <v>199</v>
      </c>
      <c r="M50" s="209" t="s">
        <v>103</v>
      </c>
      <c r="N50" s="216">
        <v>11935557.029999999</v>
      </c>
      <c r="O50" s="209" t="s">
        <v>111</v>
      </c>
      <c r="P50" s="211">
        <v>1E-3</v>
      </c>
      <c r="Q50" s="96" t="s">
        <v>197</v>
      </c>
      <c r="R50" s="211">
        <v>1E-4</v>
      </c>
      <c r="S50" s="96" t="s">
        <v>197</v>
      </c>
      <c r="T50" s="212">
        <v>1</v>
      </c>
      <c r="U50" s="162">
        <v>11935.55703</v>
      </c>
      <c r="V50" s="162">
        <v>1193.555703</v>
      </c>
      <c r="X50" s="130">
        <v>650.48785813500001</v>
      </c>
      <c r="Y50" s="127" t="s">
        <v>51</v>
      </c>
    </row>
    <row r="51" spans="1:25" x14ac:dyDescent="0.25">
      <c r="A51" s="127"/>
      <c r="B51" s="131"/>
      <c r="C51" s="132"/>
    </row>
    <row r="52" spans="1:25" x14ac:dyDescent="0.25">
      <c r="A52" s="127"/>
      <c r="B52" s="131"/>
      <c r="C52" s="132"/>
    </row>
  </sheetData>
  <conditionalFormatting sqref="I41:M47 I48:I49 K49:M49 O41:O46">
    <cfRule type="cellIs" dxfId="3" priority="4" stopIfTrue="1" operator="equal">
      <formula>0</formula>
    </cfRule>
  </conditionalFormatting>
  <conditionalFormatting sqref="J48:M48 J49">
    <cfRule type="cellIs" dxfId="2" priority="3" stopIfTrue="1" operator="equal">
      <formula>0</formula>
    </cfRule>
  </conditionalFormatting>
  <conditionalFormatting sqref="I50:M50">
    <cfRule type="cellIs" dxfId="1" priority="2" stopIfTrue="1" operator="equal">
      <formula>0</formula>
    </cfRule>
  </conditionalFormatting>
  <conditionalFormatting sqref="O47:O50">
    <cfRule type="cellIs" dxfId="0" priority="1" stopIfTrue="1" operator="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4"/>
  <sheetViews>
    <sheetView workbookViewId="0">
      <selection activeCell="F3" sqref="F3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15" customFormat="1" ht="15" customHeight="1" thickBot="1" x14ac:dyDescent="0.3">
      <c r="A1" s="110" t="s">
        <v>149</v>
      </c>
      <c r="B1" s="111">
        <v>2020</v>
      </c>
      <c r="G1" s="186"/>
      <c r="H1" s="186"/>
      <c r="I1" s="186"/>
      <c r="J1" s="186"/>
    </row>
    <row r="2" spans="1:10" s="115" customFormat="1" ht="15" customHeight="1" x14ac:dyDescent="0.35">
      <c r="A2" s="106"/>
      <c r="B2" s="187" t="s">
        <v>181</v>
      </c>
      <c r="C2" s="187"/>
      <c r="D2" s="187"/>
      <c r="E2" s="188"/>
      <c r="F2" s="129">
        <v>0.437</v>
      </c>
      <c r="G2" s="115" t="s">
        <v>206</v>
      </c>
      <c r="H2" s="112"/>
      <c r="I2" s="112"/>
      <c r="J2" s="112"/>
    </row>
    <row r="3" spans="1:10" s="115" customFormat="1" ht="15" customHeight="1" x14ac:dyDescent="0.35">
      <c r="E3" s="115" t="s">
        <v>150</v>
      </c>
      <c r="F3" s="107">
        <f>'Known Resources'!C42</f>
        <v>0.25962035370798797</v>
      </c>
      <c r="G3" s="115" t="s">
        <v>206</v>
      </c>
    </row>
    <row r="4" spans="1:10" ht="49.5" customHeight="1" x14ac:dyDescent="0.25">
      <c r="A4" s="108" t="s">
        <v>142</v>
      </c>
      <c r="B4" s="108" t="s">
        <v>143</v>
      </c>
      <c r="D4" s="108" t="s">
        <v>142</v>
      </c>
      <c r="E4" s="108" t="s">
        <v>144</v>
      </c>
      <c r="F4" s="108" t="s">
        <v>151</v>
      </c>
      <c r="G4" s="109" t="s">
        <v>182</v>
      </c>
      <c r="J4" s="127"/>
    </row>
    <row r="5" spans="1:10" ht="15" customHeight="1" x14ac:dyDescent="0.25">
      <c r="A5" s="127" t="s">
        <v>207</v>
      </c>
      <c r="B5" s="132">
        <v>105407</v>
      </c>
      <c r="C5" s="115"/>
      <c r="D5" s="127" t="s">
        <v>207</v>
      </c>
      <c r="E5" s="120">
        <v>142827</v>
      </c>
      <c r="F5" s="118">
        <f>B5-E5</f>
        <v>-37420</v>
      </c>
      <c r="G5" s="120">
        <f>IF(F5&gt;0,F5*$F$2,F5*$F$3)</f>
        <v>-9714.9936357529095</v>
      </c>
    </row>
    <row r="6" spans="1:10" ht="15" customHeight="1" x14ac:dyDescent="0.25">
      <c r="A6" s="127" t="s">
        <v>208</v>
      </c>
      <c r="B6" s="132">
        <v>400</v>
      </c>
      <c r="C6" s="115"/>
      <c r="D6" s="127" t="s">
        <v>243</v>
      </c>
      <c r="E6" s="120">
        <v>2408</v>
      </c>
      <c r="F6" s="118">
        <f t="shared" ref="F6:F55" si="0">B6-E6</f>
        <v>-2008</v>
      </c>
      <c r="G6" s="120">
        <f t="shared" ref="G6:G55" si="1">IF(F6&gt;0,F6*$F$2,F6*$F$3)</f>
        <v>-521.31767024563987</v>
      </c>
    </row>
    <row r="7" spans="1:10" ht="15" customHeight="1" x14ac:dyDescent="0.25">
      <c r="A7" s="127" t="s">
        <v>209</v>
      </c>
      <c r="B7" s="132">
        <v>40</v>
      </c>
      <c r="C7" s="115"/>
      <c r="D7" s="127" t="s">
        <v>244</v>
      </c>
      <c r="E7" s="120">
        <v>2620</v>
      </c>
      <c r="F7" s="118">
        <f t="shared" si="0"/>
        <v>-2580</v>
      </c>
      <c r="G7" s="120">
        <f t="shared" si="1"/>
        <v>-669.82051256660895</v>
      </c>
    </row>
    <row r="8" spans="1:10" ht="15" customHeight="1" x14ac:dyDescent="0.25">
      <c r="A8" s="127" t="s">
        <v>120</v>
      </c>
      <c r="B8" s="132">
        <v>76959</v>
      </c>
      <c r="C8" s="118"/>
      <c r="D8" s="127" t="s">
        <v>120</v>
      </c>
      <c r="E8" s="120">
        <v>163935</v>
      </c>
      <c r="F8" s="118">
        <f t="shared" si="0"/>
        <v>-86976</v>
      </c>
      <c r="G8" s="120">
        <f t="shared" si="1"/>
        <v>-22580.739884105962</v>
      </c>
    </row>
    <row r="9" spans="1:10" ht="15" customHeight="1" x14ac:dyDescent="0.25">
      <c r="A9" s="127"/>
      <c r="B9" s="132"/>
      <c r="C9" s="115"/>
      <c r="D9" s="127" t="s">
        <v>245</v>
      </c>
      <c r="E9" s="120">
        <v>169</v>
      </c>
      <c r="F9" s="118">
        <f t="shared" si="0"/>
        <v>-169</v>
      </c>
      <c r="G9" s="120">
        <f t="shared" si="1"/>
        <v>-43.875839776649968</v>
      </c>
    </row>
    <row r="10" spans="1:10" ht="15" customHeight="1" x14ac:dyDescent="0.25">
      <c r="A10" s="127" t="s">
        <v>211</v>
      </c>
      <c r="B10" s="132">
        <v>5434</v>
      </c>
      <c r="C10" s="118"/>
      <c r="D10" s="127" t="s">
        <v>211</v>
      </c>
      <c r="E10" s="120">
        <v>1286</v>
      </c>
      <c r="F10" s="118">
        <f t="shared" si="0"/>
        <v>4148</v>
      </c>
      <c r="G10" s="120">
        <f t="shared" si="1"/>
        <v>1812.6759999999999</v>
      </c>
    </row>
    <row r="11" spans="1:10" ht="15" customHeight="1" x14ac:dyDescent="0.25">
      <c r="A11" s="127" t="s">
        <v>212</v>
      </c>
      <c r="B11" s="132">
        <v>175</v>
      </c>
      <c r="C11" s="115"/>
      <c r="D11" s="127" t="s">
        <v>153</v>
      </c>
      <c r="E11" s="120"/>
      <c r="F11" s="118">
        <f t="shared" si="0"/>
        <v>175</v>
      </c>
      <c r="G11" s="120">
        <f t="shared" si="1"/>
        <v>76.474999999999994</v>
      </c>
    </row>
    <row r="12" spans="1:10" ht="15" customHeight="1" x14ac:dyDescent="0.25">
      <c r="A12" s="127" t="s">
        <v>210</v>
      </c>
      <c r="B12" s="132">
        <v>10496</v>
      </c>
      <c r="C12" s="115"/>
      <c r="D12" s="127" t="s">
        <v>210</v>
      </c>
      <c r="E12" s="120">
        <v>219055</v>
      </c>
      <c r="F12" s="118">
        <f t="shared" si="0"/>
        <v>-208559</v>
      </c>
      <c r="G12" s="120">
        <f t="shared" si="1"/>
        <v>-54146.161348984264</v>
      </c>
    </row>
    <row r="13" spans="1:10" ht="15" customHeight="1" x14ac:dyDescent="0.25">
      <c r="A13" s="127" t="s">
        <v>213</v>
      </c>
      <c r="B13" s="132">
        <v>6145</v>
      </c>
      <c r="C13" s="115"/>
      <c r="D13" s="127" t="s">
        <v>256</v>
      </c>
      <c r="E13" s="120">
        <v>12804</v>
      </c>
      <c r="F13" s="118">
        <f t="shared" si="0"/>
        <v>-6659</v>
      </c>
      <c r="G13" s="120">
        <f t="shared" si="1"/>
        <v>-1728.811935341492</v>
      </c>
    </row>
    <row r="14" spans="1:10" ht="15" customHeight="1" x14ac:dyDescent="0.25">
      <c r="A14" s="127" t="s">
        <v>214</v>
      </c>
      <c r="B14" s="132">
        <v>124210</v>
      </c>
      <c r="C14" s="115"/>
      <c r="D14" s="127" t="s">
        <v>257</v>
      </c>
      <c r="E14" s="120">
        <v>23</v>
      </c>
      <c r="F14" s="118">
        <f t="shared" si="0"/>
        <v>124187</v>
      </c>
      <c r="G14" s="120">
        <f t="shared" si="1"/>
        <v>54269.718999999997</v>
      </c>
    </row>
    <row r="15" spans="1:10" ht="15" customHeight="1" x14ac:dyDescent="0.25">
      <c r="A15" s="127"/>
      <c r="B15" s="132"/>
      <c r="C15" s="115"/>
      <c r="D15" s="127" t="s">
        <v>258</v>
      </c>
      <c r="E15" s="120">
        <v>4000</v>
      </c>
      <c r="F15" s="118">
        <f t="shared" si="0"/>
        <v>-4000</v>
      </c>
      <c r="G15" s="120">
        <f t="shared" si="1"/>
        <v>-1038.481414831952</v>
      </c>
    </row>
    <row r="16" spans="1:10" ht="15" customHeight="1" x14ac:dyDescent="0.25">
      <c r="A16" s="127" t="s">
        <v>215</v>
      </c>
      <c r="B16" s="132">
        <v>119640</v>
      </c>
      <c r="C16" s="115"/>
      <c r="D16" s="127"/>
      <c r="E16" s="120"/>
      <c r="F16" s="118">
        <f t="shared" si="0"/>
        <v>119640</v>
      </c>
      <c r="G16" s="120">
        <f t="shared" si="1"/>
        <v>52282.68</v>
      </c>
    </row>
    <row r="17" spans="1:7" ht="15" customHeight="1" x14ac:dyDescent="0.25">
      <c r="A17" s="127" t="s">
        <v>259</v>
      </c>
      <c r="B17" s="132">
        <v>854</v>
      </c>
      <c r="C17" s="115"/>
      <c r="D17" s="127" t="s">
        <v>259</v>
      </c>
      <c r="E17" s="120">
        <v>1953</v>
      </c>
      <c r="F17" s="118">
        <f t="shared" si="0"/>
        <v>-1099</v>
      </c>
      <c r="G17" s="120">
        <f t="shared" si="1"/>
        <v>-285.32276872507879</v>
      </c>
    </row>
    <row r="18" spans="1:7" ht="15" customHeight="1" x14ac:dyDescent="0.25">
      <c r="A18" s="127" t="s">
        <v>216</v>
      </c>
      <c r="B18" s="132">
        <v>26658</v>
      </c>
      <c r="C18" s="115"/>
      <c r="D18" s="127" t="s">
        <v>216</v>
      </c>
      <c r="E18" s="120">
        <v>42327</v>
      </c>
      <c r="F18" s="118">
        <f t="shared" si="0"/>
        <v>-15669</v>
      </c>
      <c r="G18" s="120">
        <f t="shared" si="1"/>
        <v>-4067.9913222504633</v>
      </c>
    </row>
    <row r="19" spans="1:7" ht="15" customHeight="1" x14ac:dyDescent="0.25">
      <c r="A19" s="127" t="s">
        <v>217</v>
      </c>
      <c r="B19" s="132">
        <v>1</v>
      </c>
      <c r="C19" s="115"/>
      <c r="D19" s="127"/>
      <c r="E19" s="120"/>
      <c r="F19" s="118">
        <f t="shared" si="0"/>
        <v>1</v>
      </c>
      <c r="G19" s="120">
        <f t="shared" si="1"/>
        <v>0.437</v>
      </c>
    </row>
    <row r="20" spans="1:7" ht="15" customHeight="1" x14ac:dyDescent="0.25">
      <c r="A20" s="127" t="s">
        <v>218</v>
      </c>
      <c r="B20" s="132">
        <v>6765</v>
      </c>
      <c r="C20" s="115"/>
      <c r="D20" s="127" t="s">
        <v>218</v>
      </c>
      <c r="E20" s="120">
        <v>4885</v>
      </c>
      <c r="F20" s="118">
        <f t="shared" si="0"/>
        <v>1880</v>
      </c>
      <c r="G20" s="120">
        <f t="shared" si="1"/>
        <v>821.56</v>
      </c>
    </row>
    <row r="21" spans="1:7" ht="15" customHeight="1" x14ac:dyDescent="0.25">
      <c r="A21" s="127" t="s">
        <v>219</v>
      </c>
      <c r="B21" s="132">
        <v>3299</v>
      </c>
      <c r="C21" s="115"/>
      <c r="D21" s="127" t="s">
        <v>260</v>
      </c>
      <c r="E21" s="120">
        <v>58073</v>
      </c>
      <c r="F21" s="118">
        <f t="shared" si="0"/>
        <v>-54774</v>
      </c>
      <c r="G21" s="120">
        <f t="shared" si="1"/>
        <v>-14220.445254001334</v>
      </c>
    </row>
    <row r="22" spans="1:7" ht="15" customHeight="1" x14ac:dyDescent="0.25">
      <c r="A22" s="127" t="s">
        <v>220</v>
      </c>
      <c r="B22" s="132">
        <v>48</v>
      </c>
      <c r="C22" s="115"/>
      <c r="D22" s="127"/>
      <c r="E22" s="120"/>
      <c r="F22" s="118">
        <f t="shared" si="0"/>
        <v>48</v>
      </c>
      <c r="G22" s="120">
        <f t="shared" si="1"/>
        <v>20.975999999999999</v>
      </c>
    </row>
    <row r="23" spans="1:7" ht="15" customHeight="1" x14ac:dyDescent="0.25">
      <c r="A23" s="127" t="s">
        <v>221</v>
      </c>
      <c r="B23" s="132">
        <v>1780</v>
      </c>
      <c r="C23" s="115"/>
      <c r="D23" s="127" t="s">
        <v>261</v>
      </c>
      <c r="E23" s="120">
        <v>17097</v>
      </c>
      <c r="F23" s="118">
        <f t="shared" si="0"/>
        <v>-15317</v>
      </c>
      <c r="G23" s="120">
        <f t="shared" si="1"/>
        <v>-3976.6049577452518</v>
      </c>
    </row>
    <row r="24" spans="1:7" ht="15" customHeight="1" x14ac:dyDescent="0.25">
      <c r="A24" s="127" t="s">
        <v>222</v>
      </c>
      <c r="B24" s="132">
        <v>2711</v>
      </c>
      <c r="C24" s="115"/>
      <c r="D24" s="127" t="s">
        <v>262</v>
      </c>
      <c r="E24" s="120">
        <v>12273</v>
      </c>
      <c r="F24" s="118">
        <f t="shared" si="0"/>
        <v>-9562</v>
      </c>
      <c r="G24" s="120">
        <f t="shared" si="1"/>
        <v>-2482.489822155781</v>
      </c>
    </row>
    <row r="25" spans="1:7" ht="15" customHeight="1" x14ac:dyDescent="0.25">
      <c r="A25" s="127" t="s">
        <v>223</v>
      </c>
      <c r="B25" s="132">
        <v>17749</v>
      </c>
      <c r="C25" s="115"/>
      <c r="D25" s="127" t="s">
        <v>223</v>
      </c>
      <c r="E25" s="120">
        <v>31910</v>
      </c>
      <c r="F25" s="118">
        <f t="shared" si="0"/>
        <v>-14161</v>
      </c>
      <c r="G25" s="120">
        <f t="shared" si="1"/>
        <v>-3676.4838288588176</v>
      </c>
    </row>
    <row r="26" spans="1:7" ht="15" customHeight="1" x14ac:dyDescent="0.25">
      <c r="A26" s="127" t="s">
        <v>224</v>
      </c>
      <c r="B26" s="132">
        <v>59</v>
      </c>
      <c r="C26" s="115"/>
      <c r="D26" s="127" t="s">
        <v>224</v>
      </c>
      <c r="E26" s="120">
        <v>16202</v>
      </c>
      <c r="F26" s="118">
        <f t="shared" si="0"/>
        <v>-16143</v>
      </c>
      <c r="G26" s="120">
        <f t="shared" si="1"/>
        <v>-4191.0513699080502</v>
      </c>
    </row>
    <row r="27" spans="1:7" ht="15" customHeight="1" x14ac:dyDescent="0.25">
      <c r="A27" s="127" t="s">
        <v>226</v>
      </c>
      <c r="B27" s="132">
        <v>16</v>
      </c>
      <c r="C27" s="115"/>
      <c r="D27" s="127" t="s">
        <v>226</v>
      </c>
      <c r="E27" s="120">
        <v>219</v>
      </c>
      <c r="F27" s="118">
        <f t="shared" si="0"/>
        <v>-203</v>
      </c>
      <c r="G27" s="120">
        <f t="shared" si="1"/>
        <v>-52.702931802721558</v>
      </c>
    </row>
    <row r="28" spans="1:7" ht="15" customHeight="1" x14ac:dyDescent="0.25">
      <c r="A28" s="127" t="s">
        <v>225</v>
      </c>
      <c r="B28" s="132">
        <v>3970</v>
      </c>
      <c r="C28" s="115"/>
      <c r="D28" s="127" t="s">
        <v>225</v>
      </c>
      <c r="E28" s="120">
        <v>2681</v>
      </c>
      <c r="F28" s="118">
        <f t="shared" si="0"/>
        <v>1289</v>
      </c>
      <c r="G28" s="120">
        <f t="shared" si="1"/>
        <v>563.29300000000001</v>
      </c>
    </row>
    <row r="29" spans="1:7" ht="15" customHeight="1" x14ac:dyDescent="0.25">
      <c r="A29" s="127" t="s">
        <v>227</v>
      </c>
      <c r="B29" s="132">
        <v>2640</v>
      </c>
      <c r="C29" s="115"/>
      <c r="D29" s="127"/>
      <c r="E29" s="120"/>
      <c r="F29" s="118">
        <f t="shared" si="0"/>
        <v>2640</v>
      </c>
      <c r="G29" s="120">
        <f t="shared" si="1"/>
        <v>1153.68</v>
      </c>
    </row>
    <row r="30" spans="1:7" ht="15" customHeight="1" x14ac:dyDescent="0.25">
      <c r="A30" s="127" t="s">
        <v>229</v>
      </c>
      <c r="B30" s="132">
        <v>15081</v>
      </c>
      <c r="C30" s="115"/>
      <c r="D30" s="127" t="s">
        <v>229</v>
      </c>
      <c r="E30" s="120">
        <v>11789</v>
      </c>
      <c r="F30" s="118">
        <f t="shared" si="0"/>
        <v>3292</v>
      </c>
      <c r="G30" s="120">
        <f t="shared" si="1"/>
        <v>1438.604</v>
      </c>
    </row>
    <row r="31" spans="1:7" ht="15" customHeight="1" x14ac:dyDescent="0.25">
      <c r="A31" s="127" t="s">
        <v>230</v>
      </c>
      <c r="B31" s="132">
        <v>168</v>
      </c>
      <c r="C31" s="115"/>
      <c r="D31" s="127"/>
      <c r="E31" s="120"/>
      <c r="F31" s="118">
        <f t="shared" si="0"/>
        <v>168</v>
      </c>
      <c r="G31" s="120">
        <f t="shared" si="1"/>
        <v>73.415999999999997</v>
      </c>
    </row>
    <row r="32" spans="1:7" ht="15" customHeight="1" x14ac:dyDescent="0.25">
      <c r="A32" s="127" t="s">
        <v>47</v>
      </c>
      <c r="B32" s="132">
        <v>1320</v>
      </c>
      <c r="C32" s="115"/>
      <c r="D32" s="127" t="s">
        <v>47</v>
      </c>
      <c r="E32" s="120">
        <v>1398</v>
      </c>
      <c r="F32" s="118">
        <f t="shared" si="0"/>
        <v>-78</v>
      </c>
      <c r="G32" s="120">
        <f t="shared" si="1"/>
        <v>-20.250387589223063</v>
      </c>
    </row>
    <row r="33" spans="1:7" ht="15" customHeight="1" x14ac:dyDescent="0.25">
      <c r="A33" s="127" t="s">
        <v>228</v>
      </c>
      <c r="B33" s="132">
        <v>18243</v>
      </c>
      <c r="C33" s="115"/>
      <c r="D33" s="127" t="s">
        <v>48</v>
      </c>
      <c r="E33" s="120">
        <v>62820</v>
      </c>
      <c r="F33" s="118">
        <f t="shared" si="0"/>
        <v>-44577</v>
      </c>
      <c r="G33" s="120">
        <f t="shared" si="1"/>
        <v>-11573.09650724098</v>
      </c>
    </row>
    <row r="34" spans="1:7" ht="15" customHeight="1" x14ac:dyDescent="0.25">
      <c r="A34" s="127"/>
      <c r="B34" s="132"/>
      <c r="C34" s="115"/>
      <c r="D34" s="127" t="s">
        <v>247</v>
      </c>
      <c r="E34" s="120">
        <v>62</v>
      </c>
      <c r="F34" s="118">
        <f t="shared" si="0"/>
        <v>-62</v>
      </c>
      <c r="G34" s="120">
        <f t="shared" si="1"/>
        <v>-16.096461929895256</v>
      </c>
    </row>
    <row r="35" spans="1:7" ht="15" customHeight="1" x14ac:dyDescent="0.25">
      <c r="A35" s="127" t="s">
        <v>49</v>
      </c>
      <c r="B35" s="132">
        <v>40024</v>
      </c>
      <c r="C35" s="121"/>
      <c r="D35" s="127" t="s">
        <v>246</v>
      </c>
      <c r="E35" s="120">
        <v>848832</v>
      </c>
      <c r="F35" s="118">
        <f t="shared" si="0"/>
        <v>-808808</v>
      </c>
      <c r="G35" s="120">
        <f t="shared" si="1"/>
        <v>-209983.01904185035</v>
      </c>
    </row>
    <row r="36" spans="1:7" ht="15" customHeight="1" x14ac:dyDescent="0.25">
      <c r="A36" s="127"/>
      <c r="B36" s="132"/>
      <c r="C36" s="115"/>
      <c r="D36" s="127" t="s">
        <v>255</v>
      </c>
      <c r="E36" s="120">
        <v>130</v>
      </c>
      <c r="F36" s="118">
        <f t="shared" si="0"/>
        <v>-130</v>
      </c>
      <c r="G36" s="120">
        <f t="shared" si="1"/>
        <v>-33.750645982038435</v>
      </c>
    </row>
    <row r="37" spans="1:7" ht="15" customHeight="1" x14ac:dyDescent="0.25">
      <c r="A37" s="127" t="s">
        <v>240</v>
      </c>
      <c r="B37" s="132">
        <v>5</v>
      </c>
      <c r="C37" s="115"/>
      <c r="D37" s="127" t="s">
        <v>240</v>
      </c>
      <c r="E37" s="120">
        <v>894</v>
      </c>
      <c r="F37" s="118">
        <f t="shared" si="0"/>
        <v>-889</v>
      </c>
      <c r="G37" s="120">
        <f t="shared" si="1"/>
        <v>-230.80249444640131</v>
      </c>
    </row>
    <row r="38" spans="1:7" ht="15" customHeight="1" x14ac:dyDescent="0.25">
      <c r="A38" s="127" t="s">
        <v>241</v>
      </c>
      <c r="B38" s="132">
        <v>800</v>
      </c>
      <c r="C38" s="115"/>
      <c r="D38" s="127"/>
      <c r="E38" s="120"/>
      <c r="F38" s="118">
        <f t="shared" si="0"/>
        <v>800</v>
      </c>
      <c r="G38" s="120">
        <f t="shared" si="1"/>
        <v>349.6</v>
      </c>
    </row>
    <row r="39" spans="1:7" ht="15" customHeight="1" x14ac:dyDescent="0.25">
      <c r="A39" s="127" t="s">
        <v>242</v>
      </c>
      <c r="B39" s="132">
        <v>47078</v>
      </c>
      <c r="C39" s="115"/>
      <c r="D39" s="127" t="s">
        <v>242</v>
      </c>
      <c r="E39" s="120">
        <v>48935</v>
      </c>
      <c r="F39" s="118">
        <f t="shared" si="0"/>
        <v>-1857</v>
      </c>
      <c r="G39" s="120">
        <f t="shared" si="1"/>
        <v>-482.11499683573368</v>
      </c>
    </row>
    <row r="40" spans="1:7" ht="15" customHeight="1" x14ac:dyDescent="0.25">
      <c r="A40" s="127" t="s">
        <v>50</v>
      </c>
      <c r="B40" s="132">
        <v>19378</v>
      </c>
      <c r="C40" s="115"/>
      <c r="D40" s="127" t="s">
        <v>50</v>
      </c>
      <c r="E40" s="120">
        <v>117096</v>
      </c>
      <c r="F40" s="118">
        <f t="shared" si="0"/>
        <v>-97718</v>
      </c>
      <c r="G40" s="120">
        <f t="shared" si="1"/>
        <v>-25369.581723637169</v>
      </c>
    </row>
    <row r="41" spans="1:7" ht="15" customHeight="1" x14ac:dyDescent="0.25">
      <c r="A41" s="127" t="s">
        <v>237</v>
      </c>
      <c r="B41" s="132">
        <v>482</v>
      </c>
      <c r="C41" s="115"/>
      <c r="D41" s="127" t="s">
        <v>251</v>
      </c>
      <c r="E41" s="120">
        <v>67147</v>
      </c>
      <c r="F41" s="118">
        <f t="shared" si="0"/>
        <v>-66665</v>
      </c>
      <c r="G41" s="120">
        <f t="shared" si="1"/>
        <v>-17307.590879943018</v>
      </c>
    </row>
    <row r="42" spans="1:7" ht="15" customHeight="1" x14ac:dyDescent="0.25">
      <c r="A42" s="127" t="s">
        <v>238</v>
      </c>
      <c r="B42" s="132">
        <v>44507</v>
      </c>
      <c r="C42" s="115"/>
      <c r="D42" s="127" t="s">
        <v>250</v>
      </c>
      <c r="E42" s="120">
        <v>55885</v>
      </c>
      <c r="F42" s="118">
        <f t="shared" si="0"/>
        <v>-11378</v>
      </c>
      <c r="G42" s="120">
        <f t="shared" si="1"/>
        <v>-2953.9603844894873</v>
      </c>
    </row>
    <row r="43" spans="1:7" ht="15" customHeight="1" x14ac:dyDescent="0.25">
      <c r="A43" s="127" t="s">
        <v>239</v>
      </c>
      <c r="B43" s="132">
        <v>61728</v>
      </c>
      <c r="C43" s="115"/>
      <c r="D43" s="127" t="s">
        <v>249</v>
      </c>
      <c r="E43" s="120">
        <v>105018</v>
      </c>
      <c r="F43" s="118">
        <f t="shared" si="0"/>
        <v>-43290</v>
      </c>
      <c r="G43" s="120">
        <f t="shared" si="1"/>
        <v>-11238.965112018799</v>
      </c>
    </row>
    <row r="44" spans="1:7" ht="15" customHeight="1" x14ac:dyDescent="0.25">
      <c r="A44" s="127" t="s">
        <v>19</v>
      </c>
      <c r="B44" s="132">
        <v>55934</v>
      </c>
      <c r="C44" s="115"/>
      <c r="D44" s="127" t="s">
        <v>19</v>
      </c>
      <c r="E44" s="120">
        <v>55136</v>
      </c>
      <c r="F44" s="118">
        <f t="shared" si="0"/>
        <v>798</v>
      </c>
      <c r="G44" s="120">
        <f t="shared" si="1"/>
        <v>348.726</v>
      </c>
    </row>
    <row r="45" spans="1:7" ht="15" customHeight="1" x14ac:dyDescent="0.25">
      <c r="A45" s="127" t="s">
        <v>231</v>
      </c>
      <c r="B45" s="132">
        <v>1299</v>
      </c>
      <c r="C45" s="115"/>
      <c r="D45" s="127" t="s">
        <v>231</v>
      </c>
      <c r="E45" s="120">
        <v>2100</v>
      </c>
      <c r="F45" s="118">
        <f t="shared" si="0"/>
        <v>-801</v>
      </c>
      <c r="G45" s="120">
        <f t="shared" si="1"/>
        <v>-207.95590332009837</v>
      </c>
    </row>
    <row r="46" spans="1:7" ht="15" customHeight="1" x14ac:dyDescent="0.25">
      <c r="A46" s="127"/>
      <c r="B46" s="132"/>
      <c r="C46" s="115"/>
      <c r="D46" s="127" t="s">
        <v>248</v>
      </c>
      <c r="E46" s="120">
        <v>10</v>
      </c>
      <c r="F46" s="118">
        <f t="shared" si="0"/>
        <v>-10</v>
      </c>
      <c r="G46" s="120">
        <f t="shared" si="1"/>
        <v>-2.5962035370798797</v>
      </c>
    </row>
    <row r="47" spans="1:7" ht="15" customHeight="1" x14ac:dyDescent="0.25">
      <c r="A47" s="127" t="s">
        <v>52</v>
      </c>
      <c r="B47" s="132">
        <v>8096</v>
      </c>
      <c r="C47" s="115"/>
      <c r="D47" s="127" t="s">
        <v>52</v>
      </c>
      <c r="E47" s="120">
        <v>19612</v>
      </c>
      <c r="F47" s="118">
        <f t="shared" si="0"/>
        <v>-11516</v>
      </c>
      <c r="G47" s="120">
        <f t="shared" si="1"/>
        <v>-2989.7879933011895</v>
      </c>
    </row>
    <row r="48" spans="1:7" ht="15" customHeight="1" x14ac:dyDescent="0.25">
      <c r="A48" s="127" t="s">
        <v>232</v>
      </c>
      <c r="B48" s="132">
        <v>77032</v>
      </c>
      <c r="C48" s="115"/>
      <c r="D48" s="127" t="s">
        <v>232</v>
      </c>
      <c r="E48" s="120">
        <v>84030</v>
      </c>
      <c r="F48" s="118">
        <f t="shared" si="0"/>
        <v>-6998</v>
      </c>
      <c r="G48" s="120">
        <f t="shared" si="1"/>
        <v>-1816.8232352484999</v>
      </c>
    </row>
    <row r="49" spans="1:7" ht="15" customHeight="1" x14ac:dyDescent="0.25">
      <c r="A49" s="127" t="s">
        <v>236</v>
      </c>
      <c r="B49" s="132">
        <v>22440</v>
      </c>
      <c r="C49" s="121"/>
      <c r="D49" s="127" t="s">
        <v>236</v>
      </c>
      <c r="E49" s="120">
        <v>21115</v>
      </c>
      <c r="F49" s="118">
        <f t="shared" si="0"/>
        <v>1325</v>
      </c>
      <c r="G49" s="120">
        <f t="shared" si="1"/>
        <v>579.02499999999998</v>
      </c>
    </row>
    <row r="50" spans="1:7" ht="15" customHeight="1" x14ac:dyDescent="0.25">
      <c r="A50" s="127" t="s">
        <v>53</v>
      </c>
      <c r="B50" s="132">
        <v>7917</v>
      </c>
      <c r="C50" s="115"/>
      <c r="D50" s="127" t="s">
        <v>53</v>
      </c>
      <c r="E50" s="120">
        <v>14763</v>
      </c>
      <c r="F50" s="118">
        <f t="shared" si="0"/>
        <v>-6846</v>
      </c>
      <c r="G50" s="120">
        <f t="shared" si="1"/>
        <v>-1777.3609414848856</v>
      </c>
    </row>
    <row r="51" spans="1:7" ht="15" customHeight="1" x14ac:dyDescent="0.25">
      <c r="A51" s="127" t="s">
        <v>235</v>
      </c>
      <c r="B51" s="132">
        <v>13734</v>
      </c>
      <c r="C51" s="115"/>
      <c r="D51" s="127" t="s">
        <v>235</v>
      </c>
      <c r="E51" s="120">
        <v>7680</v>
      </c>
      <c r="F51" s="118">
        <f t="shared" si="0"/>
        <v>6054</v>
      </c>
      <c r="G51" s="120">
        <f t="shared" si="1"/>
        <v>2645.598</v>
      </c>
    </row>
    <row r="52" spans="1:7" ht="15" customHeight="1" x14ac:dyDescent="0.25">
      <c r="A52" s="127"/>
      <c r="B52" s="132"/>
      <c r="C52" s="115"/>
      <c r="D52" s="127" t="s">
        <v>252</v>
      </c>
      <c r="E52" s="120">
        <v>14088</v>
      </c>
      <c r="F52" s="118">
        <f t="shared" si="0"/>
        <v>-14088</v>
      </c>
      <c r="G52" s="120">
        <f t="shared" si="1"/>
        <v>-3657.5315430381347</v>
      </c>
    </row>
    <row r="53" spans="1:7" ht="15" customHeight="1" x14ac:dyDescent="0.25">
      <c r="A53" s="127"/>
      <c r="B53" s="132"/>
      <c r="C53" s="115"/>
      <c r="D53" s="127" t="s">
        <v>154</v>
      </c>
      <c r="E53" s="120">
        <v>494</v>
      </c>
      <c r="F53" s="118">
        <f t="shared" si="0"/>
        <v>-494</v>
      </c>
      <c r="G53" s="120">
        <f t="shared" si="1"/>
        <v>-128.25245473174607</v>
      </c>
    </row>
    <row r="54" spans="1:7" ht="15" customHeight="1" x14ac:dyDescent="0.25">
      <c r="A54" s="127" t="s">
        <v>234</v>
      </c>
      <c r="B54" s="132">
        <v>20757</v>
      </c>
      <c r="C54" s="115"/>
      <c r="D54" s="127" t="s">
        <v>234</v>
      </c>
      <c r="E54" s="120">
        <v>26120</v>
      </c>
      <c r="F54" s="118">
        <f t="shared" si="0"/>
        <v>-5363</v>
      </c>
      <c r="G54" s="120">
        <f t="shared" si="1"/>
        <v>-1392.3439569359396</v>
      </c>
    </row>
    <row r="55" spans="1:7" ht="15" customHeight="1" x14ac:dyDescent="0.25">
      <c r="A55" s="127" t="s">
        <v>233</v>
      </c>
      <c r="B55" s="132">
        <v>59274</v>
      </c>
      <c r="C55" s="115"/>
      <c r="D55" s="127" t="s">
        <v>233</v>
      </c>
      <c r="E55" s="120">
        <v>214184</v>
      </c>
      <c r="F55" s="118">
        <f t="shared" si="0"/>
        <v>-154910</v>
      </c>
      <c r="G55" s="120">
        <f t="shared" si="1"/>
        <v>-40217.788992904418</v>
      </c>
    </row>
    <row r="56" spans="1:7" ht="15" customHeight="1" x14ac:dyDescent="0.25">
      <c r="A56" s="127" t="s">
        <v>145</v>
      </c>
      <c r="B56" s="132">
        <v>7482</v>
      </c>
      <c r="C56" s="115"/>
      <c r="D56" s="127" t="s">
        <v>253</v>
      </c>
      <c r="E56" s="120">
        <v>3</v>
      </c>
      <c r="F56" s="118">
        <f t="shared" ref="F56:F57" si="2">B56-E56</f>
        <v>7479</v>
      </c>
      <c r="G56" s="120">
        <f t="shared" ref="G56:G57" si="3">IF(F56&gt;0,F56*$F$2,F56*$F$3)</f>
        <v>3268.3229999999999</v>
      </c>
    </row>
    <row r="57" spans="1:7" ht="15" customHeight="1" x14ac:dyDescent="0.25">
      <c r="A57" s="127" t="s">
        <v>167</v>
      </c>
      <c r="B57" s="132">
        <v>2000</v>
      </c>
      <c r="C57" s="115"/>
      <c r="D57" s="127" t="s">
        <v>254</v>
      </c>
      <c r="E57" s="120">
        <v>3200</v>
      </c>
      <c r="F57" s="118">
        <f t="shared" si="2"/>
        <v>-1200</v>
      </c>
      <c r="G57" s="120">
        <f t="shared" si="3"/>
        <v>-311.54442444958556</v>
      </c>
    </row>
    <row r="58" spans="1:7" ht="15" customHeight="1" x14ac:dyDescent="0.25">
      <c r="A58" s="124"/>
      <c r="B58" s="125"/>
      <c r="C58" s="115"/>
      <c r="D58" s="116"/>
      <c r="E58" s="117"/>
      <c r="F58" s="118"/>
      <c r="G58" s="120"/>
    </row>
    <row r="59" spans="1:7" ht="15" customHeight="1" x14ac:dyDescent="0.25">
      <c r="A59" s="113"/>
      <c r="B59" s="114"/>
      <c r="D59" s="116"/>
      <c r="E59" s="117"/>
      <c r="F59" s="118"/>
      <c r="G59" s="120"/>
    </row>
    <row r="60" spans="1:7" ht="15" customHeight="1" x14ac:dyDescent="0.25">
      <c r="A60" s="113"/>
      <c r="B60" s="114"/>
      <c r="D60" s="116"/>
      <c r="E60" s="117"/>
      <c r="F60" s="118"/>
      <c r="G60" s="120"/>
    </row>
    <row r="62" spans="1:7" ht="15" customHeight="1" x14ac:dyDescent="0.25">
      <c r="A62" s="113"/>
      <c r="B62" s="114"/>
      <c r="D62" s="116"/>
      <c r="E62" s="117"/>
      <c r="F62" s="118">
        <f>SUM(F5:F60)</f>
        <v>-1479053</v>
      </c>
      <c r="G62" s="107">
        <f>SUM(G5:G60)/2000</f>
        <v>-167.7018603909838</v>
      </c>
    </row>
    <row r="63" spans="1:7" ht="15" customHeight="1" x14ac:dyDescent="0.25">
      <c r="A63" s="113"/>
      <c r="B63" s="114"/>
    </row>
    <row r="66" spans="1:7" ht="15" customHeight="1" x14ac:dyDescent="0.25">
      <c r="G66" s="118"/>
    </row>
    <row r="68" spans="1:7" ht="15" customHeight="1" x14ac:dyDescent="0.25">
      <c r="A68" s="113"/>
      <c r="B68" s="114"/>
      <c r="D68" s="116"/>
      <c r="E68" s="117"/>
    </row>
    <row r="69" spans="1:7" ht="15" customHeight="1" x14ac:dyDescent="0.25">
      <c r="G69" s="118"/>
    </row>
    <row r="70" spans="1:7" ht="15" customHeight="1" x14ac:dyDescent="0.25">
      <c r="A70" s="112"/>
      <c r="B70" s="112"/>
    </row>
    <row r="73" spans="1:7" ht="15" customHeight="1" x14ac:dyDescent="0.25">
      <c r="A73" s="113"/>
      <c r="B73" s="114"/>
      <c r="D73" s="116"/>
      <c r="E73" s="117"/>
    </row>
    <row r="74" spans="1:7" ht="15" customHeight="1" x14ac:dyDescent="0.25">
      <c r="G74" s="118"/>
    </row>
    <row r="75" spans="1:7" ht="15" customHeight="1" x14ac:dyDescent="0.25">
      <c r="A75" s="113"/>
      <c r="B75" s="114"/>
      <c r="D75" s="116"/>
      <c r="E75" s="117"/>
    </row>
    <row r="84" spans="1:7" ht="15" customHeight="1" x14ac:dyDescent="0.25">
      <c r="A84" s="113"/>
      <c r="B84" s="114"/>
      <c r="D84" s="116"/>
      <c r="E84" s="117"/>
    </row>
    <row r="85" spans="1:7" ht="15" customHeight="1" x14ac:dyDescent="0.25">
      <c r="A85" s="113"/>
      <c r="B85" s="114"/>
      <c r="D85" s="116"/>
      <c r="E85" s="117"/>
    </row>
    <row r="86" spans="1:7" ht="15" customHeight="1" x14ac:dyDescent="0.25">
      <c r="G86" s="118"/>
    </row>
    <row r="91" spans="1:7" ht="15" customHeight="1" x14ac:dyDescent="0.25">
      <c r="F91" s="118"/>
    </row>
    <row r="94" spans="1:7" ht="15" customHeight="1" x14ac:dyDescent="0.25">
      <c r="D94" s="116"/>
      <c r="E94" s="117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3C0E2EA5FB1A45B3A6459D8BE64659" ma:contentTypeVersion="16" ma:contentTypeDescription="" ma:contentTypeScope="" ma:versionID="8852ccc8cc838c046a33df4f729c42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2024-05-29T07:00:00+00:00</OpenedDate>
    <Date1 xmlns="dc463f71-b30c-4ab2-9473-d307f9d35888">2024-05-29T07:00:00+00:00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240397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73C2623-B274-4248-9843-462163D551CC}"/>
</file>

<file path=customXml/itemProps2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009C0C-2007-486F-A11D-8BF1BF3DC5D9}"/>
</file>

<file path=customXml/itemProps4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2022-05-27T23:03:51Z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0x0101006E56B4D1795A2E4DB2F0B01679ED314A00E53C0E2EA5FB1A45B3A6459D8BE64659</vt:lpwstr>
  </property>
  <property fmtid="{D5CDD505-2E9C-101B-9397-08002B2CF9AE}" pid="3" name="_docset_NoMedatataSyncRequired">
    <vt:lpwstr>False</vt:lpwstr>
  </property>
</Properties>
</file>