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654B7B8C-BCBB-48EA-9B2B-8DC5672708D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4" sheetId="1" r:id="rId1"/>
    <sheet name="2025" sheetId="6" r:id="rId2"/>
    <sheet name="Tariff" sheetId="5" r:id="rId3"/>
    <sheet name="APP 2885" sheetId="2" r:id="rId4"/>
    <sheet name="Res Measure Mapping" sheetId="4" r:id="rId5"/>
  </sheets>
  <definedNames>
    <definedName name="_xlnm._FilterDatabase" localSheetId="0" hidden="1">'2024'!$B$4:$AO$4</definedName>
    <definedName name="_xlnm._FilterDatabase" localSheetId="1" hidden="1">'2025'!$B$4:$AO$4</definedName>
    <definedName name="_xlnm._FilterDatabase" localSheetId="4" hidden="1">'Res Measure Mapping'!$B$3:$AC$3</definedName>
    <definedName name="_xlnm._FilterDatabase" localSheetId="2" hidden="1">Tariff!$B$2:$I$2</definedName>
    <definedName name="JR_PAGE_ANCHOR_0_1" localSheetId="1">'2025'!$C$1</definedName>
    <definedName name="JR_PAGE_ANCHOR_0_1">'2024'!$C$1</definedName>
    <definedName name="JR_PAGE_ANCHOR_0_2">'APP 2885'!$A$1</definedName>
    <definedName name="JR_PAGE_ANCHOR_0_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54" i="6" l="1"/>
  <c r="H23" i="1"/>
  <c r="AE78" i="6" l="1"/>
  <c r="AR3" i="6"/>
  <c r="AR2" i="6"/>
  <c r="AR1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4" i="6"/>
  <c r="N33" i="6"/>
  <c r="N32" i="6"/>
  <c r="N31" i="6"/>
  <c r="N30" i="6"/>
  <c r="N29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4" i="6"/>
  <c r="H33" i="6"/>
  <c r="H32" i="6"/>
  <c r="H31" i="6"/>
  <c r="H30" i="6"/>
  <c r="H29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AR3" i="1"/>
  <c r="AR2" i="1"/>
  <c r="AR1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4" i="1"/>
  <c r="N33" i="1"/>
  <c r="N32" i="1"/>
  <c r="N31" i="1"/>
  <c r="N30" i="1"/>
  <c r="N29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4" i="1"/>
  <c r="H33" i="1"/>
  <c r="H32" i="1"/>
  <c r="H31" i="1"/>
  <c r="H30" i="1"/>
  <c r="H29" i="1"/>
  <c r="H25" i="1"/>
  <c r="H24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U78" i="6"/>
  <c r="C56" i="2"/>
  <c r="C57" i="2" s="1"/>
  <c r="C58" i="2" s="1"/>
  <c r="C59" i="2" s="1"/>
  <c r="D56" i="2"/>
  <c r="D57" i="2"/>
  <c r="D58" i="2" s="1"/>
  <c r="D59" i="2" s="1"/>
  <c r="D55" i="2"/>
  <c r="C55" i="2"/>
  <c r="E8" i="5"/>
  <c r="E10" i="2"/>
  <c r="E11" i="2" s="1"/>
  <c r="G11" i="2" s="1"/>
  <c r="E6" i="5"/>
  <c r="E7" i="5"/>
  <c r="D6" i="5"/>
  <c r="D7" i="5"/>
  <c r="D8" i="5"/>
  <c r="E12" i="2" l="1"/>
  <c r="G10" i="2"/>
  <c r="J78" i="6"/>
  <c r="F77" i="6"/>
  <c r="B77" i="6"/>
  <c r="F76" i="6"/>
  <c r="B76" i="6"/>
  <c r="F75" i="6"/>
  <c r="B75" i="6"/>
  <c r="F74" i="6"/>
  <c r="B74" i="6"/>
  <c r="F73" i="6"/>
  <c r="B73" i="6"/>
  <c r="F72" i="6"/>
  <c r="B72" i="6"/>
  <c r="F71" i="6"/>
  <c r="B71" i="6"/>
  <c r="F70" i="6"/>
  <c r="B70" i="6"/>
  <c r="F69" i="6"/>
  <c r="B69" i="6"/>
  <c r="F68" i="6"/>
  <c r="B68" i="6"/>
  <c r="F67" i="6"/>
  <c r="B67" i="6"/>
  <c r="F66" i="6"/>
  <c r="B66" i="6"/>
  <c r="F65" i="6"/>
  <c r="B65" i="6"/>
  <c r="F64" i="6"/>
  <c r="B64" i="6"/>
  <c r="F63" i="6"/>
  <c r="B63" i="6"/>
  <c r="F62" i="6"/>
  <c r="B62" i="6"/>
  <c r="F61" i="6"/>
  <c r="B61" i="6"/>
  <c r="F60" i="6"/>
  <c r="B60" i="6"/>
  <c r="F59" i="6"/>
  <c r="B59" i="6"/>
  <c r="F58" i="6"/>
  <c r="B58" i="6"/>
  <c r="F57" i="6"/>
  <c r="B57" i="6"/>
  <c r="F56" i="6"/>
  <c r="B56" i="6"/>
  <c r="F55" i="6"/>
  <c r="B55" i="6"/>
  <c r="F54" i="6"/>
  <c r="B54" i="6"/>
  <c r="F53" i="6"/>
  <c r="B53" i="6"/>
  <c r="F52" i="6"/>
  <c r="B52" i="6"/>
  <c r="F51" i="6"/>
  <c r="B51" i="6"/>
  <c r="F50" i="6"/>
  <c r="B50" i="6"/>
  <c r="F49" i="6"/>
  <c r="B49" i="6"/>
  <c r="F48" i="6"/>
  <c r="B48" i="6"/>
  <c r="F47" i="6"/>
  <c r="B47" i="6"/>
  <c r="F46" i="6"/>
  <c r="B46" i="6"/>
  <c r="F45" i="6"/>
  <c r="B45" i="6"/>
  <c r="F44" i="6"/>
  <c r="B44" i="6"/>
  <c r="F43" i="6"/>
  <c r="B43" i="6"/>
  <c r="S42" i="6"/>
  <c r="F42" i="6"/>
  <c r="B42" i="6"/>
  <c r="S41" i="6"/>
  <c r="F41" i="6"/>
  <c r="B41" i="6"/>
  <c r="S40" i="6"/>
  <c r="F40" i="6"/>
  <c r="B40" i="6"/>
  <c r="F39" i="6"/>
  <c r="B39" i="6"/>
  <c r="F38" i="6"/>
  <c r="B38" i="6"/>
  <c r="F37" i="6"/>
  <c r="B37" i="6"/>
  <c r="F36" i="6"/>
  <c r="B36" i="6"/>
  <c r="F35" i="6"/>
  <c r="B35" i="6"/>
  <c r="F34" i="6"/>
  <c r="B34" i="6"/>
  <c r="F33" i="6"/>
  <c r="B33" i="6"/>
  <c r="F32" i="6"/>
  <c r="B32" i="6"/>
  <c r="F31" i="6"/>
  <c r="B31" i="6"/>
  <c r="F30" i="6"/>
  <c r="B30" i="6"/>
  <c r="F29" i="6"/>
  <c r="B29" i="6"/>
  <c r="F28" i="6"/>
  <c r="B28" i="6"/>
  <c r="F27" i="6"/>
  <c r="B27" i="6"/>
  <c r="F26" i="6"/>
  <c r="B26" i="6"/>
  <c r="F25" i="6"/>
  <c r="B25" i="6"/>
  <c r="F24" i="6"/>
  <c r="B24" i="6"/>
  <c r="F23" i="6"/>
  <c r="B23" i="6"/>
  <c r="W22" i="6"/>
  <c r="S22" i="6"/>
  <c r="B22" i="6"/>
  <c r="W21" i="6"/>
  <c r="S21" i="6"/>
  <c r="B21" i="6"/>
  <c r="W20" i="6"/>
  <c r="S20" i="6"/>
  <c r="B20" i="6"/>
  <c r="W19" i="6"/>
  <c r="S19" i="6"/>
  <c r="B19" i="6"/>
  <c r="F18" i="6"/>
  <c r="B18" i="6"/>
  <c r="F17" i="6"/>
  <c r="B17" i="6"/>
  <c r="F16" i="6"/>
  <c r="B16" i="6"/>
  <c r="B15" i="6"/>
  <c r="B14" i="6"/>
  <c r="B13" i="6"/>
  <c r="B12" i="6"/>
  <c r="B11" i="6"/>
  <c r="F10" i="6"/>
  <c r="B10" i="6"/>
  <c r="F9" i="6"/>
  <c r="B9" i="6"/>
  <c r="F8" i="6"/>
  <c r="B8" i="6"/>
  <c r="F7" i="6"/>
  <c r="B7" i="6"/>
  <c r="F6" i="6"/>
  <c r="B6" i="6"/>
  <c r="F5" i="6"/>
  <c r="B5" i="6"/>
  <c r="E13" i="2" l="1"/>
  <c r="G12" i="2"/>
  <c r="S42" i="1"/>
  <c r="S41" i="1"/>
  <c r="S40" i="1"/>
  <c r="E14" i="2" l="1"/>
  <c r="G13" i="2"/>
  <c r="E15" i="2" l="1"/>
  <c r="G14" i="2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E15" i="5" l="1"/>
  <c r="D15" i="5"/>
  <c r="E18" i="5"/>
  <c r="D18" i="5"/>
  <c r="D22" i="5"/>
  <c r="E22" i="5"/>
  <c r="E12" i="5"/>
  <c r="D12" i="5"/>
  <c r="D21" i="5"/>
  <c r="E21" i="5"/>
  <c r="E9" i="5"/>
  <c r="D9" i="5"/>
  <c r="E16" i="5"/>
  <c r="D16" i="5"/>
  <c r="E13" i="5"/>
  <c r="D13" i="5"/>
  <c r="E20" i="5"/>
  <c r="D20" i="5"/>
  <c r="D10" i="5"/>
  <c r="E10" i="5"/>
  <c r="E24" i="5"/>
  <c r="D24" i="5"/>
  <c r="E14" i="5"/>
  <c r="D14" i="5"/>
  <c r="D11" i="5"/>
  <c r="E11" i="5"/>
  <c r="E17" i="5"/>
  <c r="D17" i="5"/>
  <c r="E19" i="5"/>
  <c r="D19" i="5"/>
  <c r="E23" i="5"/>
  <c r="D23" i="5"/>
  <c r="E16" i="2"/>
  <c r="G15" i="2"/>
  <c r="F25" i="1"/>
  <c r="F24" i="1"/>
  <c r="F23" i="1"/>
  <c r="F18" i="1"/>
  <c r="F17" i="1"/>
  <c r="F16" i="1"/>
  <c r="F10" i="1"/>
  <c r="E4" i="5" l="1"/>
  <c r="D4" i="5"/>
  <c r="E5" i="5"/>
  <c r="D5" i="5"/>
  <c r="E17" i="2"/>
  <c r="G16" i="2"/>
  <c r="F9" i="1"/>
  <c r="F8" i="1"/>
  <c r="F7" i="1"/>
  <c r="F6" i="1"/>
  <c r="F5" i="1"/>
  <c r="AI21" i="1"/>
  <c r="AI22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52" i="1"/>
  <c r="AI53" i="1"/>
  <c r="AI54" i="1"/>
  <c r="AI55" i="1"/>
  <c r="AI56" i="1"/>
  <c r="AI57" i="1"/>
  <c r="AI58" i="1"/>
  <c r="AI61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W19" i="1"/>
  <c r="Y19" i="1" s="1"/>
  <c r="W20" i="1"/>
  <c r="Y20" i="1" s="1"/>
  <c r="W21" i="1"/>
  <c r="Y21" i="1" s="1"/>
  <c r="W22" i="1"/>
  <c r="Y22" i="1" s="1"/>
  <c r="S19" i="1"/>
  <c r="T19" i="1" s="1"/>
  <c r="S20" i="1"/>
  <c r="T20" i="1" s="1"/>
  <c r="S21" i="1"/>
  <c r="T21" i="1" s="1"/>
  <c r="S22" i="1"/>
  <c r="T22" i="1" s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5" i="1"/>
  <c r="B4" i="4"/>
  <c r="AI26" i="1"/>
  <c r="AI27" i="1"/>
  <c r="AI28" i="1"/>
  <c r="AI29" i="1"/>
  <c r="AI30" i="1"/>
  <c r="AI31" i="1"/>
  <c r="AI32" i="1"/>
  <c r="AI33" i="1"/>
  <c r="AI49" i="1"/>
  <c r="AI50" i="1"/>
  <c r="AI51" i="1"/>
  <c r="AI59" i="1"/>
  <c r="AI60" i="1"/>
  <c r="AI62" i="1"/>
  <c r="AI63" i="1"/>
  <c r="AI64" i="1"/>
  <c r="AI77" i="1"/>
  <c r="AI10" i="1"/>
  <c r="AI11" i="1"/>
  <c r="AI12" i="1"/>
  <c r="AI13" i="1"/>
  <c r="AI14" i="1"/>
  <c r="AI15" i="1"/>
  <c r="AI16" i="1"/>
  <c r="AI17" i="1"/>
  <c r="AI18" i="1"/>
  <c r="AI19" i="1"/>
  <c r="AI20" i="1"/>
  <c r="AI23" i="1"/>
  <c r="AI24" i="1"/>
  <c r="AI25" i="1"/>
  <c r="E3" i="5" l="1"/>
  <c r="D3" i="5"/>
  <c r="G17" i="2"/>
  <c r="E18" i="2"/>
  <c r="V77" i="6"/>
  <c r="W77" i="6" s="1"/>
  <c r="R76" i="6"/>
  <c r="L71" i="6"/>
  <c r="AG69" i="6"/>
  <c r="Q67" i="6"/>
  <c r="S67" i="6" s="1"/>
  <c r="V59" i="6"/>
  <c r="W59" i="6" s="1"/>
  <c r="Q57" i="6"/>
  <c r="S57" i="6" s="1"/>
  <c r="L53" i="6"/>
  <c r="R51" i="6"/>
  <c r="AG39" i="6"/>
  <c r="L31" i="6"/>
  <c r="L26" i="6"/>
  <c r="K25" i="6"/>
  <c r="AG20" i="6"/>
  <c r="L10" i="1"/>
  <c r="L22" i="1"/>
  <c r="L31" i="1"/>
  <c r="L43" i="1"/>
  <c r="Q77" i="6"/>
  <c r="S77" i="6" s="1"/>
  <c r="K76" i="6"/>
  <c r="L74" i="6"/>
  <c r="AB72" i="6"/>
  <c r="AC72" i="6" s="1"/>
  <c r="V69" i="6"/>
  <c r="W69" i="6" s="1"/>
  <c r="Q68" i="6"/>
  <c r="S68" i="6" s="1"/>
  <c r="K67" i="6"/>
  <c r="AG65" i="6"/>
  <c r="AG55" i="6"/>
  <c r="L51" i="6"/>
  <c r="Q44" i="6"/>
  <c r="S44" i="6" s="1"/>
  <c r="V39" i="6"/>
  <c r="W39" i="6" s="1"/>
  <c r="AG33" i="6"/>
  <c r="Q32" i="6"/>
  <c r="S32" i="6" s="1"/>
  <c r="AB29" i="6"/>
  <c r="AC29" i="6" s="1"/>
  <c r="AG27" i="6"/>
  <c r="AG25" i="6"/>
  <c r="AG22" i="6"/>
  <c r="V20" i="6"/>
  <c r="AB17" i="6"/>
  <c r="AC17" i="6" s="1"/>
  <c r="V16" i="6"/>
  <c r="W16" i="6" s="1"/>
  <c r="R12" i="6"/>
  <c r="AB8" i="6"/>
  <c r="AC8" i="6" s="1"/>
  <c r="R5" i="6"/>
  <c r="L13" i="1"/>
  <c r="L25" i="1"/>
  <c r="L34" i="1"/>
  <c r="L46" i="1"/>
  <c r="L56" i="1"/>
  <c r="V68" i="6"/>
  <c r="W68" i="6" s="1"/>
  <c r="R64" i="6"/>
  <c r="V57" i="6"/>
  <c r="W57" i="6" s="1"/>
  <c r="K51" i="6"/>
  <c r="AB49" i="6"/>
  <c r="AC49" i="6" s="1"/>
  <c r="AB40" i="6"/>
  <c r="AC40" i="6" s="1"/>
  <c r="AG35" i="6"/>
  <c r="Q34" i="6"/>
  <c r="S34" i="6" s="1"/>
  <c r="K33" i="6"/>
  <c r="AB31" i="6"/>
  <c r="AC31" i="6" s="1"/>
  <c r="AG28" i="6"/>
  <c r="AB25" i="6"/>
  <c r="AC25" i="6" s="1"/>
  <c r="AG24" i="6"/>
  <c r="V22" i="6"/>
  <c r="L17" i="6"/>
  <c r="L18" i="1"/>
  <c r="L29" i="1"/>
  <c r="L44" i="1"/>
  <c r="L55" i="1"/>
  <c r="L67" i="1"/>
  <c r="AB76" i="6"/>
  <c r="AC76" i="6" s="1"/>
  <c r="Q69" i="6"/>
  <c r="S69" i="6" s="1"/>
  <c r="AB66" i="6"/>
  <c r="AC66" i="6" s="1"/>
  <c r="Q61" i="6"/>
  <c r="S61" i="6" s="1"/>
  <c r="AB59" i="6"/>
  <c r="AC59" i="6" s="1"/>
  <c r="L58" i="6"/>
  <c r="L57" i="6"/>
  <c r="K34" i="6"/>
  <c r="K31" i="6"/>
  <c r="V25" i="6"/>
  <c r="W25" i="6" s="1"/>
  <c r="L23" i="6"/>
  <c r="V14" i="6"/>
  <c r="W14" i="6" s="1"/>
  <c r="AB12" i="6"/>
  <c r="AC12" i="6" s="1"/>
  <c r="V8" i="6"/>
  <c r="W8" i="6" s="1"/>
  <c r="AG6" i="6"/>
  <c r="L7" i="1"/>
  <c r="L21" i="1"/>
  <c r="L33" i="1"/>
  <c r="L48" i="1"/>
  <c r="L59" i="1"/>
  <c r="L70" i="1"/>
  <c r="AB74" i="6"/>
  <c r="AC74" i="6" s="1"/>
  <c r="V66" i="6"/>
  <c r="W66" i="6" s="1"/>
  <c r="R59" i="6"/>
  <c r="K58" i="6"/>
  <c r="L55" i="6"/>
  <c r="AG53" i="6"/>
  <c r="Q45" i="6"/>
  <c r="S45" i="6" s="1"/>
  <c r="L35" i="6"/>
  <c r="AG29" i="6"/>
  <c r="AB27" i="6"/>
  <c r="AC27" i="6" s="1"/>
  <c r="R25" i="6"/>
  <c r="R24" i="6"/>
  <c r="K23" i="6"/>
  <c r="K22" i="6"/>
  <c r="AG17" i="6"/>
  <c r="Q12" i="6"/>
  <c r="S12" i="6" s="1"/>
  <c r="V10" i="6"/>
  <c r="W10" i="6" s="1"/>
  <c r="R8" i="6"/>
  <c r="AB6" i="6"/>
  <c r="AC6" i="6" s="1"/>
  <c r="K5" i="6"/>
  <c r="L8" i="1"/>
  <c r="L23" i="1"/>
  <c r="L35" i="1"/>
  <c r="L49" i="1"/>
  <c r="L60" i="1"/>
  <c r="L71" i="1"/>
  <c r="R77" i="6"/>
  <c r="AG73" i="6"/>
  <c r="K68" i="6"/>
  <c r="AB53" i="6"/>
  <c r="AC53" i="6" s="1"/>
  <c r="V51" i="6"/>
  <c r="W51" i="6" s="1"/>
  <c r="L30" i="6"/>
  <c r="Q25" i="6"/>
  <c r="S25" i="6" s="1"/>
  <c r="K24" i="6"/>
  <c r="AB22" i="6"/>
  <c r="AC22" i="6" s="1"/>
  <c r="X22" i="6" s="1"/>
  <c r="K6" i="6"/>
  <c r="Q53" i="6"/>
  <c r="S53" i="6" s="1"/>
  <c r="Q47" i="6"/>
  <c r="S47" i="6" s="1"/>
  <c r="R43" i="6"/>
  <c r="V38" i="6"/>
  <c r="W38" i="6" s="1"/>
  <c r="R36" i="6"/>
  <c r="R33" i="6"/>
  <c r="R22" i="6"/>
  <c r="R16" i="6"/>
  <c r="K12" i="6"/>
  <c r="R9" i="6"/>
  <c r="L9" i="1"/>
  <c r="L42" i="1"/>
  <c r="L61" i="1"/>
  <c r="L75" i="1"/>
  <c r="L69" i="6"/>
  <c r="AG64" i="6"/>
  <c r="AB62" i="6"/>
  <c r="AC62" i="6" s="1"/>
  <c r="Q43" i="6"/>
  <c r="S43" i="6" s="1"/>
  <c r="R38" i="6"/>
  <c r="Q36" i="6"/>
  <c r="S36" i="6" s="1"/>
  <c r="AG34" i="6"/>
  <c r="R31" i="6"/>
  <c r="L27" i="6"/>
  <c r="Q16" i="6"/>
  <c r="S16" i="6" s="1"/>
  <c r="Q9" i="6"/>
  <c r="S9" i="6" s="1"/>
  <c r="Q5" i="6"/>
  <c r="S5" i="6" s="1"/>
  <c r="L11" i="1"/>
  <c r="L26" i="1"/>
  <c r="L45" i="1"/>
  <c r="L76" i="1"/>
  <c r="K69" i="6"/>
  <c r="V64" i="6"/>
  <c r="W64" i="6" s="1"/>
  <c r="R56" i="6"/>
  <c r="AB54" i="6"/>
  <c r="AC54" i="6" s="1"/>
  <c r="L47" i="6"/>
  <c r="AB39" i="6"/>
  <c r="AC39" i="6" s="1"/>
  <c r="K27" i="6"/>
  <c r="Q23" i="6"/>
  <c r="S23" i="6" s="1"/>
  <c r="R19" i="6"/>
  <c r="AG13" i="6"/>
  <c r="L12" i="1"/>
  <c r="L27" i="1"/>
  <c r="L47" i="1"/>
  <c r="L62" i="1"/>
  <c r="L77" i="1"/>
  <c r="AB67" i="6"/>
  <c r="AC67" i="6" s="1"/>
  <c r="AB65" i="6"/>
  <c r="AC65" i="6" s="1"/>
  <c r="V61" i="6"/>
  <c r="W61" i="6" s="1"/>
  <c r="AG59" i="6"/>
  <c r="Q56" i="6"/>
  <c r="S56" i="6" s="1"/>
  <c r="R54" i="6"/>
  <c r="V48" i="6"/>
  <c r="W48" i="6" s="1"/>
  <c r="K47" i="6"/>
  <c r="R34" i="6"/>
  <c r="L77" i="6"/>
  <c r="K29" i="6"/>
  <c r="L25" i="6"/>
  <c r="Q17" i="6"/>
  <c r="S17" i="6" s="1"/>
  <c r="L24" i="1"/>
  <c r="L50" i="1"/>
  <c r="L66" i="1"/>
  <c r="L65" i="6"/>
  <c r="L51" i="1"/>
  <c r="L68" i="1"/>
  <c r="V44" i="6"/>
  <c r="W44" i="6" s="1"/>
  <c r="L34" i="6"/>
  <c r="AB32" i="6"/>
  <c r="AC32" i="6" s="1"/>
  <c r="Q30" i="6"/>
  <c r="S30" i="6" s="1"/>
  <c r="R20" i="6"/>
  <c r="L12" i="6"/>
  <c r="M12" i="6" s="1"/>
  <c r="L69" i="1"/>
  <c r="L65" i="1"/>
  <c r="AG70" i="6"/>
  <c r="Q59" i="6"/>
  <c r="S59" i="6" s="1"/>
  <c r="AG57" i="6"/>
  <c r="R44" i="6"/>
  <c r="R32" i="6"/>
  <c r="V18" i="6"/>
  <c r="W18" i="6" s="1"/>
  <c r="L28" i="1"/>
  <c r="L52" i="1"/>
  <c r="L72" i="1"/>
  <c r="AG68" i="6"/>
  <c r="R61" i="6"/>
  <c r="V53" i="6"/>
  <c r="W53" i="6" s="1"/>
  <c r="R48" i="6"/>
  <c r="K30" i="6"/>
  <c r="V21" i="6"/>
  <c r="K20" i="6"/>
  <c r="L30" i="1"/>
  <c r="L73" i="1"/>
  <c r="K74" i="6"/>
  <c r="L59" i="6"/>
  <c r="AB57" i="6"/>
  <c r="AC57" i="6" s="1"/>
  <c r="R53" i="6"/>
  <c r="AB50" i="6"/>
  <c r="AC50" i="6" s="1"/>
  <c r="Q48" i="6"/>
  <c r="S48" i="6" s="1"/>
  <c r="AB24" i="6"/>
  <c r="AC24" i="6" s="1"/>
  <c r="R6" i="6"/>
  <c r="L6" i="1"/>
  <c r="L32" i="1"/>
  <c r="L53" i="1"/>
  <c r="L74" i="1"/>
  <c r="L76" i="6"/>
  <c r="R50" i="6"/>
  <c r="V35" i="6"/>
  <c r="W35" i="6" s="1"/>
  <c r="V24" i="6"/>
  <c r="W24" i="6" s="1"/>
  <c r="Q13" i="6"/>
  <c r="S13" i="6" s="1"/>
  <c r="Q8" i="6"/>
  <c r="S8" i="6" s="1"/>
  <c r="Q6" i="6"/>
  <c r="S6" i="6" s="1"/>
  <c r="L14" i="1"/>
  <c r="L36" i="1"/>
  <c r="L54" i="1"/>
  <c r="R57" i="6"/>
  <c r="Q52" i="6"/>
  <c r="S52" i="6" s="1"/>
  <c r="Q35" i="6"/>
  <c r="S35" i="6" s="1"/>
  <c r="L15" i="1"/>
  <c r="L37" i="1"/>
  <c r="L57" i="1"/>
  <c r="AG77" i="6"/>
  <c r="V71" i="6"/>
  <c r="W71" i="6" s="1"/>
  <c r="AG51" i="6"/>
  <c r="R39" i="6"/>
  <c r="AB33" i="6"/>
  <c r="AC33" i="6" s="1"/>
  <c r="K8" i="6"/>
  <c r="L6" i="6"/>
  <c r="L16" i="1"/>
  <c r="L38" i="1"/>
  <c r="L58" i="1"/>
  <c r="AB77" i="6"/>
  <c r="AC77" i="6" s="1"/>
  <c r="AB69" i="6"/>
  <c r="AC69" i="6" s="1"/>
  <c r="V65" i="6"/>
  <c r="W65" i="6" s="1"/>
  <c r="V58" i="6"/>
  <c r="W58" i="6" s="1"/>
  <c r="L52" i="6"/>
  <c r="AB51" i="6"/>
  <c r="AC51" i="6" s="1"/>
  <c r="Q39" i="6"/>
  <c r="S39" i="6" s="1"/>
  <c r="R29" i="6"/>
  <c r="L24" i="6"/>
  <c r="V17" i="6"/>
  <c r="W17" i="6" s="1"/>
  <c r="L17" i="1"/>
  <c r="L39" i="1"/>
  <c r="L63" i="1"/>
  <c r="K71" i="6"/>
  <c r="R69" i="6"/>
  <c r="R65" i="6"/>
  <c r="Q58" i="6"/>
  <c r="S58" i="6" s="1"/>
  <c r="K52" i="6"/>
  <c r="Q29" i="6"/>
  <c r="S29" i="6" s="1"/>
  <c r="AB26" i="6"/>
  <c r="AC26" i="6" s="1"/>
  <c r="L19" i="1"/>
  <c r="L40" i="1"/>
  <c r="L64" i="1"/>
  <c r="L67" i="6"/>
  <c r="Q65" i="6"/>
  <c r="S65" i="6" s="1"/>
  <c r="K60" i="6"/>
  <c r="Q51" i="6"/>
  <c r="S51" i="6" s="1"/>
  <c r="AG47" i="6"/>
  <c r="L39" i="6"/>
  <c r="V26" i="6"/>
  <c r="W26" i="6" s="1"/>
  <c r="R17" i="6"/>
  <c r="AG12" i="6"/>
  <c r="L20" i="1"/>
  <c r="L41" i="1"/>
  <c r="R21" i="6"/>
  <c r="Q28" i="6"/>
  <c r="S28" i="6" s="1"/>
  <c r="L7" i="6"/>
  <c r="K42" i="6"/>
  <c r="K18" i="6"/>
  <c r="Q38" i="6"/>
  <c r="S38" i="6" s="1"/>
  <c r="K54" i="6"/>
  <c r="AB13" i="6"/>
  <c r="AC13" i="6" s="1"/>
  <c r="R46" i="6"/>
  <c r="Q75" i="6"/>
  <c r="S75" i="6" s="1"/>
  <c r="L41" i="6"/>
  <c r="L61" i="6"/>
  <c r="AG56" i="6"/>
  <c r="L33" i="6"/>
  <c r="V43" i="6"/>
  <c r="W43" i="6" s="1"/>
  <c r="Q22" i="6"/>
  <c r="AB68" i="6"/>
  <c r="AC68" i="6" s="1"/>
  <c r="AG76" i="6"/>
  <c r="AG66" i="6"/>
  <c r="V28" i="6"/>
  <c r="W28" i="6" s="1"/>
  <c r="R7" i="6"/>
  <c r="L42" i="6"/>
  <c r="AB9" i="6"/>
  <c r="AC9" i="6" s="1"/>
  <c r="AG38" i="6"/>
  <c r="AB16" i="6"/>
  <c r="AC16" i="6" s="1"/>
  <c r="V46" i="6"/>
  <c r="W46" i="6" s="1"/>
  <c r="K48" i="6"/>
  <c r="AG18" i="6"/>
  <c r="V75" i="6"/>
  <c r="W75" i="6" s="1"/>
  <c r="L18" i="6"/>
  <c r="AG41" i="6"/>
  <c r="AG75" i="6"/>
  <c r="AB35" i="6"/>
  <c r="AC35" i="6" s="1"/>
  <c r="AB30" i="6"/>
  <c r="AC30" i="6" s="1"/>
  <c r="K50" i="6"/>
  <c r="L56" i="6"/>
  <c r="L68" i="6"/>
  <c r="V12" i="6"/>
  <c r="W12" i="6" s="1"/>
  <c r="L75" i="6"/>
  <c r="AB7" i="6"/>
  <c r="AC7" i="6" s="1"/>
  <c r="AB28" i="6"/>
  <c r="AC28" i="6" s="1"/>
  <c r="V11" i="6"/>
  <c r="W11" i="6" s="1"/>
  <c r="K7" i="6"/>
  <c r="AG14" i="6"/>
  <c r="Q40" i="6"/>
  <c r="K16" i="6"/>
  <c r="L38" i="6"/>
  <c r="V70" i="6"/>
  <c r="W70" i="6" s="1"/>
  <c r="Q21" i="6"/>
  <c r="Q46" i="6"/>
  <c r="S46" i="6" s="1"/>
  <c r="K75" i="6"/>
  <c r="AG48" i="6"/>
  <c r="V5" i="6"/>
  <c r="W5" i="6" s="1"/>
  <c r="Q27" i="6"/>
  <c r="S27" i="6" s="1"/>
  <c r="Q18" i="6"/>
  <c r="S18" i="6" s="1"/>
  <c r="AG19" i="6"/>
  <c r="K41" i="6"/>
  <c r="V47" i="6"/>
  <c r="W47" i="6" s="1"/>
  <c r="Q62" i="6"/>
  <c r="S62" i="6" s="1"/>
  <c r="AB47" i="6"/>
  <c r="AC47" i="6" s="1"/>
  <c r="AG30" i="6"/>
  <c r="K56" i="6"/>
  <c r="R68" i="6"/>
  <c r="V23" i="6"/>
  <c r="W23" i="6" s="1"/>
  <c r="V6" i="6"/>
  <c r="W6" i="6" s="1"/>
  <c r="AB11" i="6"/>
  <c r="AC11" i="6" s="1"/>
  <c r="K28" i="6"/>
  <c r="K10" i="6"/>
  <c r="L11" i="6"/>
  <c r="AG7" i="6"/>
  <c r="L14" i="6"/>
  <c r="V40" i="6"/>
  <c r="W40" i="6" s="1"/>
  <c r="AG16" i="6"/>
  <c r="AB44" i="6"/>
  <c r="AC44" i="6" s="1"/>
  <c r="L70" i="6"/>
  <c r="L46" i="6"/>
  <c r="AB48" i="6"/>
  <c r="AC48" i="6" s="1"/>
  <c r="L5" i="6"/>
  <c r="V27" i="6"/>
  <c r="W27" i="6" s="1"/>
  <c r="AB18" i="6"/>
  <c r="AC18" i="6" s="1"/>
  <c r="Q19" i="6"/>
  <c r="AB60" i="6"/>
  <c r="AC60" i="6" s="1"/>
  <c r="V50" i="6"/>
  <c r="W50" i="6" s="1"/>
  <c r="V62" i="6"/>
  <c r="W62" i="6" s="1"/>
  <c r="AG50" i="6"/>
  <c r="R30" i="6"/>
  <c r="L66" i="6"/>
  <c r="AB64" i="6"/>
  <c r="AC64" i="6" s="1"/>
  <c r="AB34" i="6"/>
  <c r="AC34" i="6" s="1"/>
  <c r="Q24" i="6"/>
  <c r="S24" i="6" s="1"/>
  <c r="AB41" i="6"/>
  <c r="AC41" i="6" s="1"/>
  <c r="V15" i="6"/>
  <c r="W15" i="6" s="1"/>
  <c r="R28" i="6"/>
  <c r="AG10" i="6"/>
  <c r="K11" i="6"/>
  <c r="Q7" i="6"/>
  <c r="S7" i="6" s="1"/>
  <c r="AB14" i="6"/>
  <c r="AC14" i="6" s="1"/>
  <c r="AG21" i="6"/>
  <c r="AG40" i="6"/>
  <c r="L16" i="6"/>
  <c r="L44" i="6"/>
  <c r="AB70" i="6"/>
  <c r="AC70" i="6" s="1"/>
  <c r="V45" i="6"/>
  <c r="W45" i="6" s="1"/>
  <c r="K46" i="6"/>
  <c r="AG8" i="6"/>
  <c r="L48" i="6"/>
  <c r="K73" i="6"/>
  <c r="AG5" i="6"/>
  <c r="R27" i="6"/>
  <c r="AB21" i="6"/>
  <c r="AC21" i="6" s="1"/>
  <c r="X21" i="6" s="1"/>
  <c r="L19" i="6"/>
  <c r="AG60" i="6"/>
  <c r="Q50" i="6"/>
  <c r="S50" i="6" s="1"/>
  <c r="R62" i="6"/>
  <c r="Q31" i="6"/>
  <c r="S31" i="6" s="1"/>
  <c r="Q66" i="6"/>
  <c r="S66" i="6" s="1"/>
  <c r="L64" i="6"/>
  <c r="AB52" i="6"/>
  <c r="AC52" i="6" s="1"/>
  <c r="V76" i="6"/>
  <c r="W76" i="6" s="1"/>
  <c r="K65" i="6"/>
  <c r="K53" i="6"/>
  <c r="L15" i="6"/>
  <c r="L28" i="6"/>
  <c r="AB10" i="6"/>
  <c r="AC10" i="6" s="1"/>
  <c r="R11" i="6"/>
  <c r="K14" i="6"/>
  <c r="L40" i="6"/>
  <c r="K26" i="6"/>
  <c r="AG44" i="6"/>
  <c r="R70" i="6"/>
  <c r="L45" i="6"/>
  <c r="L8" i="6"/>
  <c r="AG49" i="6"/>
  <c r="L73" i="6"/>
  <c r="R14" i="6"/>
  <c r="V36" i="6"/>
  <c r="W36" i="6" s="1"/>
  <c r="L21" i="6"/>
  <c r="AB19" i="6"/>
  <c r="AC19" i="6" s="1"/>
  <c r="X19" i="6" s="1"/>
  <c r="R60" i="6"/>
  <c r="AB56" i="6"/>
  <c r="AC56" i="6" s="1"/>
  <c r="L62" i="6"/>
  <c r="AG62" i="6"/>
  <c r="AG31" i="6"/>
  <c r="R66" i="6"/>
  <c r="K64" i="6"/>
  <c r="AG52" i="6"/>
  <c r="AB58" i="6"/>
  <c r="AC58" i="6" s="1"/>
  <c r="AB5" i="6"/>
  <c r="AC5" i="6" s="1"/>
  <c r="K57" i="6"/>
  <c r="L63" i="6"/>
  <c r="K15" i="6"/>
  <c r="R10" i="6"/>
  <c r="Q11" i="6"/>
  <c r="S11" i="6" s="1"/>
  <c r="K40" i="6"/>
  <c r="Q26" i="6"/>
  <c r="S26" i="6" s="1"/>
  <c r="K44" i="6"/>
  <c r="Q70" i="6"/>
  <c r="S70" i="6" s="1"/>
  <c r="R45" i="6"/>
  <c r="AB55" i="6"/>
  <c r="AC55" i="6" s="1"/>
  <c r="Q14" i="6"/>
  <c r="S14" i="6" s="1"/>
  <c r="R49" i="6"/>
  <c r="AB73" i="6"/>
  <c r="AC73" i="6" s="1"/>
  <c r="AG23" i="6"/>
  <c r="L36" i="6"/>
  <c r="K21" i="6"/>
  <c r="K19" i="6"/>
  <c r="L60" i="6"/>
  <c r="V56" i="6"/>
  <c r="W56" i="6" s="1"/>
  <c r="K62" i="6"/>
  <c r="K35" i="6"/>
  <c r="K66" i="6"/>
  <c r="Q64" i="6"/>
  <c r="S64" i="6" s="1"/>
  <c r="R52" i="6"/>
  <c r="AG58" i="6"/>
  <c r="R47" i="6"/>
  <c r="V30" i="6"/>
  <c r="W30" i="6" s="1"/>
  <c r="R15" i="6"/>
  <c r="Q10" i="6"/>
  <c r="S10" i="6" s="1"/>
  <c r="Q42" i="6"/>
  <c r="AB37" i="6"/>
  <c r="AC37" i="6" s="1"/>
  <c r="V9" i="6"/>
  <c r="W9" i="6" s="1"/>
  <c r="R26" i="6"/>
  <c r="K70" i="6"/>
  <c r="AG45" i="6"/>
  <c r="K55" i="6"/>
  <c r="L49" i="6"/>
  <c r="R73" i="6"/>
  <c r="R23" i="6"/>
  <c r="AG36" i="6"/>
  <c r="AB63" i="6"/>
  <c r="AC63" i="6" s="1"/>
  <c r="Q60" i="6"/>
  <c r="S60" i="6" s="1"/>
  <c r="Q74" i="6"/>
  <c r="S74" i="6" s="1"/>
  <c r="L50" i="6"/>
  <c r="AB71" i="6"/>
  <c r="AC71" i="6" s="1"/>
  <c r="V52" i="6"/>
  <c r="W52" i="6" s="1"/>
  <c r="R58" i="6"/>
  <c r="V19" i="6"/>
  <c r="K59" i="6"/>
  <c r="Q15" i="6"/>
  <c r="S15" i="6" s="1"/>
  <c r="L10" i="6"/>
  <c r="R42" i="6"/>
  <c r="AG37" i="6"/>
  <c r="L9" i="6"/>
  <c r="AG72" i="6"/>
  <c r="AG26" i="6"/>
  <c r="Q54" i="6"/>
  <c r="S54" i="6" s="1"/>
  <c r="V13" i="6"/>
  <c r="W13" i="6" s="1"/>
  <c r="K45" i="6"/>
  <c r="Q55" i="6"/>
  <c r="S55" i="6" s="1"/>
  <c r="K32" i="6"/>
  <c r="K49" i="6"/>
  <c r="V73" i="6"/>
  <c r="W73" i="6" s="1"/>
  <c r="AB23" i="6"/>
  <c r="AC23" i="6" s="1"/>
  <c r="AB36" i="6"/>
  <c r="AC36" i="6" s="1"/>
  <c r="AG63" i="6"/>
  <c r="R40" i="6"/>
  <c r="V60" i="6"/>
  <c r="W60" i="6" s="1"/>
  <c r="L20" i="6"/>
  <c r="V74" i="6"/>
  <c r="W74" i="6" s="1"/>
  <c r="AB43" i="6"/>
  <c r="AC43" i="6" s="1"/>
  <c r="AG71" i="6"/>
  <c r="R35" i="6"/>
  <c r="V31" i="6"/>
  <c r="W31" i="6" s="1"/>
  <c r="K39" i="6"/>
  <c r="AG11" i="6"/>
  <c r="AG42" i="6"/>
  <c r="R37" i="6"/>
  <c r="AG9" i="6"/>
  <c r="V72" i="6"/>
  <c r="W72" i="6" s="1"/>
  <c r="Q37" i="6"/>
  <c r="S37" i="6" s="1"/>
  <c r="V54" i="6"/>
  <c r="W54" i="6" s="1"/>
  <c r="L13" i="6"/>
  <c r="AB45" i="6"/>
  <c r="AC45" i="6" s="1"/>
  <c r="R55" i="6"/>
  <c r="AG32" i="6"/>
  <c r="V49" i="6"/>
  <c r="W49" i="6" s="1"/>
  <c r="Q73" i="6"/>
  <c r="S73" i="6" s="1"/>
  <c r="K36" i="6"/>
  <c r="R63" i="6"/>
  <c r="V41" i="6"/>
  <c r="W41" i="6" s="1"/>
  <c r="AB61" i="6"/>
  <c r="AC61" i="6" s="1"/>
  <c r="Q20" i="6"/>
  <c r="AB20" i="6"/>
  <c r="AC20" i="6" s="1"/>
  <c r="X20" i="6" s="1"/>
  <c r="R74" i="6"/>
  <c r="K43" i="6"/>
  <c r="R71" i="6"/>
  <c r="V29" i="6"/>
  <c r="W29" i="6" s="1"/>
  <c r="AG67" i="6"/>
  <c r="Q76" i="6"/>
  <c r="S76" i="6" s="1"/>
  <c r="AB42" i="6"/>
  <c r="AC42" i="6" s="1"/>
  <c r="K13" i="6"/>
  <c r="V33" i="6"/>
  <c r="W33" i="6" s="1"/>
  <c r="V67" i="6"/>
  <c r="W67" i="6" s="1"/>
  <c r="L37" i="6"/>
  <c r="AB46" i="6"/>
  <c r="AC46" i="6" s="1"/>
  <c r="V37" i="6"/>
  <c r="W37" i="6" s="1"/>
  <c r="AG74" i="6"/>
  <c r="K37" i="6"/>
  <c r="AG46" i="6"/>
  <c r="L72" i="6"/>
  <c r="K9" i="6"/>
  <c r="V55" i="6"/>
  <c r="W55" i="6" s="1"/>
  <c r="V63" i="6"/>
  <c r="W63" i="6" s="1"/>
  <c r="AG43" i="6"/>
  <c r="K63" i="6"/>
  <c r="Q63" i="6"/>
  <c r="S63" i="6" s="1"/>
  <c r="L43" i="6"/>
  <c r="Q72" i="6"/>
  <c r="S72" i="6" s="1"/>
  <c r="L32" i="6"/>
  <c r="R41" i="6"/>
  <c r="R72" i="6"/>
  <c r="V32" i="6"/>
  <c r="W32" i="6" s="1"/>
  <c r="Q41" i="6"/>
  <c r="AB15" i="6"/>
  <c r="AC15" i="6" s="1"/>
  <c r="AB38" i="6"/>
  <c r="AC38" i="6" s="1"/>
  <c r="Q49" i="6"/>
  <c r="S49" i="6" s="1"/>
  <c r="K61" i="6"/>
  <c r="Q71" i="6"/>
  <c r="S71" i="6" s="1"/>
  <c r="K38" i="6"/>
  <c r="K72" i="6"/>
  <c r="AG61" i="6"/>
  <c r="L22" i="6"/>
  <c r="R18" i="6"/>
  <c r="AG15" i="6"/>
  <c r="AG54" i="6"/>
  <c r="AB75" i="6"/>
  <c r="AC75" i="6" s="1"/>
  <c r="L29" i="6"/>
  <c r="K77" i="6"/>
  <c r="V7" i="6"/>
  <c r="W7" i="6" s="1"/>
  <c r="L54" i="6"/>
  <c r="R75" i="6"/>
  <c r="V34" i="6"/>
  <c r="W34" i="6" s="1"/>
  <c r="K17" i="6"/>
  <c r="V42" i="6"/>
  <c r="W42" i="6" s="1"/>
  <c r="R13" i="6"/>
  <c r="Q33" i="6"/>
  <c r="S33" i="6" s="1"/>
  <c r="R67" i="6"/>
  <c r="L5" i="1"/>
  <c r="V10" i="1"/>
  <c r="W10" i="1" s="1"/>
  <c r="Y10" i="1" s="1"/>
  <c r="K5" i="1"/>
  <c r="V9" i="1"/>
  <c r="W9" i="1" s="1"/>
  <c r="Y9" i="1" s="1"/>
  <c r="AG73" i="1"/>
  <c r="Q6" i="1"/>
  <c r="S6" i="1" s="1"/>
  <c r="T6" i="1" s="1"/>
  <c r="V19" i="1"/>
  <c r="Q32" i="1"/>
  <c r="S32" i="1" s="1"/>
  <c r="T32" i="1" s="1"/>
  <c r="AB30" i="1"/>
  <c r="AC30" i="1" s="1"/>
  <c r="Q53" i="1"/>
  <c r="S53" i="1" s="1"/>
  <c r="T53" i="1" s="1"/>
  <c r="AB28" i="1"/>
  <c r="AC28" i="1" s="1"/>
  <c r="AB62" i="1"/>
  <c r="AC62" i="1" s="1"/>
  <c r="AB53" i="1"/>
  <c r="AC53" i="1" s="1"/>
  <c r="Q61" i="1"/>
  <c r="S61" i="1" s="1"/>
  <c r="T61" i="1" s="1"/>
  <c r="Q71" i="1"/>
  <c r="S71" i="1" s="1"/>
  <c r="T71" i="1" s="1"/>
  <c r="AG50" i="1"/>
  <c r="AG64" i="1"/>
  <c r="Q51" i="1"/>
  <c r="S51" i="1" s="1"/>
  <c r="T51" i="1" s="1"/>
  <c r="K30" i="1"/>
  <c r="K21" i="1"/>
  <c r="Q30" i="1"/>
  <c r="S30" i="1" s="1"/>
  <c r="T30" i="1" s="1"/>
  <c r="R45" i="1"/>
  <c r="AG49" i="1"/>
  <c r="AG16" i="1"/>
  <c r="AG63" i="1"/>
  <c r="AG36" i="1"/>
  <c r="AG15" i="1"/>
  <c r="K76" i="1"/>
  <c r="K19" i="1"/>
  <c r="AB31" i="1"/>
  <c r="AC31" i="1" s="1"/>
  <c r="AG46" i="1"/>
  <c r="AG68" i="1"/>
  <c r="AB47" i="1"/>
  <c r="AC47" i="1" s="1"/>
  <c r="AG14" i="1"/>
  <c r="K12" i="1"/>
  <c r="Q31" i="1"/>
  <c r="S31" i="1" s="1"/>
  <c r="T31" i="1" s="1"/>
  <c r="AG45" i="1"/>
  <c r="Q67" i="1"/>
  <c r="S67" i="1" s="1"/>
  <c r="T67" i="1" s="1"/>
  <c r="Q56" i="1"/>
  <c r="S56" i="1" s="1"/>
  <c r="T56" i="1" s="1"/>
  <c r="Q34" i="1"/>
  <c r="S34" i="1" s="1"/>
  <c r="T34" i="1" s="1"/>
  <c r="Q25" i="1"/>
  <c r="S25" i="1" s="1"/>
  <c r="T25" i="1" s="1"/>
  <c r="K54" i="1"/>
  <c r="K11" i="1"/>
  <c r="V64" i="1"/>
  <c r="W64" i="1" s="1"/>
  <c r="Y64" i="1" s="1"/>
  <c r="AB29" i="1"/>
  <c r="AC29" i="1" s="1"/>
  <c r="AG44" i="1"/>
  <c r="Q66" i="1"/>
  <c r="S66" i="1" s="1"/>
  <c r="T66" i="1" s="1"/>
  <c r="Q55" i="1"/>
  <c r="S55" i="1" s="1"/>
  <c r="T55" i="1" s="1"/>
  <c r="Q33" i="1"/>
  <c r="S33" i="1" s="1"/>
  <c r="T33" i="1" s="1"/>
  <c r="Q24" i="1"/>
  <c r="S24" i="1" s="1"/>
  <c r="T24" i="1" s="1"/>
  <c r="K53" i="1"/>
  <c r="K10" i="1"/>
  <c r="Q10" i="1"/>
  <c r="S10" i="1" s="1"/>
  <c r="T10" i="1" s="1"/>
  <c r="V63" i="1"/>
  <c r="W63" i="1" s="1"/>
  <c r="Y63" i="1" s="1"/>
  <c r="AG43" i="1"/>
  <c r="Q77" i="1"/>
  <c r="S77" i="1" s="1"/>
  <c r="T77" i="1" s="1"/>
  <c r="R44" i="1"/>
  <c r="R32" i="1"/>
  <c r="R11" i="1"/>
  <c r="K9" i="1"/>
  <c r="Q9" i="1"/>
  <c r="S9" i="1" s="1"/>
  <c r="T9" i="1" s="1"/>
  <c r="AB5" i="1"/>
  <c r="AC5" i="1" s="1"/>
  <c r="AB9" i="1"/>
  <c r="AC9" i="1" s="1"/>
  <c r="R76" i="1"/>
  <c r="R53" i="1"/>
  <c r="R31" i="1"/>
  <c r="R22" i="1"/>
  <c r="K52" i="1"/>
  <c r="K6" i="1"/>
  <c r="V43" i="1"/>
  <c r="W43" i="1" s="1"/>
  <c r="Y43" i="1" s="1"/>
  <c r="AB74" i="1"/>
  <c r="AC74" i="1" s="1"/>
  <c r="AG19" i="1"/>
  <c r="R75" i="1"/>
  <c r="R42" i="1"/>
  <c r="R21" i="1"/>
  <c r="Q76" i="1"/>
  <c r="S76" i="1" s="1"/>
  <c r="T76" i="1" s="1"/>
  <c r="V42" i="1"/>
  <c r="W42" i="1" s="1"/>
  <c r="Y42" i="1" s="1"/>
  <c r="AB73" i="1"/>
  <c r="AC73" i="1" s="1"/>
  <c r="AG10" i="1"/>
  <c r="R62" i="1"/>
  <c r="K51" i="1"/>
  <c r="Q75" i="1"/>
  <c r="S75" i="1" s="1"/>
  <c r="T75" i="1" s="1"/>
  <c r="R61" i="1"/>
  <c r="V22" i="1"/>
  <c r="AB63" i="1"/>
  <c r="AC63" i="1" s="1"/>
  <c r="AG9" i="1"/>
  <c r="AI9" i="1" s="1"/>
  <c r="K77" i="1"/>
  <c r="K20" i="1"/>
  <c r="AG58" i="1"/>
  <c r="AG57" i="1"/>
  <c r="AB35" i="1"/>
  <c r="AC35" i="1" s="1"/>
  <c r="K75" i="1"/>
  <c r="Q46" i="1"/>
  <c r="S46" i="1" s="1"/>
  <c r="T46" i="1" s="1"/>
  <c r="Q13" i="1"/>
  <c r="S13" i="1" s="1"/>
  <c r="T13" i="1" s="1"/>
  <c r="Q45" i="1"/>
  <c r="S45" i="1" s="1"/>
  <c r="T45" i="1" s="1"/>
  <c r="Q12" i="1"/>
  <c r="S12" i="1" s="1"/>
  <c r="T12" i="1" s="1"/>
  <c r="R65" i="1"/>
  <c r="R54" i="1"/>
  <c r="R23" i="1"/>
  <c r="AG42" i="1"/>
  <c r="Q5" i="1"/>
  <c r="S5" i="1" s="1"/>
  <c r="T5" i="1" s="1"/>
  <c r="R64" i="1"/>
  <c r="R43" i="1"/>
  <c r="R10" i="1"/>
  <c r="R5" i="1"/>
  <c r="R63" i="1"/>
  <c r="R30" i="1"/>
  <c r="R9" i="1"/>
  <c r="R72" i="1"/>
  <c r="R19" i="1"/>
  <c r="K31" i="1"/>
  <c r="Q54" i="1"/>
  <c r="S54" i="1" s="1"/>
  <c r="T54" i="1" s="1"/>
  <c r="R51" i="1"/>
  <c r="V21" i="1"/>
  <c r="R74" i="1"/>
  <c r="K74" i="1"/>
  <c r="R52" i="1"/>
  <c r="Q52" i="1"/>
  <c r="S52" i="1" s="1"/>
  <c r="T52" i="1" s="1"/>
  <c r="AB52" i="1"/>
  <c r="AC52" i="1" s="1"/>
  <c r="R41" i="1"/>
  <c r="V41" i="1"/>
  <c r="W41" i="1" s="1"/>
  <c r="Y41" i="1" s="1"/>
  <c r="K41" i="1"/>
  <c r="R29" i="1"/>
  <c r="K29" i="1"/>
  <c r="R20" i="1"/>
  <c r="V20" i="1"/>
  <c r="R8" i="1"/>
  <c r="Q8" i="1"/>
  <c r="S8" i="1" s="1"/>
  <c r="T8" i="1" s="1"/>
  <c r="K8" i="1"/>
  <c r="AB8" i="1"/>
  <c r="AC8" i="1" s="1"/>
  <c r="Q29" i="1"/>
  <c r="S29" i="1" s="1"/>
  <c r="T29" i="1" s="1"/>
  <c r="R73" i="1"/>
  <c r="K73" i="1"/>
  <c r="R40" i="1"/>
  <c r="AG40" i="1"/>
  <c r="V40" i="1"/>
  <c r="W40" i="1" s="1"/>
  <c r="Y40" i="1" s="1"/>
  <c r="K40" i="1"/>
  <c r="R28" i="1"/>
  <c r="Q28" i="1"/>
  <c r="S28" i="1" s="1"/>
  <c r="T28" i="1" s="1"/>
  <c r="R7" i="1"/>
  <c r="Q7" i="1"/>
  <c r="S7" i="1" s="1"/>
  <c r="T7" i="1" s="1"/>
  <c r="K7" i="1"/>
  <c r="AB7" i="1"/>
  <c r="AC7" i="1" s="1"/>
  <c r="V73" i="1"/>
  <c r="W73" i="1" s="1"/>
  <c r="Y73" i="1" s="1"/>
  <c r="V8" i="1"/>
  <c r="W8" i="1" s="1"/>
  <c r="Y8" i="1" s="1"/>
  <c r="AG7" i="1"/>
  <c r="AI7" i="1" s="1"/>
  <c r="K72" i="1"/>
  <c r="Q72" i="1"/>
  <c r="S72" i="1" s="1"/>
  <c r="T72" i="1" s="1"/>
  <c r="Q39" i="1"/>
  <c r="S39" i="1" s="1"/>
  <c r="T39" i="1" s="1"/>
  <c r="K39" i="1"/>
  <c r="R39" i="1"/>
  <c r="R27" i="1"/>
  <c r="Q27" i="1"/>
  <c r="S27" i="1" s="1"/>
  <c r="T27" i="1" s="1"/>
  <c r="R18" i="1"/>
  <c r="Q18" i="1"/>
  <c r="S18" i="1" s="1"/>
  <c r="T18" i="1" s="1"/>
  <c r="K18" i="1"/>
  <c r="V7" i="1"/>
  <c r="W7" i="1" s="1"/>
  <c r="Y7" i="1" s="1"/>
  <c r="K28" i="1"/>
  <c r="Q74" i="1"/>
  <c r="S74" i="1" s="1"/>
  <c r="T74" i="1" s="1"/>
  <c r="R59" i="1"/>
  <c r="Q59" i="1"/>
  <c r="S59" i="1" s="1"/>
  <c r="T59" i="1" s="1"/>
  <c r="K27" i="1"/>
  <c r="Q73" i="1"/>
  <c r="S73" i="1" s="1"/>
  <c r="T73" i="1" s="1"/>
  <c r="V62" i="1"/>
  <c r="W62" i="1" s="1"/>
  <c r="Y62" i="1" s="1"/>
  <c r="AB34" i="1"/>
  <c r="AC34" i="1" s="1"/>
  <c r="K56" i="1"/>
  <c r="AB76" i="1"/>
  <c r="AC76" i="1" s="1"/>
  <c r="AB33" i="1"/>
  <c r="AC33" i="1" s="1"/>
  <c r="K55" i="1"/>
  <c r="AB75" i="1"/>
  <c r="AC75" i="1" s="1"/>
  <c r="AB32" i="1"/>
  <c r="AC32" i="1" s="1"/>
  <c r="AG75" i="1"/>
  <c r="AG21" i="1"/>
  <c r="R25" i="1"/>
  <c r="V33" i="1"/>
  <c r="W33" i="1" s="1"/>
  <c r="Y33" i="1" s="1"/>
  <c r="Q65" i="1"/>
  <c r="S65" i="1" s="1"/>
  <c r="T65" i="1" s="1"/>
  <c r="V32" i="1"/>
  <c r="W32" i="1" s="1"/>
  <c r="Y32" i="1" s="1"/>
  <c r="R77" i="1"/>
  <c r="V34" i="1"/>
  <c r="W34" i="1" s="1"/>
  <c r="Y34" i="1" s="1"/>
  <c r="R24" i="1"/>
  <c r="V56" i="1"/>
  <c r="W56" i="1" s="1"/>
  <c r="Y56" i="1" s="1"/>
  <c r="V55" i="1"/>
  <c r="W55" i="1" s="1"/>
  <c r="Y55" i="1" s="1"/>
  <c r="K64" i="1"/>
  <c r="Q64" i="1"/>
  <c r="S64" i="1" s="1"/>
  <c r="T64" i="1" s="1"/>
  <c r="Q43" i="1"/>
  <c r="S43" i="1" s="1"/>
  <c r="T43" i="1" s="1"/>
  <c r="Q23" i="1"/>
  <c r="S23" i="1" s="1"/>
  <c r="T23" i="1" s="1"/>
  <c r="V5" i="1"/>
  <c r="W5" i="1" s="1"/>
  <c r="Y5" i="1" s="1"/>
  <c r="V54" i="1"/>
  <c r="W54" i="1" s="1"/>
  <c r="Y54" i="1" s="1"/>
  <c r="V31" i="1"/>
  <c r="W31" i="1" s="1"/>
  <c r="Y31" i="1" s="1"/>
  <c r="AB68" i="1"/>
  <c r="AC68" i="1" s="1"/>
  <c r="AB43" i="1"/>
  <c r="AC43" i="1" s="1"/>
  <c r="AB22" i="1"/>
  <c r="AC22" i="1" s="1"/>
  <c r="AD22" i="1" s="1"/>
  <c r="AG56" i="1"/>
  <c r="AG32" i="1"/>
  <c r="K63" i="1"/>
  <c r="K45" i="1"/>
  <c r="K25" i="1"/>
  <c r="Q63" i="1"/>
  <c r="S63" i="1" s="1"/>
  <c r="T63" i="1" s="1"/>
  <c r="Q42" i="1"/>
  <c r="T42" i="1" s="1"/>
  <c r="Q22" i="1"/>
  <c r="V77" i="1"/>
  <c r="W77" i="1" s="1"/>
  <c r="Y77" i="1" s="1"/>
  <c r="V53" i="1"/>
  <c r="W53" i="1" s="1"/>
  <c r="Y53" i="1" s="1"/>
  <c r="V30" i="1"/>
  <c r="W30" i="1" s="1"/>
  <c r="Y30" i="1" s="1"/>
  <c r="AB67" i="1"/>
  <c r="AC67" i="1" s="1"/>
  <c r="AB42" i="1"/>
  <c r="AC42" i="1" s="1"/>
  <c r="AB21" i="1"/>
  <c r="AC21" i="1" s="1"/>
  <c r="AD21" i="1" s="1"/>
  <c r="AG55" i="1"/>
  <c r="AG31" i="1"/>
  <c r="K62" i="1"/>
  <c r="K44" i="1"/>
  <c r="K24" i="1"/>
  <c r="Q62" i="1"/>
  <c r="S62" i="1" s="1"/>
  <c r="T62" i="1" s="1"/>
  <c r="Q41" i="1"/>
  <c r="T41" i="1" s="1"/>
  <c r="Q21" i="1"/>
  <c r="V76" i="1"/>
  <c r="W76" i="1" s="1"/>
  <c r="Y76" i="1" s="1"/>
  <c r="V29" i="1"/>
  <c r="W29" i="1" s="1"/>
  <c r="Y29" i="1" s="1"/>
  <c r="AB66" i="1"/>
  <c r="AC66" i="1" s="1"/>
  <c r="AB41" i="1"/>
  <c r="AC41" i="1" s="1"/>
  <c r="AB20" i="1"/>
  <c r="AC20" i="1" s="1"/>
  <c r="X20" i="1" s="1"/>
  <c r="Z20" i="1" s="1"/>
  <c r="AG54" i="1"/>
  <c r="AG30" i="1"/>
  <c r="K43" i="1"/>
  <c r="K23" i="1"/>
  <c r="Q40" i="1"/>
  <c r="T40" i="1" s="1"/>
  <c r="Q20" i="1"/>
  <c r="V75" i="1"/>
  <c r="W75" i="1" s="1"/>
  <c r="Y75" i="1" s="1"/>
  <c r="V52" i="1"/>
  <c r="W52" i="1" s="1"/>
  <c r="Y52" i="1" s="1"/>
  <c r="V28" i="1"/>
  <c r="W28" i="1" s="1"/>
  <c r="Y28" i="1" s="1"/>
  <c r="AB65" i="1"/>
  <c r="AC65" i="1" s="1"/>
  <c r="AB40" i="1"/>
  <c r="AC40" i="1" s="1"/>
  <c r="AB19" i="1"/>
  <c r="AC19" i="1" s="1"/>
  <c r="X19" i="1" s="1"/>
  <c r="Z19" i="1" s="1"/>
  <c r="AG5" i="1"/>
  <c r="AI5" i="1" s="1"/>
  <c r="AG53" i="1"/>
  <c r="AG28" i="1"/>
  <c r="K61" i="1"/>
  <c r="K42" i="1"/>
  <c r="K22" i="1"/>
  <c r="Q19" i="1"/>
  <c r="R46" i="1"/>
  <c r="V74" i="1"/>
  <c r="W74" i="1" s="1"/>
  <c r="Y74" i="1" s="1"/>
  <c r="V23" i="1"/>
  <c r="W23" i="1" s="1"/>
  <c r="Y23" i="1" s="1"/>
  <c r="AB64" i="1"/>
  <c r="AC64" i="1" s="1"/>
  <c r="AB10" i="1"/>
  <c r="AC10" i="1" s="1"/>
  <c r="AG76" i="1"/>
  <c r="AG22" i="1"/>
  <c r="AB60" i="1"/>
  <c r="AC60" i="1" s="1"/>
  <c r="V60" i="1"/>
  <c r="W60" i="1" s="1"/>
  <c r="Y60" i="1" s="1"/>
  <c r="K60" i="1"/>
  <c r="AB38" i="1"/>
  <c r="AC38" i="1" s="1"/>
  <c r="V38" i="1"/>
  <c r="W38" i="1" s="1"/>
  <c r="Y38" i="1" s="1"/>
  <c r="K38" i="1"/>
  <c r="AB17" i="1"/>
  <c r="AC17" i="1" s="1"/>
  <c r="V17" i="1"/>
  <c r="W17" i="1" s="1"/>
  <c r="Y17" i="1" s="1"/>
  <c r="K17" i="1"/>
  <c r="AG71" i="1"/>
  <c r="AB70" i="1"/>
  <c r="AC70" i="1" s="1"/>
  <c r="V70" i="1"/>
  <c r="W70" i="1" s="1"/>
  <c r="K70" i="1"/>
  <c r="AB37" i="1"/>
  <c r="AC37" i="1" s="1"/>
  <c r="V37" i="1"/>
  <c r="W37" i="1" s="1"/>
  <c r="Y37" i="1" s="1"/>
  <c r="K37" i="1"/>
  <c r="AB69" i="1"/>
  <c r="AC69" i="1" s="1"/>
  <c r="V69" i="1"/>
  <c r="W69" i="1" s="1"/>
  <c r="Y69" i="1" s="1"/>
  <c r="K69" i="1"/>
  <c r="Q69" i="1"/>
  <c r="S69" i="1" s="1"/>
  <c r="T69" i="1" s="1"/>
  <c r="AB58" i="1"/>
  <c r="AC58" i="1" s="1"/>
  <c r="V58" i="1"/>
  <c r="W58" i="1" s="1"/>
  <c r="Y58" i="1" s="1"/>
  <c r="K58" i="1"/>
  <c r="Q58" i="1"/>
  <c r="S58" i="1" s="1"/>
  <c r="T58" i="1" s="1"/>
  <c r="AG69" i="1"/>
  <c r="V57" i="1"/>
  <c r="W57" i="1" s="1"/>
  <c r="Y57" i="1" s="1"/>
  <c r="K57" i="1"/>
  <c r="Q57" i="1"/>
  <c r="S57" i="1" s="1"/>
  <c r="T57" i="1" s="1"/>
  <c r="R57" i="1"/>
  <c r="R37" i="1"/>
  <c r="AB14" i="1"/>
  <c r="AC14" i="1" s="1"/>
  <c r="R56" i="1"/>
  <c r="R36" i="1"/>
  <c r="AB46" i="1"/>
  <c r="AC46" i="1" s="1"/>
  <c r="AB13" i="1"/>
  <c r="AC13" i="1" s="1"/>
  <c r="AG66" i="1"/>
  <c r="AG65" i="1"/>
  <c r="AG38" i="1"/>
  <c r="K67" i="1"/>
  <c r="Q17" i="1"/>
  <c r="S17" i="1" s="1"/>
  <c r="T17" i="1" s="1"/>
  <c r="R70" i="1"/>
  <c r="R34" i="1"/>
  <c r="V11" i="1"/>
  <c r="W11" i="1" s="1"/>
  <c r="Y11" i="1" s="1"/>
  <c r="K66" i="1"/>
  <c r="Q49" i="1"/>
  <c r="S49" i="1" s="1"/>
  <c r="T49" i="1" s="1"/>
  <c r="R69" i="1"/>
  <c r="V65" i="1"/>
  <c r="W65" i="1" s="1"/>
  <c r="Y65" i="1" s="1"/>
  <c r="V46" i="1"/>
  <c r="W46" i="1" s="1"/>
  <c r="Y46" i="1" s="1"/>
  <c r="AB57" i="1"/>
  <c r="AC57" i="1" s="1"/>
  <c r="AG77" i="1"/>
  <c r="AG25" i="1"/>
  <c r="AG11" i="1"/>
  <c r="AB71" i="1"/>
  <c r="AC71" i="1" s="1"/>
  <c r="V71" i="1"/>
  <c r="W71" i="1" s="1"/>
  <c r="Y71" i="1" s="1"/>
  <c r="K71" i="1"/>
  <c r="AB50" i="1"/>
  <c r="AC50" i="1" s="1"/>
  <c r="V50" i="1"/>
  <c r="W50" i="1" s="1"/>
  <c r="Y50" i="1" s="1"/>
  <c r="K50" i="1"/>
  <c r="AB26" i="1"/>
  <c r="AC26" i="1" s="1"/>
  <c r="V26" i="1"/>
  <c r="W26" i="1" s="1"/>
  <c r="Y26" i="1" s="1"/>
  <c r="K26" i="1"/>
  <c r="AB59" i="1"/>
  <c r="AC59" i="1" s="1"/>
  <c r="V59" i="1"/>
  <c r="W59" i="1" s="1"/>
  <c r="Y59" i="1" s="1"/>
  <c r="K59" i="1"/>
  <c r="AB16" i="1"/>
  <c r="AC16" i="1" s="1"/>
  <c r="V16" i="1"/>
  <c r="W16" i="1" s="1"/>
  <c r="Y16" i="1" s="1"/>
  <c r="K16" i="1"/>
  <c r="R60" i="1"/>
  <c r="AG70" i="1"/>
  <c r="AB48" i="1"/>
  <c r="AC48" i="1" s="1"/>
  <c r="V48" i="1"/>
  <c r="W48" i="1" s="1"/>
  <c r="Y48" i="1" s="1"/>
  <c r="K48" i="1"/>
  <c r="Q48" i="1"/>
  <c r="S48" i="1" s="1"/>
  <c r="T48" i="1" s="1"/>
  <c r="AB36" i="1"/>
  <c r="AC36" i="1" s="1"/>
  <c r="V36" i="1"/>
  <c r="W36" i="1" s="1"/>
  <c r="Y36" i="1" s="1"/>
  <c r="K36" i="1"/>
  <c r="Q36" i="1"/>
  <c r="S36" i="1" s="1"/>
  <c r="T36" i="1" s="1"/>
  <c r="AB15" i="1"/>
  <c r="AC15" i="1" s="1"/>
  <c r="V15" i="1"/>
  <c r="W15" i="1" s="1"/>
  <c r="Y15" i="1" s="1"/>
  <c r="K15" i="1"/>
  <c r="Q15" i="1"/>
  <c r="S15" i="1" s="1"/>
  <c r="T15" i="1" s="1"/>
  <c r="V68" i="1"/>
  <c r="W68" i="1" s="1"/>
  <c r="Y68" i="1" s="1"/>
  <c r="K68" i="1"/>
  <c r="Q68" i="1"/>
  <c r="S68" i="1" s="1"/>
  <c r="T68" i="1" s="1"/>
  <c r="V35" i="1"/>
  <c r="W35" i="1" s="1"/>
  <c r="Y35" i="1" s="1"/>
  <c r="K35" i="1"/>
  <c r="Q35" i="1"/>
  <c r="S35" i="1" s="1"/>
  <c r="T35" i="1" s="1"/>
  <c r="V14" i="1"/>
  <c r="W14" i="1" s="1"/>
  <c r="Y14" i="1" s="1"/>
  <c r="K14" i="1"/>
  <c r="Q14" i="1"/>
  <c r="S14" i="1" s="1"/>
  <c r="T14" i="1" s="1"/>
  <c r="R38" i="1"/>
  <c r="Q70" i="1"/>
  <c r="S70" i="1" s="1"/>
  <c r="T70" i="1" s="1"/>
  <c r="AG26" i="1"/>
  <c r="R17" i="1"/>
  <c r="V13" i="1"/>
  <c r="W13" i="1" s="1"/>
  <c r="Y13" i="1" s="1"/>
  <c r="R71" i="1"/>
  <c r="R55" i="1"/>
  <c r="R35" i="1"/>
  <c r="R16" i="1"/>
  <c r="V67" i="1"/>
  <c r="W67" i="1" s="1"/>
  <c r="Y67" i="1" s="1"/>
  <c r="V12" i="1"/>
  <c r="W12" i="1" s="1"/>
  <c r="Y12" i="1" s="1"/>
  <c r="AB45" i="1"/>
  <c r="AC45" i="1" s="1"/>
  <c r="AB12" i="1"/>
  <c r="AC12" i="1" s="1"/>
  <c r="AG13" i="1"/>
  <c r="K34" i="1"/>
  <c r="Q50" i="1"/>
  <c r="S50" i="1" s="1"/>
  <c r="T50" i="1" s="1"/>
  <c r="R15" i="1"/>
  <c r="V66" i="1"/>
  <c r="W66" i="1" s="1"/>
  <c r="Y66" i="1" s="1"/>
  <c r="AB77" i="1"/>
  <c r="AC77" i="1" s="1"/>
  <c r="AB44" i="1"/>
  <c r="AC44" i="1" s="1"/>
  <c r="AB11" i="1"/>
  <c r="AC11" i="1" s="1"/>
  <c r="AG37" i="1"/>
  <c r="AG12" i="1"/>
  <c r="K33" i="1"/>
  <c r="Q16" i="1"/>
  <c r="S16" i="1" s="1"/>
  <c r="T16" i="1" s="1"/>
  <c r="R50" i="1"/>
  <c r="R33" i="1"/>
  <c r="R14" i="1"/>
  <c r="K65" i="1"/>
  <c r="K32" i="1"/>
  <c r="Q44" i="1"/>
  <c r="S44" i="1" s="1"/>
  <c r="T44" i="1" s="1"/>
  <c r="Q11" i="1"/>
  <c r="S11" i="1" s="1"/>
  <c r="T11" i="1" s="1"/>
  <c r="R68" i="1"/>
  <c r="R49" i="1"/>
  <c r="R13" i="1"/>
  <c r="V45" i="1"/>
  <c r="W45" i="1" s="1"/>
  <c r="Y45" i="1" s="1"/>
  <c r="AB56" i="1"/>
  <c r="AC56" i="1" s="1"/>
  <c r="AB25" i="1"/>
  <c r="AC25" i="1" s="1"/>
  <c r="AG35" i="1"/>
  <c r="AG24" i="1"/>
  <c r="AB49" i="1"/>
  <c r="AC49" i="1" s="1"/>
  <c r="V49" i="1"/>
  <c r="W49" i="1" s="1"/>
  <c r="Y49" i="1" s="1"/>
  <c r="K49" i="1"/>
  <c r="AG17" i="1"/>
  <c r="V47" i="1"/>
  <c r="W47" i="1" s="1"/>
  <c r="Y47" i="1" s="1"/>
  <c r="K47" i="1"/>
  <c r="Q47" i="1"/>
  <c r="S47" i="1" s="1"/>
  <c r="T47" i="1" s="1"/>
  <c r="Q38" i="1"/>
  <c r="S38" i="1" s="1"/>
  <c r="T38" i="1" s="1"/>
  <c r="R58" i="1"/>
  <c r="Q37" i="1"/>
  <c r="S37" i="1" s="1"/>
  <c r="T37" i="1" s="1"/>
  <c r="AG67" i="1"/>
  <c r="R67" i="1"/>
  <c r="R48" i="1"/>
  <c r="R26" i="1"/>
  <c r="R12" i="1"/>
  <c r="V44" i="1"/>
  <c r="W44" i="1" s="1"/>
  <c r="Y44" i="1" s="1"/>
  <c r="V25" i="1"/>
  <c r="W25" i="1" s="1"/>
  <c r="Y25" i="1" s="1"/>
  <c r="AB55" i="1"/>
  <c r="AC55" i="1" s="1"/>
  <c r="AB24" i="1"/>
  <c r="AC24" i="1" s="1"/>
  <c r="AG60" i="1"/>
  <c r="AG48" i="1"/>
  <c r="AG34" i="1"/>
  <c r="AG23" i="1"/>
  <c r="AG72" i="1"/>
  <c r="AB72" i="1"/>
  <c r="AC72" i="1" s="1"/>
  <c r="V72" i="1"/>
  <c r="W72" i="1" s="1"/>
  <c r="Y72" i="1" s="1"/>
  <c r="AG61" i="1"/>
  <c r="AB61" i="1"/>
  <c r="AC61" i="1" s="1"/>
  <c r="V61" i="1"/>
  <c r="W61" i="1" s="1"/>
  <c r="Y61" i="1" s="1"/>
  <c r="AG51" i="1"/>
  <c r="AB51" i="1"/>
  <c r="AC51" i="1" s="1"/>
  <c r="V51" i="1"/>
  <c r="W51" i="1" s="1"/>
  <c r="Y51" i="1" s="1"/>
  <c r="AG39" i="1"/>
  <c r="AB39" i="1"/>
  <c r="AC39" i="1" s="1"/>
  <c r="V39" i="1"/>
  <c r="W39" i="1" s="1"/>
  <c r="Y39" i="1" s="1"/>
  <c r="AG27" i="1"/>
  <c r="AB27" i="1"/>
  <c r="AC27" i="1" s="1"/>
  <c r="V27" i="1"/>
  <c r="W27" i="1" s="1"/>
  <c r="Y27" i="1" s="1"/>
  <c r="AG18" i="1"/>
  <c r="AB18" i="1"/>
  <c r="AC18" i="1" s="1"/>
  <c r="V18" i="1"/>
  <c r="W18" i="1" s="1"/>
  <c r="Y18" i="1" s="1"/>
  <c r="AG6" i="1"/>
  <c r="AI6" i="1" s="1"/>
  <c r="AB6" i="1"/>
  <c r="AC6" i="1" s="1"/>
  <c r="V6" i="1"/>
  <c r="W6" i="1" s="1"/>
  <c r="Y6" i="1" s="1"/>
  <c r="K46" i="1"/>
  <c r="K13" i="1"/>
  <c r="Q60" i="1"/>
  <c r="S60" i="1" s="1"/>
  <c r="T60" i="1" s="1"/>
  <c r="Q26" i="1"/>
  <c r="S26" i="1" s="1"/>
  <c r="T26" i="1" s="1"/>
  <c r="R66" i="1"/>
  <c r="R47" i="1"/>
  <c r="R6" i="1"/>
  <c r="V24" i="1"/>
  <c r="W24" i="1" s="1"/>
  <c r="Y24" i="1" s="1"/>
  <c r="AB54" i="1"/>
  <c r="AC54" i="1" s="1"/>
  <c r="AB23" i="1"/>
  <c r="AC23" i="1" s="1"/>
  <c r="AG59" i="1"/>
  <c r="AG47" i="1"/>
  <c r="AG33" i="1"/>
  <c r="AG74" i="1"/>
  <c r="AG62" i="1"/>
  <c r="AG52" i="1"/>
  <c r="AG41" i="1"/>
  <c r="AG29" i="1"/>
  <c r="AG20" i="1"/>
  <c r="AG8" i="1"/>
  <c r="AI8" i="1" s="1"/>
  <c r="X73" i="1" l="1"/>
  <c r="AD19" i="1"/>
  <c r="AD20" i="1"/>
  <c r="X21" i="1"/>
  <c r="Z21" i="1" s="1"/>
  <c r="X22" i="1"/>
  <c r="Z22" i="1" s="1"/>
  <c r="T78" i="1"/>
  <c r="AC78" i="1"/>
  <c r="M29" i="6"/>
  <c r="M22" i="6"/>
  <c r="O22" i="6" s="1"/>
  <c r="M43" i="6"/>
  <c r="I43" i="6" s="1"/>
  <c r="M77" i="6"/>
  <c r="O77" i="6" s="1"/>
  <c r="M33" i="6"/>
  <c r="O33" i="6" s="1"/>
  <c r="O12" i="6"/>
  <c r="Y12" i="6" s="1"/>
  <c r="I12" i="6"/>
  <c r="M9" i="6"/>
  <c r="M8" i="6"/>
  <c r="X67" i="6"/>
  <c r="I29" i="6"/>
  <c r="O29" i="6"/>
  <c r="Y29" i="6" s="1"/>
  <c r="M60" i="6"/>
  <c r="M45" i="6"/>
  <c r="M68" i="6"/>
  <c r="M6" i="6"/>
  <c r="M57" i="6"/>
  <c r="M69" i="6"/>
  <c r="X13" i="1"/>
  <c r="Z13" i="1" s="1"/>
  <c r="M44" i="1"/>
  <c r="M13" i="1"/>
  <c r="M33" i="1"/>
  <c r="M50" i="1"/>
  <c r="M15" i="1"/>
  <c r="M63" i="1"/>
  <c r="M51" i="1"/>
  <c r="M76" i="1"/>
  <c r="M49" i="1"/>
  <c r="M55" i="1"/>
  <c r="M54" i="6"/>
  <c r="M32" i="6"/>
  <c r="M35" i="6"/>
  <c r="M73" i="6"/>
  <c r="M15" i="6"/>
  <c r="M18" i="6"/>
  <c r="M41" i="1"/>
  <c r="M64" i="1"/>
  <c r="M74" i="6"/>
  <c r="X5" i="1"/>
  <c r="Z5" i="1" s="1"/>
  <c r="AB78" i="1"/>
  <c r="M50" i="6"/>
  <c r="M75" i="6"/>
  <c r="M17" i="1"/>
  <c r="M65" i="6"/>
  <c r="M30" i="6"/>
  <c r="AA78" i="1"/>
  <c r="E19" i="2"/>
  <c r="G18" i="2"/>
  <c r="M49" i="6"/>
  <c r="M20" i="6"/>
  <c r="M28" i="6"/>
  <c r="M19" i="6"/>
  <c r="M46" i="6"/>
  <c r="M67" i="6"/>
  <c r="M31" i="6"/>
  <c r="X17" i="6"/>
  <c r="X54" i="6"/>
  <c r="X34" i="6"/>
  <c r="X27" i="6"/>
  <c r="X74" i="6"/>
  <c r="M25" i="6"/>
  <c r="M37" i="1"/>
  <c r="M59" i="1"/>
  <c r="M10" i="6"/>
  <c r="X66" i="6"/>
  <c r="M42" i="6"/>
  <c r="M52" i="6"/>
  <c r="M71" i="6"/>
  <c r="M41" i="6"/>
  <c r="M35" i="1"/>
  <c r="M72" i="1"/>
  <c r="M65" i="1"/>
  <c r="M70" i="1"/>
  <c r="M29" i="1"/>
  <c r="M58" i="1"/>
  <c r="M26" i="1"/>
  <c r="M48" i="1"/>
  <c r="M18" i="1"/>
  <c r="M52" i="1"/>
  <c r="M11" i="1"/>
  <c r="M16" i="1"/>
  <c r="M24" i="1"/>
  <c r="M21" i="1"/>
  <c r="M31" i="1"/>
  <c r="M61" i="1"/>
  <c r="M54" i="1"/>
  <c r="M12" i="1"/>
  <c r="M20" i="1"/>
  <c r="M23" i="1"/>
  <c r="M56" i="1"/>
  <c r="X58" i="6"/>
  <c r="X50" i="6"/>
  <c r="M25" i="1"/>
  <c r="X29" i="6"/>
  <c r="X71" i="6"/>
  <c r="M66" i="6"/>
  <c r="M70" i="6"/>
  <c r="X28" i="6"/>
  <c r="M39" i="1"/>
  <c r="X69" i="6"/>
  <c r="M69" i="1"/>
  <c r="X14" i="6"/>
  <c r="X44" i="6"/>
  <c r="X13" i="6"/>
  <c r="M40" i="1"/>
  <c r="X77" i="6"/>
  <c r="X57" i="6"/>
  <c r="X62" i="6"/>
  <c r="X40" i="6"/>
  <c r="X37" i="6"/>
  <c r="X7" i="6"/>
  <c r="M19" i="1"/>
  <c r="M66" i="1"/>
  <c r="M8" i="1"/>
  <c r="X49" i="6"/>
  <c r="X8" i="6"/>
  <c r="M53" i="6"/>
  <c r="M5" i="1"/>
  <c r="X38" i="6"/>
  <c r="X46" i="6"/>
  <c r="X36" i="6"/>
  <c r="X68" i="6"/>
  <c r="X26" i="6"/>
  <c r="M24" i="6"/>
  <c r="M38" i="1"/>
  <c r="M76" i="6"/>
  <c r="M43" i="1"/>
  <c r="X75" i="6"/>
  <c r="X15" i="6"/>
  <c r="M37" i="6"/>
  <c r="X23" i="6"/>
  <c r="X63" i="6"/>
  <c r="X52" i="6"/>
  <c r="M48" i="6"/>
  <c r="M14" i="6"/>
  <c r="X47" i="6"/>
  <c r="M74" i="1"/>
  <c r="M73" i="1"/>
  <c r="M28" i="1"/>
  <c r="M75" i="1"/>
  <c r="X53" i="6"/>
  <c r="M58" i="6"/>
  <c r="M51" i="6"/>
  <c r="M63" i="6"/>
  <c r="X45" i="6"/>
  <c r="M62" i="6"/>
  <c r="M64" i="6"/>
  <c r="X60" i="6"/>
  <c r="M38" i="6"/>
  <c r="X16" i="6"/>
  <c r="M39" i="6"/>
  <c r="M53" i="1"/>
  <c r="X39" i="6"/>
  <c r="M7" i="1"/>
  <c r="M22" i="1"/>
  <c r="M13" i="6"/>
  <c r="M36" i="6"/>
  <c r="X56" i="6"/>
  <c r="M11" i="6"/>
  <c r="M56" i="6"/>
  <c r="M7" i="6"/>
  <c r="M32" i="1"/>
  <c r="M30" i="1"/>
  <c r="X32" i="6"/>
  <c r="M47" i="6"/>
  <c r="M42" i="1"/>
  <c r="X25" i="6"/>
  <c r="M10" i="1"/>
  <c r="M40" i="6"/>
  <c r="X41" i="6"/>
  <c r="X18" i="6"/>
  <c r="X9" i="6"/>
  <c r="X51" i="6"/>
  <c r="X33" i="6"/>
  <c r="M36" i="1"/>
  <c r="M6" i="1"/>
  <c r="M34" i="6"/>
  <c r="M77" i="1"/>
  <c r="M27" i="6"/>
  <c r="X12" i="6"/>
  <c r="M55" i="6"/>
  <c r="X55" i="6"/>
  <c r="X64" i="6"/>
  <c r="X72" i="6"/>
  <c r="M57" i="1"/>
  <c r="M45" i="1"/>
  <c r="AD25" i="1"/>
  <c r="X61" i="6"/>
  <c r="M59" i="6"/>
  <c r="X73" i="6"/>
  <c r="X70" i="6"/>
  <c r="X30" i="6"/>
  <c r="M61" i="6"/>
  <c r="M14" i="1"/>
  <c r="M62" i="1"/>
  <c r="M9" i="1"/>
  <c r="AD30" i="1"/>
  <c r="M17" i="6"/>
  <c r="X42" i="6"/>
  <c r="X43" i="6"/>
  <c r="M21" i="6"/>
  <c r="M44" i="6"/>
  <c r="M5" i="6"/>
  <c r="X11" i="6"/>
  <c r="K78" i="6"/>
  <c r="X35" i="6"/>
  <c r="X6" i="6"/>
  <c r="X24" i="6"/>
  <c r="X59" i="6"/>
  <c r="M47" i="1"/>
  <c r="M71" i="1"/>
  <c r="X76" i="6"/>
  <c r="X31" i="6"/>
  <c r="M46" i="1"/>
  <c r="M72" i="6"/>
  <c r="X10" i="6"/>
  <c r="M16" i="6"/>
  <c r="X48" i="6"/>
  <c r="X65" i="6"/>
  <c r="M68" i="1"/>
  <c r="M27" i="1"/>
  <c r="M60" i="1"/>
  <c r="M23" i="6"/>
  <c r="M67" i="1"/>
  <c r="M34" i="1"/>
  <c r="M26" i="6"/>
  <c r="X70" i="1"/>
  <c r="X7" i="1"/>
  <c r="Z7" i="1" s="1"/>
  <c r="X57" i="1"/>
  <c r="Z57" i="1" s="1"/>
  <c r="X51" i="1"/>
  <c r="Z51" i="1" s="1"/>
  <c r="X52" i="1"/>
  <c r="Z52" i="1" s="1"/>
  <c r="X32" i="1"/>
  <c r="Z32" i="1" s="1"/>
  <c r="X72" i="1"/>
  <c r="Z72" i="1" s="1"/>
  <c r="X60" i="1"/>
  <c r="Z60" i="1" s="1"/>
  <c r="AD54" i="1"/>
  <c r="X53" i="1"/>
  <c r="Z53" i="1" s="1"/>
  <c r="AD26" i="1"/>
  <c r="AD58" i="1"/>
  <c r="Y70" i="1"/>
  <c r="X62" i="1"/>
  <c r="Z62" i="1" s="1"/>
  <c r="X8" i="1"/>
  <c r="Z8" i="1" s="1"/>
  <c r="X44" i="1"/>
  <c r="Z44" i="1" s="1"/>
  <c r="AD47" i="1"/>
  <c r="AD68" i="1"/>
  <c r="AD29" i="1"/>
  <c r="AD28" i="1"/>
  <c r="X49" i="1"/>
  <c r="Z49" i="1" s="1"/>
  <c r="X43" i="1"/>
  <c r="Z43" i="1" s="1"/>
  <c r="AD41" i="1"/>
  <c r="X34" i="1"/>
  <c r="Z34" i="1" s="1"/>
  <c r="AD13" i="1"/>
  <c r="AD32" i="1"/>
  <c r="AD46" i="1"/>
  <c r="X25" i="1"/>
  <c r="Z25" i="1" s="1"/>
  <c r="AD15" i="1"/>
  <c r="AD62" i="1"/>
  <c r="X74" i="1"/>
  <c r="Z74" i="1" s="1"/>
  <c r="AD16" i="1"/>
  <c r="X12" i="1"/>
  <c r="Z12" i="1" s="1"/>
  <c r="X10" i="1"/>
  <c r="Z10" i="1" s="1"/>
  <c r="AD53" i="1"/>
  <c r="X35" i="1"/>
  <c r="Z35" i="1" s="1"/>
  <c r="X27" i="1"/>
  <c r="Z27" i="1" s="1"/>
  <c r="AD40" i="1"/>
  <c r="X76" i="1"/>
  <c r="Z76" i="1" s="1"/>
  <c r="AD50" i="1"/>
  <c r="AD17" i="1"/>
  <c r="AD65" i="1"/>
  <c r="AD9" i="1"/>
  <c r="X45" i="1"/>
  <c r="Z45" i="1" s="1"/>
  <c r="AD69" i="1"/>
  <c r="X64" i="1"/>
  <c r="Z64" i="1" s="1"/>
  <c r="AD63" i="1"/>
  <c r="AD23" i="1"/>
  <c r="AD31" i="1"/>
  <c r="X28" i="1"/>
  <c r="Z28" i="1" s="1"/>
  <c r="X56" i="1"/>
  <c r="Z56" i="1" s="1"/>
  <c r="AD74" i="1"/>
  <c r="X24" i="1"/>
  <c r="Z24" i="1" s="1"/>
  <c r="X54" i="1"/>
  <c r="Z54" i="1" s="1"/>
  <c r="X55" i="1"/>
  <c r="Z55" i="1" s="1"/>
  <c r="X61" i="1"/>
  <c r="Z61" i="1" s="1"/>
  <c r="AD11" i="1"/>
  <c r="AD35" i="1"/>
  <c r="X38" i="1"/>
  <c r="Z38" i="1" s="1"/>
  <c r="X66" i="1"/>
  <c r="Z66" i="1" s="1"/>
  <c r="X75" i="1"/>
  <c r="Z75" i="1" s="1"/>
  <c r="AD45" i="1"/>
  <c r="X77" i="1"/>
  <c r="Z77" i="1" s="1"/>
  <c r="X36" i="1"/>
  <c r="Z36" i="1" s="1"/>
  <c r="X71" i="1"/>
  <c r="Z71" i="1" s="1"/>
  <c r="X42" i="1"/>
  <c r="Z42" i="1" s="1"/>
  <c r="AD59" i="1"/>
  <c r="X9" i="1"/>
  <c r="Z9" i="1" s="1"/>
  <c r="X31" i="1"/>
  <c r="Z31" i="1" s="1"/>
  <c r="X30" i="1"/>
  <c r="Z30" i="1" s="1"/>
  <c r="X39" i="1"/>
  <c r="Z39" i="1" s="1"/>
  <c r="X47" i="1"/>
  <c r="Z47" i="1" s="1"/>
  <c r="X46" i="1"/>
  <c r="Z46" i="1" s="1"/>
  <c r="AD73" i="1"/>
  <c r="AD24" i="1"/>
  <c r="X18" i="1"/>
  <c r="Z18" i="1" s="1"/>
  <c r="AD48" i="1"/>
  <c r="X14" i="1"/>
  <c r="Z14" i="1" s="1"/>
  <c r="X37" i="1"/>
  <c r="Z37" i="1" s="1"/>
  <c r="X67" i="1"/>
  <c r="Z67" i="1" s="1"/>
  <c r="X33" i="1"/>
  <c r="Z33" i="1" s="1"/>
  <c r="X63" i="1"/>
  <c r="Z63" i="1" s="1"/>
  <c r="AD44" i="1"/>
  <c r="AD75" i="1"/>
  <c r="AD52" i="1"/>
  <c r="AD66" i="1"/>
  <c r="AD18" i="1"/>
  <c r="AD8" i="1"/>
  <c r="X59" i="1"/>
  <c r="Z59" i="1" s="1"/>
  <c r="X68" i="1"/>
  <c r="Z68" i="1" s="1"/>
  <c r="AD60" i="1"/>
  <c r="X48" i="1"/>
  <c r="Z48" i="1" s="1"/>
  <c r="AD27" i="1"/>
  <c r="AD33" i="1"/>
  <c r="AD37" i="1"/>
  <c r="AD76" i="1"/>
  <c r="AD34" i="1"/>
  <c r="Z73" i="1"/>
  <c r="AD70" i="1"/>
  <c r="X26" i="1"/>
  <c r="Z26" i="1" s="1"/>
  <c r="X58" i="1"/>
  <c r="Z58" i="1" s="1"/>
  <c r="AD42" i="1"/>
  <c r="AD10" i="1"/>
  <c r="AD38" i="1"/>
  <c r="AD57" i="1"/>
  <c r="AD71" i="1"/>
  <c r="X23" i="1"/>
  <c r="Z23" i="1" s="1"/>
  <c r="AD14" i="1"/>
  <c r="X15" i="1"/>
  <c r="Z15" i="1" s="1"/>
  <c r="X17" i="1"/>
  <c r="Z17" i="1" s="1"/>
  <c r="X40" i="1"/>
  <c r="Z40" i="1" s="1"/>
  <c r="AD43" i="1"/>
  <c r="AD39" i="1"/>
  <c r="AD7" i="1"/>
  <c r="AD51" i="1"/>
  <c r="X29" i="1"/>
  <c r="Z29" i="1" s="1"/>
  <c r="AD36" i="1"/>
  <c r="X16" i="1"/>
  <c r="Z16" i="1" s="1"/>
  <c r="X50" i="1"/>
  <c r="Z50" i="1" s="1"/>
  <c r="AD49" i="1"/>
  <c r="X65" i="1"/>
  <c r="Z65" i="1" s="1"/>
  <c r="AD64" i="1"/>
  <c r="AD77" i="1"/>
  <c r="AD61" i="1"/>
  <c r="AD55" i="1"/>
  <c r="X11" i="1"/>
  <c r="Z11" i="1" s="1"/>
  <c r="X69" i="1"/>
  <c r="Z69" i="1" s="1"/>
  <c r="X41" i="1"/>
  <c r="Z41" i="1" s="1"/>
  <c r="AD12" i="1"/>
  <c r="AD72" i="1"/>
  <c r="AD67" i="1"/>
  <c r="AD56" i="1"/>
  <c r="K78" i="1"/>
  <c r="I22" i="6" l="1"/>
  <c r="I77" i="6"/>
  <c r="I33" i="6"/>
  <c r="O43" i="6"/>
  <c r="Y43" i="6" s="1"/>
  <c r="Z43" i="6" s="1"/>
  <c r="O63" i="6"/>
  <c r="I63" i="6"/>
  <c r="I41" i="6"/>
  <c r="O41" i="6"/>
  <c r="AI41" i="6" s="1"/>
  <c r="O72" i="6"/>
  <c r="I72" i="6"/>
  <c r="O23" i="6"/>
  <c r="I23" i="6"/>
  <c r="O5" i="6"/>
  <c r="I5" i="6"/>
  <c r="O55" i="6"/>
  <c r="I55" i="6"/>
  <c r="O11" i="6"/>
  <c r="I11" i="6"/>
  <c r="I76" i="6"/>
  <c r="O76" i="6"/>
  <c r="I52" i="6"/>
  <c r="O52" i="6"/>
  <c r="T52" i="6" s="1"/>
  <c r="O31" i="6"/>
  <c r="AI31" i="6" s="1"/>
  <c r="I31" i="6"/>
  <c r="O32" i="6"/>
  <c r="T32" i="6" s="1"/>
  <c r="I32" i="6"/>
  <c r="I6" i="6"/>
  <c r="O6" i="6"/>
  <c r="T6" i="6" s="1"/>
  <c r="O17" i="6"/>
  <c r="I17" i="6"/>
  <c r="O49" i="6"/>
  <c r="Y49" i="6" s="1"/>
  <c r="I49" i="6"/>
  <c r="O69" i="6"/>
  <c r="Y69" i="6" s="1"/>
  <c r="I69" i="6"/>
  <c r="O37" i="6"/>
  <c r="I37" i="6"/>
  <c r="O57" i="6"/>
  <c r="Y57" i="6" s="1"/>
  <c r="I57" i="6"/>
  <c r="I7" i="6"/>
  <c r="O7" i="6"/>
  <c r="O56" i="6"/>
  <c r="I56" i="6"/>
  <c r="I9" i="6"/>
  <c r="O9" i="6"/>
  <c r="AI9" i="6" s="1"/>
  <c r="O44" i="6"/>
  <c r="I44" i="6"/>
  <c r="I40" i="6"/>
  <c r="O40" i="6"/>
  <c r="O38" i="6"/>
  <c r="I38" i="6"/>
  <c r="I42" i="6"/>
  <c r="O42" i="6"/>
  <c r="Y42" i="6" s="1"/>
  <c r="I67" i="6"/>
  <c r="O67" i="6"/>
  <c r="T67" i="6" s="1"/>
  <c r="I75" i="6"/>
  <c r="O75" i="6"/>
  <c r="Y75" i="6" s="1"/>
  <c r="I54" i="6"/>
  <c r="O54" i="6"/>
  <c r="Y54" i="6" s="1"/>
  <c r="I68" i="6"/>
  <c r="O68" i="6"/>
  <c r="Y68" i="6" s="1"/>
  <c r="Z68" i="6" s="1"/>
  <c r="I47" i="6"/>
  <c r="O47" i="6"/>
  <c r="O66" i="6"/>
  <c r="I66" i="6"/>
  <c r="O58" i="6"/>
  <c r="I58" i="6"/>
  <c r="O26" i="6"/>
  <c r="I26" i="6"/>
  <c r="O15" i="6"/>
  <c r="Y15" i="6" s="1"/>
  <c r="I15" i="6"/>
  <c r="I39" i="6"/>
  <c r="O39" i="6"/>
  <c r="O53" i="6"/>
  <c r="I53" i="6"/>
  <c r="O30" i="6"/>
  <c r="T30" i="6" s="1"/>
  <c r="I30" i="6"/>
  <c r="I73" i="6"/>
  <c r="O73" i="6"/>
  <c r="AI73" i="6" s="1"/>
  <c r="I8" i="6"/>
  <c r="O8" i="6"/>
  <c r="Y8" i="6" s="1"/>
  <c r="I61" i="6"/>
  <c r="O61" i="6"/>
  <c r="O71" i="6"/>
  <c r="Y71" i="6" s="1"/>
  <c r="I71" i="6"/>
  <c r="O65" i="6"/>
  <c r="T65" i="6" s="1"/>
  <c r="I65" i="6"/>
  <c r="I35" i="6"/>
  <c r="O35" i="6"/>
  <c r="Y35" i="6" s="1"/>
  <c r="I21" i="6"/>
  <c r="O21" i="6"/>
  <c r="I27" i="6"/>
  <c r="O27" i="6"/>
  <c r="O36" i="6"/>
  <c r="I36" i="6"/>
  <c r="O24" i="6"/>
  <c r="I24" i="6"/>
  <c r="O46" i="6"/>
  <c r="AI46" i="6" s="1"/>
  <c r="I46" i="6"/>
  <c r="O50" i="6"/>
  <c r="Y50" i="6" s="1"/>
  <c r="I50" i="6"/>
  <c r="O45" i="6"/>
  <c r="Y45" i="6" s="1"/>
  <c r="I45" i="6"/>
  <c r="O25" i="6"/>
  <c r="Y25" i="6" s="1"/>
  <c r="I25" i="6"/>
  <c r="O70" i="6"/>
  <c r="I70" i="6"/>
  <c r="O59" i="6"/>
  <c r="I59" i="6"/>
  <c r="O13" i="6"/>
  <c r="I13" i="6"/>
  <c r="O64" i="6"/>
  <c r="I64" i="6"/>
  <c r="I14" i="6"/>
  <c r="O14" i="6"/>
  <c r="I10" i="6"/>
  <c r="O10" i="6"/>
  <c r="Y10" i="6" s="1"/>
  <c r="I19" i="6"/>
  <c r="O19" i="6"/>
  <c r="AI19" i="6" s="1"/>
  <c r="O34" i="6"/>
  <c r="I34" i="6"/>
  <c r="I62" i="6"/>
  <c r="O62" i="6"/>
  <c r="O48" i="6"/>
  <c r="I48" i="6"/>
  <c r="I28" i="6"/>
  <c r="O28" i="6"/>
  <c r="T28" i="6" s="1"/>
  <c r="O16" i="6"/>
  <c r="I16" i="6"/>
  <c r="I51" i="6"/>
  <c r="O51" i="6"/>
  <c r="O18" i="6"/>
  <c r="Y18" i="6" s="1"/>
  <c r="I18" i="6"/>
  <c r="O60" i="6"/>
  <c r="AI60" i="6" s="1"/>
  <c r="I60" i="6"/>
  <c r="I20" i="6"/>
  <c r="O20" i="6"/>
  <c r="AI20" i="6" s="1"/>
  <c r="I74" i="6"/>
  <c r="O74" i="6"/>
  <c r="Y74" i="6" s="1"/>
  <c r="O6" i="1"/>
  <c r="I6" i="1"/>
  <c r="O42" i="1"/>
  <c r="I42" i="1"/>
  <c r="O33" i="1"/>
  <c r="I33" i="1"/>
  <c r="O36" i="1"/>
  <c r="I36" i="1"/>
  <c r="I7" i="1"/>
  <c r="O7" i="1"/>
  <c r="O54" i="1"/>
  <c r="I54" i="1"/>
  <c r="O29" i="1"/>
  <c r="I29" i="1"/>
  <c r="I57" i="1"/>
  <c r="O57" i="1"/>
  <c r="O61" i="1"/>
  <c r="I61" i="1"/>
  <c r="I70" i="1"/>
  <c r="O70" i="1"/>
  <c r="O13" i="1"/>
  <c r="I13" i="1"/>
  <c r="O9" i="1"/>
  <c r="I9" i="1"/>
  <c r="I30" i="1"/>
  <c r="O30" i="1"/>
  <c r="O31" i="1"/>
  <c r="I31" i="1"/>
  <c r="O65" i="1"/>
  <c r="I65" i="1"/>
  <c r="O64" i="1"/>
  <c r="I64" i="1"/>
  <c r="O44" i="1"/>
  <c r="I44" i="1"/>
  <c r="O62" i="1"/>
  <c r="I62" i="1"/>
  <c r="O32" i="1"/>
  <c r="I32" i="1"/>
  <c r="O21" i="1"/>
  <c r="I21" i="1"/>
  <c r="O72" i="1"/>
  <c r="I72" i="1"/>
  <c r="I76" i="1"/>
  <c r="O76" i="1"/>
  <c r="O51" i="1"/>
  <c r="I51" i="1"/>
  <c r="I67" i="1"/>
  <c r="O67" i="1"/>
  <c r="I75" i="1"/>
  <c r="O75" i="1"/>
  <c r="O40" i="1"/>
  <c r="I40" i="1"/>
  <c r="O16" i="1"/>
  <c r="I16" i="1"/>
  <c r="I63" i="1"/>
  <c r="O63" i="1"/>
  <c r="I46" i="1"/>
  <c r="O46" i="1"/>
  <c r="O28" i="1"/>
  <c r="I28" i="1"/>
  <c r="O43" i="1"/>
  <c r="I43" i="1"/>
  <c r="O11" i="1"/>
  <c r="I11" i="1"/>
  <c r="O60" i="1"/>
  <c r="I60" i="1"/>
  <c r="O73" i="1"/>
  <c r="I73" i="1"/>
  <c r="O52" i="1"/>
  <c r="I52" i="1"/>
  <c r="O27" i="1"/>
  <c r="I27" i="1"/>
  <c r="I10" i="1"/>
  <c r="O10" i="1"/>
  <c r="O38" i="1"/>
  <c r="I38" i="1"/>
  <c r="O8" i="1"/>
  <c r="I8" i="1"/>
  <c r="I56" i="1"/>
  <c r="O56" i="1"/>
  <c r="O18" i="1"/>
  <c r="I18" i="1"/>
  <c r="O17" i="1"/>
  <c r="I17" i="1"/>
  <c r="I68" i="1"/>
  <c r="O68" i="1"/>
  <c r="O71" i="1"/>
  <c r="I71" i="1"/>
  <c r="O77" i="1"/>
  <c r="I77" i="1"/>
  <c r="O66" i="1"/>
  <c r="I66" i="1"/>
  <c r="I69" i="1"/>
  <c r="O69" i="1"/>
  <c r="O48" i="1"/>
  <c r="I48" i="1"/>
  <c r="O15" i="1"/>
  <c r="I15" i="1"/>
  <c r="I22" i="1"/>
  <c r="O22" i="1"/>
  <c r="O39" i="1"/>
  <c r="I39" i="1"/>
  <c r="O12" i="1"/>
  <c r="I12" i="1"/>
  <c r="I58" i="1"/>
  <c r="O58" i="1"/>
  <c r="I59" i="1"/>
  <c r="O59" i="1"/>
  <c r="O45" i="1"/>
  <c r="I45" i="1"/>
  <c r="O37" i="1"/>
  <c r="I37" i="1"/>
  <c r="O55" i="1"/>
  <c r="I55" i="1"/>
  <c r="I49" i="1"/>
  <c r="O49" i="1"/>
  <c r="O41" i="1"/>
  <c r="I41" i="1"/>
  <c r="I34" i="1"/>
  <c r="O34" i="1"/>
  <c r="O14" i="1"/>
  <c r="I14" i="1"/>
  <c r="O53" i="1"/>
  <c r="I53" i="1"/>
  <c r="O5" i="1"/>
  <c r="I5" i="1"/>
  <c r="O35" i="1"/>
  <c r="I35" i="1"/>
  <c r="O74" i="1"/>
  <c r="I74" i="1"/>
  <c r="I47" i="1"/>
  <c r="O47" i="1"/>
  <c r="I19" i="1"/>
  <c r="O19" i="1"/>
  <c r="O20" i="1"/>
  <c r="I20" i="1"/>
  <c r="I26" i="1"/>
  <c r="O26" i="1"/>
  <c r="O50" i="1"/>
  <c r="I50" i="1"/>
  <c r="I25" i="1"/>
  <c r="O25" i="1"/>
  <c r="O23" i="1"/>
  <c r="I23" i="1"/>
  <c r="I24" i="1"/>
  <c r="O24" i="1"/>
  <c r="Y73" i="6"/>
  <c r="Y67" i="6"/>
  <c r="AE5" i="1"/>
  <c r="AL5" i="1" s="1"/>
  <c r="E20" i="2"/>
  <c r="G19" i="2"/>
  <c r="Z29" i="6"/>
  <c r="T77" i="6"/>
  <c r="AI77" i="6"/>
  <c r="Z12" i="6"/>
  <c r="Y77" i="6"/>
  <c r="Z77" i="6" s="1"/>
  <c r="X5" i="6"/>
  <c r="X78" i="6" s="1"/>
  <c r="T12" i="6"/>
  <c r="AI12" i="6"/>
  <c r="AI33" i="6"/>
  <c r="T33" i="6"/>
  <c r="Y33" i="6"/>
  <c r="Z33" i="6" s="1"/>
  <c r="AI22" i="6"/>
  <c r="Y22" i="6"/>
  <c r="Z22" i="6" s="1"/>
  <c r="T22" i="6"/>
  <c r="Z70" i="1"/>
  <c r="AI29" i="6"/>
  <c r="T29" i="6"/>
  <c r="AD5" i="1"/>
  <c r="AM5" i="1" s="1"/>
  <c r="X6" i="1"/>
  <c r="Z6" i="1" s="1"/>
  <c r="AD6" i="1"/>
  <c r="AE78" i="1"/>
  <c r="U78" i="1"/>
  <c r="J78" i="1"/>
  <c r="AI67" i="6" l="1"/>
  <c r="T49" i="6"/>
  <c r="AD49" i="6" s="1"/>
  <c r="Z8" i="6"/>
  <c r="Z75" i="6"/>
  <c r="Y46" i="6"/>
  <c r="Z46" i="6" s="1"/>
  <c r="AI43" i="6"/>
  <c r="T43" i="6"/>
  <c r="Y65" i="6"/>
  <c r="Z65" i="6" s="1"/>
  <c r="AI49" i="6"/>
  <c r="AJ49" i="6" s="1"/>
  <c r="T50" i="6"/>
  <c r="AD50" i="6" s="1"/>
  <c r="Z73" i="6"/>
  <c r="Y60" i="6"/>
  <c r="Z60" i="6" s="1"/>
  <c r="Y6" i="6"/>
  <c r="Z6" i="6" s="1"/>
  <c r="Z10" i="6"/>
  <c r="Z69" i="6"/>
  <c r="T74" i="6"/>
  <c r="AD74" i="6" s="1"/>
  <c r="T73" i="6"/>
  <c r="AD73" i="6" s="1"/>
  <c r="AJ73" i="6" s="1"/>
  <c r="T60" i="6"/>
  <c r="AD60" i="6" s="1"/>
  <c r="Y32" i="6"/>
  <c r="Z32" i="6" s="1"/>
  <c r="Z35" i="6"/>
  <c r="Z49" i="6"/>
  <c r="AM49" i="6" s="1"/>
  <c r="AI74" i="6"/>
  <c r="AI32" i="6"/>
  <c r="AI57" i="6"/>
  <c r="T45" i="6"/>
  <c r="AD45" i="6" s="1"/>
  <c r="T57" i="6"/>
  <c r="AD57" i="6" s="1"/>
  <c r="T8" i="6"/>
  <c r="AD8" i="6" s="1"/>
  <c r="AM8" i="6" s="1"/>
  <c r="Z71" i="6"/>
  <c r="Z57" i="6"/>
  <c r="Z15" i="6"/>
  <c r="Y9" i="6"/>
  <c r="Z9" i="6" s="1"/>
  <c r="Z45" i="6"/>
  <c r="T9" i="6"/>
  <c r="AD9" i="6" s="1"/>
  <c r="AI6" i="6"/>
  <c r="AI8" i="6"/>
  <c r="Y28" i="6"/>
  <c r="Z28" i="6" s="1"/>
  <c r="AI10" i="6"/>
  <c r="T69" i="6"/>
  <c r="AD69" i="6" s="1"/>
  <c r="AI69" i="6"/>
  <c r="Z18" i="6"/>
  <c r="T68" i="6"/>
  <c r="AD68" i="6" s="1"/>
  <c r="AM68" i="6" s="1"/>
  <c r="T46" i="6"/>
  <c r="AD46" i="6" s="1"/>
  <c r="AI45" i="6"/>
  <c r="AI68" i="6"/>
  <c r="AO5" i="1"/>
  <c r="AI75" i="6"/>
  <c r="T75" i="6"/>
  <c r="AD75" i="6" s="1"/>
  <c r="AM75" i="6" s="1"/>
  <c r="AI65" i="6"/>
  <c r="T10" i="6"/>
  <c r="AD10" i="6" s="1"/>
  <c r="Y52" i="6"/>
  <c r="Z52" i="6" s="1"/>
  <c r="Y31" i="6"/>
  <c r="Z31" i="6" s="1"/>
  <c r="Y30" i="6"/>
  <c r="Z30" i="6" s="1"/>
  <c r="AI52" i="6"/>
  <c r="AI28" i="6"/>
  <c r="AI30" i="6"/>
  <c r="T20" i="6"/>
  <c r="AD20" i="6" s="1"/>
  <c r="AM20" i="6" s="1"/>
  <c r="T25" i="6"/>
  <c r="AD25" i="6" s="1"/>
  <c r="Z25" i="6"/>
  <c r="Z74" i="6"/>
  <c r="Z42" i="6"/>
  <c r="Z50" i="6"/>
  <c r="Z54" i="6"/>
  <c r="Z67" i="6"/>
  <c r="AI18" i="6"/>
  <c r="T54" i="6"/>
  <c r="AD54" i="6" s="1"/>
  <c r="AI50" i="6"/>
  <c r="T35" i="6"/>
  <c r="AD35" i="6" s="1"/>
  <c r="AI71" i="6"/>
  <c r="T18" i="6"/>
  <c r="AD18" i="6" s="1"/>
  <c r="AI35" i="6"/>
  <c r="Y20" i="6"/>
  <c r="Z20" i="6" s="1"/>
  <c r="T31" i="6"/>
  <c r="AD31" i="6" s="1"/>
  <c r="T15" i="6"/>
  <c r="AD15" i="6" s="1"/>
  <c r="AI15" i="6"/>
  <c r="AI25" i="6"/>
  <c r="T71" i="6"/>
  <c r="AD71" i="6" s="1"/>
  <c r="T19" i="6"/>
  <c r="AD19" i="6" s="1"/>
  <c r="AM19" i="6" s="1"/>
  <c r="T41" i="6"/>
  <c r="AD41" i="6" s="1"/>
  <c r="Y19" i="6"/>
  <c r="Z19" i="6" s="1"/>
  <c r="AJ5" i="1"/>
  <c r="E21" i="2"/>
  <c r="G20" i="2"/>
  <c r="Y41" i="6"/>
  <c r="Z41" i="6" s="1"/>
  <c r="T42" i="6"/>
  <c r="AD42" i="6" s="1"/>
  <c r="AN5" i="1"/>
  <c r="AI42" i="6"/>
  <c r="T76" i="6"/>
  <c r="AI76" i="6"/>
  <c r="Y76" i="6"/>
  <c r="Z76" i="6" s="1"/>
  <c r="AI56" i="6"/>
  <c r="T56" i="6"/>
  <c r="Y56" i="6"/>
  <c r="Z56" i="6" s="1"/>
  <c r="AI34" i="6"/>
  <c r="T34" i="6"/>
  <c r="Y34" i="6"/>
  <c r="Z34" i="6" s="1"/>
  <c r="AD30" i="6"/>
  <c r="T38" i="6"/>
  <c r="AI38" i="6"/>
  <c r="Y38" i="6"/>
  <c r="Z38" i="6" s="1"/>
  <c r="AI48" i="6"/>
  <c r="T48" i="6"/>
  <c r="Y48" i="6"/>
  <c r="Z48" i="6" s="1"/>
  <c r="T53" i="6"/>
  <c r="AI53" i="6"/>
  <c r="Y53" i="6"/>
  <c r="Z53" i="6" s="1"/>
  <c r="AI55" i="6"/>
  <c r="T55" i="6"/>
  <c r="Y55" i="6"/>
  <c r="Z55" i="6" s="1"/>
  <c r="T26" i="6"/>
  <c r="AI26" i="6"/>
  <c r="Y26" i="6"/>
  <c r="Z26" i="6" s="1"/>
  <c r="T66" i="6"/>
  <c r="AI66" i="6"/>
  <c r="Y66" i="6"/>
  <c r="Z66" i="6" s="1"/>
  <c r="AI24" i="6"/>
  <c r="T24" i="6"/>
  <c r="Y24" i="6"/>
  <c r="Z24" i="6" s="1"/>
  <c r="T72" i="6"/>
  <c r="AI72" i="6"/>
  <c r="Y72" i="6"/>
  <c r="Z72" i="6" s="1"/>
  <c r="AD22" i="6"/>
  <c r="AM22" i="6" s="1"/>
  <c r="T27" i="6"/>
  <c r="AI27" i="6"/>
  <c r="Y27" i="6"/>
  <c r="Z27" i="6" s="1"/>
  <c r="AI17" i="6"/>
  <c r="T17" i="6"/>
  <c r="Y17" i="6"/>
  <c r="Z17" i="6" s="1"/>
  <c r="AD43" i="6"/>
  <c r="AM43" i="6" s="1"/>
  <c r="AI7" i="6"/>
  <c r="T7" i="6"/>
  <c r="Y7" i="6"/>
  <c r="Z7" i="6" s="1"/>
  <c r="T14" i="6"/>
  <c r="AI14" i="6"/>
  <c r="Y14" i="6"/>
  <c r="Z14" i="6" s="1"/>
  <c r="AI5" i="6"/>
  <c r="T5" i="6"/>
  <c r="Y5" i="6"/>
  <c r="AI23" i="6"/>
  <c r="T23" i="6"/>
  <c r="Y23" i="6"/>
  <c r="Z23" i="6" s="1"/>
  <c r="AI59" i="6"/>
  <c r="T59" i="6"/>
  <c r="Y59" i="6"/>
  <c r="Z59" i="6" s="1"/>
  <c r="T37" i="6"/>
  <c r="AI37" i="6"/>
  <c r="Y37" i="6"/>
  <c r="Z37" i="6" s="1"/>
  <c r="T11" i="6"/>
  <c r="AI11" i="6"/>
  <c r="Y11" i="6"/>
  <c r="Z11" i="6" s="1"/>
  <c r="T63" i="6"/>
  <c r="AI63" i="6"/>
  <c r="Y63" i="6"/>
  <c r="Z63" i="6" s="1"/>
  <c r="AD33" i="6"/>
  <c r="AM33" i="6" s="1"/>
  <c r="AD6" i="6"/>
  <c r="AI44" i="6"/>
  <c r="T44" i="6"/>
  <c r="Y44" i="6"/>
  <c r="Z44" i="6" s="1"/>
  <c r="AD28" i="6"/>
  <c r="AI70" i="6"/>
  <c r="T70" i="6"/>
  <c r="Y70" i="6"/>
  <c r="Z70" i="6" s="1"/>
  <c r="T61" i="6"/>
  <c r="AI61" i="6"/>
  <c r="Y61" i="6"/>
  <c r="Z61" i="6" s="1"/>
  <c r="AI47" i="6"/>
  <c r="T47" i="6"/>
  <c r="Y47" i="6"/>
  <c r="Z47" i="6" s="1"/>
  <c r="T13" i="6"/>
  <c r="AI13" i="6"/>
  <c r="Y13" i="6"/>
  <c r="Z13" i="6" s="1"/>
  <c r="AD65" i="6"/>
  <c r="AI58" i="6"/>
  <c r="T58" i="6"/>
  <c r="Y58" i="6"/>
  <c r="Z58" i="6" s="1"/>
  <c r="T21" i="6"/>
  <c r="AI21" i="6"/>
  <c r="Y21" i="6"/>
  <c r="Z21" i="6" s="1"/>
  <c r="T51" i="6"/>
  <c r="AI51" i="6"/>
  <c r="Y51" i="6"/>
  <c r="Z51" i="6" s="1"/>
  <c r="AI64" i="6"/>
  <c r="T64" i="6"/>
  <c r="Y64" i="6"/>
  <c r="Z64" i="6" s="1"/>
  <c r="AD52" i="6"/>
  <c r="T40" i="6"/>
  <c r="AI40" i="6"/>
  <c r="Y40" i="6"/>
  <c r="Z40" i="6" s="1"/>
  <c r="AI36" i="6"/>
  <c r="T36" i="6"/>
  <c r="Y36" i="6"/>
  <c r="Z36" i="6" s="1"/>
  <c r="T62" i="6"/>
  <c r="AI62" i="6"/>
  <c r="Y62" i="6"/>
  <c r="Z62" i="6" s="1"/>
  <c r="AI16" i="6"/>
  <c r="T16" i="6"/>
  <c r="Y16" i="6"/>
  <c r="Z16" i="6" s="1"/>
  <c r="AD32" i="6"/>
  <c r="AD29" i="6"/>
  <c r="AM29" i="6" s="1"/>
  <c r="AD67" i="6"/>
  <c r="AJ67" i="6" s="1"/>
  <c r="AD12" i="6"/>
  <c r="AM12" i="6" s="1"/>
  <c r="AD77" i="6"/>
  <c r="AM77" i="6" s="1"/>
  <c r="T39" i="6"/>
  <c r="AI39" i="6"/>
  <c r="Y39" i="6"/>
  <c r="Z39" i="6" s="1"/>
  <c r="AK5" i="1"/>
  <c r="AJ17" i="1"/>
  <c r="AJ32" i="1"/>
  <c r="AJ35" i="1"/>
  <c r="AJ41" i="1"/>
  <c r="AJ44" i="1"/>
  <c r="AJ47" i="1"/>
  <c r="AJ52" i="1"/>
  <c r="AJ54" i="1"/>
  <c r="AJ60" i="1"/>
  <c r="AJ71" i="1"/>
  <c r="AJ77" i="1"/>
  <c r="AJ6" i="1"/>
  <c r="AJ9" i="1"/>
  <c r="AJ18" i="1"/>
  <c r="AM21" i="1"/>
  <c r="AJ24" i="1"/>
  <c r="AJ27" i="1"/>
  <c r="AJ33" i="1"/>
  <c r="AM36" i="1"/>
  <c r="AJ39" i="1"/>
  <c r="AJ42" i="1"/>
  <c r="AJ51" i="1"/>
  <c r="AJ55" i="1"/>
  <c r="AJ61" i="1"/>
  <c r="AJ63" i="1"/>
  <c r="AJ66" i="1"/>
  <c r="AJ13" i="1"/>
  <c r="AJ16" i="1"/>
  <c r="AM22" i="1"/>
  <c r="AJ25" i="1"/>
  <c r="AJ28" i="1"/>
  <c r="AJ31" i="1"/>
  <c r="AM46" i="1"/>
  <c r="AJ56" i="1"/>
  <c r="AJ59" i="1"/>
  <c r="AJ64" i="1"/>
  <c r="AJ73" i="1"/>
  <c r="AJ76" i="1"/>
  <c r="AJ11" i="1"/>
  <c r="AJ26" i="1"/>
  <c r="AJ38" i="1"/>
  <c r="AJ50" i="1"/>
  <c r="AJ57" i="1"/>
  <c r="AJ65" i="1"/>
  <c r="AJ74" i="1"/>
  <c r="AJ30" i="1"/>
  <c r="AJ48" i="1"/>
  <c r="AJ8" i="1"/>
  <c r="AM11" i="1"/>
  <c r="AM62" i="1"/>
  <c r="AM41" i="1"/>
  <c r="AM8" i="1"/>
  <c r="AM25" i="1"/>
  <c r="AM67" i="1"/>
  <c r="AJ70" i="1"/>
  <c r="AN22" i="1"/>
  <c r="AM14" i="1"/>
  <c r="X78" i="1"/>
  <c r="AJ29" i="1"/>
  <c r="AE52" i="1"/>
  <c r="AJ22" i="1"/>
  <c r="Y78" i="1"/>
  <c r="AJ43" i="1"/>
  <c r="AJ36" i="1"/>
  <c r="AJ14" i="1"/>
  <c r="AJ62" i="1"/>
  <c r="AJ67" i="1"/>
  <c r="AI78" i="1"/>
  <c r="AJ68" i="1"/>
  <c r="AM46" i="6" l="1"/>
  <c r="AM60" i="6"/>
  <c r="AM10" i="6"/>
  <c r="AM6" i="6"/>
  <c r="AM25" i="6"/>
  <c r="AM35" i="6"/>
  <c r="AM28" i="6"/>
  <c r="AJ69" i="6"/>
  <c r="AM9" i="6"/>
  <c r="AM18" i="6"/>
  <c r="AM57" i="6"/>
  <c r="AM15" i="6"/>
  <c r="AM50" i="6"/>
  <c r="AM74" i="6"/>
  <c r="AM30" i="6"/>
  <c r="AM31" i="6"/>
  <c r="AM52" i="6"/>
  <c r="AM42" i="6"/>
  <c r="AM65" i="6"/>
  <c r="AM54" i="6"/>
  <c r="AC78" i="6"/>
  <c r="AB78" i="6"/>
  <c r="AA78" i="6"/>
  <c r="AL78" i="1"/>
  <c r="E22" i="2"/>
  <c r="G21" i="2"/>
  <c r="AJ77" i="6"/>
  <c r="AJ68" i="6"/>
  <c r="AM41" i="6"/>
  <c r="AJ8" i="6"/>
  <c r="AJ20" i="6"/>
  <c r="AJ74" i="6"/>
  <c r="AJ30" i="6"/>
  <c r="AJ29" i="6"/>
  <c r="AJ54" i="6"/>
  <c r="AJ9" i="6"/>
  <c r="AD16" i="6"/>
  <c r="AM16" i="6" s="1"/>
  <c r="AJ6" i="6"/>
  <c r="AD66" i="6"/>
  <c r="AM66" i="6" s="1"/>
  <c r="AD38" i="6"/>
  <c r="AM38" i="6" s="1"/>
  <c r="AM32" i="6"/>
  <c r="AD40" i="6"/>
  <c r="AD55" i="6"/>
  <c r="AD21" i="6"/>
  <c r="AM21" i="6" s="1"/>
  <c r="AD59" i="6"/>
  <c r="AM59" i="6" s="1"/>
  <c r="AJ71" i="6"/>
  <c r="AM71" i="6"/>
  <c r="AD7" i="6"/>
  <c r="AM7" i="6" s="1"/>
  <c r="AD17" i="6"/>
  <c r="AM17" i="6" s="1"/>
  <c r="AJ32" i="6"/>
  <c r="AJ10" i="6"/>
  <c r="AD11" i="6"/>
  <c r="AJ22" i="6"/>
  <c r="AD26" i="6"/>
  <c r="AM26" i="6" s="1"/>
  <c r="AD56" i="6"/>
  <c r="AM56" i="6" s="1"/>
  <c r="AD13" i="6"/>
  <c r="AM13" i="6" s="1"/>
  <c r="AM69" i="6"/>
  <c r="AD58" i="6"/>
  <c r="AM58" i="6" s="1"/>
  <c r="AJ52" i="6"/>
  <c r="AJ18" i="6"/>
  <c r="AD23" i="6"/>
  <c r="AM23" i="6" s="1"/>
  <c r="AJ50" i="6"/>
  <c r="AJ31" i="6"/>
  <c r="AD39" i="6"/>
  <c r="AM39" i="6" s="1"/>
  <c r="AJ19" i="6"/>
  <c r="AD62" i="6"/>
  <c r="AM62" i="6" s="1"/>
  <c r="AD14" i="6"/>
  <c r="AM14" i="6" s="1"/>
  <c r="AJ46" i="6"/>
  <c r="AD72" i="6"/>
  <c r="AM72" i="6" s="1"/>
  <c r="AM73" i="6"/>
  <c r="AJ35" i="6"/>
  <c r="AD64" i="6"/>
  <c r="AM64" i="6" s="1"/>
  <c r="AJ28" i="6"/>
  <c r="AJ65" i="6"/>
  <c r="AD44" i="6"/>
  <c r="AM44" i="6" s="1"/>
  <c r="Z5" i="6"/>
  <c r="Y78" i="6"/>
  <c r="AJ15" i="6"/>
  <c r="AD48" i="6"/>
  <c r="AM48" i="6" s="1"/>
  <c r="AD76" i="6"/>
  <c r="AM76" i="6" s="1"/>
  <c r="AD36" i="6"/>
  <c r="AJ75" i="6"/>
  <c r="T78" i="6"/>
  <c r="AD5" i="6"/>
  <c r="AJ5" i="6" s="1"/>
  <c r="AD24" i="6"/>
  <c r="AM24" i="6" s="1"/>
  <c r="AJ25" i="6"/>
  <c r="AM67" i="6"/>
  <c r="AJ12" i="6"/>
  <c r="AD61" i="6"/>
  <c r="AM61" i="6" s="1"/>
  <c r="AJ33" i="6"/>
  <c r="AD63" i="6"/>
  <c r="AM63" i="6" s="1"/>
  <c r="AD37" i="6"/>
  <c r="AM37" i="6" s="1"/>
  <c r="AI78" i="6"/>
  <c r="AJ41" i="6"/>
  <c r="AN19" i="6"/>
  <c r="AD47" i="6"/>
  <c r="AM47" i="6" s="1"/>
  <c r="AJ45" i="6"/>
  <c r="AM45" i="6"/>
  <c r="AJ57" i="6"/>
  <c r="AD34" i="6"/>
  <c r="AM34" i="6" s="1"/>
  <c r="AJ60" i="6"/>
  <c r="AJ42" i="6"/>
  <c r="AD51" i="6"/>
  <c r="AM51" i="6" s="1"/>
  <c r="AD70" i="6"/>
  <c r="AM70" i="6" s="1"/>
  <c r="AJ43" i="6"/>
  <c r="AN22" i="6"/>
  <c r="AD27" i="6"/>
  <c r="AM27" i="6" s="1"/>
  <c r="AN20" i="6"/>
  <c r="AD53" i="6"/>
  <c r="AM53" i="6" s="1"/>
  <c r="AM7" i="1"/>
  <c r="AM17" i="1"/>
  <c r="AN21" i="1"/>
  <c r="AM66" i="1"/>
  <c r="AM55" i="1"/>
  <c r="AE51" i="1"/>
  <c r="AM63" i="1"/>
  <c r="AM61" i="1"/>
  <c r="AM50" i="1"/>
  <c r="AM44" i="1"/>
  <c r="AE16" i="1"/>
  <c r="AM27" i="1"/>
  <c r="AM13" i="1"/>
  <c r="AM28" i="1"/>
  <c r="AJ7" i="1"/>
  <c r="AM60" i="1"/>
  <c r="AM65" i="1"/>
  <c r="AE73" i="1"/>
  <c r="AE34" i="1"/>
  <c r="AE66" i="1"/>
  <c r="AE32" i="1"/>
  <c r="AE26" i="1"/>
  <c r="AM73" i="1"/>
  <c r="AM35" i="1"/>
  <c r="AJ46" i="1"/>
  <c r="AM33" i="1"/>
  <c r="AM70" i="1"/>
  <c r="AE63" i="1"/>
  <c r="AE29" i="1"/>
  <c r="AE37" i="1"/>
  <c r="AM74" i="1"/>
  <c r="AE6" i="1"/>
  <c r="AE69" i="1"/>
  <c r="AE30" i="1"/>
  <c r="AE45" i="1"/>
  <c r="AE76" i="1"/>
  <c r="AE38" i="1"/>
  <c r="AE77" i="1"/>
  <c r="AM9" i="1"/>
  <c r="AM57" i="1"/>
  <c r="AE12" i="1"/>
  <c r="AE59" i="1"/>
  <c r="AJ40" i="1"/>
  <c r="AM40" i="1"/>
  <c r="AJ34" i="1"/>
  <c r="AM34" i="1"/>
  <c r="AM48" i="1"/>
  <c r="AE27" i="1"/>
  <c r="AE72" i="1"/>
  <c r="AE22" i="1"/>
  <c r="AE40" i="1"/>
  <c r="AE48" i="1"/>
  <c r="AE8" i="1"/>
  <c r="AE35" i="1"/>
  <c r="AE60" i="1"/>
  <c r="AE9" i="1"/>
  <c r="AE43" i="1"/>
  <c r="AE50" i="1"/>
  <c r="AE75" i="1"/>
  <c r="AE15" i="1"/>
  <c r="AE33" i="1"/>
  <c r="AE25" i="1"/>
  <c r="AE64" i="1"/>
  <c r="AE14" i="1"/>
  <c r="AE41" i="1"/>
  <c r="AE62" i="1"/>
  <c r="AE55" i="1"/>
  <c r="AE7" i="1"/>
  <c r="AE46" i="1"/>
  <c r="AE57" i="1"/>
  <c r="AE18" i="1"/>
  <c r="AE36" i="1"/>
  <c r="AE58" i="1"/>
  <c r="AE10" i="1"/>
  <c r="AE49" i="1"/>
  <c r="AE67" i="1"/>
  <c r="AE17" i="1"/>
  <c r="AE44" i="1"/>
  <c r="AE68" i="1"/>
  <c r="AE28" i="1"/>
  <c r="AE65" i="1"/>
  <c r="AE20" i="1"/>
  <c r="AE21" i="1"/>
  <c r="AE39" i="1"/>
  <c r="AE61" i="1"/>
  <c r="AE13" i="1"/>
  <c r="AE53" i="1"/>
  <c r="AE70" i="1"/>
  <c r="AE11" i="1"/>
  <c r="AE47" i="1"/>
  <c r="AE71" i="1"/>
  <c r="AE31" i="1"/>
  <c r="AE23" i="1"/>
  <c r="AE74" i="1"/>
  <c r="AE42" i="1"/>
  <c r="AE19" i="1"/>
  <c r="AE24" i="1"/>
  <c r="AM38" i="1"/>
  <c r="AE56" i="1"/>
  <c r="AM19" i="1"/>
  <c r="AJ19" i="1"/>
  <c r="AE54" i="1"/>
  <c r="AM77" i="1"/>
  <c r="AM59" i="1"/>
  <c r="AM54" i="1"/>
  <c r="AM51" i="1"/>
  <c r="AM56" i="1"/>
  <c r="AM26" i="1"/>
  <c r="AM32" i="1"/>
  <c r="AM39" i="1"/>
  <c r="AM31" i="1"/>
  <c r="AM71" i="1"/>
  <c r="AM76" i="1"/>
  <c r="AM42" i="1"/>
  <c r="AJ21" i="1"/>
  <c r="AM24" i="1"/>
  <c r="AM52" i="1"/>
  <c r="AM16" i="1"/>
  <c r="AM29" i="1"/>
  <c r="AM6" i="1"/>
  <c r="AN19" i="1"/>
  <c r="AM49" i="1"/>
  <c r="AM72" i="1"/>
  <c r="AM12" i="1"/>
  <c r="AJ49" i="1"/>
  <c r="AM23" i="1"/>
  <c r="AJ23" i="1"/>
  <c r="AJ12" i="1"/>
  <c r="AM75" i="1"/>
  <c r="AJ75" i="1"/>
  <c r="AM53" i="1"/>
  <c r="AJ37" i="1"/>
  <c r="AM37" i="1"/>
  <c r="AM47" i="1"/>
  <c r="AM20" i="1"/>
  <c r="AJ20" i="1"/>
  <c r="AK52" i="1"/>
  <c r="AM64" i="1"/>
  <c r="AM30" i="1"/>
  <c r="Z78" i="1"/>
  <c r="AO78" i="1" s="1"/>
  <c r="AJ45" i="1"/>
  <c r="AM45" i="1"/>
  <c r="AN20" i="1"/>
  <c r="AD78" i="1"/>
  <c r="AJ78" i="1" s="1"/>
  <c r="AJ72" i="1"/>
  <c r="AJ10" i="1"/>
  <c r="AM10" i="1"/>
  <c r="AJ53" i="1"/>
  <c r="AM68" i="1"/>
  <c r="AM58" i="1"/>
  <c r="AJ58" i="1"/>
  <c r="AM43" i="1"/>
  <c r="AM69" i="1"/>
  <c r="AJ69" i="1"/>
  <c r="AN52" i="1"/>
  <c r="AM18" i="1"/>
  <c r="AM15" i="1"/>
  <c r="AJ15" i="1"/>
  <c r="AE38" i="6" l="1"/>
  <c r="AL38" i="6" s="1"/>
  <c r="T79" i="1"/>
  <c r="AJ76" i="6"/>
  <c r="AL57" i="1"/>
  <c r="AO57" i="1"/>
  <c r="AL38" i="1"/>
  <c r="AO38" i="1"/>
  <c r="AL27" i="1"/>
  <c r="AO27" i="1"/>
  <c r="AL54" i="1"/>
  <c r="AO54" i="1"/>
  <c r="AL47" i="1"/>
  <c r="AO47" i="1"/>
  <c r="AL28" i="1"/>
  <c r="AO28" i="1"/>
  <c r="AL7" i="1"/>
  <c r="AO7" i="1"/>
  <c r="AL16" i="1"/>
  <c r="AO16" i="1"/>
  <c r="AL11" i="1"/>
  <c r="AO11" i="1"/>
  <c r="AL55" i="1"/>
  <c r="AO55" i="1"/>
  <c r="AL9" i="1"/>
  <c r="AO9" i="1"/>
  <c r="AL26" i="1"/>
  <c r="AO26" i="1"/>
  <c r="AL56" i="1"/>
  <c r="AO56" i="1"/>
  <c r="AL17" i="1"/>
  <c r="AO17" i="1"/>
  <c r="AL62" i="1"/>
  <c r="AO62" i="1"/>
  <c r="AL60" i="1"/>
  <c r="AO60" i="1"/>
  <c r="AL6" i="1"/>
  <c r="AO6" i="1"/>
  <c r="AL32" i="1"/>
  <c r="AO32" i="1"/>
  <c r="AL41" i="1"/>
  <c r="AO41" i="1"/>
  <c r="AL35" i="1"/>
  <c r="AO35" i="1"/>
  <c r="AL66" i="1"/>
  <c r="AO66" i="1"/>
  <c r="AL13" i="1"/>
  <c r="AO13" i="1"/>
  <c r="AL49" i="1"/>
  <c r="AO49" i="1"/>
  <c r="AL14" i="1"/>
  <c r="AO14" i="1"/>
  <c r="AL8" i="1"/>
  <c r="AO8" i="1"/>
  <c r="AL59" i="1"/>
  <c r="AO59" i="1"/>
  <c r="AL34" i="1"/>
  <c r="AO34" i="1"/>
  <c r="AL19" i="1"/>
  <c r="AO19" i="1"/>
  <c r="I6" i="5" s="1"/>
  <c r="AL61" i="1"/>
  <c r="AO61" i="1"/>
  <c r="AL10" i="1"/>
  <c r="AO10" i="1"/>
  <c r="AL48" i="1"/>
  <c r="AO48" i="1"/>
  <c r="AL12" i="1"/>
  <c r="AO12" i="1"/>
  <c r="AL37" i="1"/>
  <c r="AO37" i="1"/>
  <c r="AL42" i="1"/>
  <c r="AO42" i="1"/>
  <c r="AL39" i="1"/>
  <c r="AO39" i="1"/>
  <c r="AL58" i="1"/>
  <c r="AO58" i="1"/>
  <c r="AO21" i="1"/>
  <c r="AL21" i="1"/>
  <c r="AL36" i="1"/>
  <c r="AO36" i="1"/>
  <c r="AL33" i="1"/>
  <c r="AO33" i="1"/>
  <c r="AL40" i="1"/>
  <c r="AO40" i="1"/>
  <c r="AL20" i="1"/>
  <c r="AO20" i="1"/>
  <c r="AL18" i="1"/>
  <c r="AO18" i="1"/>
  <c r="AL15" i="1"/>
  <c r="AO15" i="1"/>
  <c r="AL22" i="1"/>
  <c r="G7" i="5" s="1"/>
  <c r="AO22" i="1"/>
  <c r="I7" i="5" s="1"/>
  <c r="AL50" i="1"/>
  <c r="AO50" i="1"/>
  <c r="AL78" i="6"/>
  <c r="E23" i="2"/>
  <c r="G22" i="2"/>
  <c r="AK33" i="1"/>
  <c r="AK47" i="1"/>
  <c r="AK43" i="1"/>
  <c r="AN68" i="1"/>
  <c r="AK16" i="1"/>
  <c r="AN39" i="1"/>
  <c r="AK23" i="1"/>
  <c r="AK75" i="1"/>
  <c r="AN45" i="1"/>
  <c r="AK44" i="1"/>
  <c r="AK55" i="1"/>
  <c r="AK37" i="1"/>
  <c r="AK51" i="1"/>
  <c r="AK70" i="1"/>
  <c r="AK62" i="1"/>
  <c r="AN12" i="1"/>
  <c r="AN72" i="1"/>
  <c r="AN28" i="1"/>
  <c r="AN66" i="1"/>
  <c r="AK24" i="1"/>
  <c r="AK49" i="1"/>
  <c r="AN8" i="1"/>
  <c r="AJ27" i="6"/>
  <c r="AJ13" i="6"/>
  <c r="AJ16" i="6"/>
  <c r="AJ24" i="6"/>
  <c r="AJ44" i="6"/>
  <c r="AJ38" i="6"/>
  <c r="AJ37" i="6"/>
  <c r="AJ59" i="6"/>
  <c r="AJ61" i="6"/>
  <c r="AJ39" i="6"/>
  <c r="AJ56" i="6"/>
  <c r="AE37" i="6"/>
  <c r="AE11" i="6"/>
  <c r="AE21" i="6"/>
  <c r="AE34" i="6"/>
  <c r="AE26" i="6"/>
  <c r="AE40" i="6"/>
  <c r="AE63" i="6"/>
  <c r="AJ48" i="6"/>
  <c r="AE64" i="6"/>
  <c r="AE72" i="6"/>
  <c r="AN72" i="6" s="1"/>
  <c r="AE17" i="6"/>
  <c r="AJ55" i="6"/>
  <c r="AM55" i="6"/>
  <c r="AE53" i="6"/>
  <c r="AE70" i="6"/>
  <c r="AE47" i="6"/>
  <c r="AJ64" i="6"/>
  <c r="Z78" i="6"/>
  <c r="AO78" i="6" s="1"/>
  <c r="AE58" i="6"/>
  <c r="AO58" i="6" s="1"/>
  <c r="AE55" i="6"/>
  <c r="AJ53" i="6"/>
  <c r="AJ58" i="6"/>
  <c r="AJ17" i="6"/>
  <c r="AE7" i="6"/>
  <c r="AJ47" i="6"/>
  <c r="AE61" i="6"/>
  <c r="AJ36" i="6"/>
  <c r="AM36" i="6"/>
  <c r="AE14" i="6"/>
  <c r="AJ72" i="6"/>
  <c r="AJ51" i="6"/>
  <c r="AE36" i="6"/>
  <c r="AJ14" i="6"/>
  <c r="AJ62" i="6"/>
  <c r="AJ7" i="6"/>
  <c r="AJ70" i="6"/>
  <c r="AJ66" i="6"/>
  <c r="AE51" i="6"/>
  <c r="AJ63" i="6"/>
  <c r="AE44" i="6"/>
  <c r="AE62" i="6"/>
  <c r="AE13" i="6"/>
  <c r="AN13" i="6" s="1"/>
  <c r="AN21" i="6"/>
  <c r="AE24" i="6"/>
  <c r="AE76" i="6"/>
  <c r="AJ23" i="6"/>
  <c r="AE59" i="6"/>
  <c r="AE49" i="6"/>
  <c r="AE22" i="6"/>
  <c r="AE45" i="6"/>
  <c r="AE54" i="6"/>
  <c r="AE9" i="6"/>
  <c r="AE57" i="6"/>
  <c r="AE8" i="6"/>
  <c r="AE43" i="6"/>
  <c r="AE67" i="6"/>
  <c r="AE77" i="6"/>
  <c r="AE73" i="6"/>
  <c r="AE20" i="6"/>
  <c r="AE33" i="6"/>
  <c r="AE15" i="6"/>
  <c r="AE46" i="6"/>
  <c r="AE69" i="6"/>
  <c r="AE41" i="6"/>
  <c r="AE68" i="6"/>
  <c r="AE52" i="6"/>
  <c r="AE35" i="6"/>
  <c r="AE75" i="6"/>
  <c r="AE74" i="6"/>
  <c r="AE42" i="6"/>
  <c r="AE50" i="6"/>
  <c r="AE71" i="6"/>
  <c r="AE60" i="6"/>
  <c r="AE12" i="6"/>
  <c r="AE28" i="6"/>
  <c r="AE18" i="6"/>
  <c r="AE10" i="6"/>
  <c r="AE32" i="6"/>
  <c r="AE25" i="6"/>
  <c r="AE6" i="6"/>
  <c r="AE65" i="6"/>
  <c r="AE31" i="6"/>
  <c r="AE19" i="6"/>
  <c r="AE30" i="6"/>
  <c r="AE29" i="6"/>
  <c r="AJ40" i="6"/>
  <c r="AM40" i="6"/>
  <c r="AE27" i="6"/>
  <c r="AM5" i="6"/>
  <c r="AD78" i="6"/>
  <c r="AJ78" i="6" s="1"/>
  <c r="AE5" i="6"/>
  <c r="AL5" i="6" s="1"/>
  <c r="AE48" i="6"/>
  <c r="AE23" i="6"/>
  <c r="AJ26" i="6"/>
  <c r="AJ34" i="6"/>
  <c r="AE39" i="6"/>
  <c r="AE56" i="6"/>
  <c r="AJ11" i="6"/>
  <c r="AM11" i="6"/>
  <c r="AJ21" i="6"/>
  <c r="AE66" i="6"/>
  <c r="AE16" i="6"/>
  <c r="AK28" i="1"/>
  <c r="AK53" i="1"/>
  <c r="AN53" i="1"/>
  <c r="AN69" i="1"/>
  <c r="AK12" i="1"/>
  <c r="AN44" i="1"/>
  <c r="AK69" i="1"/>
  <c r="AN23" i="1"/>
  <c r="AN24" i="1"/>
  <c r="AN70" i="1"/>
  <c r="AK15" i="1"/>
  <c r="AN62" i="1"/>
  <c r="AN16" i="1"/>
  <c r="AK74" i="1"/>
  <c r="AN74" i="1"/>
  <c r="AN33" i="1"/>
  <c r="AN15" i="1"/>
  <c r="AN73" i="1"/>
  <c r="AK8" i="1"/>
  <c r="AK20" i="1"/>
  <c r="AK10" i="1"/>
  <c r="AK27" i="1"/>
  <c r="AN27" i="1"/>
  <c r="AK73" i="1"/>
  <c r="AK64" i="1"/>
  <c r="AK45" i="1"/>
  <c r="AK72" i="1"/>
  <c r="AN43" i="1"/>
  <c r="AN64" i="1"/>
  <c r="AN10" i="1"/>
  <c r="AK66" i="1"/>
  <c r="AN47" i="1"/>
  <c r="AN49" i="1"/>
  <c r="AK29" i="1"/>
  <c r="AN29" i="1"/>
  <c r="AK58" i="1"/>
  <c r="AN58" i="1"/>
  <c r="AN51" i="1"/>
  <c r="AN55" i="1"/>
  <c r="AN37" i="1"/>
  <c r="AK59" i="1"/>
  <c r="AN59" i="1"/>
  <c r="AN75" i="1"/>
  <c r="AK41" i="1"/>
  <c r="AN41" i="1"/>
  <c r="AK60" i="1"/>
  <c r="AN60" i="1"/>
  <c r="AK61" i="1"/>
  <c r="AK32" i="1"/>
  <c r="AN32" i="1"/>
  <c r="AK57" i="1"/>
  <c r="AN57" i="1"/>
  <c r="AK22" i="1"/>
  <c r="AK77" i="1"/>
  <c r="AN77" i="1"/>
  <c r="AK68" i="1"/>
  <c r="AM78" i="1"/>
  <c r="AK78" i="1"/>
  <c r="AN78" i="1"/>
  <c r="AK6" i="1"/>
  <c r="AN6" i="1"/>
  <c r="AK7" i="1"/>
  <c r="AN7" i="1"/>
  <c r="AK71" i="1"/>
  <c r="AN71" i="1"/>
  <c r="AK34" i="1"/>
  <c r="AN34" i="1"/>
  <c r="AK30" i="1"/>
  <c r="AK18" i="1"/>
  <c r="AK19" i="1"/>
  <c r="AK35" i="1"/>
  <c r="AK48" i="1"/>
  <c r="AN48" i="1"/>
  <c r="AK63" i="1"/>
  <c r="AN63" i="1"/>
  <c r="AN35" i="1"/>
  <c r="AN30" i="1"/>
  <c r="AK42" i="1"/>
  <c r="AN42" i="1"/>
  <c r="AK26" i="1"/>
  <c r="AN26" i="1"/>
  <c r="AK36" i="1"/>
  <c r="AN36" i="1"/>
  <c r="AK17" i="1"/>
  <c r="AN17" i="1"/>
  <c r="AK46" i="1"/>
  <c r="AN46" i="1"/>
  <c r="AN61" i="1"/>
  <c r="AK54" i="1"/>
  <c r="AN54" i="1"/>
  <c r="AK25" i="1"/>
  <c r="AN25" i="1"/>
  <c r="AK13" i="1"/>
  <c r="AN13" i="1"/>
  <c r="AK40" i="1"/>
  <c r="AN40" i="1"/>
  <c r="AK11" i="1"/>
  <c r="AN11" i="1"/>
  <c r="AK9" i="1"/>
  <c r="AN9" i="1"/>
  <c r="AK65" i="1"/>
  <c r="AN65" i="1"/>
  <c r="AK31" i="1"/>
  <c r="AN31" i="1"/>
  <c r="AK76" i="1"/>
  <c r="AN76" i="1"/>
  <c r="AN18" i="1"/>
  <c r="AK39" i="1"/>
  <c r="AK56" i="1"/>
  <c r="AN56" i="1"/>
  <c r="AK14" i="1"/>
  <c r="AN14" i="1"/>
  <c r="AK21" i="1"/>
  <c r="AK50" i="1"/>
  <c r="AN50" i="1"/>
  <c r="AK38" i="1"/>
  <c r="AN38" i="1"/>
  <c r="AK67" i="1"/>
  <c r="AN67" i="1"/>
  <c r="G6" i="5" l="1"/>
  <c r="AN38" i="6"/>
  <c r="AK38" i="6"/>
  <c r="AK78" i="6"/>
  <c r="AO38" i="6"/>
  <c r="AL6" i="6"/>
  <c r="AO6" i="6"/>
  <c r="AL34" i="6"/>
  <c r="AO34" i="6"/>
  <c r="AL32" i="6"/>
  <c r="AO32" i="6"/>
  <c r="AO36" i="6"/>
  <c r="AL36" i="6"/>
  <c r="AO10" i="6"/>
  <c r="AL10" i="6"/>
  <c r="AO27" i="6"/>
  <c r="AL27" i="6"/>
  <c r="AO39" i="6"/>
  <c r="AL39" i="6"/>
  <c r="AO28" i="6"/>
  <c r="AL28" i="6"/>
  <c r="AL41" i="6"/>
  <c r="AO41" i="6"/>
  <c r="AO57" i="6"/>
  <c r="AL57" i="6"/>
  <c r="AO62" i="6"/>
  <c r="AL62" i="6"/>
  <c r="AO55" i="6"/>
  <c r="AL55" i="6"/>
  <c r="AL66" i="6"/>
  <c r="AO66" i="6"/>
  <c r="AO42" i="6"/>
  <c r="AL42" i="6"/>
  <c r="AO20" i="6"/>
  <c r="AL20" i="6"/>
  <c r="AL59" i="6"/>
  <c r="AO59" i="6"/>
  <c r="AL7" i="6"/>
  <c r="AO7" i="6"/>
  <c r="AL47" i="6"/>
  <c r="AO47" i="6"/>
  <c r="AL26" i="6"/>
  <c r="AO26" i="6"/>
  <c r="AO35" i="6"/>
  <c r="AL35" i="6"/>
  <c r="AO21" i="6"/>
  <c r="AL21" i="6"/>
  <c r="AL11" i="6"/>
  <c r="AO11" i="6"/>
  <c r="AL56" i="6"/>
  <c r="AO56" i="6"/>
  <c r="AL18" i="6"/>
  <c r="AO18" i="6"/>
  <c r="AO8" i="6"/>
  <c r="AL8" i="6"/>
  <c r="AL13" i="6"/>
  <c r="AO13" i="6"/>
  <c r="AL17" i="6"/>
  <c r="AO17" i="6"/>
  <c r="AL37" i="6"/>
  <c r="AO37" i="6"/>
  <c r="AL12" i="6"/>
  <c r="AO12" i="6"/>
  <c r="AO9" i="6"/>
  <c r="AL9" i="6"/>
  <c r="AL14" i="6"/>
  <c r="AO14" i="6"/>
  <c r="AL58" i="6"/>
  <c r="AL60" i="6"/>
  <c r="AO60" i="6"/>
  <c r="AO54" i="6"/>
  <c r="AL54" i="6"/>
  <c r="AL19" i="6"/>
  <c r="AO19" i="6"/>
  <c r="AO15" i="6"/>
  <c r="AL15" i="6"/>
  <c r="AL22" i="6"/>
  <c r="AO22" i="6"/>
  <c r="AO61" i="6"/>
  <c r="AL61" i="6"/>
  <c r="AO16" i="6"/>
  <c r="AL16" i="6"/>
  <c r="AL48" i="6"/>
  <c r="AO48" i="6"/>
  <c r="AL50" i="6"/>
  <c r="AO50" i="6"/>
  <c r="AL33" i="6"/>
  <c r="AO33" i="6"/>
  <c r="AL49" i="6"/>
  <c r="AO49" i="6"/>
  <c r="AO40" i="6"/>
  <c r="AL40" i="6"/>
  <c r="AO5" i="6"/>
  <c r="I12" i="5"/>
  <c r="G23" i="2"/>
  <c r="E24" i="2"/>
  <c r="I13" i="5"/>
  <c r="G13" i="5"/>
  <c r="AN66" i="6"/>
  <c r="AN7" i="6"/>
  <c r="AN26" i="6"/>
  <c r="AN53" i="6"/>
  <c r="AN14" i="6"/>
  <c r="AN64" i="6"/>
  <c r="AM78" i="6"/>
  <c r="AN48" i="6"/>
  <c r="AK48" i="6"/>
  <c r="AN30" i="6"/>
  <c r="AK30" i="6"/>
  <c r="AK71" i="6"/>
  <c r="AN71" i="6"/>
  <c r="AK45" i="6"/>
  <c r="AN45" i="6"/>
  <c r="AK62" i="6"/>
  <c r="AK5" i="6"/>
  <c r="AK19" i="6"/>
  <c r="AK15" i="6"/>
  <c r="AN15" i="6"/>
  <c r="AK22" i="6"/>
  <c r="AK44" i="6"/>
  <c r="AN44" i="6"/>
  <c r="AK63" i="6"/>
  <c r="AK31" i="6"/>
  <c r="AN31" i="6"/>
  <c r="AK50" i="6"/>
  <c r="AN50" i="6"/>
  <c r="AK33" i="6"/>
  <c r="AN33" i="6"/>
  <c r="AK49" i="6"/>
  <c r="AN49" i="6"/>
  <c r="AK7" i="6"/>
  <c r="AK40" i="6"/>
  <c r="AK65" i="6"/>
  <c r="AN65" i="6"/>
  <c r="AN42" i="6"/>
  <c r="AK42" i="6"/>
  <c r="AK20" i="6"/>
  <c r="AK59" i="6"/>
  <c r="AK47" i="6"/>
  <c r="AK26" i="6"/>
  <c r="AN56" i="6"/>
  <c r="AK56" i="6"/>
  <c r="AK6" i="6"/>
  <c r="AN6" i="6"/>
  <c r="AK74" i="6"/>
  <c r="AN74" i="6"/>
  <c r="AK73" i="6"/>
  <c r="AN73" i="6"/>
  <c r="AN62" i="6"/>
  <c r="AN51" i="6"/>
  <c r="AK51" i="6"/>
  <c r="AN70" i="6"/>
  <c r="AK70" i="6"/>
  <c r="AN34" i="6"/>
  <c r="AK34" i="6"/>
  <c r="AK39" i="6"/>
  <c r="AN39" i="6"/>
  <c r="AK25" i="6"/>
  <c r="AN25" i="6"/>
  <c r="AN75" i="6"/>
  <c r="AK75" i="6"/>
  <c r="AK77" i="6"/>
  <c r="AN77" i="6"/>
  <c r="AK53" i="6"/>
  <c r="AK32" i="6"/>
  <c r="AN32" i="6"/>
  <c r="AN35" i="6"/>
  <c r="AK35" i="6"/>
  <c r="AK67" i="6"/>
  <c r="AN67" i="6"/>
  <c r="AK76" i="6"/>
  <c r="AN76" i="6"/>
  <c r="AK14" i="6"/>
  <c r="AK21" i="6"/>
  <c r="AK10" i="6"/>
  <c r="AN10" i="6"/>
  <c r="AN52" i="6"/>
  <c r="AK52" i="6"/>
  <c r="AK43" i="6"/>
  <c r="AN43" i="6"/>
  <c r="AK24" i="6"/>
  <c r="AN24" i="6"/>
  <c r="AN63" i="6"/>
  <c r="AK11" i="6"/>
  <c r="AK27" i="6"/>
  <c r="AN27" i="6"/>
  <c r="AN18" i="6"/>
  <c r="AK18" i="6"/>
  <c r="AN68" i="6"/>
  <c r="AK68" i="6"/>
  <c r="AK8" i="6"/>
  <c r="AN8" i="6"/>
  <c r="AK55" i="6"/>
  <c r="AN55" i="6"/>
  <c r="AN17" i="6"/>
  <c r="AK17" i="6"/>
  <c r="AK37" i="6"/>
  <c r="AN37" i="6"/>
  <c r="AK28" i="6"/>
  <c r="AN28" i="6"/>
  <c r="AN41" i="6"/>
  <c r="AK41" i="6"/>
  <c r="AN57" i="6"/>
  <c r="AK57" i="6"/>
  <c r="AN58" i="6"/>
  <c r="AK58" i="6"/>
  <c r="AN40" i="6"/>
  <c r="AK16" i="6"/>
  <c r="AN16" i="6"/>
  <c r="AN23" i="6"/>
  <c r="AK23" i="6"/>
  <c r="AK12" i="6"/>
  <c r="AN12" i="6"/>
  <c r="AK69" i="6"/>
  <c r="AN69" i="6"/>
  <c r="AN9" i="6"/>
  <c r="AK9" i="6"/>
  <c r="AN59" i="6"/>
  <c r="AK36" i="6"/>
  <c r="AN36" i="6"/>
  <c r="AN5" i="6"/>
  <c r="AK72" i="6"/>
  <c r="AN11" i="6"/>
  <c r="AK66" i="6"/>
  <c r="AN29" i="6"/>
  <c r="AK29" i="6"/>
  <c r="AK60" i="6"/>
  <c r="AN60" i="6"/>
  <c r="AN46" i="6"/>
  <c r="AK46" i="6"/>
  <c r="AK54" i="6"/>
  <c r="AN54" i="6"/>
  <c r="AK13" i="6"/>
  <c r="AN47" i="6"/>
  <c r="AK61" i="6"/>
  <c r="AN61" i="6"/>
  <c r="AN78" i="6"/>
  <c r="AK64" i="6"/>
  <c r="E25" i="2" l="1"/>
  <c r="G24" i="2"/>
  <c r="I21" i="5"/>
  <c r="I19" i="5"/>
  <c r="I18" i="5" l="1"/>
  <c r="G12" i="5"/>
  <c r="G21" i="5"/>
  <c r="E26" i="2"/>
  <c r="G25" i="2"/>
  <c r="E27" i="2" l="1"/>
  <c r="G26" i="2"/>
  <c r="G18" i="5"/>
  <c r="G19" i="5"/>
  <c r="E28" i="2" l="1"/>
  <c r="G27" i="2"/>
  <c r="E29" i="2" l="1"/>
  <c r="G28" i="2"/>
  <c r="I3" i="5" l="1"/>
  <c r="G29" i="2"/>
  <c r="E30" i="2"/>
  <c r="G3" i="5" l="1"/>
  <c r="I17" i="5"/>
  <c r="I11" i="5"/>
  <c r="E31" i="2"/>
  <c r="G30" i="2"/>
  <c r="I15" i="5" l="1"/>
  <c r="G11" i="5"/>
  <c r="G17" i="5"/>
  <c r="E32" i="2"/>
  <c r="G31" i="2"/>
  <c r="I4" i="5"/>
  <c r="G4" i="5" l="1"/>
  <c r="G5" i="5"/>
  <c r="E33" i="2"/>
  <c r="G32" i="2"/>
  <c r="I5" i="5"/>
  <c r="G15" i="5"/>
  <c r="E34" i="2" l="1"/>
  <c r="G33" i="2"/>
  <c r="E35" i="2" l="1"/>
  <c r="G34" i="2"/>
  <c r="I9" i="5" l="1"/>
  <c r="G9" i="5"/>
  <c r="G35" i="2"/>
  <c r="E36" i="2"/>
  <c r="E37" i="2" l="1"/>
  <c r="G36" i="2"/>
  <c r="E38" i="2" l="1"/>
  <c r="G37" i="2"/>
  <c r="E39" i="2" l="1"/>
  <c r="G38" i="2"/>
  <c r="E40" i="2" l="1"/>
  <c r="G39" i="2"/>
  <c r="E41" i="2" l="1"/>
  <c r="G40" i="2"/>
  <c r="G41" i="2" l="1"/>
  <c r="E42" i="2"/>
  <c r="E43" i="2" l="1"/>
  <c r="G42" i="2"/>
  <c r="E44" i="2" l="1"/>
  <c r="G43" i="2"/>
  <c r="E45" i="2" l="1"/>
  <c r="G44" i="2"/>
  <c r="E46" i="2" l="1"/>
  <c r="G45" i="2"/>
  <c r="E47" i="2" l="1"/>
  <c r="G46" i="2"/>
  <c r="G25" i="5" s="1"/>
  <c r="I25" i="5"/>
  <c r="G47" i="2" l="1"/>
  <c r="E48" i="2"/>
  <c r="E49" i="2" l="1"/>
  <c r="G48" i="2"/>
  <c r="E50" i="2" l="1"/>
  <c r="G49" i="2"/>
  <c r="E51" i="2" l="1"/>
  <c r="G50" i="2"/>
  <c r="E52" i="2" l="1"/>
  <c r="G51" i="2"/>
  <c r="E53" i="2" l="1"/>
  <c r="G52" i="2"/>
  <c r="G53" i="2" l="1"/>
  <c r="E54" i="2"/>
  <c r="E55" i="2" l="1"/>
  <c r="G54" i="2"/>
  <c r="E56" i="2" l="1"/>
  <c r="G55" i="2"/>
  <c r="AL72" i="1" l="1"/>
  <c r="AL69" i="1"/>
  <c r="AO30" i="1"/>
  <c r="AL25" i="1"/>
  <c r="AO24" i="1"/>
  <c r="AO45" i="1"/>
  <c r="AO29" i="1"/>
  <c r="AO25" i="1"/>
  <c r="AL24" i="1"/>
  <c r="AL45" i="1"/>
  <c r="AO70" i="1"/>
  <c r="AO65" i="1"/>
  <c r="AO63" i="1"/>
  <c r="AL70" i="1"/>
  <c r="AL29" i="1"/>
  <c r="AL65" i="1"/>
  <c r="AL63" i="1"/>
  <c r="AO74" i="1"/>
  <c r="AL43" i="1"/>
  <c r="AL53" i="1"/>
  <c r="AL77" i="1"/>
  <c r="AL44" i="1"/>
  <c r="AO23" i="1"/>
  <c r="AO75" i="1"/>
  <c r="AL71" i="1"/>
  <c r="AL68" i="1"/>
  <c r="AO76" i="1"/>
  <c r="AL23" i="1"/>
  <c r="AL75" i="1"/>
  <c r="AO71" i="1"/>
  <c r="AO68" i="1"/>
  <c r="AL76" i="1"/>
  <c r="AO31" i="1"/>
  <c r="AL51" i="1"/>
  <c r="AL52" i="1"/>
  <c r="AL46" i="1"/>
  <c r="AL73" i="1"/>
  <c r="AL67" i="1"/>
  <c r="G22" i="5" s="1"/>
  <c r="AL31" i="1"/>
  <c r="AO51" i="1"/>
  <c r="AO52" i="1"/>
  <c r="AO46" i="1"/>
  <c r="AO73" i="1"/>
  <c r="AO67" i="1"/>
  <c r="AO72" i="1"/>
  <c r="AO69" i="1"/>
  <c r="AL30" i="1"/>
  <c r="AO64" i="1"/>
  <c r="AL74" i="1"/>
  <c r="AO43" i="1"/>
  <c r="AO53" i="1"/>
  <c r="AO77" i="1"/>
  <c r="AO44" i="1"/>
  <c r="AL64" i="1"/>
  <c r="E57" i="2"/>
  <c r="G56" i="2"/>
  <c r="I22" i="5" l="1"/>
  <c r="G10" i="5"/>
  <c r="I10" i="5"/>
  <c r="G20" i="5"/>
  <c r="I14" i="5"/>
  <c r="I24" i="5"/>
  <c r="G24" i="5"/>
  <c r="G16" i="5"/>
  <c r="G14" i="5"/>
  <c r="G23" i="5"/>
  <c r="I16" i="5"/>
  <c r="G8" i="5"/>
  <c r="I23" i="5"/>
  <c r="I20" i="5"/>
  <c r="I8" i="5"/>
  <c r="AL67" i="6"/>
  <c r="AO74" i="6"/>
  <c r="AL25" i="6"/>
  <c r="AO67" i="6"/>
  <c r="AL74" i="6"/>
  <c r="AO25" i="6"/>
  <c r="AL77" i="6"/>
  <c r="AL68" i="6"/>
  <c r="AL31" i="6"/>
  <c r="AO77" i="6"/>
  <c r="AO68" i="6"/>
  <c r="AO31" i="6"/>
  <c r="AL65" i="6"/>
  <c r="AO65" i="6"/>
  <c r="AL71" i="6"/>
  <c r="AO29" i="6"/>
  <c r="AO75" i="6"/>
  <c r="AL73" i="6"/>
  <c r="AO52" i="6"/>
  <c r="AO46" i="6"/>
  <c r="AL43" i="6"/>
  <c r="AO43" i="6"/>
  <c r="AO71" i="6"/>
  <c r="AL29" i="6"/>
  <c r="AL75" i="6"/>
  <c r="AO73" i="6"/>
  <c r="AL46" i="6"/>
  <c r="AL52" i="6"/>
  <c r="AO30" i="6"/>
  <c r="AL45" i="6"/>
  <c r="AL30" i="6"/>
  <c r="AO45" i="6"/>
  <c r="AO69" i="6"/>
  <c r="AL69" i="6"/>
  <c r="AL51" i="6"/>
  <c r="AO51" i="6"/>
  <c r="AL72" i="6"/>
  <c r="AO63" i="6"/>
  <c r="AL23" i="6"/>
  <c r="AO72" i="6"/>
  <c r="AL63" i="6"/>
  <c r="AL70" i="6"/>
  <c r="AL44" i="6"/>
  <c r="AO23" i="6"/>
  <c r="AL76" i="6"/>
  <c r="AO76" i="6"/>
  <c r="AO70" i="6"/>
  <c r="AO44" i="6"/>
  <c r="AL64" i="6"/>
  <c r="AL24" i="6"/>
  <c r="AO64" i="6"/>
  <c r="AO24" i="6"/>
  <c r="AL53" i="6"/>
  <c r="AO53" i="6"/>
  <c r="E58" i="2"/>
  <c r="G57" i="2"/>
  <c r="E59" i="2" l="1"/>
  <c r="G59" i="2" s="1"/>
  <c r="G58" i="2"/>
</calcChain>
</file>

<file path=xl/sharedStrings.xml><?xml version="1.0" encoding="utf-8"?>
<sst xmlns="http://schemas.openxmlformats.org/spreadsheetml/2006/main" count="1462" uniqueCount="226">
  <si>
    <t xml:space="preserve">PROGRAM YEAR </t>
  </si>
  <si>
    <t xml:space="preserve"> CASCADE NATURAL GAS CORPORATION</t>
  </si>
  <si>
    <t>IRP Discount Rate</t>
  </si>
  <si>
    <t xml:space="preserve"> RESIDENTIAL Program Participant Cost Effectiveness</t>
  </si>
  <si>
    <t>Inflation Rate</t>
  </si>
  <si>
    <t>Long Term Discount Rate</t>
  </si>
  <si>
    <t>MEASURE</t>
  </si>
  <si>
    <t>ZONE</t>
  </si>
  <si>
    <t>EFFICIENCY  RATING</t>
  </si>
  <si>
    <t>ANNUAL  THERM  SAVINGS</t>
  </si>
  <si>
    <t>TOTAL  ANNUAL  THERM  SAVINGS</t>
  </si>
  <si>
    <t>MEASURE  INCREMENTAL  COST</t>
  </si>
  <si>
    <t>PARTICIPANT  NEIS</t>
  </si>
  <si>
    <t>TOTAL  INCREMENTAL  COST</t>
  </si>
  <si>
    <t>TOTAL  NET  INCREMENTAL  COST  WITH  NEBS</t>
  </si>
  <si>
    <t>MEASURE  LIFE</t>
  </si>
  <si>
    <t>DISCOUNTED  THERM  SAVINGS</t>
  </si>
  <si>
    <t>PROGRAM  DELIVERY  &amp;  ADMIN</t>
  </si>
  <si>
    <t>PROGRAM  REBATE</t>
  </si>
  <si>
    <t>TOTAL  REBATES  COST</t>
  </si>
  <si>
    <t>UTILITY  COST</t>
  </si>
  <si>
    <t>UC  W/DELIVERY  &amp;  ADMIN</t>
  </si>
  <si>
    <t>UTILITY COST TEST RATIO</t>
  </si>
  <si>
    <t>TOTAL  RESOURCE  COST</t>
  </si>
  <si>
    <t>TRC  W/DELIVERY  &amp;  ADMIN</t>
  </si>
  <si>
    <t>TOTAL RESOURCE COST TEST RATIO</t>
  </si>
  <si>
    <t>0.91 UEF Tankless Water Heater</t>
  </si>
  <si>
    <t>Zone 1</t>
  </si>
  <si>
    <t>0.91+ UEF</t>
  </si>
  <si>
    <t>Zone 2</t>
  </si>
  <si>
    <t>Zone 3</t>
  </si>
  <si>
    <t>95% AFUE New Gas Furnace (New &amp; Existing)</t>
  </si>
  <si>
    <t>95+% Annual Fuel Utilization Efficiency (AFUE)</t>
  </si>
  <si>
    <t>High-Efficiency Natural Gas Furnace</t>
  </si>
  <si>
    <t>98% AFUE New Gas Furnace (New &amp; Existing)</t>
  </si>
  <si>
    <t>98+% Annual Fuel Utilization Efficiency (AFUE)</t>
  </si>
  <si>
    <t>Bundle A</t>
  </si>
  <si>
    <t>Bundle B</t>
  </si>
  <si>
    <t>Ceiling Tier II</t>
  </si>
  <si>
    <t>Tier 2: Post R-49+</t>
  </si>
  <si>
    <t>Condensing Boiler</t>
  </si>
  <si>
    <t>Duct Insulation</t>
  </si>
  <si>
    <t>Post R ? 8, prior condition must not exceed R-0</t>
  </si>
  <si>
    <t>Duct Sealing</t>
  </si>
  <si>
    <t>30% or more of supply ducts in unconditioned space</t>
  </si>
  <si>
    <t>ENERGY STAR Certified Homes + U.30 Window Glazing</t>
  </si>
  <si>
    <t>Certified HERS 75</t>
  </si>
  <si>
    <t>ENERGY STAR Clothes Washer</t>
  </si>
  <si>
    <t>ENERGY STAR Clothes Washers</t>
  </si>
  <si>
    <t>Floor Insulation</t>
  </si>
  <si>
    <t>High-Efficiency Combination Domestic Hot Water and Hydronic Space Heating System using pre-approved Tankless Water Heater</t>
  </si>
  <si>
    <t>95+% Annual Fuel Utilization Efficiency (AFUE) Hydronic Space Heating &amp; DHW</t>
  </si>
  <si>
    <t>High-Efficiency Exterior Entry (not sliding) Door</t>
  </si>
  <si>
    <t>U-Factor &lt;0.21, Energy Star Door</t>
  </si>
  <si>
    <t>High-Efficiency Natural Gas Hearth (Fireplace)</t>
  </si>
  <si>
    <t>Natural Gas Hearth (Fireplace) - 70% FE Hearth</t>
  </si>
  <si>
    <t>Prescriptive Air Sealing with Insulation Install</t>
  </si>
  <si>
    <t>BPA Weatherization Specifications section 4.4 &amp; 6.2</t>
  </si>
  <si>
    <t>Programmable Thermostat</t>
  </si>
  <si>
    <t>5-2 Programmable</t>
  </si>
  <si>
    <t>Programmable</t>
  </si>
  <si>
    <t>Whole House Residential Air Sealing</t>
  </si>
  <si>
    <t>Min. 400 CFM50 reduction</t>
  </si>
  <si>
    <t>Windows 0.22 U-factor</t>
  </si>
  <si>
    <t>U Factor&lt;= 0.22</t>
  </si>
  <si>
    <t>Windows 0.27 U-factor</t>
  </si>
  <si>
    <t>U Factor&lt;= 0.27</t>
  </si>
  <si>
    <t>Windows 0.30 U-factor</t>
  </si>
  <si>
    <t>U Factor&lt;= 0.30</t>
  </si>
  <si>
    <t>TOTAL PROGRAM</t>
  </si>
  <si>
    <t xml:space="preserve"> </t>
  </si>
  <si>
    <t>CASCADE NATURAL GAS CORPORATION</t>
  </si>
  <si>
    <t>INTEGRATED RESOURCE PLAN</t>
  </si>
  <si>
    <t>BASECASE - MEDIUM FORECAST - AVERAGE WEATHER</t>
  </si>
  <si>
    <t>45 YEAR RESOURCE SUMMARY COSTS - MELDED COST PER THERM</t>
  </si>
  <si>
    <t>YEAR</t>
  </si>
  <si>
    <t>IRP ANNUAL 
 PORTFOLIO 
 COST PER 
 THERM (PV)*</t>
  </si>
  <si>
    <t>NOMINAL 
 COST 
 PER 
 THERM</t>
  </si>
  <si>
    <t>PV OF 
 RESOURCE 
 PORTFOLIO 
 COST/THERM</t>
  </si>
  <si>
    <t>NON 
 ENERGY 
 BENEFIT</t>
  </si>
  <si>
    <t>PORTFOLIO 
 COSTS  WITH 
 CONSERVATION 
 CREDIT</t>
  </si>
  <si>
    <t>10%</t>
  </si>
  <si>
    <t>Cascade's Long Term Real Discount Rate:</t>
  </si>
  <si>
    <t>IRP Discount Rate :</t>
  </si>
  <si>
    <t>Revised Discount Rate:</t>
  </si>
  <si>
    <t>Years 21-45 Escalation:</t>
  </si>
  <si>
    <t>(EIA Inflation Rate)</t>
  </si>
  <si>
    <t>Measure Life</t>
  </si>
  <si>
    <t>N/A</t>
  </si>
  <si>
    <t>Cascade Plan - Measure Mapping</t>
  </si>
  <si>
    <t>LoadMap - Measure Mapping</t>
  </si>
  <si>
    <t>Cascade Plan - Value Comparison</t>
  </si>
  <si>
    <t>LoadMap - Value Comparison</t>
  </si>
  <si>
    <t>Item</t>
  </si>
  <si>
    <t>Sector</t>
  </si>
  <si>
    <t>Zone</t>
  </si>
  <si>
    <t>LoadMap Measure Name</t>
  </si>
  <si>
    <t>Segment</t>
  </si>
  <si>
    <t>Vintage</t>
  </si>
  <si>
    <t>Baseline</t>
  </si>
  <si>
    <t>Efficient Definition</t>
  </si>
  <si>
    <t>Therm Savings (per unit)</t>
  </si>
  <si>
    <t>Incremental Cost ($)</t>
  </si>
  <si>
    <t>Measure Lifetime</t>
  </si>
  <si>
    <t>Measure Incentive ($)</t>
  </si>
  <si>
    <t>UES (Annual therms)</t>
  </si>
  <si>
    <t>Unit of Measure</t>
  </si>
  <si>
    <t>Unit Incremental Cost (2019$)</t>
  </si>
  <si>
    <t>Measure Incentive</t>
  </si>
  <si>
    <t>Residential</t>
  </si>
  <si>
    <t>Water Heater &lt;= 55 gal.</t>
  </si>
  <si>
    <t>CZ1 - Single Family</t>
  </si>
  <si>
    <t>Existing</t>
  </si>
  <si>
    <t>UEF 0.58 (Standard)</t>
  </si>
  <si>
    <t>UEF 0.95 (Instantaneous, ENERGY STAR 5.0)</t>
  </si>
  <si>
    <t>unit</t>
  </si>
  <si>
    <t>CZ2 - Single Family</t>
  </si>
  <si>
    <t>CZ3 - Single Family</t>
  </si>
  <si>
    <t>Furnace - Direct Fuel</t>
  </si>
  <si>
    <t>AFUE 80%</t>
  </si>
  <si>
    <t>AFUE 95% (ENERGY STAR 4.1)</t>
  </si>
  <si>
    <t>kBTU/hr</t>
  </si>
  <si>
    <t>New</t>
  </si>
  <si>
    <t>AFUE 97% (CEE Tier 3)</t>
  </si>
  <si>
    <t>sqft roof</t>
  </si>
  <si>
    <t>Boiler - Direct Fuel</t>
  </si>
  <si>
    <t>AFUE 82%</t>
  </si>
  <si>
    <t>AFUE 95%</t>
  </si>
  <si>
    <t>Insulation - Ducting</t>
  </si>
  <si>
    <t>2° F duct loss</t>
  </si>
  <si>
    <t>duct thermal losses reduced 50%</t>
  </si>
  <si>
    <t>linear duct ft</t>
  </si>
  <si>
    <t>Ducting - Repair and Sealing</t>
  </si>
  <si>
    <t>10% air leak to outside</t>
  </si>
  <si>
    <t>50% reduction in duct leakage</t>
  </si>
  <si>
    <t>household</t>
  </si>
  <si>
    <t>ENERGY STAR Homes</t>
  </si>
  <si>
    <t>WA Building Code</t>
  </si>
  <si>
    <t>Built Green spec (NC Only)</t>
  </si>
  <si>
    <t>Minimum standard unit</t>
  </si>
  <si>
    <t>ENERGY STAR unit</t>
  </si>
  <si>
    <t>ENERGY STAR Connected Thermostat</t>
  </si>
  <si>
    <t>Manual/no control</t>
  </si>
  <si>
    <t>Interactive/learning thermostat (ie, NEST)</t>
  </si>
  <si>
    <t>Insulation - Floor/Crawlspace</t>
  </si>
  <si>
    <t>R-0</t>
  </si>
  <si>
    <t>R-30</t>
  </si>
  <si>
    <t>sqft floor</t>
  </si>
  <si>
    <t>Combined Boiler + DHW System (Storage Tank)</t>
  </si>
  <si>
    <t>Gas space heating AFUE 80% and water heating baseline storage tank 40 gal</t>
  </si>
  <si>
    <t>Combined tankless boiler unit for space and DHW</t>
  </si>
  <si>
    <t>Doors - Storm and Thermal</t>
  </si>
  <si>
    <t>R-2.5 door</t>
  </si>
  <si>
    <t>R-5 door</t>
  </si>
  <si>
    <t>door</t>
  </si>
  <si>
    <t>Fireplace</t>
  </si>
  <si>
    <t>Baseline (50% to 60% FE Rating)</t>
  </si>
  <si>
    <t>Tier 1 (70% FE Rating)</t>
  </si>
  <si>
    <t>Insulation - Infiltration Control (Air Sealing)</t>
  </si>
  <si>
    <t>ACH50 &gt;= 5</t>
  </si>
  <si>
    <t>20% reduction in ACH50</t>
  </si>
  <si>
    <t>home</t>
  </si>
  <si>
    <t>Thermostat - Programmable</t>
  </si>
  <si>
    <t>Programmed thermostat</t>
  </si>
  <si>
    <t>Insulation - Wall Cavity, Installation</t>
  </si>
  <si>
    <t>R-11</t>
  </si>
  <si>
    <t>sqft wall</t>
  </si>
  <si>
    <t>Building Shell - Whole-Home Aerosol Sealing</t>
  </si>
  <si>
    <t>Windows - U-.22 or better</t>
  </si>
  <si>
    <t>Existing inefficient Window</t>
  </si>
  <si>
    <t>Double Pane LowE CL22</t>
  </si>
  <si>
    <t>sqft window</t>
  </si>
  <si>
    <t>Windows - U-.30</t>
  </si>
  <si>
    <t>Double Pane LowE U30</t>
  </si>
  <si>
    <t>LoadMap Participation 2024</t>
  </si>
  <si>
    <t>Recommended Savings</t>
  </si>
  <si>
    <t>LoadMap Therm Savings</t>
  </si>
  <si>
    <t>LoadMap Units</t>
  </si>
  <si>
    <t>LoadMap Incremental Cost</t>
  </si>
  <si>
    <t>Recommended Costs</t>
  </si>
  <si>
    <t>LoadMap Measure Life</t>
  </si>
  <si>
    <t>Recommended Measure Life</t>
  </si>
  <si>
    <t>TEMPLATE VERSION ---&gt;</t>
  </si>
  <si>
    <t>Original</t>
  </si>
  <si>
    <t>Recommended</t>
  </si>
  <si>
    <t>LoadMap Program Rebate</t>
  </si>
  <si>
    <t>Recommended Rebate</t>
  </si>
  <si>
    <t>Recommended Efficiency Rating</t>
  </si>
  <si>
    <t>Key</t>
  </si>
  <si>
    <t>LoadMap 2024 UCT</t>
  </si>
  <si>
    <t>LoadMap 2024 TRC</t>
  </si>
  <si>
    <t>LoadMap Participation</t>
  </si>
  <si>
    <t>LoadMap TRC Potential (MWh)</t>
  </si>
  <si>
    <t>LoadMap UCT Potential (MWh)</t>
  </si>
  <si>
    <t>Efficiency</t>
  </si>
  <si>
    <t>Recommended 2025 Participation</t>
  </si>
  <si>
    <t>LoadMap Participation 2025</t>
  </si>
  <si>
    <t>2023 YTD PARTICIPANTS</t>
  </si>
  <si>
    <t>2024 Measures Installed</t>
  </si>
  <si>
    <t>2024 Participants</t>
  </si>
  <si>
    <t>2024 Participation</t>
  </si>
  <si>
    <t>2025 Participation</t>
  </si>
  <si>
    <t>2023 YTD MEASURES INSTALLED</t>
  </si>
  <si>
    <t>Measure</t>
  </si>
  <si>
    <t>Total Portfolio</t>
  </si>
  <si>
    <t>LoadMap % Change</t>
  </si>
  <si>
    <t>2025 Measures Installed</t>
  </si>
  <si>
    <t>2 Year Total ---&gt;</t>
  </si>
  <si>
    <t>Insulation - Ceiling, Installation</t>
  </si>
  <si>
    <t>R-38 (Retro only)</t>
  </si>
  <si>
    <t>Any two insulation or sealing measures performated at the same time with a minimum 1,000 sq. ft. total</t>
  </si>
  <si>
    <t>Same requirements as Bundle A plus Whole Home Air Sealing</t>
  </si>
  <si>
    <t>Attic Insulation</t>
  </si>
  <si>
    <t>Post R-60+, Cavity Fill R-49+</t>
  </si>
  <si>
    <t>Post R 30+, or fill cavity</t>
  </si>
  <si>
    <t>Wall/Sloped Ceiling Insulation</t>
  </si>
  <si>
    <t>Post R-11+, or fill cavity</t>
  </si>
  <si>
    <t>Smart Thermostat</t>
  </si>
  <si>
    <t>2022/2023 Rebate Amount</t>
  </si>
  <si>
    <t>2024/2025 Rebate Amount</t>
  </si>
  <si>
    <t>2022/2023 UCT</t>
  </si>
  <si>
    <t>2024/2025 UCT</t>
  </si>
  <si>
    <t>2022/2023 TRC</t>
  </si>
  <si>
    <t>2024/2025 TRC</t>
  </si>
  <si>
    <t>2024 Forecasted Total Res Program Admin</t>
  </si>
  <si>
    <t>2025 Forecasted Total Res Program 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</si>
</sst>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%"/>
    <numFmt numFmtId="165" formatCode="\$#,##0.00;\$\-#,##0.00"/>
    <numFmt numFmtId="166" formatCode="#,##0.000"/>
    <numFmt numFmtId="167" formatCode="\$#,##0.00"/>
    <numFmt numFmtId="168" formatCode="\$#,##0.000"/>
    <numFmt numFmtId="169" formatCode="#,##0.000;\(#,##0.000\)\ "/>
    <numFmt numFmtId="170" formatCode="\$#,##0.000;\$\(#,##0.000\)\ "/>
    <numFmt numFmtId="171" formatCode="\$#,##0.000;\$\(#,##0.000\)"/>
    <numFmt numFmtId="172" formatCode="\$#,##0.00;\$\(#,##0.00\)"/>
    <numFmt numFmtId="173" formatCode="\$#,##0.0000;\$\-#,##0.0000"/>
    <numFmt numFmtId="174" formatCode="&quot;$&quot;#,##0.00"/>
    <numFmt numFmtId="175" formatCode="0.000"/>
    <numFmt numFmtId="176" formatCode="\$#,##0;\$\(#,##0\)"/>
    <numFmt numFmtId="177" formatCode="\$#,##0"/>
  </numFmts>
  <fonts count="26" x14ac:knownFonts="1">
    <font>
      <sz val="11"/>
      <color theme="1"/>
      <name val="Calibri"/>
      <family val="2"/>
      <scheme val="minor"/>
    </font>
    <font>
      <b/>
      <sz val="15"/>
      <color rgb="FF3634E0"/>
      <name val="Arial"/>
      <family val="2"/>
    </font>
    <font>
      <b/>
      <sz val="21"/>
      <color rgb="FF058FFF"/>
      <name val="Arial"/>
      <family val="2"/>
    </font>
    <font>
      <b/>
      <sz val="11"/>
      <color rgb="FF3634E0"/>
      <name val="Arial"/>
      <family val="2"/>
    </font>
    <font>
      <b/>
      <sz val="11"/>
      <color rgb="FFA61712"/>
      <name val="Arial"/>
      <family val="2"/>
    </font>
    <font>
      <b/>
      <sz val="17"/>
      <color rgb="FF058FFF"/>
      <name val="Arial"/>
      <family val="2"/>
    </font>
    <font>
      <b/>
      <sz val="23"/>
      <color rgb="FF058FFF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8"/>
      <color rgb="FF000000"/>
      <name val="Arial"/>
      <family val="2"/>
    </font>
    <font>
      <sz val="7.5"/>
      <color rgb="FF000000"/>
      <name val="Arial"/>
      <family val="2"/>
    </font>
    <font>
      <sz val="8"/>
      <color rgb="FF000000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1"/>
      <color theme="2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name val="Arial"/>
      <family val="2"/>
    </font>
    <font>
      <sz val="16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5AA6DB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5AA6DB"/>
      </patternFill>
    </fill>
    <fill>
      <patternFill patternType="none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8E6E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thick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/>
      <bottom/>
      <diagonal/>
    </border>
    <border>
      <left style="thin">
        <color rgb="FFC2BABA"/>
      </left>
      <right style="thin">
        <color rgb="FFC2BABA"/>
      </right>
      <top style="thin">
        <color rgb="FFC2BABA"/>
      </top>
      <bottom style="thin">
        <color rgb="FFC2BABA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theme="6" tint="0.39997558519241921"/>
      </left>
      <right/>
      <top style="thick">
        <color theme="6" tint="0.39997558519241921"/>
      </top>
      <bottom style="thick">
        <color theme="6" tint="0.39997558519241921"/>
      </bottom>
      <diagonal/>
    </border>
    <border>
      <left/>
      <right/>
      <top style="thick">
        <color theme="6" tint="0.39997558519241921"/>
      </top>
      <bottom style="thick">
        <color theme="6" tint="0.39997558519241921"/>
      </bottom>
      <diagonal/>
    </border>
    <border>
      <left/>
      <right style="thick">
        <color theme="6" tint="0.39997558519241921"/>
      </right>
      <top style="thick">
        <color theme="6" tint="0.39997558519241921"/>
      </top>
      <bottom style="thick">
        <color theme="6" tint="0.39997558519241921"/>
      </bottom>
      <diagonal/>
    </border>
    <border>
      <left style="thick">
        <color rgb="FFD6D2D2"/>
      </left>
      <right style="thick">
        <color theme="6" tint="0.39997558519241921"/>
      </right>
      <top/>
      <bottom style="medium">
        <color rgb="FFD6D2D2"/>
      </bottom>
      <diagonal/>
    </border>
    <border>
      <left/>
      <right style="thick">
        <color theme="6" tint="0.39997558519241921"/>
      </right>
      <top/>
      <bottom style="medium">
        <color rgb="FFD6D2D2"/>
      </bottom>
      <diagonal/>
    </border>
    <border>
      <left style="thick">
        <color theme="6" tint="0.39997558519241921"/>
      </left>
      <right style="thick">
        <color theme="6" tint="0.39997558519241921"/>
      </right>
      <top/>
      <bottom style="medium">
        <color rgb="FFD6D2D2"/>
      </bottom>
      <diagonal/>
    </border>
    <border>
      <left style="thick">
        <color theme="6" tint="0.39997558519241921"/>
      </left>
      <right/>
      <top/>
      <bottom/>
      <diagonal/>
    </border>
    <border>
      <left style="thick">
        <color rgb="FFD6D2D2"/>
      </left>
      <right style="thick">
        <color rgb="FFD6D2D2"/>
      </right>
      <top style="thick">
        <color rgb="FFD6D2D2"/>
      </top>
      <bottom style="medium">
        <color rgb="FFD6D2D2"/>
      </bottom>
      <diagonal/>
    </border>
    <border>
      <left/>
      <right/>
      <top/>
      <bottom style="thick">
        <color rgb="FFD6D2D2"/>
      </bottom>
      <diagonal/>
    </border>
    <border>
      <left style="medium">
        <color rgb="FFD6D2D2"/>
      </left>
      <right/>
      <top/>
      <bottom style="medium">
        <color rgb="FFD6D2D2"/>
      </bottom>
      <diagonal/>
    </border>
    <border>
      <left/>
      <right style="medium">
        <color rgb="FFD6D2D2"/>
      </right>
      <top/>
      <bottom style="medium">
        <color rgb="FFD6D2D2"/>
      </bottom>
      <diagonal/>
    </border>
    <border>
      <left style="thick">
        <color theme="6" tint="0.39997558519241921"/>
      </left>
      <right/>
      <top style="thick">
        <color theme="6" tint="0.39994506668294322"/>
      </top>
      <bottom style="thick">
        <color theme="6" tint="0.39994506668294322"/>
      </bottom>
      <diagonal/>
    </border>
    <border>
      <left/>
      <right/>
      <top style="thick">
        <color theme="6" tint="0.39994506668294322"/>
      </top>
      <bottom style="thick">
        <color theme="6" tint="0.39994506668294322"/>
      </bottom>
      <diagonal/>
    </border>
    <border>
      <left/>
      <right style="thick">
        <color theme="0" tint="-0.14999847407452621"/>
      </right>
      <top style="thick">
        <color theme="6" tint="0.39994506668294322"/>
      </top>
      <bottom style="thick">
        <color theme="6" tint="0.39994506668294322"/>
      </bottom>
      <diagonal/>
    </border>
    <border>
      <left style="thick">
        <color theme="0" tint="-0.14999847407452621"/>
      </left>
      <right/>
      <top style="thick">
        <color theme="0" tint="-0.14999847407452621"/>
      </top>
      <bottom/>
      <diagonal/>
    </border>
    <border>
      <left/>
      <right style="thick">
        <color theme="0" tint="-0.14999847407452621"/>
      </right>
      <top style="thick">
        <color theme="0" tint="-0.14999847407452621"/>
      </top>
      <bottom/>
      <diagonal/>
    </border>
    <border>
      <left style="thick">
        <color theme="6" tint="0.39997558519241921"/>
      </left>
      <right style="thick">
        <color theme="6" tint="0.39997558519241921"/>
      </right>
      <top style="thick">
        <color theme="6" tint="0.39994506668294322"/>
      </top>
      <bottom style="medium">
        <color rgb="FFD6D2D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37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center" vertical="center" wrapText="1"/>
    </xf>
    <xf numFmtId="3" fontId="8" fillId="10" borderId="1" xfId="0" applyNumberFormat="1" applyFont="1" applyFill="1" applyBorder="1" applyAlignment="1">
      <alignment horizontal="center" vertical="center" wrapText="1"/>
    </xf>
    <xf numFmtId="166" fontId="8" fillId="11" borderId="1" xfId="0" applyNumberFormat="1" applyFont="1" applyFill="1" applyBorder="1" applyAlignment="1">
      <alignment horizontal="center" vertical="center" wrapText="1"/>
    </xf>
    <xf numFmtId="165" fontId="8" fillId="12" borderId="1" xfId="0" applyNumberFormat="1" applyFont="1" applyFill="1" applyBorder="1" applyAlignment="1">
      <alignment horizontal="center" vertical="center" wrapText="1"/>
    </xf>
    <xf numFmtId="167" fontId="8" fillId="13" borderId="1" xfId="0" applyNumberFormat="1" applyFont="1" applyFill="1" applyBorder="1" applyAlignment="1">
      <alignment horizontal="center" vertical="center" wrapText="1"/>
    </xf>
    <xf numFmtId="168" fontId="8" fillId="14" borderId="1" xfId="0" applyNumberFormat="1" applyFont="1" applyFill="1" applyBorder="1" applyAlignment="1">
      <alignment horizontal="center" vertical="center" wrapText="1"/>
    </xf>
    <xf numFmtId="169" fontId="8" fillId="15" borderId="1" xfId="0" applyNumberFormat="1" applyFont="1" applyFill="1" applyBorder="1" applyAlignment="1">
      <alignment horizontal="center" vertical="center" wrapText="1"/>
    </xf>
    <xf numFmtId="170" fontId="8" fillId="16" borderId="1" xfId="0" applyNumberFormat="1" applyFont="1" applyFill="1" applyBorder="1" applyAlignment="1">
      <alignment horizontal="center" vertical="center" wrapText="1"/>
    </xf>
    <xf numFmtId="171" fontId="8" fillId="17" borderId="1" xfId="0" applyNumberFormat="1" applyFont="1" applyFill="1" applyBorder="1" applyAlignment="1">
      <alignment horizontal="center" vertical="center" wrapText="1"/>
    </xf>
    <xf numFmtId="0" fontId="0" fillId="18" borderId="0" xfId="0" applyFill="1" applyAlignment="1" applyProtection="1">
      <alignment wrapText="1"/>
      <protection locked="0"/>
    </xf>
    <xf numFmtId="3" fontId="8" fillId="20" borderId="1" xfId="0" applyNumberFormat="1" applyFont="1" applyFill="1" applyBorder="1" applyAlignment="1">
      <alignment horizontal="center" vertical="center" wrapText="1"/>
    </xf>
    <xf numFmtId="166" fontId="8" fillId="21" borderId="1" xfId="0" applyNumberFormat="1" applyFont="1" applyFill="1" applyBorder="1" applyAlignment="1">
      <alignment horizontal="center" vertical="center" wrapText="1"/>
    </xf>
    <xf numFmtId="165" fontId="8" fillId="22" borderId="1" xfId="0" applyNumberFormat="1" applyFont="1" applyFill="1" applyBorder="1" applyAlignment="1">
      <alignment horizontal="center" vertical="center" wrapText="1"/>
    </xf>
    <xf numFmtId="167" fontId="8" fillId="23" borderId="1" xfId="0" applyNumberFormat="1" applyFont="1" applyFill="1" applyBorder="1" applyAlignment="1">
      <alignment horizontal="center" vertical="center" wrapText="1"/>
    </xf>
    <xf numFmtId="168" fontId="8" fillId="24" borderId="1" xfId="0" applyNumberFormat="1" applyFont="1" applyFill="1" applyBorder="1" applyAlignment="1">
      <alignment horizontal="center" vertical="center" wrapText="1"/>
    </xf>
    <xf numFmtId="169" fontId="8" fillId="25" borderId="1" xfId="0" applyNumberFormat="1" applyFont="1" applyFill="1" applyBorder="1" applyAlignment="1">
      <alignment horizontal="center" vertical="center" wrapText="1"/>
    </xf>
    <xf numFmtId="170" fontId="8" fillId="26" borderId="1" xfId="0" applyNumberFormat="1" applyFont="1" applyFill="1" applyBorder="1" applyAlignment="1">
      <alignment horizontal="center" vertical="center" wrapText="1"/>
    </xf>
    <xf numFmtId="171" fontId="8" fillId="27" borderId="1" xfId="0" applyNumberFormat="1" applyFont="1" applyFill="1" applyBorder="1" applyAlignment="1">
      <alignment horizontal="center" vertical="center" wrapText="1"/>
    </xf>
    <xf numFmtId="0" fontId="7" fillId="28" borderId="1" xfId="0" applyFont="1" applyFill="1" applyBorder="1" applyAlignment="1">
      <alignment horizontal="center" vertical="center" wrapText="1"/>
    </xf>
    <xf numFmtId="0" fontId="9" fillId="29" borderId="3" xfId="0" applyFont="1" applyFill="1" applyBorder="1" applyAlignment="1">
      <alignment horizontal="center" vertical="center" wrapText="1"/>
    </xf>
    <xf numFmtId="3" fontId="9" fillId="30" borderId="1" xfId="0" applyNumberFormat="1" applyFont="1" applyFill="1" applyBorder="1" applyAlignment="1">
      <alignment horizontal="center" vertical="center" wrapText="1"/>
    </xf>
    <xf numFmtId="4" fontId="9" fillId="31" borderId="3" xfId="0" applyNumberFormat="1" applyFont="1" applyFill="1" applyBorder="1" applyAlignment="1">
      <alignment horizontal="center" vertical="center" wrapText="1"/>
    </xf>
    <xf numFmtId="4" fontId="7" fillId="32" borderId="1" xfId="0" applyNumberFormat="1" applyFont="1" applyFill="1" applyBorder="1" applyAlignment="1">
      <alignment horizontal="center" vertical="center" wrapText="1"/>
    </xf>
    <xf numFmtId="172" fontId="9" fillId="33" borderId="3" xfId="0" applyNumberFormat="1" applyFont="1" applyFill="1" applyBorder="1" applyAlignment="1">
      <alignment horizontal="center" vertical="center" wrapText="1"/>
    </xf>
    <xf numFmtId="169" fontId="9" fillId="34" borderId="3" xfId="0" applyNumberFormat="1" applyFont="1" applyFill="1" applyBorder="1" applyAlignment="1">
      <alignment horizontal="center" vertical="center" wrapText="1"/>
    </xf>
    <xf numFmtId="0" fontId="8" fillId="37" borderId="5" xfId="0" applyFont="1" applyFill="1" applyBorder="1" applyAlignment="1">
      <alignment horizontal="center" vertical="center" wrapText="1"/>
    </xf>
    <xf numFmtId="0" fontId="11" fillId="38" borderId="6" xfId="0" applyFont="1" applyFill="1" applyBorder="1" applyAlignment="1">
      <alignment horizontal="center" vertical="center" wrapText="1"/>
    </xf>
    <xf numFmtId="0" fontId="12" fillId="43" borderId="4" xfId="0" applyFont="1" applyFill="1" applyBorder="1" applyAlignment="1">
      <alignment horizontal="center" vertical="center" wrapText="1"/>
    </xf>
    <xf numFmtId="164" fontId="12" fillId="45" borderId="4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8" fillId="19" borderId="1" xfId="0" applyFont="1" applyFill="1" applyBorder="1" applyAlignment="1">
      <alignment horizontal="left" vertical="center" wrapText="1"/>
    </xf>
    <xf numFmtId="0" fontId="7" fillId="47" borderId="10" xfId="0" applyFont="1" applyFill="1" applyBorder="1" applyAlignment="1">
      <alignment horizontal="left" vertical="center" wrapText="1"/>
    </xf>
    <xf numFmtId="0" fontId="7" fillId="47" borderId="10" xfId="0" applyFont="1" applyFill="1" applyBorder="1" applyAlignment="1">
      <alignment horizontal="center" vertical="center" wrapText="1"/>
    </xf>
    <xf numFmtId="0" fontId="7" fillId="47" borderId="11" xfId="0" applyFont="1" applyFill="1" applyBorder="1" applyAlignment="1">
      <alignment horizontal="center" vertical="center" wrapText="1"/>
    </xf>
    <xf numFmtId="0" fontId="7" fillId="49" borderId="12" xfId="0" applyFont="1" applyFill="1" applyBorder="1" applyAlignment="1">
      <alignment horizontal="center" vertical="center" wrapText="1"/>
    </xf>
    <xf numFmtId="0" fontId="7" fillId="47" borderId="12" xfId="0" applyFont="1" applyFill="1" applyBorder="1" applyAlignment="1">
      <alignment horizontal="center" vertical="center" wrapText="1"/>
    </xf>
    <xf numFmtId="0" fontId="7" fillId="49" borderId="1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50" borderId="1" xfId="0" applyFont="1" applyFill="1" applyBorder="1" applyAlignment="1">
      <alignment horizontal="center" vertical="center" wrapText="1"/>
    </xf>
    <xf numFmtId="174" fontId="8" fillId="50" borderId="1" xfId="0" applyNumberFormat="1" applyFont="1" applyFill="1" applyBorder="1" applyAlignment="1">
      <alignment horizontal="center" vertical="center" wrapText="1"/>
    </xf>
    <xf numFmtId="0" fontId="0" fillId="0" borderId="0" xfId="0" quotePrefix="1" applyAlignment="1">
      <alignment vertical="center"/>
    </xf>
    <xf numFmtId="0" fontId="8" fillId="51" borderId="1" xfId="0" applyFont="1" applyFill="1" applyBorder="1" applyAlignment="1">
      <alignment horizontal="center" vertical="center" wrapText="1"/>
    </xf>
    <xf numFmtId="0" fontId="8" fillId="51" borderId="1" xfId="0" applyFont="1" applyFill="1" applyBorder="1" applyAlignment="1">
      <alignment horizontal="left" vertical="center" wrapText="1"/>
    </xf>
    <xf numFmtId="0" fontId="8" fillId="52" borderId="1" xfId="0" applyFont="1" applyFill="1" applyBorder="1" applyAlignment="1">
      <alignment horizontal="left" vertical="center" wrapText="1"/>
    </xf>
    <xf numFmtId="174" fontId="8" fillId="51" borderId="1" xfId="0" applyNumberFormat="1" applyFont="1" applyFill="1" applyBorder="1" applyAlignment="1">
      <alignment horizontal="center" vertical="center" wrapText="1"/>
    </xf>
    <xf numFmtId="2" fontId="8" fillId="52" borderId="1" xfId="0" applyNumberFormat="1" applyFont="1" applyFill="1" applyBorder="1" applyAlignment="1">
      <alignment horizontal="center" vertical="center" wrapText="1"/>
    </xf>
    <xf numFmtId="1" fontId="8" fillId="52" borderId="1" xfId="0" applyNumberFormat="1" applyFont="1" applyFill="1" applyBorder="1" applyAlignment="1">
      <alignment horizontal="center" vertical="center" wrapText="1"/>
    </xf>
    <xf numFmtId="3" fontId="8" fillId="52" borderId="1" xfId="0" applyNumberFormat="1" applyFont="1" applyFill="1" applyBorder="1" applyAlignment="1">
      <alignment horizontal="center" vertical="center" wrapText="1"/>
    </xf>
    <xf numFmtId="174" fontId="8" fillId="52" borderId="1" xfId="0" applyNumberFormat="1" applyFont="1" applyFill="1" applyBorder="1" applyAlignment="1">
      <alignment horizontal="center" vertical="center" wrapText="1"/>
    </xf>
    <xf numFmtId="175" fontId="8" fillId="50" borderId="1" xfId="0" applyNumberFormat="1" applyFont="1" applyFill="1" applyBorder="1" applyAlignment="1">
      <alignment horizontal="center" vertical="center" wrapText="1"/>
    </xf>
    <xf numFmtId="175" fontId="8" fillId="51" borderId="1" xfId="0" applyNumberFormat="1" applyFont="1" applyFill="1" applyBorder="1" applyAlignment="1">
      <alignment horizontal="center" vertical="center" wrapText="1"/>
    </xf>
    <xf numFmtId="2" fontId="8" fillId="51" borderId="1" xfId="0" applyNumberFormat="1" applyFont="1" applyFill="1" applyBorder="1" applyAlignment="1">
      <alignment horizontal="center" vertical="center" wrapText="1"/>
    </xf>
    <xf numFmtId="2" fontId="8" fillId="50" borderId="1" xfId="0" applyNumberFormat="1" applyFont="1" applyFill="1" applyBorder="1" applyAlignment="1">
      <alignment horizontal="center" vertical="center" wrapText="1"/>
    </xf>
    <xf numFmtId="176" fontId="9" fillId="33" borderId="3" xfId="0" applyNumberFormat="1" applyFont="1" applyFill="1" applyBorder="1" applyAlignment="1">
      <alignment horizontal="center" vertical="center" wrapText="1"/>
    </xf>
    <xf numFmtId="3" fontId="8" fillId="11" borderId="1" xfId="0" applyNumberFormat="1" applyFont="1" applyFill="1" applyBorder="1" applyAlignment="1">
      <alignment horizontal="center" vertical="center" wrapText="1"/>
    </xf>
    <xf numFmtId="3" fontId="8" fillId="21" borderId="1" xfId="0" applyNumberFormat="1" applyFont="1" applyFill="1" applyBorder="1" applyAlignment="1">
      <alignment horizontal="center" vertical="center" wrapText="1"/>
    </xf>
    <xf numFmtId="177" fontId="8" fillId="14" borderId="1" xfId="0" applyNumberFormat="1" applyFont="1" applyFill="1" applyBorder="1" applyAlignment="1">
      <alignment horizontal="center" vertical="center" wrapText="1"/>
    </xf>
    <xf numFmtId="177" fontId="8" fillId="24" borderId="1" xfId="0" applyNumberFormat="1" applyFont="1" applyFill="1" applyBorder="1" applyAlignment="1">
      <alignment horizontal="center" vertical="center" wrapText="1"/>
    </xf>
    <xf numFmtId="177" fontId="9" fillId="33" borderId="3" xfId="0" applyNumberFormat="1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vertical="center" wrapText="1"/>
    </xf>
    <xf numFmtId="0" fontId="17" fillId="0" borderId="0" xfId="0" applyFont="1"/>
    <xf numFmtId="3" fontId="9" fillId="31" borderId="3" xfId="0" applyNumberFormat="1" applyFont="1" applyFill="1" applyBorder="1" applyAlignment="1">
      <alignment horizontal="center" vertical="center" wrapText="1"/>
    </xf>
    <xf numFmtId="166" fontId="8" fillId="1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43" fontId="8" fillId="52" borderId="1" xfId="1" applyFont="1" applyFill="1" applyBorder="1" applyAlignment="1">
      <alignment horizontal="center" vertical="center" wrapText="1"/>
    </xf>
    <xf numFmtId="0" fontId="7" fillId="49" borderId="23" xfId="0" applyFont="1" applyFill="1" applyBorder="1" applyAlignment="1">
      <alignment horizontal="center" vertical="center" wrapText="1"/>
    </xf>
    <xf numFmtId="44" fontId="20" fillId="48" borderId="24" xfId="2" applyFont="1" applyFill="1" applyBorder="1" applyAlignment="1">
      <alignment horizontal="left"/>
    </xf>
    <xf numFmtId="174" fontId="20" fillId="48" borderId="24" xfId="2" applyNumberFormat="1" applyFont="1" applyFill="1" applyBorder="1" applyAlignment="1">
      <alignment horizontal="left"/>
    </xf>
    <xf numFmtId="9" fontId="8" fillId="10" borderId="1" xfId="3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5" fontId="8" fillId="54" borderId="1" xfId="0" applyNumberFormat="1" applyFont="1" applyFill="1" applyBorder="1" applyAlignment="1">
      <alignment horizontal="center" vertical="center" wrapText="1"/>
    </xf>
    <xf numFmtId="3" fontId="8" fillId="54" borderId="1" xfId="0" applyNumberFormat="1" applyFont="1" applyFill="1" applyBorder="1" applyAlignment="1">
      <alignment horizontal="center" vertical="center" wrapText="1"/>
    </xf>
    <xf numFmtId="177" fontId="8" fillId="54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74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right" vertical="center" wrapText="1"/>
    </xf>
    <xf numFmtId="169" fontId="8" fillId="54" borderId="1" xfId="0" applyNumberFormat="1" applyFont="1" applyFill="1" applyBorder="1" applyAlignment="1">
      <alignment horizontal="center" vertical="center" wrapText="1"/>
    </xf>
    <xf numFmtId="0" fontId="16" fillId="55" borderId="2" xfId="0" applyFont="1" applyFill="1" applyBorder="1" applyAlignment="1">
      <alignment horizontal="center" vertical="center" wrapText="1"/>
    </xf>
    <xf numFmtId="3" fontId="8" fillId="55" borderId="1" xfId="0" applyNumberFormat="1" applyFont="1" applyFill="1" applyBorder="1" applyAlignment="1">
      <alignment horizontal="center" vertical="center" wrapText="1"/>
    </xf>
    <xf numFmtId="166" fontId="8" fillId="55" borderId="1" xfId="0" applyNumberFormat="1" applyFont="1" applyFill="1" applyBorder="1" applyAlignment="1">
      <alignment horizontal="center" vertical="center" wrapText="1"/>
    </xf>
    <xf numFmtId="166" fontId="8" fillId="54" borderId="1" xfId="0" applyNumberFormat="1" applyFont="1" applyFill="1" applyBorder="1" applyAlignment="1">
      <alignment horizontal="center" vertical="center" wrapText="1"/>
    </xf>
    <xf numFmtId="165" fontId="8" fillId="55" borderId="1" xfId="0" applyNumberFormat="1" applyFont="1" applyFill="1" applyBorder="1" applyAlignment="1">
      <alignment horizontal="center" vertical="center" wrapText="1"/>
    </xf>
    <xf numFmtId="9" fontId="8" fillId="55" borderId="1" xfId="3" applyFont="1" applyFill="1" applyBorder="1" applyAlignment="1">
      <alignment horizontal="center" vertical="center" wrapText="1"/>
    </xf>
    <xf numFmtId="44" fontId="20" fillId="48" borderId="26" xfId="2" applyFont="1" applyFill="1" applyBorder="1" applyAlignment="1">
      <alignment horizontal="left"/>
    </xf>
    <xf numFmtId="44" fontId="19" fillId="53" borderId="28" xfId="2" applyFont="1" applyFill="1" applyBorder="1" applyAlignment="1">
      <alignment horizontal="center" vertical="center"/>
    </xf>
    <xf numFmtId="44" fontId="19" fillId="53" borderId="28" xfId="2" applyFont="1" applyFill="1" applyBorder="1" applyAlignment="1">
      <alignment horizontal="center" vertical="center" wrapText="1"/>
    </xf>
    <xf numFmtId="44" fontId="19" fillId="53" borderId="25" xfId="2" applyFont="1" applyFill="1" applyBorder="1" applyAlignment="1">
      <alignment horizontal="center" vertical="center" wrapText="1"/>
    </xf>
    <xf numFmtId="0" fontId="0" fillId="0" borderId="24" xfId="0" applyBorder="1"/>
    <xf numFmtId="44" fontId="20" fillId="48" borderId="27" xfId="1" applyNumberFormat="1" applyFont="1" applyFill="1" applyBorder="1" applyAlignment="1">
      <alignment horizontal="right"/>
    </xf>
    <xf numFmtId="2" fontId="20" fillId="48" borderId="27" xfId="1" applyNumberFormat="1" applyFont="1" applyFill="1" applyBorder="1" applyAlignment="1">
      <alignment horizontal="right"/>
    </xf>
    <xf numFmtId="0" fontId="12" fillId="39" borderId="5" xfId="0" applyFont="1" applyFill="1" applyBorder="1" applyAlignment="1">
      <alignment horizontal="center" vertical="center" wrapText="1"/>
    </xf>
    <xf numFmtId="165" fontId="12" fillId="40" borderId="5" xfId="0" applyNumberFormat="1" applyFont="1" applyFill="1" applyBorder="1" applyAlignment="1">
      <alignment horizontal="center" vertical="center" wrapText="1"/>
    </xf>
    <xf numFmtId="173" fontId="12" fillId="41" borderId="5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65" fontId="12" fillId="0" borderId="6" xfId="0" applyNumberFormat="1" applyFont="1" applyBorder="1" applyAlignment="1">
      <alignment horizontal="center" vertical="center" wrapText="1"/>
    </xf>
    <xf numFmtId="173" fontId="12" fillId="0" borderId="6" xfId="0" applyNumberFormat="1" applyFont="1" applyBorder="1" applyAlignment="1">
      <alignment horizontal="center" vertical="center" wrapText="1"/>
    </xf>
    <xf numFmtId="4" fontId="9" fillId="34" borderId="3" xfId="0" applyNumberFormat="1" applyFont="1" applyFill="1" applyBorder="1" applyAlignment="1">
      <alignment horizontal="center" vertical="center" wrapText="1"/>
    </xf>
    <xf numFmtId="44" fontId="24" fillId="48" borderId="27" xfId="1" applyNumberFormat="1" applyFont="1" applyFill="1" applyBorder="1" applyAlignment="1">
      <alignment horizontal="right"/>
    </xf>
    <xf numFmtId="2" fontId="24" fillId="48" borderId="27" xfId="1" applyNumberFormat="1" applyFont="1" applyFill="1" applyBorder="1" applyAlignment="1">
      <alignment horizontal="right"/>
    </xf>
    <xf numFmtId="0" fontId="0" fillId="0" borderId="28" xfId="0" applyBorder="1"/>
    <xf numFmtId="44" fontId="20" fillId="48" borderId="25" xfId="1" applyNumberFormat="1" applyFont="1" applyFill="1" applyBorder="1" applyAlignment="1">
      <alignment horizontal="right"/>
    </xf>
    <xf numFmtId="2" fontId="20" fillId="48" borderId="25" xfId="1" applyNumberFormat="1" applyFont="1" applyFill="1" applyBorder="1" applyAlignment="1">
      <alignment horizontal="right"/>
    </xf>
    <xf numFmtId="0" fontId="25" fillId="56" borderId="0" xfId="0" applyFont="1" applyFill="1" applyAlignment="1">
      <alignment horizontal="center"/>
    </xf>
    <xf numFmtId="3" fontId="25" fillId="56" borderId="0" xfId="0" applyNumberFormat="1" applyFont="1" applyFill="1" applyAlignment="1">
      <alignment horizontal="center"/>
    </xf>
    <xf numFmtId="0" fontId="3" fillId="48" borderId="1" xfId="0" applyFont="1" applyFill="1" applyBorder="1" applyAlignment="1">
      <alignment horizontal="center" vertical="center" wrapText="1"/>
    </xf>
    <xf numFmtId="167" fontId="8" fillId="14" borderId="1" xfId="0" applyNumberFormat="1" applyFont="1" applyFill="1" applyBorder="1" applyAlignment="1">
      <alignment horizontal="center" vertical="center" wrapText="1"/>
    </xf>
    <xf numFmtId="167" fontId="9" fillId="33" borderId="3" xfId="0" applyNumberFormat="1" applyFont="1" applyFill="1" applyBorder="1" applyAlignment="1">
      <alignment horizontal="center" vertical="center" wrapText="1"/>
    </xf>
    <xf numFmtId="167" fontId="8" fillId="2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/>
    </xf>
    <xf numFmtId="0" fontId="10" fillId="44" borderId="4" xfId="0" applyFont="1" applyFill="1" applyBorder="1" applyAlignment="1">
      <alignment horizontal="left" vertical="center" wrapText="1"/>
    </xf>
    <xf numFmtId="0" fontId="12" fillId="43" borderId="4" xfId="0" applyFont="1" applyFill="1" applyBorder="1" applyAlignment="1">
      <alignment horizontal="center" vertical="center" wrapText="1"/>
    </xf>
    <xf numFmtId="0" fontId="12" fillId="46" borderId="4" xfId="0" applyFont="1" applyFill="1" applyBorder="1" applyAlignment="1">
      <alignment horizontal="left" vertical="center" wrapText="1"/>
    </xf>
    <xf numFmtId="0" fontId="12" fillId="42" borderId="5" xfId="0" applyFont="1" applyFill="1" applyBorder="1" applyAlignment="1">
      <alignment horizontal="center" vertical="center" wrapText="1"/>
    </xf>
    <xf numFmtId="0" fontId="10" fillId="35" borderId="4" xfId="0" applyFont="1" applyFill="1" applyBorder="1" applyAlignment="1">
      <alignment horizontal="center" vertical="center" wrapText="1"/>
    </xf>
    <xf numFmtId="0" fontId="8" fillId="36" borderId="4" xfId="0" applyFont="1" applyFill="1" applyBorder="1" applyAlignment="1">
      <alignment horizontal="center" vertical="center" wrapText="1"/>
    </xf>
    <xf numFmtId="0" fontId="15" fillId="49" borderId="21" xfId="0" applyFont="1" applyFill="1" applyBorder="1" applyAlignment="1">
      <alignment horizontal="center" vertical="center" wrapText="1"/>
    </xf>
    <xf numFmtId="0" fontId="15" fillId="49" borderId="22" xfId="0" applyFont="1" applyFill="1" applyBorder="1" applyAlignment="1">
      <alignment horizontal="center" vertical="center" wrapText="1"/>
    </xf>
    <xf numFmtId="0" fontId="13" fillId="47" borderId="7" xfId="0" applyFont="1" applyFill="1" applyBorder="1" applyAlignment="1">
      <alignment horizontal="center" vertical="center" wrapText="1"/>
    </xf>
    <xf numFmtId="0" fontId="13" fillId="47" borderId="8" xfId="0" applyFont="1" applyFill="1" applyBorder="1" applyAlignment="1">
      <alignment horizontal="center" vertical="center" wrapText="1"/>
    </xf>
    <xf numFmtId="0" fontId="13" fillId="47" borderId="9" xfId="0" applyFont="1" applyFill="1" applyBorder="1" applyAlignment="1">
      <alignment horizontal="center" vertical="center" wrapText="1"/>
    </xf>
    <xf numFmtId="0" fontId="14" fillId="49" borderId="7" xfId="0" applyFont="1" applyFill="1" applyBorder="1" applyAlignment="1">
      <alignment horizontal="center"/>
    </xf>
    <xf numFmtId="0" fontId="14" fillId="49" borderId="8" xfId="0" applyFont="1" applyFill="1" applyBorder="1" applyAlignment="1">
      <alignment horizontal="center"/>
    </xf>
    <xf numFmtId="0" fontId="14" fillId="49" borderId="18" xfId="0" applyFont="1" applyFill="1" applyBorder="1" applyAlignment="1">
      <alignment horizontal="center"/>
    </xf>
    <xf numFmtId="0" fontId="14" fillId="49" borderId="19" xfId="0" applyFont="1" applyFill="1" applyBorder="1" applyAlignment="1">
      <alignment horizontal="center"/>
    </xf>
    <xf numFmtId="0" fontId="14" fillId="49" borderId="20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E8E6E6"/>
      <color rgb="FFDCC5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outlinePr summaryBelow="0"/>
  </sheetPr>
  <dimension ref="B1:AS79"/>
  <sheetViews>
    <sheetView showGridLines="0" tabSelected="1" zoomScale="80" zoomScaleNormal="80" workbookViewId="0">
      <pane xSplit="6" ySplit="4" topLeftCell="G48" activePane="bottomRight" state="frozen"/>
      <selection pane="topRight" activeCell="E1" sqref="E1"/>
      <selection pane="bottomLeft" activeCell="A5" sqref="A5"/>
      <selection pane="bottomRight" activeCell="AT64" sqref="AT64"/>
    </sheetView>
  </sheetViews>
  <sheetFormatPr defaultRowHeight="15" x14ac:dyDescent="0.25"/>
  <cols>
    <col min="2" max="2" width="9.140625" hidden="1" customWidth="1"/>
    <col min="3" max="3" width="42.42578125" customWidth="1"/>
    <col min="4" max="4" width="10.42578125" customWidth="1"/>
    <col min="5" max="6" width="45.140625" customWidth="1"/>
    <col min="7" max="7" width="19.140625" customWidth="1"/>
    <col min="8" max="10" width="17.5703125" customWidth="1"/>
    <col min="11" max="13" width="18.5703125" customWidth="1"/>
    <col min="14" max="15" width="17.5703125" customWidth="1"/>
    <col min="16" max="20" width="21.140625" customWidth="1"/>
    <col min="21" max="23" width="25.85546875" customWidth="1"/>
    <col min="24" max="24" width="18.42578125" customWidth="1"/>
    <col min="25" max="25" width="25.42578125" customWidth="1"/>
    <col min="26" max="26" width="33.85546875" customWidth="1"/>
    <col min="27" max="28" width="12.7109375" customWidth="1"/>
    <col min="29" max="29" width="17.42578125" customWidth="1"/>
    <col min="30" max="30" width="20.85546875" customWidth="1"/>
    <col min="31" max="31" width="23.42578125" customWidth="1"/>
    <col min="32" max="33" width="15.85546875" customWidth="1"/>
    <col min="34" max="34" width="17.42578125" customWidth="1"/>
    <col min="35" max="35" width="19.85546875" customWidth="1"/>
    <col min="36" max="36" width="12.5703125" customWidth="1"/>
    <col min="37" max="37" width="19.5703125" customWidth="1"/>
    <col min="38" max="38" width="17.85546875" customWidth="1"/>
    <col min="39" max="39" width="21.5703125" customWidth="1"/>
    <col min="40" max="40" width="20.7109375" customWidth="1"/>
    <col min="41" max="41" width="21.42578125" customWidth="1"/>
    <col min="42" max="42" width="13.5703125" customWidth="1"/>
    <col min="43" max="43" width="37.7109375" customWidth="1"/>
    <col min="44" max="44" width="16.28515625" customWidth="1"/>
    <col min="45" max="45" width="0" hidden="1" customWidth="1"/>
  </cols>
  <sheetData>
    <row r="1" spans="2:45" ht="30" customHeight="1" thickBot="1" x14ac:dyDescent="0.3">
      <c r="C1" s="1" t="s">
        <v>0</v>
      </c>
      <c r="D1" s="116" t="s">
        <v>1</v>
      </c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Q1" s="2" t="s">
        <v>2</v>
      </c>
      <c r="AR1" s="3">
        <f>'APP 2885'!E63</f>
        <v>5.0599999999999999E-2</v>
      </c>
      <c r="AS1" t="s">
        <v>183</v>
      </c>
    </row>
    <row r="2" spans="2:45" ht="30" customHeight="1" thickBot="1" x14ac:dyDescent="0.3">
      <c r="C2" s="1">
        <v>2024</v>
      </c>
      <c r="D2" s="117" t="s">
        <v>3</v>
      </c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Q2" s="2" t="s">
        <v>4</v>
      </c>
      <c r="AR2" s="3">
        <f>'APP 2885'!E65</f>
        <v>0.02</v>
      </c>
      <c r="AS2" t="s">
        <v>184</v>
      </c>
    </row>
    <row r="3" spans="2:45" ht="24.95" customHeight="1" thickBot="1" x14ac:dyDescent="0.3">
      <c r="C3" s="83" t="s">
        <v>182</v>
      </c>
      <c r="D3" s="118" t="s">
        <v>184</v>
      </c>
      <c r="E3" s="119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Q3" s="2" t="s">
        <v>5</v>
      </c>
      <c r="AR3" s="3">
        <f>'APP 2885'!E62</f>
        <v>5.0599999999999999E-2</v>
      </c>
    </row>
    <row r="4" spans="2:45" ht="45.75" customHeight="1" thickTop="1" thickBot="1" x14ac:dyDescent="0.3">
      <c r="B4" t="s">
        <v>188</v>
      </c>
      <c r="C4" s="4" t="s">
        <v>6</v>
      </c>
      <c r="D4" s="4" t="s">
        <v>7</v>
      </c>
      <c r="E4" s="4" t="s">
        <v>8</v>
      </c>
      <c r="F4" s="4" t="s">
        <v>187</v>
      </c>
      <c r="G4" s="64" t="s">
        <v>197</v>
      </c>
      <c r="H4" s="4" t="s">
        <v>199</v>
      </c>
      <c r="I4" s="4" t="s">
        <v>201</v>
      </c>
      <c r="J4" s="4" t="s">
        <v>202</v>
      </c>
      <c r="K4" s="85" t="s">
        <v>174</v>
      </c>
      <c r="L4" s="85" t="s">
        <v>196</v>
      </c>
      <c r="M4" s="85" t="s">
        <v>205</v>
      </c>
      <c r="N4" s="4" t="s">
        <v>198</v>
      </c>
      <c r="O4" s="4" t="s">
        <v>195</v>
      </c>
      <c r="P4" s="4" t="s">
        <v>9</v>
      </c>
      <c r="Q4" s="85" t="s">
        <v>176</v>
      </c>
      <c r="R4" s="85" t="s">
        <v>177</v>
      </c>
      <c r="S4" s="4" t="s">
        <v>175</v>
      </c>
      <c r="T4" s="4" t="s">
        <v>10</v>
      </c>
      <c r="U4" s="4" t="s">
        <v>11</v>
      </c>
      <c r="V4" s="85" t="s">
        <v>178</v>
      </c>
      <c r="W4" s="4" t="s">
        <v>179</v>
      </c>
      <c r="X4" s="4" t="s">
        <v>12</v>
      </c>
      <c r="Y4" s="4" t="s">
        <v>13</v>
      </c>
      <c r="Z4" s="4" t="s">
        <v>14</v>
      </c>
      <c r="AA4" s="4" t="s">
        <v>15</v>
      </c>
      <c r="AB4" s="85" t="s">
        <v>180</v>
      </c>
      <c r="AC4" s="4" t="s">
        <v>181</v>
      </c>
      <c r="AD4" s="4" t="s">
        <v>16</v>
      </c>
      <c r="AE4" s="4" t="s">
        <v>17</v>
      </c>
      <c r="AF4" s="4" t="s">
        <v>18</v>
      </c>
      <c r="AG4" s="85" t="s">
        <v>185</v>
      </c>
      <c r="AH4" s="4" t="s">
        <v>186</v>
      </c>
      <c r="AI4" s="4" t="s">
        <v>19</v>
      </c>
      <c r="AJ4" s="4" t="s">
        <v>20</v>
      </c>
      <c r="AK4" s="4" t="s">
        <v>21</v>
      </c>
      <c r="AL4" s="4" t="s">
        <v>22</v>
      </c>
      <c r="AM4" s="4" t="s">
        <v>23</v>
      </c>
      <c r="AN4" s="4" t="s">
        <v>24</v>
      </c>
      <c r="AO4" s="4" t="s">
        <v>25</v>
      </c>
      <c r="AQ4" s="112" t="s">
        <v>224</v>
      </c>
      <c r="AR4" s="69">
        <v>1708246</v>
      </c>
    </row>
    <row r="5" spans="2:45" ht="15.75" thickBot="1" x14ac:dyDescent="0.3">
      <c r="B5" s="66" t="str">
        <f>C5&amp;"_"&amp;D5&amp;"_"&amp;E5</f>
        <v>0.91 UEF Tankless Water Heater_Zone 1_0.91+ UEF</v>
      </c>
      <c r="C5" s="33" t="s">
        <v>26</v>
      </c>
      <c r="D5" s="33" t="s">
        <v>27</v>
      </c>
      <c r="E5" s="33" t="s">
        <v>28</v>
      </c>
      <c r="F5" s="33" t="str">
        <f t="shared" ref="F5:F18" si="0">E5</f>
        <v>0.91+ UEF</v>
      </c>
      <c r="G5" s="5">
        <v>62</v>
      </c>
      <c r="H5" s="5">
        <f t="shared" ref="H5:H25" si="1">ROUND((G5/(7/12))*0.68,0)</f>
        <v>72</v>
      </c>
      <c r="I5" s="5">
        <f>ROUND(IFERROR(H5*IF(M5&lt;15%,(1+(M5+15%)),(1+M5)),H5),0)</f>
        <v>99</v>
      </c>
      <c r="J5" s="5">
        <v>62</v>
      </c>
      <c r="K5" s="5">
        <f>INDEX('Res Measure Mapping'!$X:$X,MATCH($B5,'Res Measure Mapping'!$B:$B,0))</f>
        <v>277.55282274129382</v>
      </c>
      <c r="L5" s="5">
        <f>INDEX('Res Measure Mapping'!$Y:$Y,MATCH($B5,'Res Measure Mapping'!$B:$B,0))</f>
        <v>382.34164728935735</v>
      </c>
      <c r="M5" s="74">
        <f>IFERROR((L5-K5)/K5,"N/A")</f>
        <v>0.37754551913073819</v>
      </c>
      <c r="N5" s="5">
        <f t="shared" ref="N5:N25" si="2">ROUND((J5/(7/12))*0.68,0)</f>
        <v>72</v>
      </c>
      <c r="O5" s="5">
        <f>ROUND(IFERROR(N5*IF(M5&lt;15%,(1+(M5+15%)),(1+M5)),N5),0)</f>
        <v>99</v>
      </c>
      <c r="P5" s="6">
        <v>64.58</v>
      </c>
      <c r="Q5" s="68">
        <f>INDEX('Res Measure Mapping'!$Q:$Q,MATCH($B5,'Res Measure Mapping'!$B:$B,0))</f>
        <v>64.799975134263008</v>
      </c>
      <c r="R5" s="68" t="str">
        <f>INDEX('Res Measure Mapping'!$R:$R,MATCH($B5,'Res Measure Mapping'!$B:$B,0))</f>
        <v>unit</v>
      </c>
      <c r="S5" s="6">
        <f t="shared" ref="S5:S18" si="3">Q5</f>
        <v>64.799975134263008</v>
      </c>
      <c r="T5" s="59">
        <f>IF($D$3="Original",IF(ISNUMBER(J5),J5*P5,""),IF(ISNUMBER(N5),N5*S5,""))</f>
        <v>4665.5982096669368</v>
      </c>
      <c r="U5" s="7">
        <v>1171</v>
      </c>
      <c r="V5" s="7">
        <f>INDEX('Res Measure Mapping'!$S:$S,MATCH($B5,'Res Measure Mapping'!$B:$B,0))</f>
        <v>1372.8834736842109</v>
      </c>
      <c r="W5" s="7">
        <f t="shared" ref="W5:W18" si="4">V5</f>
        <v>1372.8834736842109</v>
      </c>
      <c r="X5" s="8">
        <f t="shared" ref="X5:X33" si="5">IF($D$3="Original",PV($AR$3,$AA5,(-0.05*0.95*$P5)),PV($AR$3,$AC5,(-0.05*0.95*$S5)))</f>
        <v>38.164270963406679</v>
      </c>
      <c r="Y5" s="8">
        <f>IF($D$3="Original",IF(ISNUMBER(U5),U5*J5,""),IF(ISNUMBER(W5),W5*N5,""))</f>
        <v>98847.610105263186</v>
      </c>
      <c r="Z5" s="8">
        <f>IF($D$3="Original",Y5-G5*(X5),Y5-H5*(X5))</f>
        <v>96099.782595897908</v>
      </c>
      <c r="AA5" s="5">
        <v>13</v>
      </c>
      <c r="AB5" s="5">
        <f>INDEX('Res Measure Mapping'!$T:$T,MATCH($B5,'Res Measure Mapping'!$B:$B,0))</f>
        <v>20</v>
      </c>
      <c r="AC5" s="5">
        <f>IFERROR(ROUND(AB5,0),AA5)</f>
        <v>20</v>
      </c>
      <c r="AD5" s="59">
        <f t="shared" ref="AD5:AD33" si="6">IF($D$3="Original",PV($AR$3,$AA5,-$T5),PV($AR$3,$AC5,-$T5))</f>
        <v>57849.000197163812</v>
      </c>
      <c r="AE5" s="7">
        <f t="shared" ref="AE5:AE36" si="7">(T5/$T$78)*$AR$4</f>
        <v>17872.000586887363</v>
      </c>
      <c r="AF5" s="7">
        <v>350</v>
      </c>
      <c r="AG5" s="7">
        <f>INDEX('Res Measure Mapping'!$U:$U,MATCH($B5,'Res Measure Mapping'!$B:$B,0))</f>
        <v>661.94804201166164</v>
      </c>
      <c r="AH5" s="113">
        <v>700</v>
      </c>
      <c r="AI5" s="61">
        <f t="shared" ref="AI5:AI33" si="8">IF($D$3="Original",IF(ISNUMBER(AF5),AF5*J5,""),IF(ISNUMBER(AH5),AH5*N5,""))</f>
        <v>50400</v>
      </c>
      <c r="AJ5" s="9">
        <f t="shared" ref="AJ5:AJ33" si="9">IF(ISERROR(AI5/AD5),0,AI5/AD5)</f>
        <v>0.87123372622213413</v>
      </c>
      <c r="AK5" s="9">
        <f t="shared" ref="AK5:AK33" si="10">IF(ISERROR((AE5+AI5)/AD5),0,(AE5+AI5)/AD5)</f>
        <v>1.1801759815070159</v>
      </c>
      <c r="AL5" s="10">
        <f>IFERROR(IF(D3="Original",IF($AI5=0,"-",(INDEX('APP 2885'!$G:$G,MATCH($C$2+$AA5-1,'APP 2885'!$A:$A,0))*$T5)/($AI5+$AE5)),IF($AI5=0,"-",(INDEX('APP 2885'!G:G,MATCH($C$2+$AC5-1,'APP 2885'!$A:$A,0))*$T5)/($AI5+$AE5))),"N/A")</f>
        <v>2.7891692467085347</v>
      </c>
      <c r="AM5" s="11">
        <f t="shared" ref="AM5:AM33" si="11">IF(ISERROR(SE5/AD5),0,Z5/AD5)</f>
        <v>1.661217692066689</v>
      </c>
      <c r="AN5" s="12">
        <f t="shared" ref="AN5:AN33" si="12">IF(ISERROR(Z5/AD5),0,(Z5+AE5)/AD5)</f>
        <v>1.9701599473515707</v>
      </c>
      <c r="AO5" s="10">
        <f>IFERROR(IF(D3="Original",IF($AI5=0,"-",(INDEX('APP 2885'!$G:$G,MATCH($C$2+$AA5-1,'APP 2885'!$A:$A,0))*$T5)/($Z5+$AE5)),IF($AI5=0,"-",(INDEX('APP 2885'!G:G,MATCH($C$2+$AC5-1,'APP 2885'!$A:$A,0))*$T5)/($Z5+$AE5))),"N/A")</f>
        <v>1.6707834091076619</v>
      </c>
      <c r="AQ5" s="13"/>
      <c r="AR5" s="13"/>
    </row>
    <row r="6" spans="2:45" ht="15.75" thickBot="1" x14ac:dyDescent="0.3">
      <c r="B6" s="66" t="str">
        <f t="shared" ref="B6:B63" si="13">C6&amp;"_"&amp;D6&amp;"_"&amp;E6</f>
        <v>0.91 UEF Tankless Water Heater_Zone 2_0.91+ UEF</v>
      </c>
      <c r="C6" s="34" t="s">
        <v>26</v>
      </c>
      <c r="D6" s="34" t="s">
        <v>29</v>
      </c>
      <c r="E6" s="34" t="s">
        <v>28</v>
      </c>
      <c r="F6" s="34" t="str">
        <f t="shared" si="0"/>
        <v>0.91+ UEF</v>
      </c>
      <c r="G6" s="14">
        <v>12</v>
      </c>
      <c r="H6" s="14">
        <f t="shared" si="1"/>
        <v>14</v>
      </c>
      <c r="I6" s="14">
        <f t="shared" ref="I6:I63" si="14">ROUND(IFERROR(H6*IF(M6&lt;15%,(1+(M6+15%)),(1+M6)),H6),0)</f>
        <v>19</v>
      </c>
      <c r="J6" s="14">
        <v>12</v>
      </c>
      <c r="K6" s="86">
        <f>INDEX('Res Measure Mapping'!$X:$X,MATCH($B6,'Res Measure Mapping'!$B:$B,0))</f>
        <v>134.40789426614219</v>
      </c>
      <c r="L6" s="86">
        <f>INDEX('Res Measure Mapping'!$Y:$Y,MATCH($B6,'Res Measure Mapping'!$B:$B,0))</f>
        <v>185.15299248212216</v>
      </c>
      <c r="M6" s="90">
        <f t="shared" ref="M6:M63" si="15">IFERROR((L6-K6)/K6,"N/A")</f>
        <v>0.37754551913073775</v>
      </c>
      <c r="N6" s="14">
        <f t="shared" si="2"/>
        <v>14</v>
      </c>
      <c r="O6" s="14">
        <f t="shared" ref="O6:O63" si="16">ROUND(IFERROR(N6*IF(M6&lt;15%,(1+(M6+15%)),(1+M6)),N6),0)</f>
        <v>19</v>
      </c>
      <c r="P6" s="15">
        <v>64.22</v>
      </c>
      <c r="Q6" s="87">
        <f>INDEX('Res Measure Mapping'!$Q:$Q,MATCH($B6,'Res Measure Mapping'!$B:$B,0))</f>
        <v>64.440972501940209</v>
      </c>
      <c r="R6" s="87" t="str">
        <f>INDEX('Res Measure Mapping'!$R:$R,MATCH($B6,'Res Measure Mapping'!$B:$B,0))</f>
        <v>unit</v>
      </c>
      <c r="S6" s="88">
        <f t="shared" si="3"/>
        <v>64.440972501940209</v>
      </c>
      <c r="T6" s="60">
        <f t="shared" ref="T6:T63" si="17">IF($D$3="Original",IF(ISNUMBER(J6),J6*P6,""),IF(ISNUMBER(N6),N6*S6,""))</f>
        <v>902.1736150271629</v>
      </c>
      <c r="U6" s="16">
        <v>1171</v>
      </c>
      <c r="V6" s="89">
        <f>INDEX('Res Measure Mapping'!$S:$S,MATCH($B6,'Res Measure Mapping'!$B:$B,0))</f>
        <v>1372.8834736842109</v>
      </c>
      <c r="W6" s="76">
        <f t="shared" si="4"/>
        <v>1372.8834736842109</v>
      </c>
      <c r="X6" s="17">
        <f t="shared" si="5"/>
        <v>37.952834559177276</v>
      </c>
      <c r="Y6" s="17">
        <f t="shared" ref="Y6:Y63" si="18">IF($D$3="Original",IF(ISNUMBER(U6),U6*J6,""),IF(ISNUMBER(W6),W6*N6,""))</f>
        <v>19220.368631578953</v>
      </c>
      <c r="Z6" s="17">
        <f t="shared" ref="Z6:Z63" si="19">IF($D$3="Original",Y6-G6*(X6),Y6-H6*(X6))</f>
        <v>18689.02894775047</v>
      </c>
      <c r="AA6" s="14">
        <v>13</v>
      </c>
      <c r="AB6" s="86">
        <f>INDEX('Res Measure Mapping'!$T:$T,MATCH($B6,'Res Measure Mapping'!$B:$B,0))</f>
        <v>20</v>
      </c>
      <c r="AC6" s="14">
        <f t="shared" ref="AC6:AC69" si="20">IFERROR(ROUND(AB6,0),AA6)</f>
        <v>20</v>
      </c>
      <c r="AD6" s="60">
        <f t="shared" si="6"/>
        <v>11186.098606915406</v>
      </c>
      <c r="AE6" s="16">
        <f t="shared" si="7"/>
        <v>3455.8585314595207</v>
      </c>
      <c r="AF6" s="16">
        <v>350</v>
      </c>
      <c r="AG6" s="89">
        <f>INDEX('Res Measure Mapping'!$U:$U,MATCH($B6,'Res Measure Mapping'!$B:$B,0))</f>
        <v>661.94804201166164</v>
      </c>
      <c r="AH6" s="115">
        <v>700</v>
      </c>
      <c r="AI6" s="62">
        <f t="shared" si="8"/>
        <v>9800</v>
      </c>
      <c r="AJ6" s="18">
        <f t="shared" si="9"/>
        <v>0.87608739600610175</v>
      </c>
      <c r="AK6" s="18">
        <f t="shared" si="10"/>
        <v>1.1850296512909835</v>
      </c>
      <c r="AL6" s="84">
        <f>IFERROR(IF(D4="Original",IF($AI6=0,"-",(INDEX('APP 2885'!$G:$G,MATCH($C$2+$AA6-1,'APP 2885'!$A:$A,0))*$T6)/($AI6+$AE6)),IF($AI6=0,"-",(INDEX('APP 2885'!G:G,MATCH($C$2+$AC6-1,'APP 2885'!$A:$A,0))*$T6)/($AI6+$AE6))),"N/A")</f>
        <v>2.7777453076700702</v>
      </c>
      <c r="AM6" s="20">
        <f t="shared" si="11"/>
        <v>1.6707370106854453</v>
      </c>
      <c r="AN6" s="21">
        <f t="shared" si="12"/>
        <v>1.9796792659703273</v>
      </c>
      <c r="AO6" s="84">
        <f>IFERROR(IF(D4="Original",IF($AI6=0,"-",(INDEX('APP 2885'!$G:$G,MATCH($C$2+$AA6-1,'APP 2885'!$A:$A,0))*$T6)/($Z6+$AE6)),IF($AI6=0,"-",(INDEX('APP 2885'!G:G,MATCH($C$2+$AC6-1,'APP 2885'!$A:$A,0))*$T6)/($Z6+$AE6))),"N/A")</f>
        <v>1.6627494210331175</v>
      </c>
      <c r="AQ6" s="13"/>
      <c r="AR6" s="13"/>
    </row>
    <row r="7" spans="2:45" ht="15.75" thickBot="1" x14ac:dyDescent="0.3">
      <c r="B7" s="66" t="str">
        <f t="shared" si="13"/>
        <v>0.91 UEF Tankless Water Heater_Zone 2_0.91+ UEF</v>
      </c>
      <c r="C7" s="33" t="s">
        <v>26</v>
      </c>
      <c r="D7" s="33" t="s">
        <v>29</v>
      </c>
      <c r="E7" s="33" t="s">
        <v>28</v>
      </c>
      <c r="F7" s="33" t="str">
        <f t="shared" si="0"/>
        <v>0.91+ UEF</v>
      </c>
      <c r="G7" s="5">
        <v>1</v>
      </c>
      <c r="H7" s="5">
        <f t="shared" si="1"/>
        <v>1</v>
      </c>
      <c r="I7" s="5">
        <f t="shared" si="14"/>
        <v>1</v>
      </c>
      <c r="J7" s="5">
        <v>1</v>
      </c>
      <c r="K7" s="5">
        <f>INDEX('Res Measure Mapping'!$X:$X,MATCH($B7,'Res Measure Mapping'!$B:$B,0))</f>
        <v>134.40789426614219</v>
      </c>
      <c r="L7" s="5">
        <f>INDEX('Res Measure Mapping'!$Y:$Y,MATCH($B7,'Res Measure Mapping'!$B:$B,0))</f>
        <v>185.15299248212216</v>
      </c>
      <c r="M7" s="74">
        <f t="shared" si="15"/>
        <v>0.37754551913073775</v>
      </c>
      <c r="N7" s="5">
        <f t="shared" si="2"/>
        <v>1</v>
      </c>
      <c r="O7" s="5">
        <f t="shared" si="16"/>
        <v>1</v>
      </c>
      <c r="P7" s="6">
        <v>60.03</v>
      </c>
      <c r="Q7" s="68">
        <f>INDEX('Res Measure Mapping'!$Q:$Q,MATCH($B7,'Res Measure Mapping'!$B:$B,0))</f>
        <v>64.440972501940209</v>
      </c>
      <c r="R7" s="68" t="str">
        <f>INDEX('Res Measure Mapping'!$R:$R,MATCH($B7,'Res Measure Mapping'!$B:$B,0))</f>
        <v>unit</v>
      </c>
      <c r="S7" s="6">
        <f t="shared" si="3"/>
        <v>64.440972501940209</v>
      </c>
      <c r="T7" s="59">
        <f t="shared" si="17"/>
        <v>64.440972501940209</v>
      </c>
      <c r="U7" s="7">
        <v>2533.17</v>
      </c>
      <c r="V7" s="7">
        <f>INDEX('Res Measure Mapping'!$S:$S,MATCH($B7,'Res Measure Mapping'!$B:$B,0))</f>
        <v>1372.8834736842109</v>
      </c>
      <c r="W7" s="7">
        <f t="shared" si="4"/>
        <v>1372.8834736842109</v>
      </c>
      <c r="X7" s="8">
        <f t="shared" si="5"/>
        <v>37.952834559177276</v>
      </c>
      <c r="Y7" s="8">
        <f t="shared" si="18"/>
        <v>1372.8834736842109</v>
      </c>
      <c r="Z7" s="8">
        <f t="shared" si="19"/>
        <v>1334.9306391250336</v>
      </c>
      <c r="AA7" s="5">
        <v>19</v>
      </c>
      <c r="AB7" s="5">
        <f>INDEX('Res Measure Mapping'!$T:$T,MATCH($B7,'Res Measure Mapping'!$B:$B,0))</f>
        <v>20</v>
      </c>
      <c r="AC7" s="5">
        <f t="shared" si="20"/>
        <v>20</v>
      </c>
      <c r="AD7" s="59">
        <f t="shared" si="6"/>
        <v>799.00704335110038</v>
      </c>
      <c r="AE7" s="7">
        <f t="shared" si="7"/>
        <v>246.84703796139434</v>
      </c>
      <c r="AF7" s="7">
        <v>350</v>
      </c>
      <c r="AG7" s="7">
        <f>INDEX('Res Measure Mapping'!$U:$U,MATCH($B7,'Res Measure Mapping'!$B:$B,0))</f>
        <v>661.94804201166164</v>
      </c>
      <c r="AH7" s="113">
        <v>700</v>
      </c>
      <c r="AI7" s="61">
        <f t="shared" si="8"/>
        <v>700</v>
      </c>
      <c r="AJ7" s="9">
        <f t="shared" si="9"/>
        <v>0.87608739600610175</v>
      </c>
      <c r="AK7" s="9">
        <f t="shared" si="10"/>
        <v>1.1850296512909837</v>
      </c>
      <c r="AL7" s="10">
        <f>IFERROR(IF(D5="Original",IF($AI7=0,"-",(INDEX('APP 2885'!$G:$G,MATCH($C$2+$AA7-1,'APP 2885'!$A:$A,0))*$T7)/($AI7+$AE7)),IF($AI7=0,"-",(INDEX('APP 2885'!G:G,MATCH($C$2+$AC7-1,'APP 2885'!$A:$A,0))*$T7)/($AI7+$AE7))),"N/A")</f>
        <v>2.7777453076700702</v>
      </c>
      <c r="AM7" s="11">
        <f t="shared" si="11"/>
        <v>1.6707370106854456</v>
      </c>
      <c r="AN7" s="12">
        <f t="shared" si="12"/>
        <v>1.9796792659703273</v>
      </c>
      <c r="AO7" s="10">
        <f>IFERROR(IF(D5="Original",IF($AI7=0,"-",(INDEX('APP 2885'!$G:$G,MATCH($C$2+$AA7-1,'APP 2885'!$A:$A,0))*$T7)/($Z7+$AE7)),IF($AI7=0,"-",(INDEX('APP 2885'!G:G,MATCH($C$2+$AC7-1,'APP 2885'!$A:$A,0))*$T7)/($Z7+$AE7))),"N/A")</f>
        <v>1.6627494210331177</v>
      </c>
      <c r="AQ7" s="13"/>
      <c r="AR7" s="13"/>
    </row>
    <row r="8" spans="2:45" ht="15.75" thickBot="1" x14ac:dyDescent="0.3">
      <c r="B8" s="66" t="str">
        <f t="shared" si="13"/>
        <v>0.91 UEF Tankless Water Heater_Zone 3_0.91+ UEF</v>
      </c>
      <c r="C8" s="34" t="s">
        <v>26</v>
      </c>
      <c r="D8" s="34" t="s">
        <v>30</v>
      </c>
      <c r="E8" s="34" t="s">
        <v>28</v>
      </c>
      <c r="F8" s="34" t="str">
        <f t="shared" si="0"/>
        <v>0.91+ UEF</v>
      </c>
      <c r="G8" s="14">
        <v>24</v>
      </c>
      <c r="H8" s="14">
        <f t="shared" si="1"/>
        <v>28</v>
      </c>
      <c r="I8" s="14">
        <f t="shared" si="14"/>
        <v>40</v>
      </c>
      <c r="J8" s="14">
        <v>24</v>
      </c>
      <c r="K8" s="86">
        <f>INDEX('Res Measure Mapping'!$X:$X,MATCH($B8,'Res Measure Mapping'!$B:$B,0))</f>
        <v>159.79924914328984</v>
      </c>
      <c r="L8" s="86">
        <f>INDEX('Res Measure Mapping'!$Y:$Y,MATCH($B8,'Res Measure Mapping'!$B:$B,0))</f>
        <v>226.89765682055514</v>
      </c>
      <c r="M8" s="90">
        <f t="shared" si="15"/>
        <v>0.4198918833285572</v>
      </c>
      <c r="N8" s="14">
        <f t="shared" si="2"/>
        <v>28</v>
      </c>
      <c r="O8" s="14">
        <f t="shared" si="16"/>
        <v>40</v>
      </c>
      <c r="P8" s="15">
        <v>63.68</v>
      </c>
      <c r="Q8" s="87">
        <f>INDEX('Res Measure Mapping'!$Q:$Q,MATCH($B8,'Res Measure Mapping'!$B:$B,0))</f>
        <v>61.831578947368456</v>
      </c>
      <c r="R8" s="87" t="str">
        <f>INDEX('Res Measure Mapping'!$R:$R,MATCH($B8,'Res Measure Mapping'!$B:$B,0))</f>
        <v>unit</v>
      </c>
      <c r="S8" s="88">
        <f t="shared" si="3"/>
        <v>61.831578947368456</v>
      </c>
      <c r="T8" s="60">
        <f t="shared" si="17"/>
        <v>1731.2842105263167</v>
      </c>
      <c r="U8" s="16">
        <v>1171</v>
      </c>
      <c r="V8" s="89">
        <f>INDEX('Res Measure Mapping'!$S:$S,MATCH($B8,'Res Measure Mapping'!$B:$B,0))</f>
        <v>1372.8804578479323</v>
      </c>
      <c r="W8" s="76">
        <f t="shared" si="4"/>
        <v>1372.8804578479323</v>
      </c>
      <c r="X8" s="17">
        <f t="shared" si="5"/>
        <v>36.416019113484495</v>
      </c>
      <c r="Y8" s="17">
        <f t="shared" si="18"/>
        <v>38440.652819742107</v>
      </c>
      <c r="Z8" s="17">
        <f t="shared" si="19"/>
        <v>37421.004284564544</v>
      </c>
      <c r="AA8" s="14">
        <v>13</v>
      </c>
      <c r="AB8" s="86">
        <f>INDEX('Res Measure Mapping'!$T:$T,MATCH($B8,'Res Measure Mapping'!$B:$B,0))</f>
        <v>20</v>
      </c>
      <c r="AC8" s="14">
        <f t="shared" si="20"/>
        <v>20</v>
      </c>
      <c r="AD8" s="60">
        <f t="shared" si="6"/>
        <v>21466.284951106649</v>
      </c>
      <c r="AE8" s="16">
        <f t="shared" si="7"/>
        <v>6631.8424853828074</v>
      </c>
      <c r="AF8" s="16">
        <v>350</v>
      </c>
      <c r="AG8" s="89">
        <f>INDEX('Res Measure Mapping'!$U:$U,MATCH($B8,'Res Measure Mapping'!$B:$B,0))</f>
        <v>661.94804201166164</v>
      </c>
      <c r="AH8" s="115">
        <v>700</v>
      </c>
      <c r="AI8" s="62">
        <f t="shared" si="8"/>
        <v>19600</v>
      </c>
      <c r="AJ8" s="18">
        <f t="shared" si="9"/>
        <v>0.91305971408851361</v>
      </c>
      <c r="AK8" s="18">
        <f t="shared" si="10"/>
        <v>1.2220019693733954</v>
      </c>
      <c r="AL8" s="84">
        <f>IFERROR(IF(D6="Original",IF($AI8=0,"-",(INDEX('APP 2885'!$G:$G,MATCH($C$2+$AA8-1,'APP 2885'!$A:$A,0))*$T8)/($AI8+$AE8)),IF($AI8=0,"-",(INDEX('APP 2885'!G:G,MATCH($C$2+$AC8-1,'APP 2885'!$A:$A,0))*$T8)/($AI8+$AE8))),"N/A")</f>
        <v>2.6937031492766867</v>
      </c>
      <c r="AM8" s="20">
        <f t="shared" si="11"/>
        <v>1.7432454833147728</v>
      </c>
      <c r="AN8" s="21">
        <f t="shared" si="12"/>
        <v>2.0521877385996548</v>
      </c>
      <c r="AO8" s="84">
        <f>IFERROR(IF(D6="Original",IF($AI8=0,"-",(INDEX('APP 2885'!$G:$G,MATCH($C$2+$AA8-1,'APP 2885'!$A:$A,0))*$T8)/($Z8+$AE8)),IF($AI8=0,"-",(INDEX('APP 2885'!G:G,MATCH($C$2+$AC8-1,'APP 2885'!$A:$A,0))*$T8)/($Z8+$AE8))),"N/A")</f>
        <v>1.6040006922415313</v>
      </c>
      <c r="AQ8" s="13"/>
      <c r="AR8" s="13"/>
    </row>
    <row r="9" spans="2:45" ht="15.75" thickBot="1" x14ac:dyDescent="0.3">
      <c r="B9" s="66" t="str">
        <f t="shared" si="13"/>
        <v>0.91 UEF Tankless Water Heater_Zone 3_0.91+ UEF</v>
      </c>
      <c r="C9" s="33" t="s">
        <v>26</v>
      </c>
      <c r="D9" s="33" t="s">
        <v>30</v>
      </c>
      <c r="E9" s="33" t="s">
        <v>28</v>
      </c>
      <c r="F9" s="33" t="str">
        <f t="shared" si="0"/>
        <v>0.91+ UEF</v>
      </c>
      <c r="G9" s="5">
        <v>1</v>
      </c>
      <c r="H9" s="5">
        <f t="shared" si="1"/>
        <v>1</v>
      </c>
      <c r="I9" s="5">
        <f t="shared" si="14"/>
        <v>1</v>
      </c>
      <c r="J9" s="5">
        <v>1</v>
      </c>
      <c r="K9" s="5">
        <f>INDEX('Res Measure Mapping'!$X:$X,MATCH($B9,'Res Measure Mapping'!$B:$B,0))</f>
        <v>159.79924914328984</v>
      </c>
      <c r="L9" s="5">
        <f>INDEX('Res Measure Mapping'!$Y:$Y,MATCH($B9,'Res Measure Mapping'!$B:$B,0))</f>
        <v>226.89765682055514</v>
      </c>
      <c r="M9" s="74">
        <f t="shared" si="15"/>
        <v>0.4198918833285572</v>
      </c>
      <c r="N9" s="5">
        <f t="shared" si="2"/>
        <v>1</v>
      </c>
      <c r="O9" s="5">
        <f t="shared" si="16"/>
        <v>1</v>
      </c>
      <c r="P9" s="6">
        <v>60.03</v>
      </c>
      <c r="Q9" s="68">
        <f>INDEX('Res Measure Mapping'!$Q:$Q,MATCH($B9,'Res Measure Mapping'!$B:$B,0))</f>
        <v>61.831578947368456</v>
      </c>
      <c r="R9" s="68" t="str">
        <f>INDEX('Res Measure Mapping'!$R:$R,MATCH($B9,'Res Measure Mapping'!$B:$B,0))</f>
        <v>unit</v>
      </c>
      <c r="S9" s="6">
        <f t="shared" si="3"/>
        <v>61.831578947368456</v>
      </c>
      <c r="T9" s="59">
        <f t="shared" si="17"/>
        <v>61.831578947368456</v>
      </c>
      <c r="U9" s="7">
        <v>2533.17</v>
      </c>
      <c r="V9" s="7">
        <f>INDEX('Res Measure Mapping'!$S:$S,MATCH($B9,'Res Measure Mapping'!$B:$B,0))</f>
        <v>1372.8804578479323</v>
      </c>
      <c r="W9" s="7">
        <f t="shared" si="4"/>
        <v>1372.8804578479323</v>
      </c>
      <c r="X9" s="8">
        <f t="shared" si="5"/>
        <v>36.416019113484495</v>
      </c>
      <c r="Y9" s="8">
        <f t="shared" si="18"/>
        <v>1372.8804578479323</v>
      </c>
      <c r="Z9" s="8">
        <f t="shared" si="19"/>
        <v>1336.4644387344479</v>
      </c>
      <c r="AA9" s="5">
        <v>19</v>
      </c>
      <c r="AB9" s="5">
        <f>INDEX('Res Measure Mapping'!$T:$T,MATCH($B9,'Res Measure Mapping'!$B:$B,0))</f>
        <v>20</v>
      </c>
      <c r="AC9" s="5">
        <f t="shared" si="20"/>
        <v>20</v>
      </c>
      <c r="AD9" s="59">
        <f t="shared" si="6"/>
        <v>766.65303396809463</v>
      </c>
      <c r="AE9" s="7">
        <f t="shared" si="7"/>
        <v>236.85151733510028</v>
      </c>
      <c r="AF9" s="7">
        <v>350</v>
      </c>
      <c r="AG9" s="7">
        <f>INDEX('Res Measure Mapping'!$U:$U,MATCH($B9,'Res Measure Mapping'!$B:$B,0))</f>
        <v>661.94804201166164</v>
      </c>
      <c r="AH9" s="113">
        <v>700</v>
      </c>
      <c r="AI9" s="61">
        <f t="shared" si="8"/>
        <v>700</v>
      </c>
      <c r="AJ9" s="9">
        <f t="shared" si="9"/>
        <v>0.91305971408851361</v>
      </c>
      <c r="AK9" s="9">
        <f t="shared" si="10"/>
        <v>1.2220019693733954</v>
      </c>
      <c r="AL9" s="10">
        <f>IFERROR(IF(D7="Original",IF($AI9=0,"-",(INDEX('APP 2885'!$G:$G,MATCH($C$2+$AA9-1,'APP 2885'!$A:$A,0))*$T9)/($AI9+$AE9)),IF($AI9=0,"-",(INDEX('APP 2885'!G:G,MATCH($C$2+$AC9-1,'APP 2885'!$A:$A,0))*$T9)/($AI9+$AE9))),"N/A")</f>
        <v>2.6937031492766867</v>
      </c>
      <c r="AM9" s="11">
        <f t="shared" si="11"/>
        <v>1.7432454833147726</v>
      </c>
      <c r="AN9" s="12">
        <f t="shared" si="12"/>
        <v>2.0521877385996543</v>
      </c>
      <c r="AO9" s="10">
        <f>IFERROR(IF(D7="Original",IF($AI9=0,"-",(INDEX('APP 2885'!$G:$G,MATCH($C$2+$AA9-1,'APP 2885'!$A:$A,0))*$T9)/($Z9+$AE9)),IF($AI9=0,"-",(INDEX('APP 2885'!G:G,MATCH($C$2+$AC9-1,'APP 2885'!$A:$A,0))*$T9)/($Z9+$AE9))),"N/A")</f>
        <v>1.6040006922415317</v>
      </c>
      <c r="AQ9" s="13"/>
      <c r="AR9" s="13"/>
    </row>
    <row r="10" spans="2:45" ht="15.75" thickBot="1" x14ac:dyDescent="0.3">
      <c r="B10" s="66" t="str">
        <f t="shared" si="13"/>
        <v>95% AFUE New Gas Furnace (New &amp; Existing)_Zone 1_95+% Annual Fuel Utilization Efficiency (AFUE)</v>
      </c>
      <c r="C10" s="34" t="s">
        <v>31</v>
      </c>
      <c r="D10" s="34" t="s">
        <v>27</v>
      </c>
      <c r="E10" s="34" t="s">
        <v>32</v>
      </c>
      <c r="F10" s="34" t="str">
        <f t="shared" si="0"/>
        <v>95+% Annual Fuel Utilization Efficiency (AFUE)</v>
      </c>
      <c r="G10" s="14">
        <v>430</v>
      </c>
      <c r="H10" s="14">
        <f t="shared" si="1"/>
        <v>501</v>
      </c>
      <c r="I10" s="14">
        <f t="shared" si="14"/>
        <v>595</v>
      </c>
      <c r="J10" s="14">
        <v>433</v>
      </c>
      <c r="K10" s="86">
        <f>INDEX('Res Measure Mapping'!$X:$X,MATCH($B10,'Res Measure Mapping'!$B:$B,0))</f>
        <v>277.80661333497426</v>
      </c>
      <c r="L10" s="86">
        <f>INDEX('Res Measure Mapping'!$Y:$Y,MATCH($B10,'Res Measure Mapping'!$B:$B,0))</f>
        <v>329.97240111952357</v>
      </c>
      <c r="M10" s="90">
        <f t="shared" si="15"/>
        <v>0.18777734323282194</v>
      </c>
      <c r="N10" s="14">
        <f t="shared" si="2"/>
        <v>505</v>
      </c>
      <c r="O10" s="14">
        <f t="shared" si="16"/>
        <v>600</v>
      </c>
      <c r="P10" s="15">
        <v>94.58</v>
      </c>
      <c r="Q10" s="87">
        <f>INDEX('Res Measure Mapping'!$Q:$Q,MATCH($B10,'Res Measure Mapping'!$B:$B,0))</f>
        <v>87.144236993867992</v>
      </c>
      <c r="R10" s="87" t="str">
        <f>INDEX('Res Measure Mapping'!$R:$R,MATCH($B10,'Res Measure Mapping'!$B:$B,0))</f>
        <v>kBTU/hr</v>
      </c>
      <c r="S10" s="88">
        <f t="shared" si="3"/>
        <v>87.144236993867992</v>
      </c>
      <c r="T10" s="60">
        <f t="shared" si="17"/>
        <v>44007.839681903337</v>
      </c>
      <c r="U10" s="16">
        <v>1024</v>
      </c>
      <c r="V10" s="89">
        <f>INDEX('Res Measure Mapping'!$S:$S,MATCH($B10,'Res Measure Mapping'!$B:$B,0))</f>
        <v>810.48534881323485</v>
      </c>
      <c r="W10" s="76">
        <f t="shared" si="4"/>
        <v>810.48534881323485</v>
      </c>
      <c r="X10" s="17">
        <f t="shared" si="5"/>
        <v>54.189470936882337</v>
      </c>
      <c r="Y10" s="17">
        <f t="shared" si="18"/>
        <v>409295.10115068359</v>
      </c>
      <c r="Z10" s="17">
        <f t="shared" si="19"/>
        <v>382146.17621130554</v>
      </c>
      <c r="AA10" s="14">
        <v>22</v>
      </c>
      <c r="AB10" s="86">
        <f>INDEX('Res Measure Mapping'!$T:$T,MATCH($B10,'Res Measure Mapping'!$B:$B,0))</f>
        <v>21.5</v>
      </c>
      <c r="AC10" s="14">
        <f t="shared" si="20"/>
        <v>22</v>
      </c>
      <c r="AD10" s="60">
        <f t="shared" si="6"/>
        <v>576119.6383815913</v>
      </c>
      <c r="AE10" s="16">
        <f t="shared" si="7"/>
        <v>168576.05419022311</v>
      </c>
      <c r="AF10" s="16">
        <v>650</v>
      </c>
      <c r="AG10" s="89">
        <f>INDEX('Res Measure Mapping'!$U:$U,MATCH($B10,'Res Measure Mapping'!$B:$B,0))</f>
        <v>686.16827933505942</v>
      </c>
      <c r="AH10" s="115">
        <v>800</v>
      </c>
      <c r="AI10" s="62">
        <f t="shared" si="8"/>
        <v>404000</v>
      </c>
      <c r="AJ10" s="18">
        <f t="shared" si="9"/>
        <v>0.70124323679522216</v>
      </c>
      <c r="AK10" s="18">
        <f t="shared" si="10"/>
        <v>0.99384922166284306</v>
      </c>
      <c r="AL10" s="84">
        <f>IFERROR(IF(D8="Original",IF($AI10=0,"-",(INDEX('APP 2885'!$G:$G,MATCH($C$2+$AA10-1,'APP 2885'!$A:$A,0))*$T10)/($AI10+$AE10)),IF($AI10=0,"-",(INDEX('APP 2885'!G:G,MATCH($C$2+$AC10-1,'APP 2885'!$A:$A,0))*$T10)/($AI10+$AE10))),"N/A")</f>
        <v>3.3808033251014091</v>
      </c>
      <c r="AM10" s="20">
        <f t="shared" si="11"/>
        <v>0.66331044934488426</v>
      </c>
      <c r="AN10" s="21">
        <f t="shared" si="12"/>
        <v>0.95591643421250505</v>
      </c>
      <c r="AO10" s="84">
        <f>IFERROR(IF(D8="Original",IF($AI10=0,"-",(INDEX('APP 2885'!$G:$G,MATCH($C$2+$AA10-1,'APP 2885'!$A:$A,0))*$T10)/($Z10+$AE10)),IF($AI10=0,"-",(INDEX('APP 2885'!G:G,MATCH($C$2+$AC10-1,'APP 2885'!$A:$A,0))*$T10)/($Z10+$AE10))),"N/A")</f>
        <v>3.514960757019729</v>
      </c>
      <c r="AQ10" s="13"/>
      <c r="AR10" s="13"/>
    </row>
    <row r="11" spans="2:45" ht="15.75" thickBot="1" x14ac:dyDescent="0.3">
      <c r="B11" s="66" t="str">
        <f t="shared" si="13"/>
        <v>95% AFUE New Gas Furnace (New &amp; Existing)_Zone 1_High-Efficiency Natural Gas Furnace</v>
      </c>
      <c r="C11" s="33" t="s">
        <v>31</v>
      </c>
      <c r="D11" s="33" t="s">
        <v>27</v>
      </c>
      <c r="E11" s="33" t="s">
        <v>33</v>
      </c>
      <c r="F11" s="33" t="s">
        <v>32</v>
      </c>
      <c r="G11" s="5">
        <v>1</v>
      </c>
      <c r="H11" s="5">
        <f t="shared" si="1"/>
        <v>1</v>
      </c>
      <c r="I11" s="5">
        <f t="shared" si="14"/>
        <v>1</v>
      </c>
      <c r="J11" s="5">
        <v>1</v>
      </c>
      <c r="K11" s="5">
        <f>INDEX('Res Measure Mapping'!$X:$X,MATCH($B11,'Res Measure Mapping'!$B:$B,0))</f>
        <v>42.458464661815327</v>
      </c>
      <c r="L11" s="5">
        <f>INDEX('Res Measure Mapping'!$Y:$Y,MATCH($B11,'Res Measure Mapping'!$B:$B,0))</f>
        <v>50.886643536057981</v>
      </c>
      <c r="M11" s="74">
        <f t="shared" si="15"/>
        <v>0.19850408961731647</v>
      </c>
      <c r="N11" s="5">
        <f t="shared" si="2"/>
        <v>1</v>
      </c>
      <c r="O11" s="5">
        <f t="shared" si="16"/>
        <v>1</v>
      </c>
      <c r="P11" s="6">
        <v>89</v>
      </c>
      <c r="Q11" s="68">
        <f>INDEX('Res Measure Mapping'!$Q:$Q,MATCH($B11,'Res Measure Mapping'!$B:$B,0))</f>
        <v>58.269754736620598</v>
      </c>
      <c r="R11" s="68" t="str">
        <f>INDEX('Res Measure Mapping'!$R:$R,MATCH($B11,'Res Measure Mapping'!$B:$B,0))</f>
        <v>kBTU/hr</v>
      </c>
      <c r="S11" s="6">
        <f t="shared" si="3"/>
        <v>58.269754736620598</v>
      </c>
      <c r="T11" s="59">
        <f t="shared" si="17"/>
        <v>58.269754736620598</v>
      </c>
      <c r="U11" s="7">
        <v>1024</v>
      </c>
      <c r="V11" s="7">
        <f>INDEX('Res Measure Mapping'!$S:$S,MATCH($B11,'Res Measure Mapping'!$B:$B,0))</f>
        <v>810.48534881323485</v>
      </c>
      <c r="W11" s="7">
        <f t="shared" si="4"/>
        <v>810.48534881323485</v>
      </c>
      <c r="X11" s="8">
        <f t="shared" si="5"/>
        <v>36.234262754765453</v>
      </c>
      <c r="Y11" s="8">
        <f t="shared" si="18"/>
        <v>810.48534881323485</v>
      </c>
      <c r="Z11" s="8">
        <f t="shared" si="19"/>
        <v>774.25108605846935</v>
      </c>
      <c r="AA11" s="5">
        <v>22</v>
      </c>
      <c r="AB11" s="5">
        <f>INDEX('Res Measure Mapping'!$T:$T,MATCH($B11,'Res Measure Mapping'!$B:$B,0))</f>
        <v>21.5</v>
      </c>
      <c r="AC11" s="5">
        <f t="shared" si="20"/>
        <v>22</v>
      </c>
      <c r="AD11" s="59">
        <f t="shared" si="6"/>
        <v>762.82658431085144</v>
      </c>
      <c r="AE11" s="7">
        <f t="shared" si="7"/>
        <v>223.20762398547996</v>
      </c>
      <c r="AF11" s="7">
        <v>650</v>
      </c>
      <c r="AG11" s="7">
        <f>INDEX('Res Measure Mapping'!$U:$U,MATCH($B11,'Res Measure Mapping'!$B:$B,0))</f>
        <v>695.48372644903623</v>
      </c>
      <c r="AH11" s="113">
        <v>800</v>
      </c>
      <c r="AI11" s="61">
        <f t="shared" si="8"/>
        <v>800</v>
      </c>
      <c r="AJ11" s="9">
        <f t="shared" si="9"/>
        <v>1.048731148669565</v>
      </c>
      <c r="AK11" s="9">
        <f t="shared" si="10"/>
        <v>1.341337133537186</v>
      </c>
      <c r="AL11" s="10">
        <f>IFERROR(IF(D9="Original",IF($AI11=0,"-",(INDEX('APP 2885'!$G:$G,MATCH($C$2+$AA11-1,'APP 2885'!$A:$A,0))*$T11)/($AI11+$AE11)),IF($AI11=0,"-",(INDEX('APP 2885'!G:G,MATCH($C$2+$AC11-1,'APP 2885'!$A:$A,0))*$T11)/($AI11+$AE11))),"N/A")</f>
        <v>2.50496960774257</v>
      </c>
      <c r="AM11" s="11">
        <f t="shared" si="11"/>
        <v>1.0149765385509459</v>
      </c>
      <c r="AN11" s="12">
        <f t="shared" si="12"/>
        <v>1.307582523418567</v>
      </c>
      <c r="AO11" s="10">
        <f>IFERROR(IF(D9="Original",IF($AI11=0,"-",(INDEX('APP 2885'!$G:$G,MATCH($C$2+$AA11-1,'APP 2885'!$A:$A,0))*$T11)/($Z11+$AE11)),IF($AI11=0,"-",(INDEX('APP 2885'!G:G,MATCH($C$2+$AC11-1,'APP 2885'!$A:$A,0))*$T11)/($Z11+$AE11))),"N/A")</f>
        <v>2.5696341860418275</v>
      </c>
      <c r="AQ11" s="13"/>
      <c r="AR11" s="13"/>
    </row>
    <row r="12" spans="2:45" ht="15.75" thickBot="1" x14ac:dyDescent="0.3">
      <c r="B12" s="66" t="str">
        <f t="shared" si="13"/>
        <v>95% AFUE New Gas Furnace (New &amp; Existing)_Zone 2_95+% Annual Fuel Utilization Efficiency (AFUE)</v>
      </c>
      <c r="C12" s="34" t="s">
        <v>31</v>
      </c>
      <c r="D12" s="34" t="s">
        <v>29</v>
      </c>
      <c r="E12" s="34" t="s">
        <v>32</v>
      </c>
      <c r="F12" s="34" t="s">
        <v>32</v>
      </c>
      <c r="G12" s="14">
        <v>91</v>
      </c>
      <c r="H12" s="14">
        <f t="shared" si="1"/>
        <v>106</v>
      </c>
      <c r="I12" s="14">
        <f t="shared" si="14"/>
        <v>126</v>
      </c>
      <c r="J12" s="14">
        <v>91</v>
      </c>
      <c r="K12" s="86">
        <f>INDEX('Res Measure Mapping'!$X:$X,MATCH($B12,'Res Measure Mapping'!$B:$B,0))</f>
        <v>138.8530524619712</v>
      </c>
      <c r="L12" s="86">
        <f>INDEX('Res Measure Mapping'!$Y:$Y,MATCH($B12,'Res Measure Mapping'!$B:$B,0))</f>
        <v>164.97715084908032</v>
      </c>
      <c r="M12" s="90">
        <f t="shared" si="15"/>
        <v>0.18814205322755817</v>
      </c>
      <c r="N12" s="14">
        <f t="shared" si="2"/>
        <v>106</v>
      </c>
      <c r="O12" s="14">
        <f t="shared" si="16"/>
        <v>126</v>
      </c>
      <c r="P12" s="15">
        <v>95.62</v>
      </c>
      <c r="Q12" s="87">
        <f>INDEX('Res Measure Mapping'!$Q:$Q,MATCH($B12,'Res Measure Mapping'!$B:$B,0))</f>
        <v>87.616857480618364</v>
      </c>
      <c r="R12" s="87" t="str">
        <f>INDEX('Res Measure Mapping'!$R:$R,MATCH($B12,'Res Measure Mapping'!$B:$B,0))</f>
        <v>kBTU/hr</v>
      </c>
      <c r="S12" s="88">
        <f t="shared" si="3"/>
        <v>87.616857480618364</v>
      </c>
      <c r="T12" s="60">
        <f t="shared" si="17"/>
        <v>9287.3868929455457</v>
      </c>
      <c r="U12" s="16">
        <v>1024</v>
      </c>
      <c r="V12" s="89">
        <f>INDEX('Res Measure Mapping'!$S:$S,MATCH($B12,'Res Measure Mapping'!$B:$B,0))</f>
        <v>810.48534881323485</v>
      </c>
      <c r="W12" s="76">
        <f t="shared" si="4"/>
        <v>810.48534881323485</v>
      </c>
      <c r="X12" s="17">
        <f t="shared" si="5"/>
        <v>54.483363625767055</v>
      </c>
      <c r="Y12" s="17">
        <f t="shared" si="18"/>
        <v>85911.446974202889</v>
      </c>
      <c r="Z12" s="17">
        <f t="shared" si="19"/>
        <v>80136.210429871586</v>
      </c>
      <c r="AA12" s="14">
        <v>22</v>
      </c>
      <c r="AB12" s="86">
        <f>INDEX('Res Measure Mapping'!$T:$T,MATCH($B12,'Res Measure Mapping'!$B:$B,0))</f>
        <v>21.5</v>
      </c>
      <c r="AC12" s="14">
        <f t="shared" si="20"/>
        <v>22</v>
      </c>
      <c r="AD12" s="60">
        <f t="shared" si="6"/>
        <v>121583.92724908015</v>
      </c>
      <c r="AE12" s="16">
        <f t="shared" si="7"/>
        <v>35576.184776790265</v>
      </c>
      <c r="AF12" s="16">
        <v>650</v>
      </c>
      <c r="AG12" s="89">
        <f>INDEX('Res Measure Mapping'!$U:$U,MATCH($B12,'Res Measure Mapping'!$B:$B,0))</f>
        <v>686.16827933505942</v>
      </c>
      <c r="AH12" s="115">
        <v>800</v>
      </c>
      <c r="AI12" s="62">
        <f t="shared" si="8"/>
        <v>84800</v>
      </c>
      <c r="AJ12" s="18">
        <f t="shared" si="9"/>
        <v>0.69746060946260113</v>
      </c>
      <c r="AK12" s="18">
        <f t="shared" si="10"/>
        <v>0.99006659433022204</v>
      </c>
      <c r="AL12" s="84">
        <f>IFERROR(IF(D10="Original",IF($AI12=0,"-",(INDEX('APP 2885'!$G:$G,MATCH($C$2+$AA12-1,'APP 2885'!$A:$A,0))*$T12)/($AI12+$AE12)),IF($AI12=0,"-",(INDEX('APP 2885'!G:G,MATCH($C$2+$AC12-1,'APP 2885'!$A:$A,0))*$T12)/($AI12+$AE12))),"N/A")</f>
        <v>3.3937199502425655</v>
      </c>
      <c r="AM12" s="20">
        <f t="shared" si="11"/>
        <v>0.65910200667973451</v>
      </c>
      <c r="AN12" s="21">
        <f t="shared" si="12"/>
        <v>0.95170799154735541</v>
      </c>
      <c r="AO12" s="84">
        <f>IFERROR(IF(D10="Original",IF($AI12=0,"-",(INDEX('APP 2885'!$G:$G,MATCH($C$2+$AA12-1,'APP 2885'!$A:$A,0))*$T12)/($Z12+$AE12)),IF($AI12=0,"-",(INDEX('APP 2885'!G:G,MATCH($C$2+$AC12-1,'APP 2885'!$A:$A,0))*$T12)/($Z12+$AE12))),"N/A")</f>
        <v>3.5305038762827272</v>
      </c>
      <c r="AQ12" s="13"/>
      <c r="AR12" s="13"/>
    </row>
    <row r="13" spans="2:45" ht="15.75" thickBot="1" x14ac:dyDescent="0.3">
      <c r="B13" s="66" t="str">
        <f t="shared" si="13"/>
        <v>95% AFUE New Gas Furnace (New &amp; Existing)_Zone 2_High-Efficiency Natural Gas Furnace</v>
      </c>
      <c r="C13" s="33" t="s">
        <v>31</v>
      </c>
      <c r="D13" s="33" t="s">
        <v>29</v>
      </c>
      <c r="E13" s="33" t="s">
        <v>33</v>
      </c>
      <c r="F13" s="33" t="s">
        <v>32</v>
      </c>
      <c r="G13" s="5">
        <v>6</v>
      </c>
      <c r="H13" s="5">
        <f t="shared" si="1"/>
        <v>7</v>
      </c>
      <c r="I13" s="5">
        <f t="shared" si="14"/>
        <v>8</v>
      </c>
      <c r="J13" s="5">
        <v>6</v>
      </c>
      <c r="K13" s="5">
        <f>INDEX('Res Measure Mapping'!$X:$X,MATCH($B13,'Res Measure Mapping'!$B:$B,0))</f>
        <v>28.861189569299516</v>
      </c>
      <c r="L13" s="5">
        <f>INDEX('Res Measure Mapping'!$Y:$Y,MATCH($B13,'Res Measure Mapping'!$B:$B,0))</f>
        <v>34.821590994419559</v>
      </c>
      <c r="M13" s="74">
        <f t="shared" si="15"/>
        <v>0.20651960345599529</v>
      </c>
      <c r="N13" s="5">
        <f t="shared" si="2"/>
        <v>7</v>
      </c>
      <c r="O13" s="5">
        <f t="shared" si="16"/>
        <v>8</v>
      </c>
      <c r="P13" s="6">
        <v>90</v>
      </c>
      <c r="Q13" s="68">
        <f>INDEX('Res Measure Mapping'!$Q:$Q,MATCH($B13,'Res Measure Mapping'!$B:$B,0))</f>
        <v>57.297972088595486</v>
      </c>
      <c r="R13" s="68" t="str">
        <f>INDEX('Res Measure Mapping'!$R:$R,MATCH($B13,'Res Measure Mapping'!$B:$B,0))</f>
        <v>kBTU/hr</v>
      </c>
      <c r="S13" s="6">
        <f t="shared" si="3"/>
        <v>57.297972088595486</v>
      </c>
      <c r="T13" s="59">
        <f t="shared" si="17"/>
        <v>401.0858046201684</v>
      </c>
      <c r="U13" s="7">
        <v>1024</v>
      </c>
      <c r="V13" s="7">
        <f>INDEX('Res Measure Mapping'!$S:$S,MATCH($B13,'Res Measure Mapping'!$B:$B,0))</f>
        <v>810.48534881323485</v>
      </c>
      <c r="W13" s="7">
        <f t="shared" si="4"/>
        <v>810.48534881323485</v>
      </c>
      <c r="X13" s="8">
        <f t="shared" si="5"/>
        <v>35.629972793906312</v>
      </c>
      <c r="Y13" s="8">
        <f t="shared" si="18"/>
        <v>5673.397441692644</v>
      </c>
      <c r="Z13" s="8">
        <f t="shared" si="19"/>
        <v>5423.9876321352995</v>
      </c>
      <c r="AA13" s="5">
        <v>22</v>
      </c>
      <c r="AB13" s="5">
        <f>INDEX('Res Measure Mapping'!$T:$T,MATCH($B13,'Res Measure Mapping'!$B:$B,0))</f>
        <v>21.5</v>
      </c>
      <c r="AC13" s="5">
        <f t="shared" si="20"/>
        <v>22</v>
      </c>
      <c r="AD13" s="59">
        <f t="shared" si="6"/>
        <v>5250.7328327861942</v>
      </c>
      <c r="AE13" s="7">
        <f t="shared" si="7"/>
        <v>1536.3958518141571</v>
      </c>
      <c r="AF13" s="7">
        <v>650</v>
      </c>
      <c r="AG13" s="7">
        <f>INDEX('Res Measure Mapping'!$U:$U,MATCH($B13,'Res Measure Mapping'!$B:$B,0))</f>
        <v>695.48372644903623</v>
      </c>
      <c r="AH13" s="113">
        <v>800</v>
      </c>
      <c r="AI13" s="61">
        <f t="shared" si="8"/>
        <v>5600</v>
      </c>
      <c r="AJ13" s="9">
        <f t="shared" si="9"/>
        <v>1.0665177944367956</v>
      </c>
      <c r="AK13" s="9">
        <f t="shared" si="10"/>
        <v>1.3591237793044164</v>
      </c>
      <c r="AL13" s="10">
        <f>IFERROR(IF(D11="Original",IF($AI13=0,"-",(INDEX('APP 2885'!$G:$G,MATCH($C$2+$AA13-1,'APP 2885'!$A:$A,0))*$T13)/($AI13+$AE13)),IF($AI13=0,"-",(INDEX('APP 2885'!G:G,MATCH($C$2+$AC13-1,'APP 2885'!$A:$A,0))*$T13)/($AI13+$AE13))),"N/A")</f>
        <v>2.472187452247212</v>
      </c>
      <c r="AM13" s="11">
        <f t="shared" si="11"/>
        <v>1.0329963082995353</v>
      </c>
      <c r="AN13" s="12">
        <f t="shared" si="12"/>
        <v>1.3256022931671561</v>
      </c>
      <c r="AO13" s="10">
        <f>IFERROR(IF(D11="Original",IF($AI13=0,"-",(INDEX('APP 2885'!$G:$G,MATCH($C$2+$AA13-1,'APP 2885'!$A:$A,0))*$T13)/($Z13+$AE13)),IF($AI13=0,"-",(INDEX('APP 2885'!G:G,MATCH($C$2+$AC13-1,'APP 2885'!$A:$A,0))*$T13)/($Z13+$AE13))),"N/A")</f>
        <v>2.5347034857788198</v>
      </c>
      <c r="AP13" s="45"/>
      <c r="AQ13" s="13"/>
      <c r="AR13" s="13"/>
    </row>
    <row r="14" spans="2:45" ht="15.75" thickBot="1" x14ac:dyDescent="0.3">
      <c r="B14" s="66" t="str">
        <f t="shared" si="13"/>
        <v>95% AFUE New Gas Furnace (New &amp; Existing)_Zone 3_95+% Annual Fuel Utilization Efficiency (AFUE)</v>
      </c>
      <c r="C14" s="34" t="s">
        <v>31</v>
      </c>
      <c r="D14" s="34" t="s">
        <v>30</v>
      </c>
      <c r="E14" s="34" t="s">
        <v>32</v>
      </c>
      <c r="F14" s="34" t="s">
        <v>32</v>
      </c>
      <c r="G14" s="14">
        <v>204</v>
      </c>
      <c r="H14" s="14">
        <f t="shared" si="1"/>
        <v>238</v>
      </c>
      <c r="I14" s="14">
        <f t="shared" si="14"/>
        <v>286</v>
      </c>
      <c r="J14" s="14">
        <v>205</v>
      </c>
      <c r="K14" s="86">
        <f>INDEX('Res Measure Mapping'!$X:$X,MATCH($B14,'Res Measure Mapping'!$B:$B,0))</f>
        <v>211.26697706240412</v>
      </c>
      <c r="L14" s="86">
        <f>INDEX('Res Measure Mapping'!$Y:$Y,MATCH($B14,'Res Measure Mapping'!$B:$B,0))</f>
        <v>253.66780410800828</v>
      </c>
      <c r="M14" s="90">
        <f t="shared" si="15"/>
        <v>0.20069784513970579</v>
      </c>
      <c r="N14" s="14">
        <f t="shared" si="2"/>
        <v>239</v>
      </c>
      <c r="O14" s="14">
        <f t="shared" si="16"/>
        <v>287</v>
      </c>
      <c r="P14" s="15">
        <v>83.8</v>
      </c>
      <c r="Q14" s="87">
        <f>INDEX('Res Measure Mapping'!$Q:$Q,MATCH($B14,'Res Measure Mapping'!$B:$B,0))</f>
        <v>74.801440676811836</v>
      </c>
      <c r="R14" s="87" t="str">
        <f>INDEX('Res Measure Mapping'!$R:$R,MATCH($B14,'Res Measure Mapping'!$B:$B,0))</f>
        <v>kBTU/hr</v>
      </c>
      <c r="S14" s="88">
        <f t="shared" si="3"/>
        <v>74.801440676811836</v>
      </c>
      <c r="T14" s="60">
        <f t="shared" si="17"/>
        <v>17877.544321758029</v>
      </c>
      <c r="U14" s="16">
        <v>1024</v>
      </c>
      <c r="V14" s="89">
        <f>INDEX('Res Measure Mapping'!$S:$S,MATCH($B14,'Res Measure Mapping'!$B:$B,0))</f>
        <v>1080.6500000000001</v>
      </c>
      <c r="W14" s="76">
        <f t="shared" si="4"/>
        <v>1080.6500000000001</v>
      </c>
      <c r="X14" s="17">
        <f t="shared" si="5"/>
        <v>46.514269163642453</v>
      </c>
      <c r="Y14" s="17">
        <f t="shared" si="18"/>
        <v>258275.35000000003</v>
      </c>
      <c r="Z14" s="17">
        <f t="shared" si="19"/>
        <v>247204.95393905314</v>
      </c>
      <c r="AA14" s="14">
        <v>22</v>
      </c>
      <c r="AB14" s="86">
        <f>INDEX('Res Measure Mapping'!$T:$T,MATCH($B14,'Res Measure Mapping'!$B:$B,0))</f>
        <v>21.5</v>
      </c>
      <c r="AC14" s="14">
        <f t="shared" si="20"/>
        <v>22</v>
      </c>
      <c r="AD14" s="60">
        <f t="shared" si="6"/>
        <v>234040.21747601149</v>
      </c>
      <c r="AE14" s="16">
        <f t="shared" si="7"/>
        <v>68481.568333200514</v>
      </c>
      <c r="AF14" s="16">
        <v>650</v>
      </c>
      <c r="AG14" s="89">
        <f>INDEX('Res Measure Mapping'!$U:$U,MATCH($B14,'Res Measure Mapping'!$B:$B,0))</f>
        <v>686.16827933505954</v>
      </c>
      <c r="AH14" s="115">
        <v>800</v>
      </c>
      <c r="AI14" s="62">
        <f t="shared" si="8"/>
        <v>191200</v>
      </c>
      <c r="AJ14" s="18">
        <f t="shared" si="9"/>
        <v>0.81695360764052227</v>
      </c>
      <c r="AK14" s="18">
        <f t="shared" si="10"/>
        <v>1.1095595925081432</v>
      </c>
      <c r="AL14" s="84">
        <f>IFERROR(IF(D12="Original",IF($AI14=0,"-",(INDEX('APP 2885'!$G:$G,MATCH($C$2+$AA14-1,'APP 2885'!$A:$A,0))*$T14)/($AI14+$AE14)),IF($AI14=0,"-",(INDEX('APP 2885'!G:G,MATCH($C$2+$AC14-1,'APP 2885'!$A:$A,0))*$T14)/($AI14+$AE14))),"N/A")</f>
        <v>3.0282364065294924</v>
      </c>
      <c r="AM14" s="20">
        <f t="shared" si="11"/>
        <v>1.0562498898907877</v>
      </c>
      <c r="AN14" s="21">
        <f t="shared" si="12"/>
        <v>1.3488558747584085</v>
      </c>
      <c r="AO14" s="84">
        <f>IFERROR(IF(D12="Original",IF($AI14=0,"-",(INDEX('APP 2885'!$G:$G,MATCH($C$2+$AA14-1,'APP 2885'!$A:$A,0))*$T14)/($Z14+$AE14)),IF($AI14=0,"-",(INDEX('APP 2885'!G:G,MATCH($C$2+$AC14-1,'APP 2885'!$A:$A,0))*$T14)/($Z14+$AE14))),"N/A")</f>
        <v>2.4910065012312703</v>
      </c>
      <c r="AP14" s="45"/>
      <c r="AQ14" s="13"/>
      <c r="AR14" s="13"/>
    </row>
    <row r="15" spans="2:45" ht="15.75" thickBot="1" x14ac:dyDescent="0.3">
      <c r="B15" s="66" t="str">
        <f t="shared" si="13"/>
        <v>95% AFUE New Gas Furnace (New &amp; Existing)_Zone 3_High-Efficiency Natural Gas Furnace</v>
      </c>
      <c r="C15" s="33" t="s">
        <v>31</v>
      </c>
      <c r="D15" s="33" t="s">
        <v>30</v>
      </c>
      <c r="E15" s="33" t="s">
        <v>33</v>
      </c>
      <c r="F15" s="33" t="s">
        <v>32</v>
      </c>
      <c r="G15" s="5">
        <v>3</v>
      </c>
      <c r="H15" s="5">
        <f t="shared" si="1"/>
        <v>3</v>
      </c>
      <c r="I15" s="5">
        <f t="shared" si="14"/>
        <v>4</v>
      </c>
      <c r="J15" s="5">
        <v>3</v>
      </c>
      <c r="K15" s="5">
        <f>INDEX('Res Measure Mapping'!$X:$X,MATCH($B15,'Res Measure Mapping'!$B:$B,0))</f>
        <v>95.538417416115919</v>
      </c>
      <c r="L15" s="5">
        <f>INDEX('Res Measure Mapping'!$Y:$Y,MATCH($B15,'Res Measure Mapping'!$B:$B,0))</f>
        <v>116.27766542724044</v>
      </c>
      <c r="M15" s="74">
        <f t="shared" si="15"/>
        <v>0.21707757540922079</v>
      </c>
      <c r="N15" s="5">
        <f t="shared" si="2"/>
        <v>3</v>
      </c>
      <c r="O15" s="5">
        <f t="shared" si="16"/>
        <v>4</v>
      </c>
      <c r="P15" s="6">
        <v>78</v>
      </c>
      <c r="Q15" s="68">
        <f>INDEX('Res Measure Mapping'!$Q:$Q,MATCH($B15,'Res Measure Mapping'!$B:$B,0))</f>
        <v>50.569791554646372</v>
      </c>
      <c r="R15" s="68" t="str">
        <f>INDEX('Res Measure Mapping'!$R:$R,MATCH($B15,'Res Measure Mapping'!$B:$B,0))</f>
        <v>kBTU/hr</v>
      </c>
      <c r="S15" s="6">
        <f t="shared" si="3"/>
        <v>50.569791554646372</v>
      </c>
      <c r="T15" s="59">
        <f t="shared" si="17"/>
        <v>151.70937466393912</v>
      </c>
      <c r="U15" s="7">
        <v>1024</v>
      </c>
      <c r="V15" s="7">
        <f>INDEX('Res Measure Mapping'!$S:$S,MATCH($B15,'Res Measure Mapping'!$B:$B,0))</f>
        <v>810.48534881323485</v>
      </c>
      <c r="W15" s="7">
        <f t="shared" si="4"/>
        <v>810.48534881323485</v>
      </c>
      <c r="X15" s="8">
        <f t="shared" si="5"/>
        <v>31.446144280631383</v>
      </c>
      <c r="Y15" s="8">
        <f t="shared" si="18"/>
        <v>2431.4560464397046</v>
      </c>
      <c r="Z15" s="8">
        <f t="shared" si="19"/>
        <v>2337.1176135978103</v>
      </c>
      <c r="AA15" s="5">
        <v>22</v>
      </c>
      <c r="AB15" s="5">
        <f>INDEX('Res Measure Mapping'!$T:$T,MATCH($B15,'Res Measure Mapping'!$B:$B,0))</f>
        <v>21.5</v>
      </c>
      <c r="AC15" s="5">
        <f t="shared" si="20"/>
        <v>22</v>
      </c>
      <c r="AD15" s="59">
        <f t="shared" si="6"/>
        <v>1986.0722703556662</v>
      </c>
      <c r="AE15" s="7">
        <f t="shared" si="7"/>
        <v>581.13663268569155</v>
      </c>
      <c r="AF15" s="7">
        <v>650</v>
      </c>
      <c r="AG15" s="7">
        <f>INDEX('Res Measure Mapping'!$U:$U,MATCH($B15,'Res Measure Mapping'!$B:$B,0))</f>
        <v>518.60420070970497</v>
      </c>
      <c r="AH15" s="113">
        <v>800</v>
      </c>
      <c r="AI15" s="61">
        <f t="shared" si="8"/>
        <v>2400</v>
      </c>
      <c r="AJ15" s="9">
        <f t="shared" si="9"/>
        <v>1.2084152403830741</v>
      </c>
      <c r="AK15" s="9">
        <f t="shared" si="10"/>
        <v>1.5010212252506949</v>
      </c>
      <c r="AL15" s="10">
        <f>IFERROR(IF(D13="Original",IF($AI15=0,"-",(INDEX('APP 2885'!$G:$G,MATCH($C$2+$AA15-1,'APP 2885'!$A:$A,0))*$T15)/($AI15+$AE15)),IF($AI15=0,"-",(INDEX('APP 2885'!G:G,MATCH($C$2+$AC15-1,'APP 2885'!$A:$A,0))*$T15)/($AI15+$AE15))),"N/A")</f>
        <v>2.2384818393797272</v>
      </c>
      <c r="AM15" s="11">
        <f t="shared" si="11"/>
        <v>1.1767535595163809</v>
      </c>
      <c r="AN15" s="12">
        <f t="shared" si="12"/>
        <v>1.4693595443840017</v>
      </c>
      <c r="AO15" s="10">
        <f>IFERROR(IF(D13="Original",IF($AI15=0,"-",(INDEX('APP 2885'!$G:$G,MATCH($C$2+$AA15-1,'APP 2885'!$A:$A,0))*$T15)/($Z15+$AE15)),IF($AI15=0,"-",(INDEX('APP 2885'!G:G,MATCH($C$2+$AC15-1,'APP 2885'!$A:$A,0))*$T15)/($Z15+$AE15))),"N/A")</f>
        <v>2.2867165263188189</v>
      </c>
      <c r="AP15" s="45"/>
      <c r="AQ15" s="13"/>
      <c r="AR15" s="13"/>
    </row>
    <row r="16" spans="2:45" ht="15.75" thickBot="1" x14ac:dyDescent="0.3">
      <c r="B16" s="66" t="str">
        <f t="shared" si="13"/>
        <v>98% AFUE New Gas Furnace (New &amp; Existing)_Zone 1_98+% Annual Fuel Utilization Efficiency (AFUE)</v>
      </c>
      <c r="C16" s="34" t="s">
        <v>34</v>
      </c>
      <c r="D16" s="34" t="s">
        <v>27</v>
      </c>
      <c r="E16" s="34" t="s">
        <v>35</v>
      </c>
      <c r="F16" s="34" t="str">
        <f t="shared" si="0"/>
        <v>98+% Annual Fuel Utilization Efficiency (AFUE)</v>
      </c>
      <c r="G16" s="14">
        <v>11</v>
      </c>
      <c r="H16" s="14">
        <f t="shared" si="1"/>
        <v>13</v>
      </c>
      <c r="I16" s="14">
        <f t="shared" si="14"/>
        <v>15</v>
      </c>
      <c r="J16" s="14">
        <v>11</v>
      </c>
      <c r="K16" s="86">
        <f>INDEX('Res Measure Mapping'!$X:$X,MATCH($B16,'Res Measure Mapping'!$B:$B,0))</f>
        <v>277.80661333497426</v>
      </c>
      <c r="L16" s="86">
        <f>INDEX('Res Measure Mapping'!$Y:$Y,MATCH($B16,'Res Measure Mapping'!$B:$B,0))</f>
        <v>329.97240111952357</v>
      </c>
      <c r="M16" s="90">
        <f t="shared" si="15"/>
        <v>0.18777734323282194</v>
      </c>
      <c r="N16" s="14">
        <f t="shared" si="2"/>
        <v>13</v>
      </c>
      <c r="O16" s="14">
        <f t="shared" si="16"/>
        <v>15</v>
      </c>
      <c r="P16" s="15">
        <v>113.5</v>
      </c>
      <c r="Q16" s="87">
        <f>INDEX('Res Measure Mapping'!$Q:$Q,MATCH($B16,'Res Measure Mapping'!$B:$B,0))</f>
        <v>134.26646957884776</v>
      </c>
      <c r="R16" s="87" t="str">
        <f>INDEX('Res Measure Mapping'!$R:$R,MATCH($B16,'Res Measure Mapping'!$B:$B,0))</f>
        <v>kBTU/hr</v>
      </c>
      <c r="S16" s="88">
        <f t="shared" si="3"/>
        <v>134.26646957884776</v>
      </c>
      <c r="T16" s="60">
        <f t="shared" si="17"/>
        <v>1745.464104525021</v>
      </c>
      <c r="U16" s="16">
        <v>1024</v>
      </c>
      <c r="V16" s="89">
        <f>INDEX('Res Measure Mapping'!$S:$S,MATCH($B16,'Res Measure Mapping'!$B:$B,0))</f>
        <v>1372.094693877551</v>
      </c>
      <c r="W16" s="76">
        <f t="shared" si="4"/>
        <v>1372.094693877551</v>
      </c>
      <c r="X16" s="17">
        <f t="shared" si="5"/>
        <v>83.491797071477507</v>
      </c>
      <c r="Y16" s="17">
        <f t="shared" si="18"/>
        <v>17837.231020408162</v>
      </c>
      <c r="Z16" s="17">
        <f t="shared" si="19"/>
        <v>16751.837658478955</v>
      </c>
      <c r="AA16" s="14">
        <v>22</v>
      </c>
      <c r="AB16" s="86">
        <f>INDEX('Res Measure Mapping'!$T:$T,MATCH($B16,'Res Measure Mapping'!$B:$B,0))</f>
        <v>21.5</v>
      </c>
      <c r="AC16" s="14">
        <f t="shared" si="20"/>
        <v>22</v>
      </c>
      <c r="AD16" s="60">
        <f t="shared" si="6"/>
        <v>22850.386566930683</v>
      </c>
      <c r="AE16" s="16">
        <f t="shared" si="7"/>
        <v>6686.1598660226073</v>
      </c>
      <c r="AF16" s="16">
        <v>900</v>
      </c>
      <c r="AG16" s="89">
        <f>INDEX('Res Measure Mapping'!$U:$U,MATCH($B16,'Res Measure Mapping'!$B:$B,0))</f>
        <v>693.46480561370299</v>
      </c>
      <c r="AH16" s="115">
        <v>1200</v>
      </c>
      <c r="AI16" s="62">
        <f t="shared" si="8"/>
        <v>15600</v>
      </c>
      <c r="AJ16" s="18">
        <f t="shared" si="9"/>
        <v>0.68270179825213473</v>
      </c>
      <c r="AK16" s="18">
        <f t="shared" si="10"/>
        <v>0.97530778311975563</v>
      </c>
      <c r="AL16" s="84">
        <f>IFERROR(IF(D14="Original",IF($AI16=0,"-",(INDEX('APP 2885'!$G:$G,MATCH($C$2+$AA16-1,'APP 2885'!$A:$A,0))*$T16)/($AI16+$AE16)),IF($AI16=0,"-",(INDEX('APP 2885'!G:G,MATCH($C$2+$AC16-1,'APP 2885'!$A:$A,0))*$T16)/($AI16+$AE16))),"N/A")</f>
        <v>3.445075299716561</v>
      </c>
      <c r="AM16" s="20">
        <f t="shared" si="11"/>
        <v>0.73310959573534695</v>
      </c>
      <c r="AN16" s="21">
        <f t="shared" si="12"/>
        <v>1.0257155806029679</v>
      </c>
      <c r="AO16" s="84">
        <f>IFERROR(IF(D14="Original",IF($AI16=0,"-",(INDEX('APP 2885'!$G:$G,MATCH($C$2+$AA16-1,'APP 2885'!$A:$A,0))*$T16)/($Z16+$AE16)),IF($AI16=0,"-",(INDEX('APP 2885'!G:G,MATCH($C$2+$AC16-1,'APP 2885'!$A:$A,0))*$T16)/($Z16+$AE16))),"N/A")</f>
        <v>3.2757704151008435</v>
      </c>
      <c r="AP16" s="45"/>
      <c r="AQ16" s="13"/>
      <c r="AR16" s="13"/>
    </row>
    <row r="17" spans="2:44" ht="15.75" thickBot="1" x14ac:dyDescent="0.3">
      <c r="B17" s="66" t="str">
        <f t="shared" si="13"/>
        <v>98% AFUE New Gas Furnace (New &amp; Existing)_Zone 2_98+% Annual Fuel Utilization Efficiency (AFUE)</v>
      </c>
      <c r="C17" s="33" t="s">
        <v>34</v>
      </c>
      <c r="D17" s="33" t="s">
        <v>29</v>
      </c>
      <c r="E17" s="33" t="s">
        <v>35</v>
      </c>
      <c r="F17" s="33" t="str">
        <f t="shared" si="0"/>
        <v>98+% Annual Fuel Utilization Efficiency (AFUE)</v>
      </c>
      <c r="G17" s="5">
        <v>4</v>
      </c>
      <c r="H17" s="5">
        <f t="shared" si="1"/>
        <v>5</v>
      </c>
      <c r="I17" s="5">
        <f t="shared" si="14"/>
        <v>6</v>
      </c>
      <c r="J17" s="5">
        <v>4</v>
      </c>
      <c r="K17" s="5">
        <f>INDEX('Res Measure Mapping'!$X:$X,MATCH($B17,'Res Measure Mapping'!$B:$B,0))</f>
        <v>138.8530524619712</v>
      </c>
      <c r="L17" s="5">
        <f>INDEX('Res Measure Mapping'!$Y:$Y,MATCH($B17,'Res Measure Mapping'!$B:$B,0))</f>
        <v>164.97715084908032</v>
      </c>
      <c r="M17" s="74">
        <f t="shared" si="15"/>
        <v>0.18814205322755817</v>
      </c>
      <c r="N17" s="5">
        <f t="shared" si="2"/>
        <v>5</v>
      </c>
      <c r="O17" s="5">
        <f t="shared" si="16"/>
        <v>6</v>
      </c>
      <c r="P17" s="6">
        <v>114.74</v>
      </c>
      <c r="Q17" s="68">
        <f>INDEX('Res Measure Mapping'!$Q:$Q,MATCH($B17,'Res Measure Mapping'!$B:$B,0))</f>
        <v>135.09854011054688</v>
      </c>
      <c r="R17" s="68" t="str">
        <f>INDEX('Res Measure Mapping'!$R:$R,MATCH($B17,'Res Measure Mapping'!$B:$B,0))</f>
        <v>kBTU/hr</v>
      </c>
      <c r="S17" s="6">
        <f t="shared" si="3"/>
        <v>135.09854011054688</v>
      </c>
      <c r="T17" s="59">
        <f t="shared" si="17"/>
        <v>675.49270055273439</v>
      </c>
      <c r="U17" s="7">
        <v>1024</v>
      </c>
      <c r="V17" s="7">
        <f>INDEX('Res Measure Mapping'!$S:$S,MATCH($B17,'Res Measure Mapping'!$B:$B,0))</f>
        <v>1372.094693877551</v>
      </c>
      <c r="W17" s="7">
        <f t="shared" si="4"/>
        <v>1372.094693877551</v>
      </c>
      <c r="X17" s="8">
        <f t="shared" si="5"/>
        <v>84.009208933126118</v>
      </c>
      <c r="Y17" s="8">
        <f t="shared" si="18"/>
        <v>6860.4734693877544</v>
      </c>
      <c r="Z17" s="8">
        <f t="shared" si="19"/>
        <v>6440.4274247221238</v>
      </c>
      <c r="AA17" s="5">
        <v>22</v>
      </c>
      <c r="AB17" s="5">
        <f>INDEX('Res Measure Mapping'!$T:$T,MATCH($B17,'Res Measure Mapping'!$B:$B,0))</f>
        <v>21.5</v>
      </c>
      <c r="AC17" s="5">
        <f t="shared" si="20"/>
        <v>22</v>
      </c>
      <c r="AD17" s="59">
        <f t="shared" si="6"/>
        <v>8843.0746245395912</v>
      </c>
      <c r="AE17" s="7">
        <f t="shared" si="7"/>
        <v>2587.5365597712735</v>
      </c>
      <c r="AF17" s="7">
        <v>900</v>
      </c>
      <c r="AG17" s="7">
        <f>INDEX('Res Measure Mapping'!$U:$U,MATCH($B17,'Res Measure Mapping'!$B:$B,0))</f>
        <v>693.46480561370299</v>
      </c>
      <c r="AH17" s="113">
        <v>1200</v>
      </c>
      <c r="AI17" s="61">
        <f t="shared" si="8"/>
        <v>6000</v>
      </c>
      <c r="AJ17" s="9">
        <f t="shared" si="9"/>
        <v>0.67849704483437923</v>
      </c>
      <c r="AK17" s="9">
        <f t="shared" si="10"/>
        <v>0.97110302970200002</v>
      </c>
      <c r="AL17" s="10">
        <f>IFERROR(IF(D15="Original",IF($AI17=0,"-",(INDEX('APP 2885'!$G:$G,MATCH($C$2+$AA17-1,'APP 2885'!$A:$A,0))*$T17)/($AI17+$AE17)),IF($AI17=0,"-",(INDEX('APP 2885'!G:G,MATCH($C$2+$AC17-1,'APP 2885'!$A:$A,0))*$T17)/($AI17+$AE17))),"N/A")</f>
        <v>3.4599920404720232</v>
      </c>
      <c r="AM17" s="11">
        <f t="shared" si="11"/>
        <v>0.72830182919070874</v>
      </c>
      <c r="AN17" s="12">
        <f t="shared" si="12"/>
        <v>1.0209078140583294</v>
      </c>
      <c r="AO17" s="10">
        <f>IFERROR(IF(D15="Original",IF($AI17=0,"-",(INDEX('APP 2885'!$G:$G,MATCH($C$2+$AA17-1,'APP 2885'!$A:$A,0))*$T17)/($Z17+$AE17)),IF($AI17=0,"-",(INDEX('APP 2885'!G:G,MATCH($C$2+$AC17-1,'APP 2885'!$A:$A,0))*$T17)/($Z17+$AE17))),"N/A")</f>
        <v>3.2911970179662204</v>
      </c>
      <c r="AP17" s="45"/>
      <c r="AQ17" s="13"/>
      <c r="AR17" s="13"/>
    </row>
    <row r="18" spans="2:44" ht="15.75" thickBot="1" x14ac:dyDescent="0.3">
      <c r="B18" s="66" t="str">
        <f t="shared" si="13"/>
        <v>98% AFUE New Gas Furnace (New &amp; Existing)_Zone 3_98+% Annual Fuel Utilization Efficiency (AFUE)</v>
      </c>
      <c r="C18" s="34" t="s">
        <v>34</v>
      </c>
      <c r="D18" s="34" t="s">
        <v>30</v>
      </c>
      <c r="E18" s="34" t="s">
        <v>35</v>
      </c>
      <c r="F18" s="34" t="str">
        <f t="shared" si="0"/>
        <v>98+% Annual Fuel Utilization Efficiency (AFUE)</v>
      </c>
      <c r="G18" s="14">
        <v>17</v>
      </c>
      <c r="H18" s="14">
        <f t="shared" si="1"/>
        <v>20</v>
      </c>
      <c r="I18" s="14">
        <f t="shared" si="14"/>
        <v>24</v>
      </c>
      <c r="J18" s="14">
        <v>17</v>
      </c>
      <c r="K18" s="86">
        <f>INDEX('Res Measure Mapping'!$X:$X,MATCH($B18,'Res Measure Mapping'!$B:$B,0))</f>
        <v>211.26697706240412</v>
      </c>
      <c r="L18" s="86">
        <f>INDEX('Res Measure Mapping'!$Y:$Y,MATCH($B18,'Res Measure Mapping'!$B:$B,0))</f>
        <v>253.66780410800828</v>
      </c>
      <c r="M18" s="90">
        <f t="shared" si="15"/>
        <v>0.20069784513970579</v>
      </c>
      <c r="N18" s="14">
        <f t="shared" si="2"/>
        <v>20</v>
      </c>
      <c r="O18" s="14">
        <f t="shared" si="16"/>
        <v>24</v>
      </c>
      <c r="P18" s="15">
        <v>100.56</v>
      </c>
      <c r="Q18" s="87">
        <f>INDEX('Res Measure Mapping'!$Q:$Q,MATCH($B18,'Res Measure Mapping'!$B:$B,0))</f>
        <v>136.14878414094053</v>
      </c>
      <c r="R18" s="87" t="str">
        <f>INDEX('Res Measure Mapping'!$R:$R,MATCH($B18,'Res Measure Mapping'!$B:$B,0))</f>
        <v>kBTU/hr</v>
      </c>
      <c r="S18" s="88">
        <f t="shared" si="3"/>
        <v>136.14878414094053</v>
      </c>
      <c r="T18" s="60">
        <f t="shared" si="17"/>
        <v>2722.9756828188106</v>
      </c>
      <c r="U18" s="16">
        <v>1024</v>
      </c>
      <c r="V18" s="89">
        <f>INDEX('Res Measure Mapping'!$S:$S,MATCH($B18,'Res Measure Mapping'!$B:$B,0))</f>
        <v>1372.094693877551</v>
      </c>
      <c r="W18" s="76">
        <f t="shared" si="4"/>
        <v>1372.094693877551</v>
      </c>
      <c r="X18" s="17">
        <f t="shared" si="5"/>
        <v>84.662289048632275</v>
      </c>
      <c r="Y18" s="17">
        <f t="shared" si="18"/>
        <v>27441.893877551018</v>
      </c>
      <c r="Z18" s="17">
        <f t="shared" si="19"/>
        <v>25748.648096578374</v>
      </c>
      <c r="AA18" s="14">
        <v>22</v>
      </c>
      <c r="AB18" s="86">
        <f>INDEX('Res Measure Mapping'!$T:$T,MATCH($B18,'Res Measure Mapping'!$B:$B,0))</f>
        <v>21.5</v>
      </c>
      <c r="AC18" s="14">
        <f t="shared" si="20"/>
        <v>22</v>
      </c>
      <c r="AD18" s="60">
        <f t="shared" si="6"/>
        <v>35647.27959942411</v>
      </c>
      <c r="AE18" s="16">
        <f t="shared" si="7"/>
        <v>10430.607355040942</v>
      </c>
      <c r="AF18" s="16">
        <v>900</v>
      </c>
      <c r="AG18" s="89">
        <f>INDEX('Res Measure Mapping'!$U:$U,MATCH($B18,'Res Measure Mapping'!$B:$B,0))</f>
        <v>693.46480561370311</v>
      </c>
      <c r="AH18" s="115">
        <v>1200</v>
      </c>
      <c r="AI18" s="62">
        <f t="shared" si="8"/>
        <v>24000</v>
      </c>
      <c r="AJ18" s="18">
        <f t="shared" si="9"/>
        <v>0.67326315695595818</v>
      </c>
      <c r="AK18" s="18">
        <f t="shared" si="10"/>
        <v>0.96586914182357908</v>
      </c>
      <c r="AL18" s="84">
        <f>IFERROR(IF(D16="Original",IF($AI18=0,"-",(INDEX('APP 2885'!$G:$G,MATCH($C$2+$AA18-1,'APP 2885'!$A:$A,0))*$T18)/($AI18+$AE18)),IF($AI18=0,"-",(INDEX('APP 2885'!G:G,MATCH($C$2+$AC18-1,'APP 2885'!$A:$A,0))*$T18)/($AI18+$AE18))),"N/A")</f>
        <v>3.4787411749208883</v>
      </c>
      <c r="AM18" s="20">
        <f t="shared" si="11"/>
        <v>0.72231733770209916</v>
      </c>
      <c r="AN18" s="21">
        <f t="shared" si="12"/>
        <v>1.0149233225697201</v>
      </c>
      <c r="AO18" s="84">
        <f>IFERROR(IF(D16="Original",IF($AI18=0,"-",(INDEX('APP 2885'!$G:$G,MATCH($C$2+$AA18-1,'APP 2885'!$A:$A,0))*$T18)/($Z18+$AE18)),IF($AI18=0,"-",(INDEX('APP 2885'!G:G,MATCH($C$2+$AC18-1,'APP 2885'!$A:$A,0))*$T18)/($Z18+$AE18))),"N/A")</f>
        <v>3.3106035485911023</v>
      </c>
      <c r="AP18" s="45"/>
      <c r="AQ18" s="13"/>
      <c r="AR18" s="13"/>
    </row>
    <row r="19" spans="2:44" ht="26.25" thickBot="1" x14ac:dyDescent="0.3">
      <c r="B19" s="66" t="str">
        <f t="shared" si="13"/>
        <v>Bundle A_Zone 1_</v>
      </c>
      <c r="C19" s="33" t="s">
        <v>36</v>
      </c>
      <c r="D19" s="33" t="s">
        <v>27</v>
      </c>
      <c r="E19" s="33"/>
      <c r="F19" s="33" t="s">
        <v>210</v>
      </c>
      <c r="G19" s="5">
        <v>112</v>
      </c>
      <c r="H19" s="5">
        <f t="shared" si="1"/>
        <v>131</v>
      </c>
      <c r="I19" s="5">
        <f t="shared" si="14"/>
        <v>131</v>
      </c>
      <c r="J19" s="5">
        <v>112</v>
      </c>
      <c r="K19" s="5" t="str">
        <f>INDEX('Res Measure Mapping'!$X:$X,MATCH($B19,'Res Measure Mapping'!$B:$B,0))</f>
        <v>N/A</v>
      </c>
      <c r="L19" s="5" t="str">
        <f>INDEX('Res Measure Mapping'!$Y:$Y,MATCH($B19,'Res Measure Mapping'!$B:$B,0))</f>
        <v>N/A</v>
      </c>
      <c r="M19" s="74" t="str">
        <f t="shared" si="15"/>
        <v>N/A</v>
      </c>
      <c r="N19" s="5">
        <f t="shared" si="2"/>
        <v>131</v>
      </c>
      <c r="O19" s="5">
        <f t="shared" si="16"/>
        <v>131</v>
      </c>
      <c r="P19" s="6">
        <v>0</v>
      </c>
      <c r="Q19" s="68" t="str">
        <f>INDEX('Res Measure Mapping'!$Q:$Q,MATCH($B19,'Res Measure Mapping'!$B:$B,0))</f>
        <v>N/A</v>
      </c>
      <c r="R19" s="68" t="str">
        <f>INDEX('Res Measure Mapping'!$R:$R,MATCH($B19,'Res Measure Mapping'!$B:$B,0))</f>
        <v>N/A</v>
      </c>
      <c r="S19" s="6">
        <f t="shared" ref="S19:S22" si="21">P19</f>
        <v>0</v>
      </c>
      <c r="T19" s="59">
        <f t="shared" si="17"/>
        <v>0</v>
      </c>
      <c r="U19" s="7">
        <v>0</v>
      </c>
      <c r="V19" s="7" t="str">
        <f>INDEX('Res Measure Mapping'!$S:$S,MATCH($B19,'Res Measure Mapping'!$B:$B,0))</f>
        <v>N/A</v>
      </c>
      <c r="W19" s="7">
        <f t="shared" ref="W19:W22" si="22">U19</f>
        <v>0</v>
      </c>
      <c r="X19" s="8">
        <f t="shared" si="5"/>
        <v>0</v>
      </c>
      <c r="Y19" s="8">
        <f t="shared" si="18"/>
        <v>0</v>
      </c>
      <c r="Z19" s="8">
        <f t="shared" si="19"/>
        <v>0</v>
      </c>
      <c r="AA19" s="5">
        <v>0</v>
      </c>
      <c r="AB19" s="5" t="str">
        <f>INDEX('Res Measure Mapping'!$T:$T,MATCH($B19,'Res Measure Mapping'!$B:$B,0))</f>
        <v>N/A</v>
      </c>
      <c r="AC19" s="5">
        <f t="shared" si="20"/>
        <v>0</v>
      </c>
      <c r="AD19" s="59">
        <f t="shared" si="6"/>
        <v>0</v>
      </c>
      <c r="AE19" s="7">
        <f t="shared" si="7"/>
        <v>0</v>
      </c>
      <c r="AF19" s="7">
        <v>250</v>
      </c>
      <c r="AG19" s="7" t="str">
        <f>INDEX('Res Measure Mapping'!$U:$U,MATCH($B19,'Res Measure Mapping'!$B:$B,0))</f>
        <v>N/A</v>
      </c>
      <c r="AH19" s="113">
        <v>250</v>
      </c>
      <c r="AI19" s="61">
        <f t="shared" si="8"/>
        <v>32750</v>
      </c>
      <c r="AJ19" s="9">
        <f t="shared" si="9"/>
        <v>0</v>
      </c>
      <c r="AK19" s="9">
        <f t="shared" si="10"/>
        <v>0</v>
      </c>
      <c r="AL19" s="10">
        <f>IFERROR(IF(D17="Original",IF($AI19=0,"-",(INDEX('APP 2885'!$G:$G,MATCH($C$2+$AA19-1,'APP 2885'!$A:$A,0))*$T19)/($AI19+$AE19)),IF($AI19=0,"-",(INDEX('APP 2885'!G:G,MATCH($C$2+$AC19-1,'APP 2885'!$A:$A,0))*$T19)/($AI19+$AE19))),"N/A")</f>
        <v>0</v>
      </c>
      <c r="AM19" s="11">
        <f t="shared" si="11"/>
        <v>0</v>
      </c>
      <c r="AN19" s="12">
        <f t="shared" si="12"/>
        <v>0</v>
      </c>
      <c r="AO19" s="10" t="str">
        <f>IFERROR(IF(D17="Original",IF($AI19=0,"-",(INDEX('APP 2885'!$G:$G,MATCH($C$2+$AA19-1,'APP 2885'!$A:$A,0))*$T19)/($Z19+$AE19)),IF($AI19=0,"-",(INDEX('APP 2885'!G:G,MATCH($C$2+$AC19-1,'APP 2885'!$A:$A,0))*$T19)/($Z19+$AE19))),"N/A")</f>
        <v>N/A</v>
      </c>
      <c r="AP19" s="45"/>
      <c r="AQ19" s="13"/>
      <c r="AR19" s="13"/>
    </row>
    <row r="20" spans="2:44" ht="26.25" thickBot="1" x14ac:dyDescent="0.3">
      <c r="B20" s="66" t="str">
        <f t="shared" si="13"/>
        <v>Bundle A_Zone 2_</v>
      </c>
      <c r="C20" s="34" t="s">
        <v>36</v>
      </c>
      <c r="D20" s="34" t="s">
        <v>29</v>
      </c>
      <c r="E20" s="34"/>
      <c r="F20" s="34" t="s">
        <v>210</v>
      </c>
      <c r="G20" s="14">
        <v>6</v>
      </c>
      <c r="H20" s="14">
        <f t="shared" si="1"/>
        <v>7</v>
      </c>
      <c r="I20" s="14">
        <f t="shared" si="14"/>
        <v>7</v>
      </c>
      <c r="J20" s="14">
        <v>6</v>
      </c>
      <c r="K20" s="86" t="str">
        <f>INDEX('Res Measure Mapping'!$X:$X,MATCH($B20,'Res Measure Mapping'!$B:$B,0))</f>
        <v>N/A</v>
      </c>
      <c r="L20" s="86" t="str">
        <f>INDEX('Res Measure Mapping'!$Y:$Y,MATCH($B20,'Res Measure Mapping'!$B:$B,0))</f>
        <v>N/A</v>
      </c>
      <c r="M20" s="90" t="str">
        <f t="shared" si="15"/>
        <v>N/A</v>
      </c>
      <c r="N20" s="14">
        <f t="shared" si="2"/>
        <v>7</v>
      </c>
      <c r="O20" s="14">
        <f t="shared" si="16"/>
        <v>7</v>
      </c>
      <c r="P20" s="15">
        <v>0</v>
      </c>
      <c r="Q20" s="87" t="str">
        <f>INDEX('Res Measure Mapping'!$Q:$Q,MATCH($B20,'Res Measure Mapping'!$B:$B,0))</f>
        <v>N/A</v>
      </c>
      <c r="R20" s="87" t="str">
        <f>INDEX('Res Measure Mapping'!$R:$R,MATCH($B20,'Res Measure Mapping'!$B:$B,0))</f>
        <v>N/A</v>
      </c>
      <c r="S20" s="88">
        <f t="shared" si="21"/>
        <v>0</v>
      </c>
      <c r="T20" s="60">
        <f t="shared" si="17"/>
        <v>0</v>
      </c>
      <c r="U20" s="16">
        <v>0</v>
      </c>
      <c r="V20" s="89" t="str">
        <f>INDEX('Res Measure Mapping'!$S:$S,MATCH($B20,'Res Measure Mapping'!$B:$B,0))</f>
        <v>N/A</v>
      </c>
      <c r="W20" s="76">
        <f t="shared" si="22"/>
        <v>0</v>
      </c>
      <c r="X20" s="17">
        <f t="shared" si="5"/>
        <v>0</v>
      </c>
      <c r="Y20" s="17">
        <f t="shared" si="18"/>
        <v>0</v>
      </c>
      <c r="Z20" s="17">
        <f t="shared" si="19"/>
        <v>0</v>
      </c>
      <c r="AA20" s="14">
        <v>0</v>
      </c>
      <c r="AB20" s="86" t="str">
        <f>INDEX('Res Measure Mapping'!$T:$T,MATCH($B20,'Res Measure Mapping'!$B:$B,0))</f>
        <v>N/A</v>
      </c>
      <c r="AC20" s="14">
        <f t="shared" si="20"/>
        <v>0</v>
      </c>
      <c r="AD20" s="60">
        <f t="shared" si="6"/>
        <v>0</v>
      </c>
      <c r="AE20" s="16">
        <f t="shared" si="7"/>
        <v>0</v>
      </c>
      <c r="AF20" s="16">
        <v>250</v>
      </c>
      <c r="AG20" s="89" t="str">
        <f>INDEX('Res Measure Mapping'!$U:$U,MATCH($B20,'Res Measure Mapping'!$B:$B,0))</f>
        <v>N/A</v>
      </c>
      <c r="AH20" s="115">
        <v>250</v>
      </c>
      <c r="AI20" s="62">
        <f t="shared" si="8"/>
        <v>1750</v>
      </c>
      <c r="AJ20" s="18">
        <f t="shared" si="9"/>
        <v>0</v>
      </c>
      <c r="AK20" s="18">
        <f t="shared" si="10"/>
        <v>0</v>
      </c>
      <c r="AL20" s="84">
        <f>IFERROR(IF(D18="Original",IF($AI20=0,"-",(INDEX('APP 2885'!$G:$G,MATCH($C$2+$AA20-1,'APP 2885'!$A:$A,0))*$T20)/($AI20+$AE20)),IF($AI20=0,"-",(INDEX('APP 2885'!G:G,MATCH($C$2+$AC20-1,'APP 2885'!$A:$A,0))*$T20)/($AI20+$AE20))),"N/A")</f>
        <v>0</v>
      </c>
      <c r="AM20" s="20">
        <f t="shared" si="11"/>
        <v>0</v>
      </c>
      <c r="AN20" s="21">
        <f t="shared" si="12"/>
        <v>0</v>
      </c>
      <c r="AO20" s="84" t="str">
        <f>IFERROR(IF(D18="Original",IF($AI20=0,"-",(INDEX('APP 2885'!$G:$G,MATCH($C$2+$AA20-1,'APP 2885'!$A:$A,0))*$T20)/($Z20+$AE20)),IF($AI20=0,"-",(INDEX('APP 2885'!G:G,MATCH($C$2+$AC20-1,'APP 2885'!$A:$A,0))*$T20)/($Z20+$AE20))),"N/A")</f>
        <v>N/A</v>
      </c>
      <c r="AP20" s="45"/>
      <c r="AQ20" s="13"/>
      <c r="AR20" s="13"/>
    </row>
    <row r="21" spans="2:44" ht="26.25" thickBot="1" x14ac:dyDescent="0.3">
      <c r="B21" s="66" t="str">
        <f t="shared" si="13"/>
        <v>Bundle A_Zone 3_</v>
      </c>
      <c r="C21" s="33" t="s">
        <v>36</v>
      </c>
      <c r="D21" s="33" t="s">
        <v>30</v>
      </c>
      <c r="E21" s="33"/>
      <c r="F21" s="33" t="s">
        <v>210</v>
      </c>
      <c r="G21" s="5">
        <v>26</v>
      </c>
      <c r="H21" s="5">
        <f t="shared" si="1"/>
        <v>30</v>
      </c>
      <c r="I21" s="5">
        <f t="shared" si="14"/>
        <v>30</v>
      </c>
      <c r="J21" s="5">
        <v>26</v>
      </c>
      <c r="K21" s="5" t="str">
        <f>INDEX('Res Measure Mapping'!$X:$X,MATCH($B21,'Res Measure Mapping'!$B:$B,0))</f>
        <v>N/A</v>
      </c>
      <c r="L21" s="5" t="str">
        <f>INDEX('Res Measure Mapping'!$Y:$Y,MATCH($B21,'Res Measure Mapping'!$B:$B,0))</f>
        <v>N/A</v>
      </c>
      <c r="M21" s="74" t="str">
        <f t="shared" si="15"/>
        <v>N/A</v>
      </c>
      <c r="N21" s="5">
        <f t="shared" si="2"/>
        <v>30</v>
      </c>
      <c r="O21" s="5">
        <f t="shared" si="16"/>
        <v>30</v>
      </c>
      <c r="P21" s="6">
        <v>0</v>
      </c>
      <c r="Q21" s="68" t="str">
        <f>INDEX('Res Measure Mapping'!$Q:$Q,MATCH($B21,'Res Measure Mapping'!$B:$B,0))</f>
        <v>N/A</v>
      </c>
      <c r="R21" s="68" t="str">
        <f>INDEX('Res Measure Mapping'!$R:$R,MATCH($B21,'Res Measure Mapping'!$B:$B,0))</f>
        <v>N/A</v>
      </c>
      <c r="S21" s="6">
        <f t="shared" si="21"/>
        <v>0</v>
      </c>
      <c r="T21" s="59">
        <f t="shared" si="17"/>
        <v>0</v>
      </c>
      <c r="U21" s="7">
        <v>0</v>
      </c>
      <c r="V21" s="7" t="str">
        <f>INDEX('Res Measure Mapping'!$S:$S,MATCH($B21,'Res Measure Mapping'!$B:$B,0))</f>
        <v>N/A</v>
      </c>
      <c r="W21" s="7">
        <f t="shared" si="22"/>
        <v>0</v>
      </c>
      <c r="X21" s="8">
        <f t="shared" si="5"/>
        <v>0</v>
      </c>
      <c r="Y21" s="8">
        <f t="shared" si="18"/>
        <v>0</v>
      </c>
      <c r="Z21" s="8">
        <f t="shared" si="19"/>
        <v>0</v>
      </c>
      <c r="AA21" s="5">
        <v>0</v>
      </c>
      <c r="AB21" s="5" t="str">
        <f>INDEX('Res Measure Mapping'!$T:$T,MATCH($B21,'Res Measure Mapping'!$B:$B,0))</f>
        <v>N/A</v>
      </c>
      <c r="AC21" s="5">
        <f t="shared" si="20"/>
        <v>0</v>
      </c>
      <c r="AD21" s="59">
        <f t="shared" si="6"/>
        <v>0</v>
      </c>
      <c r="AE21" s="7">
        <f t="shared" si="7"/>
        <v>0</v>
      </c>
      <c r="AF21" s="7">
        <v>250</v>
      </c>
      <c r="AG21" s="7" t="str">
        <f>INDEX('Res Measure Mapping'!$U:$U,MATCH($B21,'Res Measure Mapping'!$B:$B,0))</f>
        <v>N/A</v>
      </c>
      <c r="AH21" s="113">
        <v>250</v>
      </c>
      <c r="AI21" s="61">
        <f t="shared" si="8"/>
        <v>7500</v>
      </c>
      <c r="AJ21" s="9">
        <f t="shared" si="9"/>
        <v>0</v>
      </c>
      <c r="AK21" s="9">
        <f t="shared" si="10"/>
        <v>0</v>
      </c>
      <c r="AL21" s="10">
        <f>IFERROR(IF(D19="Original",IF($AI21=0,"-",(INDEX('APP 2885'!$G:$G,MATCH($C$2+$AA21-1,'APP 2885'!$A:$A,0))*$T21)/($AI21+$AE21)),IF($AI21=0,"-",(INDEX('APP 2885'!G:G,MATCH($C$2+$AC21-1,'APP 2885'!$A:$A,0))*$T21)/($AI21+$AE21))),"N/A")</f>
        <v>0</v>
      </c>
      <c r="AM21" s="11">
        <f t="shared" si="11"/>
        <v>0</v>
      </c>
      <c r="AN21" s="12">
        <f t="shared" si="12"/>
        <v>0</v>
      </c>
      <c r="AO21" s="10" t="str">
        <f>IFERROR(IF(D19="Original",IF($AI21=0,"-",(INDEX('APP 2885'!$G:$G,MATCH($C$2+$AA21-1,'APP 2885'!$A:$A,0))*$T21)/($Z21+$AE21)),IF($AI21=0,"-",(INDEX('APP 2885'!G:G,MATCH($C$2+$AC21-1,'APP 2885'!$A:$A,0))*$T21)/($Z21+$AE21))),"N/A")</f>
        <v>N/A</v>
      </c>
      <c r="AP21" s="45"/>
      <c r="AQ21" s="13"/>
      <c r="AR21" s="13"/>
    </row>
    <row r="22" spans="2:44" ht="26.25" thickBot="1" x14ac:dyDescent="0.3">
      <c r="B22" s="66" t="str">
        <f t="shared" si="13"/>
        <v>Bundle B_Zone 1_</v>
      </c>
      <c r="C22" s="34" t="s">
        <v>37</v>
      </c>
      <c r="D22" s="34" t="s">
        <v>27</v>
      </c>
      <c r="E22" s="34"/>
      <c r="F22" s="34" t="s">
        <v>211</v>
      </c>
      <c r="G22" s="14">
        <v>6</v>
      </c>
      <c r="H22" s="14">
        <f t="shared" si="1"/>
        <v>7</v>
      </c>
      <c r="I22" s="14">
        <f t="shared" si="14"/>
        <v>7</v>
      </c>
      <c r="J22" s="14">
        <v>6</v>
      </c>
      <c r="K22" s="86" t="str">
        <f>INDEX('Res Measure Mapping'!$X:$X,MATCH($B22,'Res Measure Mapping'!$B:$B,0))</f>
        <v>N/A</v>
      </c>
      <c r="L22" s="86" t="str">
        <f>INDEX('Res Measure Mapping'!$Y:$Y,MATCH($B22,'Res Measure Mapping'!$B:$B,0))</f>
        <v>N/A</v>
      </c>
      <c r="M22" s="90" t="str">
        <f t="shared" si="15"/>
        <v>N/A</v>
      </c>
      <c r="N22" s="14">
        <f t="shared" si="2"/>
        <v>7</v>
      </c>
      <c r="O22" s="14">
        <f t="shared" si="16"/>
        <v>7</v>
      </c>
      <c r="P22" s="15">
        <v>0</v>
      </c>
      <c r="Q22" s="87" t="str">
        <f>INDEX('Res Measure Mapping'!$Q:$Q,MATCH($B22,'Res Measure Mapping'!$B:$B,0))</f>
        <v>N/A</v>
      </c>
      <c r="R22" s="87" t="str">
        <f>INDEX('Res Measure Mapping'!$R:$R,MATCH($B22,'Res Measure Mapping'!$B:$B,0))</f>
        <v>N/A</v>
      </c>
      <c r="S22" s="88">
        <f t="shared" si="21"/>
        <v>0</v>
      </c>
      <c r="T22" s="60">
        <f t="shared" si="17"/>
        <v>0</v>
      </c>
      <c r="U22" s="16">
        <v>0</v>
      </c>
      <c r="V22" s="89" t="str">
        <f>INDEX('Res Measure Mapping'!$S:$S,MATCH($B22,'Res Measure Mapping'!$B:$B,0))</f>
        <v>N/A</v>
      </c>
      <c r="W22" s="76">
        <f t="shared" si="22"/>
        <v>0</v>
      </c>
      <c r="X22" s="17">
        <f t="shared" si="5"/>
        <v>0</v>
      </c>
      <c r="Y22" s="17">
        <f t="shared" si="18"/>
        <v>0</v>
      </c>
      <c r="Z22" s="17">
        <f t="shared" si="19"/>
        <v>0</v>
      </c>
      <c r="AA22" s="14">
        <v>0</v>
      </c>
      <c r="AB22" s="86" t="str">
        <f>INDEX('Res Measure Mapping'!$T:$T,MATCH($B22,'Res Measure Mapping'!$B:$B,0))</f>
        <v>N/A</v>
      </c>
      <c r="AC22" s="14">
        <f t="shared" si="20"/>
        <v>0</v>
      </c>
      <c r="AD22" s="60">
        <f t="shared" si="6"/>
        <v>0</v>
      </c>
      <c r="AE22" s="16">
        <f t="shared" si="7"/>
        <v>0</v>
      </c>
      <c r="AF22" s="16">
        <v>500</v>
      </c>
      <c r="AG22" s="89" t="str">
        <f>INDEX('Res Measure Mapping'!$U:$U,MATCH($B22,'Res Measure Mapping'!$B:$B,0))</f>
        <v>N/A</v>
      </c>
      <c r="AH22" s="115">
        <v>1000</v>
      </c>
      <c r="AI22" s="62">
        <f t="shared" si="8"/>
        <v>7000</v>
      </c>
      <c r="AJ22" s="18">
        <f t="shared" si="9"/>
        <v>0</v>
      </c>
      <c r="AK22" s="18">
        <f t="shared" si="10"/>
        <v>0</v>
      </c>
      <c r="AL22" s="84">
        <f>IFERROR(IF(D20="Original",IF($AI22=0,"-",(INDEX('APP 2885'!$G:$G,MATCH($C$2+$AA22-1,'APP 2885'!$A:$A,0))*$T22)/($AI22+$AE22)),IF($AI22=0,"-",(INDEX('APP 2885'!G:G,MATCH($C$2+$AC22-1,'APP 2885'!$A:$A,0))*$T22)/($AI22+$AE22))),"N/A")</f>
        <v>0</v>
      </c>
      <c r="AM22" s="20">
        <f t="shared" si="11"/>
        <v>0</v>
      </c>
      <c r="AN22" s="21">
        <f t="shared" si="12"/>
        <v>0</v>
      </c>
      <c r="AO22" s="84" t="str">
        <f>IFERROR(IF(D20="Original",IF($AI22=0,"-",(INDEX('APP 2885'!$G:$G,MATCH($C$2+$AA22-1,'APP 2885'!$A:$A,0))*$T22)/($Z22+$AE22)),IF($AI22=0,"-",(INDEX('APP 2885'!G:G,MATCH($C$2+$AC22-1,'APP 2885'!$A:$A,0))*$T22)/($Z22+$AE22))),"N/A")</f>
        <v>N/A</v>
      </c>
      <c r="AP22" s="45"/>
      <c r="AQ22" s="13"/>
      <c r="AR22" s="13"/>
    </row>
    <row r="23" spans="2:44" ht="15.75" thickBot="1" x14ac:dyDescent="0.3">
      <c r="B23" s="66" t="str">
        <f t="shared" si="13"/>
        <v>Attic Insulation_Zone 1_Post R-60+, Cavity Fill R-49+</v>
      </c>
      <c r="C23" s="33" t="s">
        <v>212</v>
      </c>
      <c r="D23" s="33" t="s">
        <v>27</v>
      </c>
      <c r="E23" s="33" t="s">
        <v>213</v>
      </c>
      <c r="F23" s="33" t="str">
        <f t="shared" ref="F23:F59" si="23">E23</f>
        <v>Post R-60+, Cavity Fill R-49+</v>
      </c>
      <c r="G23" s="5">
        <v>184</v>
      </c>
      <c r="H23" s="5">
        <f>ROUND((G23/(7/12))*0.68,0)</f>
        <v>214</v>
      </c>
      <c r="I23" s="5">
        <f t="shared" si="14"/>
        <v>252</v>
      </c>
      <c r="J23" s="5">
        <v>261182</v>
      </c>
      <c r="K23" s="5">
        <f>INDEX('Res Measure Mapping'!$X:$X,MATCH($B23,'Res Measure Mapping'!$B:$B,0))</f>
        <v>98307.44648305283</v>
      </c>
      <c r="L23" s="5">
        <f>INDEX('Res Measure Mapping'!$Y:$Y,MATCH($B23,'Res Measure Mapping'!$B:$B,0))</f>
        <v>100951.06172202792</v>
      </c>
      <c r="M23" s="74">
        <f t="shared" si="15"/>
        <v>2.6891302068667043E-2</v>
      </c>
      <c r="N23" s="5">
        <f t="shared" si="2"/>
        <v>304464</v>
      </c>
      <c r="O23" s="5">
        <f t="shared" si="16"/>
        <v>358321</v>
      </c>
      <c r="P23" s="6">
        <v>0.04</v>
      </c>
      <c r="Q23" s="68">
        <f>INDEX('Res Measure Mapping'!$Q:$Q,MATCH($B23,'Res Measure Mapping'!$B:$B,0))</f>
        <v>0.15715086997503622</v>
      </c>
      <c r="R23" s="68" t="str">
        <f>INDEX('Res Measure Mapping'!$R:$R,MATCH($B23,'Res Measure Mapping'!$B:$B,0))</f>
        <v>sqft roof</v>
      </c>
      <c r="S23" s="6">
        <f>Q23</f>
        <v>0.15715086997503622</v>
      </c>
      <c r="T23" s="59">
        <f t="shared" si="17"/>
        <v>47846.782476079425</v>
      </c>
      <c r="U23" s="7">
        <v>0.67</v>
      </c>
      <c r="V23" s="7">
        <f>INDEX('Res Measure Mapping'!$S:$S,MATCH($B23,'Res Measure Mapping'!$B:$B,0))</f>
        <v>1.95</v>
      </c>
      <c r="W23" s="7">
        <f>V23</f>
        <v>1.95</v>
      </c>
      <c r="X23" s="8">
        <f t="shared" si="5"/>
        <v>0.13152094761979516</v>
      </c>
      <c r="Y23" s="8">
        <f t="shared" si="18"/>
        <v>593704.79999999993</v>
      </c>
      <c r="Z23" s="8">
        <f t="shared" si="19"/>
        <v>593676.65451720927</v>
      </c>
      <c r="AA23" s="5">
        <v>45</v>
      </c>
      <c r="AB23" s="5">
        <f>INDEX('Res Measure Mapping'!$T:$T,MATCH($B23,'Res Measure Mapping'!$B:$B,0))</f>
        <v>45</v>
      </c>
      <c r="AC23" s="5">
        <f t="shared" si="20"/>
        <v>45</v>
      </c>
      <c r="AD23" s="59">
        <f t="shared" si="6"/>
        <v>843018.81676028029</v>
      </c>
      <c r="AE23" s="7">
        <f t="shared" si="7"/>
        <v>183281.47561472247</v>
      </c>
      <c r="AF23" s="7">
        <v>1.25</v>
      </c>
      <c r="AG23" s="7">
        <f>INDEX('Res Measure Mapping'!$U:$U,MATCH($B23,'Res Measure Mapping'!$B:$B,0))</f>
        <v>0.99998034060156249</v>
      </c>
      <c r="AH23" s="113">
        <v>2</v>
      </c>
      <c r="AI23" s="61">
        <f t="shared" si="8"/>
        <v>608928</v>
      </c>
      <c r="AJ23" s="9">
        <f t="shared" si="9"/>
        <v>0.72231839656925945</v>
      </c>
      <c r="AK23" s="9">
        <f t="shared" si="10"/>
        <v>0.93972929176027409</v>
      </c>
      <c r="AL23" s="10">
        <f>IFERROR(IF(D21="Original",IF($AI23=0,"-",(INDEX('APP 2885'!$G:$G,MATCH($C$2+$AA23-1,'APP 2885'!$A:$A,0))*$T23)/($AI23+$AE23)),IF($AI23=0,"-",(INDEX('APP 2885'!G:G,MATCH($C$2+$AC23-1,'APP 2885'!$A:$A,0))*$T23)/($AI23+$AE23))),"N/A")</f>
        <v>6.0185978380714014</v>
      </c>
      <c r="AM23" s="11">
        <f t="shared" si="11"/>
        <v>0.70422705011343345</v>
      </c>
      <c r="AN23" s="12">
        <f t="shared" si="12"/>
        <v>0.92163794530444809</v>
      </c>
      <c r="AO23" s="10">
        <f>IFERROR(IF(D21="Original",IF($AI23=0,"-",(INDEX('APP 2885'!$G:$G,MATCH($C$2+$AA23-1,'APP 2885'!$A:$A,0))*$T23)/($Z23+$AE23)),IF($AI23=0,"-",(INDEX('APP 2885'!G:G,MATCH($C$2+$AC23-1,'APP 2885'!$A:$A,0))*$T23)/($Z23+$AE23))),"N/A")</f>
        <v>6.1367402596389802</v>
      </c>
      <c r="AP23" s="45"/>
      <c r="AQ23" s="13"/>
      <c r="AR23" s="13"/>
    </row>
    <row r="24" spans="2:44" ht="15.75" thickBot="1" x14ac:dyDescent="0.3">
      <c r="B24" s="66" t="str">
        <f t="shared" si="13"/>
        <v>Attic Insulation_Zone 2_Post R-60+, Cavity Fill R-49+</v>
      </c>
      <c r="C24" s="34" t="s">
        <v>212</v>
      </c>
      <c r="D24" s="34" t="s">
        <v>29</v>
      </c>
      <c r="E24" s="34" t="s">
        <v>213</v>
      </c>
      <c r="F24" s="34" t="str">
        <f t="shared" si="23"/>
        <v>Post R-60+, Cavity Fill R-49+</v>
      </c>
      <c r="G24" s="14">
        <v>13</v>
      </c>
      <c r="H24" s="14">
        <f t="shared" si="1"/>
        <v>15</v>
      </c>
      <c r="I24" s="14">
        <f t="shared" si="14"/>
        <v>18</v>
      </c>
      <c r="J24" s="14">
        <v>18421</v>
      </c>
      <c r="K24" s="86">
        <f>INDEX('Res Measure Mapping'!$X:$X,MATCH($B24,'Res Measure Mapping'!$B:$B,0))</f>
        <v>45327.182402746897</v>
      </c>
      <c r="L24" s="86">
        <f>INDEX('Res Measure Mapping'!$Y:$Y,MATCH($B24,'Res Measure Mapping'!$B:$B,0))</f>
        <v>46546.089356660748</v>
      </c>
      <c r="M24" s="90">
        <f t="shared" si="15"/>
        <v>2.6891302068667369E-2</v>
      </c>
      <c r="N24" s="14">
        <f t="shared" si="2"/>
        <v>21474</v>
      </c>
      <c r="O24" s="14">
        <f t="shared" si="16"/>
        <v>25273</v>
      </c>
      <c r="P24" s="15">
        <v>0.05</v>
      </c>
      <c r="Q24" s="87">
        <f>INDEX('Res Measure Mapping'!$Q:$Q,MATCH($B24,'Res Measure Mapping'!$B:$B,0))</f>
        <v>0.17763100522443787</v>
      </c>
      <c r="R24" s="87" t="str">
        <f>INDEX('Res Measure Mapping'!$R:$R,MATCH($B24,'Res Measure Mapping'!$B:$B,0))</f>
        <v>sqft roof</v>
      </c>
      <c r="S24" s="88">
        <f t="shared" ref="S24:S77" si="24">Q24</f>
        <v>0.17763100522443787</v>
      </c>
      <c r="T24" s="60">
        <f t="shared" si="17"/>
        <v>3814.4482061895787</v>
      </c>
      <c r="U24" s="16">
        <v>0.67</v>
      </c>
      <c r="V24" s="89">
        <f>INDEX('Res Measure Mapping'!$S:$S,MATCH($B24,'Res Measure Mapping'!$B:$B,0))</f>
        <v>1.95</v>
      </c>
      <c r="W24" s="76">
        <f t="shared" ref="W24:W77" si="25">V24</f>
        <v>1.95</v>
      </c>
      <c r="X24" s="17">
        <f t="shared" si="5"/>
        <v>0.14866095324503131</v>
      </c>
      <c r="Y24" s="17">
        <f t="shared" si="18"/>
        <v>41874.299999999996</v>
      </c>
      <c r="Z24" s="17">
        <f t="shared" si="19"/>
        <v>41872.070085701322</v>
      </c>
      <c r="AA24" s="14">
        <v>45</v>
      </c>
      <c r="AB24" s="86">
        <f>INDEX('Res Measure Mapping'!$T:$T,MATCH($B24,'Res Measure Mapping'!$B:$B,0))</f>
        <v>45</v>
      </c>
      <c r="AC24" s="14">
        <f t="shared" si="20"/>
        <v>45</v>
      </c>
      <c r="AD24" s="60">
        <f t="shared" si="6"/>
        <v>67207.269683869526</v>
      </c>
      <c r="AE24" s="16">
        <f t="shared" si="7"/>
        <v>14611.592665314012</v>
      </c>
      <c r="AF24" s="16">
        <v>1.25</v>
      </c>
      <c r="AG24" s="89">
        <f>INDEX('Res Measure Mapping'!$U:$U,MATCH($B24,'Res Measure Mapping'!$B:$B,0))</f>
        <v>0.99998034060156249</v>
      </c>
      <c r="AH24" s="115">
        <v>2</v>
      </c>
      <c r="AI24" s="62">
        <f t="shared" si="8"/>
        <v>42948</v>
      </c>
      <c r="AJ24" s="18">
        <f t="shared" si="9"/>
        <v>0.63903801184037667</v>
      </c>
      <c r="AK24" s="18">
        <f t="shared" si="10"/>
        <v>0.8564489070313912</v>
      </c>
      <c r="AL24" s="84">
        <f>IFERROR(IF(D22="Original",IF($AI24=0,"-",(INDEX('APP 2885'!$G:$G,MATCH($C$2+$AA24-1,'APP 2885'!$A:$A,0))*$T24)/($AI24+$AE24)),IF($AI24=0,"-",(INDEX('APP 2885'!G:G,MATCH($C$2+$AC24-1,'APP 2885'!$A:$A,0))*$T24)/($AI24+$AE24))),"N/A")</f>
        <v>6.6038413235472211</v>
      </c>
      <c r="AM24" s="20">
        <f t="shared" si="11"/>
        <v>0.62302888188524452</v>
      </c>
      <c r="AN24" s="21">
        <f t="shared" si="12"/>
        <v>0.84043977707625916</v>
      </c>
      <c r="AO24" s="84">
        <f>IFERROR(IF(D22="Original",IF($AI24=0,"-",(INDEX('APP 2885'!$G:$G,MATCH($C$2+$AA24-1,'APP 2885'!$A:$A,0))*$T24)/($Z24+$AE24)),IF($AI24=0,"-",(INDEX('APP 2885'!G:G,MATCH($C$2+$AC24-1,'APP 2885'!$A:$A,0))*$T24)/($Z24+$AE24))),"N/A")</f>
        <v>6.7296346960593203</v>
      </c>
      <c r="AP24" s="45"/>
      <c r="AQ24" s="13"/>
      <c r="AR24" s="13"/>
    </row>
    <row r="25" spans="2:44" ht="15.75" thickBot="1" x14ac:dyDescent="0.3">
      <c r="B25" s="66" t="str">
        <f t="shared" si="13"/>
        <v>Attic Insulation_Zone 3_Post R-60+, Cavity Fill R-49+</v>
      </c>
      <c r="C25" s="33" t="s">
        <v>212</v>
      </c>
      <c r="D25" s="33" t="s">
        <v>30</v>
      </c>
      <c r="E25" s="33" t="s">
        <v>213</v>
      </c>
      <c r="F25" s="33" t="str">
        <f t="shared" si="23"/>
        <v>Post R-60+, Cavity Fill R-49+</v>
      </c>
      <c r="G25" s="5">
        <v>917</v>
      </c>
      <c r="H25" s="5">
        <f t="shared" si="1"/>
        <v>1069</v>
      </c>
      <c r="I25" s="5">
        <f t="shared" si="14"/>
        <v>1259</v>
      </c>
      <c r="J25" s="5">
        <v>1586167</v>
      </c>
      <c r="K25" s="5">
        <f>INDEX('Res Measure Mapping'!$X:$X,MATCH($B25,'Res Measure Mapping'!$B:$B,0))</f>
        <v>86021.023995289055</v>
      </c>
      <c r="L25" s="5">
        <f>INDEX('Res Measure Mapping'!$Y:$Y,MATCH($B25,'Res Measure Mapping'!$B:$B,0))</f>
        <v>88383.197370414622</v>
      </c>
      <c r="M25" s="74">
        <f t="shared" si="15"/>
        <v>2.7460419155844174E-2</v>
      </c>
      <c r="N25" s="5">
        <f t="shared" si="2"/>
        <v>1849018</v>
      </c>
      <c r="O25" s="5">
        <f t="shared" si="16"/>
        <v>2177146</v>
      </c>
      <c r="P25" s="6">
        <v>0.03</v>
      </c>
      <c r="Q25" s="68">
        <f>INDEX('Res Measure Mapping'!$Q:$Q,MATCH($B25,'Res Measure Mapping'!$B:$B,0))</f>
        <v>0.11968715837423201</v>
      </c>
      <c r="R25" s="68" t="str">
        <f>INDEX('Res Measure Mapping'!$R:$R,MATCH($B25,'Res Measure Mapping'!$B:$B,0))</f>
        <v>sqft roof</v>
      </c>
      <c r="S25" s="6">
        <f t="shared" si="24"/>
        <v>0.11968715837423201</v>
      </c>
      <c r="T25" s="59">
        <f t="shared" si="17"/>
        <v>221303.71020280573</v>
      </c>
      <c r="U25" s="7">
        <v>0.67</v>
      </c>
      <c r="V25" s="7">
        <f>INDEX('Res Measure Mapping'!$S:$S,MATCH($B25,'Res Measure Mapping'!$B:$B,0))</f>
        <v>1.95</v>
      </c>
      <c r="W25" s="7">
        <f t="shared" si="25"/>
        <v>1.95</v>
      </c>
      <c r="X25" s="8">
        <f t="shared" si="5"/>
        <v>0.10016723731659932</v>
      </c>
      <c r="Y25" s="8">
        <f t="shared" si="18"/>
        <v>3605585.1</v>
      </c>
      <c r="Z25" s="8">
        <f t="shared" si="19"/>
        <v>3605478.0212233085</v>
      </c>
      <c r="AA25" s="5">
        <v>45</v>
      </c>
      <c r="AB25" s="5">
        <f>INDEX('Res Measure Mapping'!$T:$T,MATCH($B25,'Res Measure Mapping'!$B:$B,0))</f>
        <v>45</v>
      </c>
      <c r="AC25" s="5">
        <f t="shared" si="20"/>
        <v>45</v>
      </c>
      <c r="AD25" s="59">
        <f t="shared" si="6"/>
        <v>3899179.4696560809</v>
      </c>
      <c r="AE25" s="7">
        <f t="shared" si="7"/>
        <v>847724.09900835424</v>
      </c>
      <c r="AF25" s="7">
        <v>1.25</v>
      </c>
      <c r="AG25" s="7">
        <f>INDEX('Res Measure Mapping'!$U:$U,MATCH($B25,'Res Measure Mapping'!$B:$B,0))</f>
        <v>0.99998034060156249</v>
      </c>
      <c r="AH25" s="113">
        <v>2</v>
      </c>
      <c r="AI25" s="61">
        <f t="shared" si="8"/>
        <v>3698036</v>
      </c>
      <c r="AJ25" s="9">
        <f t="shared" si="9"/>
        <v>0.94841389804665177</v>
      </c>
      <c r="AK25" s="9">
        <f t="shared" si="10"/>
        <v>1.1658247932376664</v>
      </c>
      <c r="AL25" s="10">
        <f>IFERROR(IF(D23="Original",IF($AI25=0,"-",(INDEX('APP 2885'!$G:$G,MATCH($C$2+$AA25-1,'APP 2885'!$A:$A,0))*$T25)/($AI25+$AE25)),IF($AI25=0,"-",(INDEX('APP 2885'!G:G,MATCH($C$2+$AC25-1,'APP 2885'!$A:$A,0))*$T25)/($AI25+$AE25))),"N/A")</f>
        <v>4.8513745089033682</v>
      </c>
      <c r="AM25" s="11">
        <f t="shared" si="11"/>
        <v>0.92467608872112839</v>
      </c>
      <c r="AN25" s="12">
        <f t="shared" si="12"/>
        <v>1.142086983912143</v>
      </c>
      <c r="AO25" s="10">
        <f>IFERROR(IF(D23="Original",IF($AI25=0,"-",(INDEX('APP 2885'!$G:$G,MATCH($C$2+$AA25-1,'APP 2885'!$A:$A,0))*$T25)/($Z25+$AE25)),IF($AI25=0,"-",(INDEX('APP 2885'!G:G,MATCH($C$2+$AC25-1,'APP 2885'!$A:$A,0))*$T25)/($Z25+$AE25))),"N/A")</f>
        <v>4.95220833739564</v>
      </c>
      <c r="AP25" s="45"/>
      <c r="AQ25" s="13"/>
      <c r="AR25" s="13"/>
    </row>
    <row r="26" spans="2:44" ht="15.75" thickBot="1" x14ac:dyDescent="0.3">
      <c r="B26" s="66" t="str">
        <f t="shared" si="13"/>
        <v>Condensing Boiler_Zone 1_95+% Annual Fuel Utilization Efficiency (AFUE)</v>
      </c>
      <c r="C26" s="34" t="s">
        <v>40</v>
      </c>
      <c r="D26" s="34" t="s">
        <v>27</v>
      </c>
      <c r="E26" s="34" t="s">
        <v>32</v>
      </c>
      <c r="F26" s="34" t="str">
        <f t="shared" si="23"/>
        <v>95+% Annual Fuel Utilization Efficiency (AFUE)</v>
      </c>
      <c r="G26" s="14">
        <v>4</v>
      </c>
      <c r="H26" s="14">
        <v>5</v>
      </c>
      <c r="I26" s="14">
        <f t="shared" si="14"/>
        <v>7</v>
      </c>
      <c r="J26" s="14">
        <v>4</v>
      </c>
      <c r="K26" s="86">
        <f>INDEX('Res Measure Mapping'!$X:$X,MATCH($B26,'Res Measure Mapping'!$B:$B,0))</f>
        <v>6.9062447938761231</v>
      </c>
      <c r="L26" s="86">
        <f>INDEX('Res Measure Mapping'!$Y:$Y,MATCH($B26,'Res Measure Mapping'!$B:$B,0))</f>
        <v>9.485084893504709</v>
      </c>
      <c r="M26" s="90">
        <f t="shared" si="15"/>
        <v>0.37340699274304384</v>
      </c>
      <c r="N26" s="14">
        <v>5</v>
      </c>
      <c r="O26" s="14">
        <f t="shared" si="16"/>
        <v>7</v>
      </c>
      <c r="P26" s="15">
        <v>108.78</v>
      </c>
      <c r="Q26" s="87">
        <f>INDEX('Res Measure Mapping'!$Q:$Q,MATCH($B26,'Res Measure Mapping'!$B:$B,0))</f>
        <v>144.02279803034281</v>
      </c>
      <c r="R26" s="87" t="str">
        <f>INDEX('Res Measure Mapping'!$R:$R,MATCH($B26,'Res Measure Mapping'!$B:$B,0))</f>
        <v>kBTU/hr</v>
      </c>
      <c r="S26" s="88">
        <f t="shared" si="24"/>
        <v>144.02279803034281</v>
      </c>
      <c r="T26" s="60">
        <f t="shared" si="17"/>
        <v>720.11399015171401</v>
      </c>
      <c r="U26" s="16">
        <v>1747</v>
      </c>
      <c r="V26" s="89">
        <f>INDEX('Res Measure Mapping'!$S:$S,MATCH($B26,'Res Measure Mapping'!$B:$B,0))</f>
        <v>2090.0700000000002</v>
      </c>
      <c r="W26" s="76">
        <f t="shared" si="25"/>
        <v>2090.0700000000002</v>
      </c>
      <c r="X26" s="17">
        <f t="shared" si="5"/>
        <v>95.840686583040892</v>
      </c>
      <c r="Y26" s="17">
        <f t="shared" si="18"/>
        <v>10450.35</v>
      </c>
      <c r="Z26" s="17">
        <f t="shared" si="19"/>
        <v>9971.1465670847956</v>
      </c>
      <c r="AA26" s="14">
        <v>25</v>
      </c>
      <c r="AB26" s="86">
        <f>INDEX('Res Measure Mapping'!$T:$T,MATCH($B26,'Res Measure Mapping'!$B:$B,0))</f>
        <v>25</v>
      </c>
      <c r="AC26" s="14">
        <f t="shared" si="20"/>
        <v>25</v>
      </c>
      <c r="AD26" s="60">
        <f t="shared" si="6"/>
        <v>10088.493324530618</v>
      </c>
      <c r="AE26" s="16">
        <f t="shared" si="7"/>
        <v>2758.4624899656706</v>
      </c>
      <c r="AF26" s="16">
        <v>900</v>
      </c>
      <c r="AG26" s="89">
        <f>INDEX('Res Measure Mapping'!$U:$U,MATCH($B26,'Res Measure Mapping'!$B:$B,0))</f>
        <v>1463.0459900000001</v>
      </c>
      <c r="AH26" s="115">
        <v>1500</v>
      </c>
      <c r="AI26" s="62">
        <f t="shared" si="8"/>
        <v>7500</v>
      </c>
      <c r="AJ26" s="18">
        <f t="shared" si="9"/>
        <v>0.74342121848496623</v>
      </c>
      <c r="AK26" s="18">
        <f t="shared" si="10"/>
        <v>1.0168478245430133</v>
      </c>
      <c r="AL26" s="84" t="str">
        <f>IFERROR(IF(#REF!="Original",IF($AI26=0,"-",(INDEX('APP 2885'!$G:$G,MATCH($C$2+$AA26-1,'APP 2885'!$A:$A,0))*$T26)/($AI26+$AE26)),IF($AI26=0,"-",(INDEX('APP 2885'!G:G,MATCH($C$2+$AC26-1,'APP 2885'!$A:$A,0))*$T26)/($AI26+$AE26))),"N/A")</f>
        <v>N/A</v>
      </c>
      <c r="AM26" s="20">
        <f t="shared" si="11"/>
        <v>0.98836825741258227</v>
      </c>
      <c r="AN26" s="21">
        <f t="shared" si="12"/>
        <v>1.2617948634706293</v>
      </c>
      <c r="AO26" s="84" t="str">
        <f>IFERROR(IF(#REF!="Original",IF($AI26=0,"-",(INDEX('APP 2885'!$G:$G,MATCH($C$2+$AA26-1,'APP 2885'!$A:$A,0))*$T26)/($Z26+$AE26)),IF($AI26=0,"-",(INDEX('APP 2885'!G:G,MATCH($C$2+$AC26-1,'APP 2885'!$A:$A,0))*$T26)/($Z26+$AE26))),"N/A")</f>
        <v>N/A</v>
      </c>
      <c r="AP26" s="45"/>
      <c r="AQ26" s="13"/>
      <c r="AR26" s="13"/>
    </row>
    <row r="27" spans="2:44" ht="15.75" thickBot="1" x14ac:dyDescent="0.3">
      <c r="B27" s="66" t="str">
        <f t="shared" si="13"/>
        <v>Condensing Boiler_Zone 2_95+% Annual Fuel Utilization Efficiency (AFUE)</v>
      </c>
      <c r="C27" s="33" t="s">
        <v>40</v>
      </c>
      <c r="D27" s="33" t="s">
        <v>29</v>
      </c>
      <c r="E27" s="33" t="s">
        <v>32</v>
      </c>
      <c r="F27" s="33" t="str">
        <f t="shared" si="23"/>
        <v>95+% Annual Fuel Utilization Efficiency (AFUE)</v>
      </c>
      <c r="G27" s="5">
        <v>2</v>
      </c>
      <c r="H27" s="5">
        <v>1</v>
      </c>
      <c r="I27" s="5">
        <f t="shared" si="14"/>
        <v>1</v>
      </c>
      <c r="J27" s="5">
        <v>2</v>
      </c>
      <c r="K27" s="5">
        <f>INDEX('Res Measure Mapping'!$X:$X,MATCH($B27,'Res Measure Mapping'!$B:$B,0))</f>
        <v>0</v>
      </c>
      <c r="L27" s="5">
        <f>INDEX('Res Measure Mapping'!$Y:$Y,MATCH($B27,'Res Measure Mapping'!$B:$B,0))</f>
        <v>0</v>
      </c>
      <c r="M27" s="74" t="str">
        <f t="shared" si="15"/>
        <v>N/A</v>
      </c>
      <c r="N27" s="5">
        <v>1</v>
      </c>
      <c r="O27" s="5">
        <f t="shared" si="16"/>
        <v>1</v>
      </c>
      <c r="P27" s="6">
        <v>124.22</v>
      </c>
      <c r="Q27" s="68">
        <f>INDEX('Res Measure Mapping'!$Q:$Q,MATCH($B27,'Res Measure Mapping'!$B:$B,0))</f>
        <v>68.958479769223118</v>
      </c>
      <c r="R27" s="68" t="str">
        <f>INDEX('Res Measure Mapping'!$R:$R,MATCH($B27,'Res Measure Mapping'!$B:$B,0))</f>
        <v>kBTU/hr</v>
      </c>
      <c r="S27" s="6">
        <f t="shared" si="24"/>
        <v>68.958479769223118</v>
      </c>
      <c r="T27" s="59">
        <f t="shared" si="17"/>
        <v>68.958479769223118</v>
      </c>
      <c r="U27" s="7">
        <v>1747</v>
      </c>
      <c r="V27" s="7">
        <f>INDEX('Res Measure Mapping'!$S:$S,MATCH($B27,'Res Measure Mapping'!$B:$B,0))</f>
        <v>1194.323273549337</v>
      </c>
      <c r="W27" s="7">
        <f t="shared" si="25"/>
        <v>1194.323273549337</v>
      </c>
      <c r="X27" s="8">
        <f t="shared" si="5"/>
        <v>45.88876300967771</v>
      </c>
      <c r="Y27" s="8">
        <f t="shared" si="18"/>
        <v>1194.323273549337</v>
      </c>
      <c r="Z27" s="8">
        <f t="shared" si="19"/>
        <v>1148.4345105396594</v>
      </c>
      <c r="AA27" s="5">
        <v>25</v>
      </c>
      <c r="AB27" s="5">
        <f>INDEX('Res Measure Mapping'!$T:$T,MATCH($B27,'Res Measure Mapping'!$B:$B,0))</f>
        <v>25</v>
      </c>
      <c r="AC27" s="5">
        <f t="shared" si="20"/>
        <v>25</v>
      </c>
      <c r="AD27" s="59">
        <f t="shared" si="6"/>
        <v>966.07922125637276</v>
      </c>
      <c r="AE27" s="7">
        <f t="shared" si="7"/>
        <v>264.15176265133107</v>
      </c>
      <c r="AF27" s="7">
        <v>900</v>
      </c>
      <c r="AG27" s="7">
        <f>INDEX('Res Measure Mapping'!$U:$U,MATCH($B27,'Res Measure Mapping'!$B:$B,0))</f>
        <v>1463.0459900000001</v>
      </c>
      <c r="AH27" s="113">
        <v>1500</v>
      </c>
      <c r="AI27" s="61">
        <f t="shared" si="8"/>
        <v>1500</v>
      </c>
      <c r="AJ27" s="9">
        <f t="shared" si="9"/>
        <v>1.5526676974267914</v>
      </c>
      <c r="AK27" s="9">
        <f t="shared" si="10"/>
        <v>1.8260943034848383</v>
      </c>
      <c r="AL27" s="10" t="str">
        <f>IFERROR(IF(#REF!="Original",IF($AI27=0,"-",(INDEX('APP 2885'!$G:$G,MATCH($C$2+$AA27-1,'APP 2885'!$A:$A,0))*$T27)/($AI27+$AE27)),IF($AI27=0,"-",(INDEX('APP 2885'!G:G,MATCH($C$2+$AC27-1,'APP 2885'!$A:$A,0))*$T27)/($AI27+$AE27))),"N/A")</f>
        <v>N/A</v>
      </c>
      <c r="AM27" s="11">
        <f t="shared" si="11"/>
        <v>1.1887581114167181</v>
      </c>
      <c r="AN27" s="12">
        <f t="shared" si="12"/>
        <v>1.4621847174747653</v>
      </c>
      <c r="AO27" s="10" t="str">
        <f>IFERROR(IF(#REF!="Original",IF($AI27=0,"-",(INDEX('APP 2885'!$G:$G,MATCH($C$2+$AA27-1,'APP 2885'!$A:$A,0))*$T27)/($Z27+$AE27)),IF($AI27=0,"-",(INDEX('APP 2885'!G:G,MATCH($C$2+$AC27-1,'APP 2885'!$A:$A,0))*$T27)/($Z27+$AE27))),"N/A")</f>
        <v>N/A</v>
      </c>
      <c r="AP27" s="45"/>
      <c r="AQ27" s="13"/>
      <c r="AR27" s="13"/>
    </row>
    <row r="28" spans="2:44" ht="15.75" thickBot="1" x14ac:dyDescent="0.3">
      <c r="B28" s="66" t="str">
        <f t="shared" si="13"/>
        <v>Condensing Boiler_Zone 3_95+% Annual Fuel Utilization Efficiency (AFUE)</v>
      </c>
      <c r="C28" s="34" t="s">
        <v>40</v>
      </c>
      <c r="D28" s="34" t="s">
        <v>30</v>
      </c>
      <c r="E28" s="34" t="s">
        <v>32</v>
      </c>
      <c r="F28" s="34" t="str">
        <f t="shared" si="23"/>
        <v>95+% Annual Fuel Utilization Efficiency (AFUE)</v>
      </c>
      <c r="G28" s="14">
        <v>2</v>
      </c>
      <c r="H28" s="14">
        <v>1</v>
      </c>
      <c r="I28" s="14">
        <f t="shared" si="14"/>
        <v>1</v>
      </c>
      <c r="J28" s="14">
        <v>2</v>
      </c>
      <c r="K28" s="86">
        <f>INDEX('Res Measure Mapping'!$X:$X,MATCH($B28,'Res Measure Mapping'!$B:$B,0))</f>
        <v>0</v>
      </c>
      <c r="L28" s="86">
        <f>INDEX('Res Measure Mapping'!$Y:$Y,MATCH($B28,'Res Measure Mapping'!$B:$B,0))</f>
        <v>0</v>
      </c>
      <c r="M28" s="90" t="str">
        <f t="shared" si="15"/>
        <v>N/A</v>
      </c>
      <c r="N28" s="14">
        <v>1</v>
      </c>
      <c r="O28" s="14">
        <f t="shared" si="16"/>
        <v>1</v>
      </c>
      <c r="P28" s="15">
        <v>110.66</v>
      </c>
      <c r="Q28" s="87">
        <f>INDEX('Res Measure Mapping'!$Q:$Q,MATCH($B28,'Res Measure Mapping'!$B:$B,0))</f>
        <v>61.556117334467672</v>
      </c>
      <c r="R28" s="87" t="str">
        <f>INDEX('Res Measure Mapping'!$R:$R,MATCH($B28,'Res Measure Mapping'!$B:$B,0))</f>
        <v>kBTU/hr</v>
      </c>
      <c r="S28" s="88">
        <f t="shared" si="24"/>
        <v>61.556117334467672</v>
      </c>
      <c r="T28" s="60">
        <f t="shared" si="17"/>
        <v>61.556117334467672</v>
      </c>
      <c r="U28" s="16">
        <v>1747</v>
      </c>
      <c r="V28" s="89">
        <f>INDEX('Res Measure Mapping'!$S:$S,MATCH($B28,'Res Measure Mapping'!$B:$B,0))</f>
        <v>1194.323273549337</v>
      </c>
      <c r="W28" s="76">
        <f t="shared" si="25"/>
        <v>1194.323273549337</v>
      </c>
      <c r="X28" s="17">
        <f t="shared" si="5"/>
        <v>40.962824145929176</v>
      </c>
      <c r="Y28" s="17">
        <f t="shared" si="18"/>
        <v>1194.323273549337</v>
      </c>
      <c r="Z28" s="17">
        <f t="shared" si="19"/>
        <v>1153.360449403408</v>
      </c>
      <c r="AA28" s="14">
        <v>25</v>
      </c>
      <c r="AB28" s="86">
        <f>INDEX('Res Measure Mapping'!$T:$T,MATCH($B28,'Res Measure Mapping'!$B:$B,0))</f>
        <v>25</v>
      </c>
      <c r="AC28" s="14">
        <f t="shared" si="20"/>
        <v>25</v>
      </c>
      <c r="AD28" s="60">
        <f t="shared" si="6"/>
        <v>862.37524517745612</v>
      </c>
      <c r="AE28" s="16">
        <f t="shared" si="7"/>
        <v>235.796336437348</v>
      </c>
      <c r="AF28" s="16">
        <v>900</v>
      </c>
      <c r="AG28" s="89">
        <f>INDEX('Res Measure Mapping'!$U:$U,MATCH($B28,'Res Measure Mapping'!$B:$B,0))</f>
        <v>1463.0459900000001</v>
      </c>
      <c r="AH28" s="115">
        <v>1500</v>
      </c>
      <c r="AI28" s="62">
        <f t="shared" si="8"/>
        <v>1500</v>
      </c>
      <c r="AJ28" s="18">
        <f t="shared" si="9"/>
        <v>1.7393820246908132</v>
      </c>
      <c r="AK28" s="18">
        <f t="shared" si="10"/>
        <v>2.01280863074886</v>
      </c>
      <c r="AL28" s="84">
        <f>IFERROR(IF(D26="Original",IF($AI28=0,"-",(INDEX('APP 2885'!$G:$G,MATCH($C$2+$AA28-1,'APP 2885'!$A:$A,0))*$T28)/($AI28+$AE28)),IF($AI28=0,"-",(INDEX('APP 2885'!G:G,MATCH($C$2+$AC28-1,'APP 2885'!$A:$A,0))*$T28)/($AI28+$AE28))),"N/A")</f>
        <v>1.741495732918775</v>
      </c>
      <c r="AM28" s="20">
        <f t="shared" si="11"/>
        <v>1.3374229557877373</v>
      </c>
      <c r="AN28" s="21">
        <f t="shared" si="12"/>
        <v>1.6108495618457841</v>
      </c>
      <c r="AO28" s="84">
        <f>IFERROR(IF(D26="Original",IF($AI28=0,"-",(INDEX('APP 2885'!$G:$G,MATCH($C$2+$AA28-1,'APP 2885'!$A:$A,0))*$T28)/($Z28+$AE28)),IF($AI28=0,"-",(INDEX('APP 2885'!G:G,MATCH($C$2+$AC28-1,'APP 2885'!$A:$A,0))*$T28)/($Z28+$AE28))),"N/A")</f>
        <v>2.1760552472787675</v>
      </c>
      <c r="AP28" s="45"/>
      <c r="AQ28" s="13"/>
      <c r="AR28" s="13"/>
    </row>
    <row r="29" spans="2:44" ht="15.75" thickBot="1" x14ac:dyDescent="0.3">
      <c r="B29" s="66" t="str">
        <f t="shared" si="13"/>
        <v>Duct Insulation_Zone 1_Post R ? 8, prior condition must not exceed R-0</v>
      </c>
      <c r="C29" s="33" t="s">
        <v>41</v>
      </c>
      <c r="D29" s="33" t="s">
        <v>27</v>
      </c>
      <c r="E29" s="33" t="s">
        <v>42</v>
      </c>
      <c r="F29" s="33" t="str">
        <f t="shared" si="23"/>
        <v>Post R ? 8, prior condition must not exceed R-0</v>
      </c>
      <c r="G29" s="5">
        <v>95</v>
      </c>
      <c r="H29" s="5">
        <f t="shared" ref="H29:H58" si="26">ROUND((G29/(7/12))*0.68,0)</f>
        <v>111</v>
      </c>
      <c r="I29" s="5">
        <f t="shared" si="14"/>
        <v>173</v>
      </c>
      <c r="J29" s="5">
        <v>13024</v>
      </c>
      <c r="K29" s="5">
        <f>INDEX('Res Measure Mapping'!$X:$X,MATCH($B29,'Res Measure Mapping'!$B:$B,0))</f>
        <v>12234.678678362932</v>
      </c>
      <c r="L29" s="5">
        <f>INDEX('Res Measure Mapping'!$Y:$Y,MATCH($B29,'Res Measure Mapping'!$B:$B,0))</f>
        <v>19029.434420357618</v>
      </c>
      <c r="M29" s="74">
        <f t="shared" si="15"/>
        <v>0.55536854874752317</v>
      </c>
      <c r="N29" s="5">
        <f t="shared" ref="N29:N58" si="27">ROUND((J29/(7/12))*0.68,0)</f>
        <v>15182</v>
      </c>
      <c r="O29" s="5">
        <f t="shared" si="16"/>
        <v>23614</v>
      </c>
      <c r="P29" s="6">
        <v>0.17</v>
      </c>
      <c r="Q29" s="68">
        <f>INDEX('Res Measure Mapping'!$Q:$Q,MATCH($B29,'Res Measure Mapping'!$B:$B,0))</f>
        <v>0.17361189969618615</v>
      </c>
      <c r="R29" s="68" t="str">
        <f>INDEX('Res Measure Mapping'!$R:$R,MATCH($B29,'Res Measure Mapping'!$B:$B,0))</f>
        <v>linear duct ft</v>
      </c>
      <c r="S29" s="6">
        <f t="shared" si="24"/>
        <v>0.17361189969618615</v>
      </c>
      <c r="T29" s="59">
        <f t="shared" si="17"/>
        <v>2635.7758611874983</v>
      </c>
      <c r="U29" s="7">
        <v>0.17</v>
      </c>
      <c r="V29" s="7">
        <f>INDEX('Res Measure Mapping'!$S:$S,MATCH($B29,'Res Measure Mapping'!$B:$B,0))</f>
        <v>2.46</v>
      </c>
      <c r="W29" s="7">
        <f t="shared" si="25"/>
        <v>2.46</v>
      </c>
      <c r="X29" s="8">
        <f t="shared" si="5"/>
        <v>0.14529732841913254</v>
      </c>
      <c r="Y29" s="8">
        <f t="shared" si="18"/>
        <v>37347.72</v>
      </c>
      <c r="Z29" s="8">
        <f t="shared" si="19"/>
        <v>37331.591996545474</v>
      </c>
      <c r="AA29" s="5">
        <v>45</v>
      </c>
      <c r="AB29" s="5">
        <f>INDEX('Res Measure Mapping'!$T:$T,MATCH($B29,'Res Measure Mapping'!$B:$B,0))</f>
        <v>45</v>
      </c>
      <c r="AC29" s="5">
        <f t="shared" si="20"/>
        <v>45</v>
      </c>
      <c r="AD29" s="59">
        <f t="shared" si="6"/>
        <v>46440.085053879375</v>
      </c>
      <c r="AE29" s="7">
        <f t="shared" si="7"/>
        <v>10096.580464310775</v>
      </c>
      <c r="AF29" s="7">
        <v>1</v>
      </c>
      <c r="AG29" s="7">
        <f>INDEX('Res Measure Mapping'!$U:$U,MATCH($B29,'Res Measure Mapping'!$B:$B,0))</f>
        <v>0.50000891751629639</v>
      </c>
      <c r="AH29" s="113">
        <v>2</v>
      </c>
      <c r="AI29" s="61">
        <f t="shared" si="8"/>
        <v>30364</v>
      </c>
      <c r="AJ29" s="9">
        <f t="shared" si="9"/>
        <v>0.65383170519115019</v>
      </c>
      <c r="AK29" s="9">
        <f t="shared" si="10"/>
        <v>0.87124260038216494</v>
      </c>
      <c r="AL29" s="10">
        <f>IFERROR(IF(D27="Original",IF($AI29=0,"-",(INDEX('APP 2885'!$G:$G,MATCH($C$2+$AA29-1,'APP 2885'!$A:$A,0))*$T29)/($AI29+$AE29)),IF($AI29=0,"-",(INDEX('APP 2885'!G:G,MATCH($C$2+$AC29-1,'APP 2885'!$A:$A,0))*$T29)/($AI29+$AE29))),"N/A")</f>
        <v>6.4917081433803299</v>
      </c>
      <c r="AM29" s="11">
        <f t="shared" si="11"/>
        <v>0.80386571112506988</v>
      </c>
      <c r="AN29" s="12">
        <f t="shared" si="12"/>
        <v>1.0212766063160845</v>
      </c>
      <c r="AO29" s="10">
        <f>IFERROR(IF(D27="Original",IF($AI29=0,"-",(INDEX('APP 2885'!$G:$G,MATCH($C$2+$AA29-1,'APP 2885'!$A:$A,0))*$T29)/($Z29+$AE29)),IF($AI29=0,"-",(INDEX('APP 2885'!G:G,MATCH($C$2+$AC29-1,'APP 2885'!$A:$A,0))*$T29)/($Z29+$AE29))),"N/A")</f>
        <v>5.5380223621907492</v>
      </c>
      <c r="AP29" s="45"/>
      <c r="AQ29" s="13"/>
      <c r="AR29" s="13"/>
    </row>
    <row r="30" spans="2:44" ht="15.75" thickBot="1" x14ac:dyDescent="0.3">
      <c r="B30" s="66" t="str">
        <f t="shared" si="13"/>
        <v>Duct Insulation_Zone 2_Post R ? 8, prior condition must not exceed R-0</v>
      </c>
      <c r="C30" s="34" t="s">
        <v>41</v>
      </c>
      <c r="D30" s="34" t="s">
        <v>29</v>
      </c>
      <c r="E30" s="34" t="s">
        <v>42</v>
      </c>
      <c r="F30" s="34" t="str">
        <f t="shared" si="23"/>
        <v>Post R ? 8, prior condition must not exceed R-0</v>
      </c>
      <c r="G30" s="14">
        <v>6</v>
      </c>
      <c r="H30" s="14">
        <f t="shared" si="26"/>
        <v>7</v>
      </c>
      <c r="I30" s="14">
        <f t="shared" si="14"/>
        <v>11</v>
      </c>
      <c r="J30" s="14">
        <v>874</v>
      </c>
      <c r="K30" s="86">
        <f>INDEX('Res Measure Mapping'!$X:$X,MATCH($B30,'Res Measure Mapping'!$B:$B,0))</f>
        <v>5900.0254547243112</v>
      </c>
      <c r="L30" s="86">
        <f>INDEX('Res Measure Mapping'!$Y:$Y,MATCH($B30,'Res Measure Mapping'!$B:$B,0))</f>
        <v>9176.7140290880016</v>
      </c>
      <c r="M30" s="90">
        <f t="shared" si="15"/>
        <v>0.55536854874752384</v>
      </c>
      <c r="N30" s="14">
        <f t="shared" si="27"/>
        <v>1019</v>
      </c>
      <c r="O30" s="14">
        <f t="shared" si="16"/>
        <v>1585</v>
      </c>
      <c r="P30" s="15">
        <v>0.17</v>
      </c>
      <c r="Q30" s="87">
        <f>INDEX('Res Measure Mapping'!$Q:$Q,MATCH($B30,'Res Measure Mapping'!$B:$B,0))</f>
        <v>0.17361189969618615</v>
      </c>
      <c r="R30" s="87" t="str">
        <f>INDEX('Res Measure Mapping'!$R:$R,MATCH($B30,'Res Measure Mapping'!$B:$B,0))</f>
        <v>linear duct ft</v>
      </c>
      <c r="S30" s="88">
        <f t="shared" si="24"/>
        <v>0.17361189969618615</v>
      </c>
      <c r="T30" s="60">
        <f t="shared" si="17"/>
        <v>176.91052579041369</v>
      </c>
      <c r="U30" s="16">
        <v>0.17</v>
      </c>
      <c r="V30" s="89">
        <f>INDEX('Res Measure Mapping'!$S:$S,MATCH($B30,'Res Measure Mapping'!$B:$B,0))</f>
        <v>2.46</v>
      </c>
      <c r="W30" s="76">
        <f t="shared" si="25"/>
        <v>2.46</v>
      </c>
      <c r="X30" s="17">
        <f t="shared" si="5"/>
        <v>0.14529732841913254</v>
      </c>
      <c r="Y30" s="17">
        <f t="shared" si="18"/>
        <v>2506.7399999999998</v>
      </c>
      <c r="Z30" s="17">
        <f t="shared" si="19"/>
        <v>2505.7229187010657</v>
      </c>
      <c r="AA30" s="14">
        <v>45</v>
      </c>
      <c r="AB30" s="86">
        <f>INDEX('Res Measure Mapping'!$T:$T,MATCH($B30,'Res Measure Mapping'!$B:$B,0))</f>
        <v>45</v>
      </c>
      <c r="AC30" s="14">
        <f t="shared" si="20"/>
        <v>45</v>
      </c>
      <c r="AD30" s="60">
        <f t="shared" si="6"/>
        <v>3117.0100559809694</v>
      </c>
      <c r="AE30" s="16">
        <f t="shared" si="7"/>
        <v>677.6719465902172</v>
      </c>
      <c r="AF30" s="16">
        <v>1</v>
      </c>
      <c r="AG30" s="89">
        <f>INDEX('Res Measure Mapping'!$U:$U,MATCH($B30,'Res Measure Mapping'!$B:$B,0))</f>
        <v>0.50000891751629639</v>
      </c>
      <c r="AH30" s="115">
        <v>2</v>
      </c>
      <c r="AI30" s="62">
        <f t="shared" si="8"/>
        <v>2038</v>
      </c>
      <c r="AJ30" s="18">
        <f t="shared" si="9"/>
        <v>0.6538317051911503</v>
      </c>
      <c r="AK30" s="18">
        <f t="shared" si="10"/>
        <v>0.87124260038216483</v>
      </c>
      <c r="AL30" s="84">
        <f>IFERROR(IF(D28="Original",IF($AI30=0,"-",(INDEX('APP 2885'!$G:$G,MATCH($C$2+$AA30-1,'APP 2885'!$A:$A,0))*$T30)/($AI30+$AE30)),IF($AI30=0,"-",(INDEX('APP 2885'!G:G,MATCH($C$2+$AC30-1,'APP 2885'!$A:$A,0))*$T30)/($AI30+$AE30))),"N/A")</f>
        <v>6.4917081433803308</v>
      </c>
      <c r="AM30" s="20">
        <f t="shared" si="11"/>
        <v>0.80388669709070848</v>
      </c>
      <c r="AN30" s="21">
        <f t="shared" si="12"/>
        <v>1.0212975922817231</v>
      </c>
      <c r="AO30" s="84">
        <f>IFERROR(IF(D28="Original",IF($AI30=0,"-",(INDEX('APP 2885'!$G:$G,MATCH($C$2+$AA30-1,'APP 2885'!$A:$A,0))*$T30)/($Z30+$AE30)),IF($AI30=0,"-",(INDEX('APP 2885'!G:G,MATCH($C$2+$AC30-1,'APP 2885'!$A:$A,0))*$T30)/($Z30+$AE30))),"N/A")</f>
        <v>5.5379085650488813</v>
      </c>
      <c r="AP30" s="45"/>
      <c r="AQ30" s="13"/>
      <c r="AR30" s="13"/>
    </row>
    <row r="31" spans="2:44" ht="15.75" thickBot="1" x14ac:dyDescent="0.3">
      <c r="B31" s="66" t="str">
        <f t="shared" si="13"/>
        <v>Duct Insulation_Zone 3_Post R ? 8, prior condition must not exceed R-0</v>
      </c>
      <c r="C31" s="33" t="s">
        <v>41</v>
      </c>
      <c r="D31" s="33" t="s">
        <v>30</v>
      </c>
      <c r="E31" s="33" t="s">
        <v>42</v>
      </c>
      <c r="F31" s="33" t="str">
        <f t="shared" si="23"/>
        <v>Post R ? 8, prior condition must not exceed R-0</v>
      </c>
      <c r="G31" s="5">
        <v>9</v>
      </c>
      <c r="H31" s="5">
        <f t="shared" si="26"/>
        <v>10</v>
      </c>
      <c r="I31" s="5">
        <f t="shared" si="14"/>
        <v>16</v>
      </c>
      <c r="J31" s="5">
        <v>3308</v>
      </c>
      <c r="K31" s="5">
        <f>INDEX('Res Measure Mapping'!$X:$X,MATCH($B31,'Res Measure Mapping'!$B:$B,0))</f>
        <v>9278.2936380372375</v>
      </c>
      <c r="L31" s="5">
        <f>INDEX('Res Measure Mapping'!$Y:$Y,MATCH($B31,'Res Measure Mapping'!$B:$B,0))</f>
        <v>14634.126377530678</v>
      </c>
      <c r="M31" s="74">
        <f t="shared" si="15"/>
        <v>0.57724328938423553</v>
      </c>
      <c r="N31" s="5">
        <f t="shared" si="27"/>
        <v>3856</v>
      </c>
      <c r="O31" s="5">
        <f t="shared" si="16"/>
        <v>6082</v>
      </c>
      <c r="P31" s="6">
        <v>0.17</v>
      </c>
      <c r="Q31" s="68">
        <f>INDEX('Res Measure Mapping'!$Q:$Q,MATCH($B31,'Res Measure Mapping'!$B:$B,0))</f>
        <v>0.17361189969618615</v>
      </c>
      <c r="R31" s="68" t="str">
        <f>INDEX('Res Measure Mapping'!$R:$R,MATCH($B31,'Res Measure Mapping'!$B:$B,0))</f>
        <v>linear duct ft</v>
      </c>
      <c r="S31" s="6">
        <f t="shared" si="24"/>
        <v>0.17361189969618615</v>
      </c>
      <c r="T31" s="59">
        <f t="shared" si="17"/>
        <v>669.44748522849375</v>
      </c>
      <c r="U31" s="7">
        <v>0.17</v>
      </c>
      <c r="V31" s="7">
        <f>INDEX('Res Measure Mapping'!$S:$S,MATCH($B31,'Res Measure Mapping'!$B:$B,0))</f>
        <v>2.46</v>
      </c>
      <c r="W31" s="7">
        <f t="shared" si="25"/>
        <v>2.46</v>
      </c>
      <c r="X31" s="8">
        <f t="shared" si="5"/>
        <v>0.14529732841913254</v>
      </c>
      <c r="Y31" s="8">
        <f t="shared" si="18"/>
        <v>9485.76</v>
      </c>
      <c r="Z31" s="8">
        <f t="shared" si="19"/>
        <v>9484.3070267158091</v>
      </c>
      <c r="AA31" s="5">
        <v>45</v>
      </c>
      <c r="AB31" s="5">
        <f>INDEX('Res Measure Mapping'!$T:$T,MATCH($B31,'Res Measure Mapping'!$B:$B,0))</f>
        <v>45</v>
      </c>
      <c r="AC31" s="5">
        <f t="shared" si="20"/>
        <v>45</v>
      </c>
      <c r="AD31" s="59">
        <f t="shared" si="6"/>
        <v>11795.084176508946</v>
      </c>
      <c r="AE31" s="7">
        <f t="shared" si="7"/>
        <v>2564.3798096681817</v>
      </c>
      <c r="AF31" s="7">
        <v>1</v>
      </c>
      <c r="AG31" s="7">
        <f>INDEX('Res Measure Mapping'!$U:$U,MATCH($B31,'Res Measure Mapping'!$B:$B,0))</f>
        <v>0.50000891751629639</v>
      </c>
      <c r="AH31" s="113">
        <v>2</v>
      </c>
      <c r="AI31" s="61">
        <f t="shared" si="8"/>
        <v>7712</v>
      </c>
      <c r="AJ31" s="9">
        <f t="shared" si="9"/>
        <v>0.65383170519115041</v>
      </c>
      <c r="AK31" s="9">
        <f t="shared" si="10"/>
        <v>0.87124260038216506</v>
      </c>
      <c r="AL31" s="10">
        <f>IFERROR(IF(D29="Original",IF($AI31=0,"-",(INDEX('APP 2885'!$G:$G,MATCH($C$2+$AA31-1,'APP 2885'!$A:$A,0))*$T31)/($AI31+$AE31)),IF($AI31=0,"-",(INDEX('APP 2885'!G:G,MATCH($C$2+$AC31-1,'APP 2885'!$A:$A,0))*$T31)/($AI31+$AE31))),"N/A")</f>
        <v>6.4917081433803299</v>
      </c>
      <c r="AM31" s="11">
        <f t="shared" si="11"/>
        <v>0.8040898127378121</v>
      </c>
      <c r="AN31" s="12">
        <f t="shared" si="12"/>
        <v>1.0215007079288267</v>
      </c>
      <c r="AO31" s="10">
        <f>IFERROR(IF(D29="Original",IF($AI31=0,"-",(INDEX('APP 2885'!$G:$G,MATCH($C$2+$AA31-1,'APP 2885'!$A:$A,0))*$T31)/($Z31+$AE31)),IF($AI31=0,"-",(INDEX('APP 2885'!G:G,MATCH($C$2+$AC31-1,'APP 2885'!$A:$A,0))*$T31)/($Z31+$AE31))),"N/A")</f>
        <v>5.5368074048900491</v>
      </c>
      <c r="AP31" s="45"/>
      <c r="AQ31" s="13"/>
      <c r="AR31" s="13"/>
    </row>
    <row r="32" spans="2:44" ht="26.25" thickBot="1" x14ac:dyDescent="0.3">
      <c r="B32" s="66" t="str">
        <f t="shared" si="13"/>
        <v>Duct Sealing_Zone 1_30% or more of supply ducts in unconditioned space</v>
      </c>
      <c r="C32" s="34" t="s">
        <v>43</v>
      </c>
      <c r="D32" s="34" t="s">
        <v>27</v>
      </c>
      <c r="E32" s="34" t="s">
        <v>44</v>
      </c>
      <c r="F32" s="34" t="str">
        <f t="shared" si="23"/>
        <v>30% or more of supply ducts in unconditioned space</v>
      </c>
      <c r="G32" s="14">
        <v>91</v>
      </c>
      <c r="H32" s="14">
        <f t="shared" si="26"/>
        <v>106</v>
      </c>
      <c r="I32" s="14">
        <f t="shared" si="14"/>
        <v>162</v>
      </c>
      <c r="J32" s="14">
        <v>91</v>
      </c>
      <c r="K32" s="86">
        <f>INDEX('Res Measure Mapping'!$X:$X,MATCH($B32,'Res Measure Mapping'!$B:$B,0))</f>
        <v>75.254114043739051</v>
      </c>
      <c r="L32" s="86">
        <f>INDEX('Res Measure Mapping'!$Y:$Y,MATCH($B32,'Res Measure Mapping'!$B:$B,0))</f>
        <v>114.90159114064446</v>
      </c>
      <c r="M32" s="90">
        <f t="shared" si="15"/>
        <v>0.52684796838962955</v>
      </c>
      <c r="N32" s="14">
        <f t="shared" si="27"/>
        <v>106</v>
      </c>
      <c r="O32" s="14">
        <f t="shared" si="16"/>
        <v>162</v>
      </c>
      <c r="P32" s="15">
        <v>68.64</v>
      </c>
      <c r="Q32" s="87">
        <f>INDEX('Res Measure Mapping'!$Q:$Q,MATCH($B32,'Res Measure Mapping'!$B:$B,0))</f>
        <v>74.363082234767219</v>
      </c>
      <c r="R32" s="87" t="str">
        <f>INDEX('Res Measure Mapping'!$R:$R,MATCH($B32,'Res Measure Mapping'!$B:$B,0))</f>
        <v>household</v>
      </c>
      <c r="S32" s="88">
        <f t="shared" si="24"/>
        <v>74.363082234767219</v>
      </c>
      <c r="T32" s="60">
        <f t="shared" si="17"/>
        <v>7882.4867168853252</v>
      </c>
      <c r="U32" s="16">
        <v>793.95</v>
      </c>
      <c r="V32" s="89">
        <f>INDEX('Res Measure Mapping'!$S:$S,MATCH($B32,'Res Measure Mapping'!$B:$B,0))</f>
        <v>693.79999999999984</v>
      </c>
      <c r="W32" s="76">
        <f t="shared" si="25"/>
        <v>693.79999999999984</v>
      </c>
      <c r="X32" s="17">
        <f t="shared" si="5"/>
        <v>43.796510943121476</v>
      </c>
      <c r="Y32" s="17">
        <f t="shared" si="18"/>
        <v>73542.799999999988</v>
      </c>
      <c r="Z32" s="17">
        <f t="shared" si="19"/>
        <v>68900.369840029118</v>
      </c>
      <c r="AA32" s="14">
        <v>20</v>
      </c>
      <c r="AB32" s="86">
        <f>INDEX('Res Measure Mapping'!$T:$T,MATCH($B32,'Res Measure Mapping'!$B:$B,0))</f>
        <v>20</v>
      </c>
      <c r="AC32" s="14">
        <f t="shared" si="20"/>
        <v>20</v>
      </c>
      <c r="AD32" s="60">
        <f t="shared" si="6"/>
        <v>97735.371788860575</v>
      </c>
      <c r="AE32" s="16">
        <f t="shared" si="7"/>
        <v>30194.586181557002</v>
      </c>
      <c r="AF32" s="16">
        <v>150</v>
      </c>
      <c r="AG32" s="89">
        <f>INDEX('Res Measure Mapping'!$U:$U,MATCH($B32,'Res Measure Mapping'!$B:$B,0))</f>
        <v>149.99999503772216</v>
      </c>
      <c r="AH32" s="115">
        <v>500</v>
      </c>
      <c r="AI32" s="62">
        <f t="shared" si="8"/>
        <v>53000</v>
      </c>
      <c r="AJ32" s="18">
        <f t="shared" si="9"/>
        <v>0.54228064036525914</v>
      </c>
      <c r="AK32" s="18">
        <f t="shared" si="10"/>
        <v>0.85122289565014109</v>
      </c>
      <c r="AL32" s="84">
        <f>IFERROR(IF(D30="Original",IF($AI32=0,"-",(INDEX('APP 2885'!$G:$G,MATCH($C$2+$AA32-1,'APP 2885'!$A:$A,0))*$T32)/($AI32+$AE32)),IF($AI32=0,"-",(INDEX('APP 2885'!G:G,MATCH($C$2+$AC32-1,'APP 2885'!$A:$A,0))*$T32)/($AI32+$AE32))),"N/A")</f>
        <v>3.8670371416752234</v>
      </c>
      <c r="AM32" s="20">
        <f t="shared" si="11"/>
        <v>0.70496861657083365</v>
      </c>
      <c r="AN32" s="21">
        <f t="shared" si="12"/>
        <v>1.0139108718557153</v>
      </c>
      <c r="AO32" s="84">
        <f>IFERROR(IF(D30="Original",IF($AI32=0,"-",(INDEX('APP 2885'!$G:$G,MATCH($C$2+$AA32-1,'APP 2885'!$A:$A,0))*$T32)/($Z32+$AE32)),IF($AI32=0,"-",(INDEX('APP 2885'!G:G,MATCH($C$2+$AC32-1,'APP 2885'!$A:$A,0))*$T32)/($Z32+$AE32))),"N/A")</f>
        <v>3.2465482368275222</v>
      </c>
      <c r="AP32" s="45"/>
      <c r="AQ32" s="13"/>
      <c r="AR32" s="13"/>
    </row>
    <row r="33" spans="2:44" ht="26.25" thickBot="1" x14ac:dyDescent="0.3">
      <c r="B33" s="66" t="str">
        <f t="shared" si="13"/>
        <v>Duct Sealing_Zone 2_30% or more of supply ducts in unconditioned space</v>
      </c>
      <c r="C33" s="33" t="s">
        <v>43</v>
      </c>
      <c r="D33" s="33" t="s">
        <v>29</v>
      </c>
      <c r="E33" s="33" t="s">
        <v>44</v>
      </c>
      <c r="F33" s="33" t="str">
        <f t="shared" si="23"/>
        <v>30% or more of supply ducts in unconditioned space</v>
      </c>
      <c r="G33" s="5">
        <v>2</v>
      </c>
      <c r="H33" s="5">
        <f t="shared" si="26"/>
        <v>2</v>
      </c>
      <c r="I33" s="5">
        <f t="shared" si="14"/>
        <v>3</v>
      </c>
      <c r="J33" s="5">
        <v>2</v>
      </c>
      <c r="K33" s="5">
        <f>INDEX('Res Measure Mapping'!$X:$X,MATCH($B33,'Res Measure Mapping'!$B:$B,0))</f>
        <v>37.581761424526704</v>
      </c>
      <c r="L33" s="5">
        <f>INDEX('Res Measure Mapping'!$Y:$Y,MATCH($B33,'Res Measure Mapping'!$B:$B,0))</f>
        <v>57.381636079542353</v>
      </c>
      <c r="M33" s="74">
        <f t="shared" si="15"/>
        <v>0.52684796838962966</v>
      </c>
      <c r="N33" s="5">
        <f t="shared" si="27"/>
        <v>2</v>
      </c>
      <c r="O33" s="5">
        <f t="shared" si="16"/>
        <v>3</v>
      </c>
      <c r="P33" s="6">
        <v>69.209999999999994</v>
      </c>
      <c r="Q33" s="68">
        <f>INDEX('Res Measure Mapping'!$Q:$Q,MATCH($B33,'Res Measure Mapping'!$B:$B,0))</f>
        <v>74.974647427383275</v>
      </c>
      <c r="R33" s="68" t="str">
        <f>INDEX('Res Measure Mapping'!$R:$R,MATCH($B33,'Res Measure Mapping'!$B:$B,0))</f>
        <v>household</v>
      </c>
      <c r="S33" s="6">
        <f t="shared" si="24"/>
        <v>74.974647427383275</v>
      </c>
      <c r="T33" s="59">
        <f t="shared" si="17"/>
        <v>149.94929485476655</v>
      </c>
      <c r="U33" s="7">
        <v>793.95</v>
      </c>
      <c r="V33" s="7">
        <f>INDEX('Res Measure Mapping'!$S:$S,MATCH($B33,'Res Measure Mapping'!$B:$B,0))</f>
        <v>693.79999999999984</v>
      </c>
      <c r="W33" s="7">
        <f t="shared" si="25"/>
        <v>693.79999999999984</v>
      </c>
      <c r="X33" s="8">
        <f t="shared" si="5"/>
        <v>44.15669533631651</v>
      </c>
      <c r="Y33" s="8">
        <f t="shared" si="18"/>
        <v>1387.5999999999997</v>
      </c>
      <c r="Z33" s="8">
        <f t="shared" si="19"/>
        <v>1299.2866093273667</v>
      </c>
      <c r="AA33" s="5">
        <v>20</v>
      </c>
      <c r="AB33" s="5">
        <f>INDEX('Res Measure Mapping'!$T:$T,MATCH($B33,'Res Measure Mapping'!$B:$B,0))</f>
        <v>20</v>
      </c>
      <c r="AC33" s="5">
        <f t="shared" si="20"/>
        <v>20</v>
      </c>
      <c r="AD33" s="59">
        <f t="shared" si="6"/>
        <v>1859.2292773185898</v>
      </c>
      <c r="AE33" s="7">
        <f t="shared" si="7"/>
        <v>574.39448602648611</v>
      </c>
      <c r="AF33" s="7">
        <v>150</v>
      </c>
      <c r="AG33" s="7">
        <f>INDEX('Res Measure Mapping'!$U:$U,MATCH($B33,'Res Measure Mapping'!$B:$B,0))</f>
        <v>149.99999503772216</v>
      </c>
      <c r="AH33" s="113">
        <v>500</v>
      </c>
      <c r="AI33" s="61">
        <f t="shared" si="8"/>
        <v>1000</v>
      </c>
      <c r="AJ33" s="9">
        <f t="shared" si="9"/>
        <v>0.53785727892700574</v>
      </c>
      <c r="AK33" s="9">
        <f t="shared" si="10"/>
        <v>0.84679953421188747</v>
      </c>
      <c r="AL33" s="10">
        <f>IFERROR(IF(D31="Original",IF($AI33=0,"-",(INDEX('APP 2885'!$G:$G,MATCH($C$2+$AA33-1,'APP 2885'!$A:$A,0))*$T33)/($AI33+$AE33)),IF($AI33=0,"-",(INDEX('APP 2885'!G:G,MATCH($C$2+$AC33-1,'APP 2885'!$A:$A,0))*$T33)/($AI33+$AE33))),"N/A")</f>
        <v>3.8872370854419622</v>
      </c>
      <c r="AM33" s="11">
        <f t="shared" si="11"/>
        <v>0.69883076023911295</v>
      </c>
      <c r="AN33" s="12">
        <f t="shared" si="12"/>
        <v>1.0077730155239948</v>
      </c>
      <c r="AO33" s="10">
        <f>IFERROR(IF(D31="Original",IF($AI33=0,"-",(INDEX('APP 2885'!$G:$G,MATCH($C$2+$AA33-1,'APP 2885'!$A:$A,0))*$T33)/($Z33+$AE33)),IF($AI33=0,"-",(INDEX('APP 2885'!G:G,MATCH($C$2+$AC33-1,'APP 2885'!$A:$A,0))*$T33)/($Z33+$AE33))),"N/A")</f>
        <v>3.2663213864799636</v>
      </c>
      <c r="AP33" s="45"/>
      <c r="AQ33" s="13"/>
      <c r="AR33" s="13"/>
    </row>
    <row r="34" spans="2:44" ht="26.25" thickBot="1" x14ac:dyDescent="0.3">
      <c r="B34" s="66" t="str">
        <f t="shared" si="13"/>
        <v>Duct Sealing_Zone 3_30% or more of supply ducts in unconditioned space</v>
      </c>
      <c r="C34" s="34" t="s">
        <v>43</v>
      </c>
      <c r="D34" s="34" t="s">
        <v>30</v>
      </c>
      <c r="E34" s="34" t="s">
        <v>44</v>
      </c>
      <c r="F34" s="34" t="str">
        <f t="shared" si="23"/>
        <v>30% or more of supply ducts in unconditioned space</v>
      </c>
      <c r="G34" s="14">
        <v>9</v>
      </c>
      <c r="H34" s="14">
        <f t="shared" si="26"/>
        <v>10</v>
      </c>
      <c r="I34" s="14">
        <f t="shared" si="14"/>
        <v>15</v>
      </c>
      <c r="J34" s="14">
        <v>9</v>
      </c>
      <c r="K34" s="86">
        <f>INDEX('Res Measure Mapping'!$X:$X,MATCH($B34,'Res Measure Mapping'!$B:$B,0))</f>
        <v>53.615930244589357</v>
      </c>
      <c r="L34" s="86">
        <f>INDEX('Res Measure Mapping'!$Y:$Y,MATCH($B34,'Res Measure Mapping'!$B:$B,0))</f>
        <v>81.904524648627614</v>
      </c>
      <c r="M34" s="90">
        <f t="shared" si="15"/>
        <v>0.52761547314369306</v>
      </c>
      <c r="N34" s="14">
        <f t="shared" si="27"/>
        <v>10</v>
      </c>
      <c r="O34" s="14">
        <f t="shared" si="16"/>
        <v>15</v>
      </c>
      <c r="P34" s="15">
        <v>60.78</v>
      </c>
      <c r="Q34" s="87">
        <f>INDEX('Res Measure Mapping'!$Q:$Q,MATCH($B34,'Res Measure Mapping'!$B:$B,0))</f>
        <v>65.847172363713753</v>
      </c>
      <c r="R34" s="87" t="str">
        <f>INDEX('Res Measure Mapping'!$R:$R,MATCH($B34,'Res Measure Mapping'!$B:$B,0))</f>
        <v>household</v>
      </c>
      <c r="S34" s="88">
        <f t="shared" si="24"/>
        <v>65.847172363713753</v>
      </c>
      <c r="T34" s="60">
        <f t="shared" si="17"/>
        <v>658.47172363713753</v>
      </c>
      <c r="U34" s="16">
        <v>793.95</v>
      </c>
      <c r="V34" s="89">
        <f>INDEX('Res Measure Mapping'!$S:$S,MATCH($B34,'Res Measure Mapping'!$B:$B,0))</f>
        <v>693.79999999999984</v>
      </c>
      <c r="W34" s="76">
        <f t="shared" si="25"/>
        <v>693.79999999999984</v>
      </c>
      <c r="X34" s="17">
        <f t="shared" ref="X34:X62" si="28">IF($D$3="Original",PV($AR$3,$AA34,(-0.05*0.95*$P34)),PV($AR$3,$AC34,(-0.05*0.95*$S34)))</f>
        <v>38.781023033667196</v>
      </c>
      <c r="Y34" s="17">
        <f t="shared" si="18"/>
        <v>6937.9999999999982</v>
      </c>
      <c r="Z34" s="17">
        <f t="shared" si="19"/>
        <v>6550.1897696633259</v>
      </c>
      <c r="AA34" s="14">
        <v>20</v>
      </c>
      <c r="AB34" s="86">
        <f>INDEX('Res Measure Mapping'!$T:$T,MATCH($B34,'Res Measure Mapping'!$B:$B,0))</f>
        <v>20</v>
      </c>
      <c r="AC34" s="14">
        <f t="shared" si="20"/>
        <v>20</v>
      </c>
      <c r="AD34" s="60">
        <f t="shared" ref="AD34:AD62" si="29">IF($D$3="Original",PV($AR$3,$AA34,-$T34),PV($AR$3,$AC34,-$T34))</f>
        <v>8164.4259018246739</v>
      </c>
      <c r="AE34" s="16">
        <f t="shared" si="7"/>
        <v>2522.33615121602</v>
      </c>
      <c r="AF34" s="16">
        <v>150</v>
      </c>
      <c r="AG34" s="89">
        <f>INDEX('Res Measure Mapping'!$U:$U,MATCH($B34,'Res Measure Mapping'!$B:$B,0))</f>
        <v>149.99999503772216</v>
      </c>
      <c r="AH34" s="115">
        <v>500</v>
      </c>
      <c r="AI34" s="62">
        <f t="shared" ref="AI34:AI62" si="30">IF($D$3="Original",IF(ISNUMBER(AF34),AF34*J34,""),IF(ISNUMBER(AH34),AH34*N34,""))</f>
        <v>5000</v>
      </c>
      <c r="AJ34" s="18">
        <f t="shared" ref="AJ34:AJ62" si="31">IF(ISERROR(AI34/AD34),0,AI34/AD34)</f>
        <v>0.61241293143251463</v>
      </c>
      <c r="AK34" s="18">
        <f t="shared" ref="AK34:AK62" si="32">IF(ISERROR((AE34+AI34)/AD34),0,(AE34+AI34)/AD34)</f>
        <v>0.92135518671739636</v>
      </c>
      <c r="AL34" s="84">
        <f>IFERROR(IF(D32="Original",IF($AI34=0,"-",(INDEX('APP 2885'!$G:$G,MATCH($C$2+$AA34-1,'APP 2885'!$A:$A,0))*$T34)/($AI34+$AE34)),IF($AI34=0,"-",(INDEX('APP 2885'!G:G,MATCH($C$2+$AC34-1,'APP 2885'!$A:$A,0))*$T34)/($AI34+$AE34))),"N/A")</f>
        <v>3.5726835869358191</v>
      </c>
      <c r="AM34" s="20">
        <f t="shared" ref="AM34:AM62" si="33">IF(ISERROR(SE34/AD34),0,Z34/AD34)</f>
        <v>0.80228418365575693</v>
      </c>
      <c r="AN34" s="21">
        <f t="shared" ref="AN34:AN62" si="34">IF(ISERROR(Z34/AD34),0,(Z34+AE34)/AD34)</f>
        <v>1.111226438940639</v>
      </c>
      <c r="AO34" s="84">
        <f>IFERROR(IF(D32="Original",IF($AI34=0,"-",(INDEX('APP 2885'!$G:$G,MATCH($C$2+$AA34-1,'APP 2885'!$A:$A,0))*$T34)/($Z34+$AE34)),IF($AI34=0,"-",(INDEX('APP 2885'!G:G,MATCH($C$2+$AC34-1,'APP 2885'!$A:$A,0))*$T34)/($Z34+$AE34))),"N/A")</f>
        <v>2.9622320329792569</v>
      </c>
      <c r="AP34" s="45"/>
      <c r="AQ34" s="13"/>
      <c r="AR34" s="13"/>
    </row>
    <row r="35" spans="2:44" ht="26.25" thickBot="1" x14ac:dyDescent="0.3">
      <c r="B35" s="66" t="str">
        <f t="shared" si="13"/>
        <v>ENERGY STAR Certified Homes + U.30 Window Glazing_Zone 3_Certified HERS 75</v>
      </c>
      <c r="C35" s="33" t="s">
        <v>45</v>
      </c>
      <c r="D35" s="33" t="s">
        <v>30</v>
      </c>
      <c r="E35" s="33" t="s">
        <v>46</v>
      </c>
      <c r="F35" s="33" t="str">
        <f t="shared" si="23"/>
        <v>Certified HERS 75</v>
      </c>
      <c r="G35" s="5">
        <v>32</v>
      </c>
      <c r="H35" s="5">
        <v>0</v>
      </c>
      <c r="I35" s="5">
        <f t="shared" si="14"/>
        <v>0</v>
      </c>
      <c r="J35" s="5">
        <v>32</v>
      </c>
      <c r="K35" s="5">
        <f>INDEX('Res Measure Mapping'!$X:$X,MATCH($B35,'Res Measure Mapping'!$B:$B,0))</f>
        <v>0</v>
      </c>
      <c r="L35" s="5">
        <f>INDEX('Res Measure Mapping'!$Y:$Y,MATCH($B35,'Res Measure Mapping'!$B:$B,0))</f>
        <v>0</v>
      </c>
      <c r="M35" s="74" t="str">
        <f t="shared" si="15"/>
        <v>N/A</v>
      </c>
      <c r="N35" s="5">
        <v>0</v>
      </c>
      <c r="O35" s="5">
        <f t="shared" si="16"/>
        <v>0</v>
      </c>
      <c r="P35" s="6">
        <v>48.51</v>
      </c>
      <c r="Q35" s="68">
        <f>INDEX('Res Measure Mapping'!$Q:$Q,MATCH($B35,'Res Measure Mapping'!$B:$B,0))</f>
        <v>31.280862501988175</v>
      </c>
      <c r="R35" s="68" t="str">
        <f>INDEX('Res Measure Mapping'!$R:$R,MATCH($B35,'Res Measure Mapping'!$B:$B,0))</f>
        <v>household</v>
      </c>
      <c r="S35" s="6">
        <f t="shared" si="24"/>
        <v>31.280862501988175</v>
      </c>
      <c r="T35" s="59">
        <f t="shared" si="17"/>
        <v>0</v>
      </c>
      <c r="U35" s="7">
        <v>1142</v>
      </c>
      <c r="V35" s="7">
        <f>INDEX('Res Measure Mapping'!$S:$S,MATCH($B35,'Res Measure Mapping'!$B:$B,0))</f>
        <v>2154.5300000000002</v>
      </c>
      <c r="W35" s="7">
        <f t="shared" si="25"/>
        <v>2154.5300000000002</v>
      </c>
      <c r="X35" s="8">
        <f t="shared" si="28"/>
        <v>22.685623271134045</v>
      </c>
      <c r="Y35" s="8">
        <f t="shared" si="18"/>
        <v>0</v>
      </c>
      <c r="Z35" s="8">
        <f t="shared" si="19"/>
        <v>0</v>
      </c>
      <c r="AA35" s="5">
        <v>30</v>
      </c>
      <c r="AB35" s="5">
        <f>INDEX('Res Measure Mapping'!$T:$T,MATCH($B35,'Res Measure Mapping'!$B:$B,0))</f>
        <v>30</v>
      </c>
      <c r="AC35" s="5">
        <f t="shared" si="20"/>
        <v>30</v>
      </c>
      <c r="AD35" s="59">
        <f t="shared" si="29"/>
        <v>0</v>
      </c>
      <c r="AE35" s="7">
        <f t="shared" si="7"/>
        <v>0</v>
      </c>
      <c r="AF35" s="7">
        <v>600</v>
      </c>
      <c r="AG35" s="7">
        <f>INDEX('Res Measure Mapping'!$U:$U,MATCH($B35,'Res Measure Mapping'!$B:$B,0))</f>
        <v>1098.811524</v>
      </c>
      <c r="AH35" s="113">
        <v>2000</v>
      </c>
      <c r="AI35" s="61">
        <f t="shared" si="30"/>
        <v>0</v>
      </c>
      <c r="AJ35" s="9">
        <f t="shared" si="31"/>
        <v>0</v>
      </c>
      <c r="AK35" s="9">
        <f t="shared" si="32"/>
        <v>0</v>
      </c>
      <c r="AL35" s="10" t="str">
        <f>IFERROR(IF(D33="Original",IF($AI35=0,"-",(INDEX('APP 2885'!$G:$G,MATCH($C$2+$AA35-1,'APP 2885'!$A:$A,0))*$T35)/($AI35+$AE35)),IF($AI35=0,"-",(INDEX('APP 2885'!G:G,MATCH($C$2+$AC35-1,'APP 2885'!$A:$A,0))*$T35)/($AI35+$AE35))),"N/A")</f>
        <v>-</v>
      </c>
      <c r="AM35" s="11">
        <f t="shared" si="33"/>
        <v>0</v>
      </c>
      <c r="AN35" s="12">
        <f t="shared" si="34"/>
        <v>0</v>
      </c>
      <c r="AO35" s="10" t="str">
        <f>IFERROR(IF(D33="Original",IF($AI35=0,"-",(INDEX('APP 2885'!$G:$G,MATCH($C$2+$AA35-1,'APP 2885'!$A:$A,0))*$T35)/($Z35+$AE35)),IF($AI35=0,"-",(INDEX('APP 2885'!G:G,MATCH($C$2+$AC35-1,'APP 2885'!$A:$A,0))*$T35)/($Z35+$AE35))),"N/A")</f>
        <v>-</v>
      </c>
      <c r="AP35" s="45"/>
      <c r="AQ35" s="13"/>
      <c r="AR35" s="13"/>
    </row>
    <row r="36" spans="2:44" ht="26.25" thickBot="1" x14ac:dyDescent="0.3">
      <c r="B36" s="66" t="str">
        <f t="shared" si="13"/>
        <v>ENERGY STAR Certified Homes + U.30 Window Glazing_Zone 3_Certified HERS 75</v>
      </c>
      <c r="C36" s="34" t="s">
        <v>45</v>
      </c>
      <c r="D36" s="34" t="s">
        <v>30</v>
      </c>
      <c r="E36" s="34" t="s">
        <v>46</v>
      </c>
      <c r="F36" s="34" t="str">
        <f t="shared" si="23"/>
        <v>Certified HERS 75</v>
      </c>
      <c r="G36" s="14">
        <v>1</v>
      </c>
      <c r="H36" s="14">
        <v>0</v>
      </c>
      <c r="I36" s="14">
        <f t="shared" si="14"/>
        <v>0</v>
      </c>
      <c r="J36" s="14">
        <v>1</v>
      </c>
      <c r="K36" s="86">
        <f>INDEX('Res Measure Mapping'!$X:$X,MATCH($B36,'Res Measure Mapping'!$B:$B,0))</f>
        <v>0</v>
      </c>
      <c r="L36" s="86">
        <f>INDEX('Res Measure Mapping'!$Y:$Y,MATCH($B36,'Res Measure Mapping'!$B:$B,0))</f>
        <v>0</v>
      </c>
      <c r="M36" s="90" t="str">
        <f t="shared" si="15"/>
        <v>N/A</v>
      </c>
      <c r="N36" s="14">
        <v>0</v>
      </c>
      <c r="O36" s="14">
        <f t="shared" si="16"/>
        <v>0</v>
      </c>
      <c r="P36" s="15">
        <v>205</v>
      </c>
      <c r="Q36" s="87">
        <f>INDEX('Res Measure Mapping'!$Q:$Q,MATCH($B36,'Res Measure Mapping'!$B:$B,0))</f>
        <v>31.280862501988175</v>
      </c>
      <c r="R36" s="87" t="str">
        <f>INDEX('Res Measure Mapping'!$R:$R,MATCH($B36,'Res Measure Mapping'!$B:$B,0))</f>
        <v>household</v>
      </c>
      <c r="S36" s="88">
        <f t="shared" si="24"/>
        <v>31.280862501988175</v>
      </c>
      <c r="T36" s="60">
        <f t="shared" si="17"/>
        <v>0</v>
      </c>
      <c r="U36" s="16">
        <v>1142</v>
      </c>
      <c r="V36" s="89">
        <f>INDEX('Res Measure Mapping'!$S:$S,MATCH($B36,'Res Measure Mapping'!$B:$B,0))</f>
        <v>2154.5300000000002</v>
      </c>
      <c r="W36" s="76">
        <f t="shared" si="25"/>
        <v>2154.5300000000002</v>
      </c>
      <c r="X36" s="17">
        <f t="shared" si="28"/>
        <v>22.685623271134045</v>
      </c>
      <c r="Y36" s="17">
        <f t="shared" si="18"/>
        <v>0</v>
      </c>
      <c r="Z36" s="17">
        <f t="shared" si="19"/>
        <v>0</v>
      </c>
      <c r="AA36" s="14">
        <v>30</v>
      </c>
      <c r="AB36" s="86">
        <f>INDEX('Res Measure Mapping'!$T:$T,MATCH($B36,'Res Measure Mapping'!$B:$B,0))</f>
        <v>30</v>
      </c>
      <c r="AC36" s="14">
        <f t="shared" si="20"/>
        <v>30</v>
      </c>
      <c r="AD36" s="60">
        <f t="shared" si="29"/>
        <v>0</v>
      </c>
      <c r="AE36" s="16">
        <f t="shared" si="7"/>
        <v>0</v>
      </c>
      <c r="AF36" s="16">
        <v>2000</v>
      </c>
      <c r="AG36" s="89">
        <f>INDEX('Res Measure Mapping'!$U:$U,MATCH($B36,'Res Measure Mapping'!$B:$B,0))</f>
        <v>1098.811524</v>
      </c>
      <c r="AH36" s="115">
        <v>2000</v>
      </c>
      <c r="AI36" s="62">
        <f t="shared" si="30"/>
        <v>0</v>
      </c>
      <c r="AJ36" s="18">
        <f t="shared" si="31"/>
        <v>0</v>
      </c>
      <c r="AK36" s="18">
        <f t="shared" si="32"/>
        <v>0</v>
      </c>
      <c r="AL36" s="84" t="str">
        <f>IFERROR(IF(D34="Original",IF($AI36=0,"-",(INDEX('APP 2885'!$G:$G,MATCH($C$2+$AA36-1,'APP 2885'!$A:$A,0))*$T36)/($AI36+$AE36)),IF($AI36=0,"-",(INDEX('APP 2885'!G:G,MATCH($C$2+$AC36-1,'APP 2885'!$A:$A,0))*$T36)/($AI36+$AE36))),"N/A")</f>
        <v>-</v>
      </c>
      <c r="AM36" s="20">
        <f t="shared" si="33"/>
        <v>0</v>
      </c>
      <c r="AN36" s="21">
        <f t="shared" si="34"/>
        <v>0</v>
      </c>
      <c r="AO36" s="84" t="str">
        <f>IFERROR(IF(D34="Original",IF($AI36=0,"-",(INDEX('APP 2885'!$G:$G,MATCH($C$2+$AA36-1,'APP 2885'!$A:$A,0))*$T36)/($Z36+$AE36)),IF($AI36=0,"-",(INDEX('APP 2885'!G:G,MATCH($C$2+$AC36-1,'APP 2885'!$A:$A,0))*$T36)/($Z36+$AE36))),"N/A")</f>
        <v>-</v>
      </c>
      <c r="AP36" s="45"/>
      <c r="AQ36" s="13"/>
      <c r="AR36" s="13"/>
    </row>
    <row r="37" spans="2:44" ht="15.75" thickBot="1" x14ac:dyDescent="0.3">
      <c r="B37" s="66" t="str">
        <f t="shared" si="13"/>
        <v>ENERGY STAR Clothes Washer_Zone 1_ENERGY STAR Clothes Washers</v>
      </c>
      <c r="C37" s="33" t="s">
        <v>47</v>
      </c>
      <c r="D37" s="33" t="s">
        <v>27</v>
      </c>
      <c r="E37" s="33" t="s">
        <v>48</v>
      </c>
      <c r="F37" s="33" t="str">
        <f t="shared" si="23"/>
        <v>ENERGY STAR Clothes Washers</v>
      </c>
      <c r="G37" s="5">
        <v>18</v>
      </c>
      <c r="H37" s="5">
        <f t="shared" si="26"/>
        <v>21</v>
      </c>
      <c r="I37" s="5">
        <f t="shared" si="14"/>
        <v>24</v>
      </c>
      <c r="J37" s="5">
        <v>18</v>
      </c>
      <c r="K37" s="5">
        <f>INDEX('Res Measure Mapping'!$X:$X,MATCH($B37,'Res Measure Mapping'!$B:$B,0))</f>
        <v>1107.692679212551</v>
      </c>
      <c r="L37" s="5">
        <f>INDEX('Res Measure Mapping'!$Y:$Y,MATCH($B37,'Res Measure Mapping'!$B:$B,0))</f>
        <v>1085.5388256282993</v>
      </c>
      <c r="M37" s="74">
        <f t="shared" si="15"/>
        <v>-2.0000000000000608E-2</v>
      </c>
      <c r="N37" s="5">
        <f t="shared" si="27"/>
        <v>21</v>
      </c>
      <c r="O37" s="5">
        <f t="shared" si="16"/>
        <v>24</v>
      </c>
      <c r="P37" s="6">
        <v>7.7290000000000001</v>
      </c>
      <c r="Q37" s="68">
        <f>INDEX('Res Measure Mapping'!$Q:$Q,MATCH($B37,'Res Measure Mapping'!$B:$B,0))</f>
        <v>5.327102410616229</v>
      </c>
      <c r="R37" s="68" t="str">
        <f>INDEX('Res Measure Mapping'!$R:$R,MATCH($B37,'Res Measure Mapping'!$B:$B,0))</f>
        <v>household</v>
      </c>
      <c r="S37" s="6">
        <f t="shared" si="24"/>
        <v>5.327102410616229</v>
      </c>
      <c r="T37" s="59">
        <f t="shared" si="17"/>
        <v>111.86915062294081</v>
      </c>
      <c r="U37" s="7">
        <v>61.41</v>
      </c>
      <c r="V37" s="7">
        <f>INDEX('Res Measure Mapping'!$S:$S,MATCH($B37,'Res Measure Mapping'!$B:$B,0))</f>
        <v>61.28</v>
      </c>
      <c r="W37" s="7">
        <f t="shared" si="25"/>
        <v>61.28</v>
      </c>
      <c r="X37" s="8">
        <f t="shared" si="28"/>
        <v>2.4951450763493428</v>
      </c>
      <c r="Y37" s="8">
        <f t="shared" si="18"/>
        <v>1286.8800000000001</v>
      </c>
      <c r="Z37" s="8">
        <f t="shared" si="19"/>
        <v>1234.4819533966638</v>
      </c>
      <c r="AA37" s="5">
        <v>14</v>
      </c>
      <c r="AB37" s="5">
        <f>INDEX('Res Measure Mapping'!$T:$T,MATCH($B37,'Res Measure Mapping'!$B:$B,0))</f>
        <v>14.199999999999998</v>
      </c>
      <c r="AC37" s="5">
        <f t="shared" si="20"/>
        <v>14</v>
      </c>
      <c r="AD37" s="59">
        <f t="shared" si="29"/>
        <v>1103.1167705965515</v>
      </c>
      <c r="AE37" s="7">
        <f t="shared" ref="AE37:AE68" si="35">(T37/$T$78)*$AR$4</f>
        <v>428.52501131479016</v>
      </c>
      <c r="AF37" s="7">
        <v>50</v>
      </c>
      <c r="AG37" s="7">
        <f>INDEX('Res Measure Mapping'!$U:$U,MATCH($B37,'Res Measure Mapping'!$B:$B,0))</f>
        <v>36.76896</v>
      </c>
      <c r="AH37" s="113">
        <v>50</v>
      </c>
      <c r="AI37" s="61">
        <f t="shared" si="30"/>
        <v>1050</v>
      </c>
      <c r="AJ37" s="9">
        <f t="shared" si="31"/>
        <v>0.95184846064136375</v>
      </c>
      <c r="AK37" s="9">
        <f t="shared" si="32"/>
        <v>1.3403159581330837</v>
      </c>
      <c r="AL37" s="10">
        <f>IFERROR(IF(D35="Original",IF($AI37=0,"-",(INDEX('APP 2885'!$G:$G,MATCH($C$2+$AA37-1,'APP 2885'!$A:$A,0))*$T37)/($AI37+$AE37)),IF($AI37=0,"-",(INDEX('APP 2885'!G:G,MATCH($C$2+$AC37-1,'APP 2885'!$A:$A,0))*$T37)/($AI37+$AE37))),"N/A")</f>
        <v>1.5650080226770482</v>
      </c>
      <c r="AM37" s="11">
        <f t="shared" si="33"/>
        <v>1.1190854733620554</v>
      </c>
      <c r="AN37" s="12">
        <f t="shared" si="34"/>
        <v>1.5075529708537754</v>
      </c>
      <c r="AO37" s="10">
        <f>IFERROR(IF(D35="Original",IF($AI37=0,"-",(INDEX('APP 2885'!$G:$G,MATCH($C$2+$AA37-1,'APP 2885'!$A:$A,0))*$T37)/($Z37+$AE37)),IF($AI37=0,"-",(INDEX('APP 2885'!G:G,MATCH($C$2+$AC37-1,'APP 2885'!$A:$A,0))*$T37)/($Z37+$AE37))),"N/A")</f>
        <v>1.3913973624504947</v>
      </c>
      <c r="AP37" s="45"/>
      <c r="AQ37" s="13"/>
      <c r="AR37" s="13"/>
    </row>
    <row r="38" spans="2:44" ht="15.75" thickBot="1" x14ac:dyDescent="0.3">
      <c r="B38" s="66" t="str">
        <f t="shared" si="13"/>
        <v>ENERGY STAR Clothes Washer_Zone 2_ENERGY STAR Clothes Washers</v>
      </c>
      <c r="C38" s="34" t="s">
        <v>47</v>
      </c>
      <c r="D38" s="34" t="s">
        <v>29</v>
      </c>
      <c r="E38" s="34" t="s">
        <v>48</v>
      </c>
      <c r="F38" s="34" t="str">
        <f t="shared" si="23"/>
        <v>ENERGY STAR Clothes Washers</v>
      </c>
      <c r="G38" s="14">
        <v>15</v>
      </c>
      <c r="H38" s="14">
        <f t="shared" si="26"/>
        <v>17</v>
      </c>
      <c r="I38" s="14">
        <f t="shared" si="14"/>
        <v>19</v>
      </c>
      <c r="J38" s="14">
        <v>15</v>
      </c>
      <c r="K38" s="86">
        <f>INDEX('Res Measure Mapping'!$X:$X,MATCH($B38,'Res Measure Mapping'!$B:$B,0))</f>
        <v>536.4119126460962</v>
      </c>
      <c r="L38" s="86">
        <f>INDEX('Res Measure Mapping'!$Y:$Y,MATCH($B38,'Res Measure Mapping'!$B:$B,0))</f>
        <v>525.68367439317421</v>
      </c>
      <c r="M38" s="90">
        <f t="shared" si="15"/>
        <v>-2.0000000000000111E-2</v>
      </c>
      <c r="N38" s="14">
        <f t="shared" si="27"/>
        <v>17</v>
      </c>
      <c r="O38" s="14">
        <f t="shared" si="16"/>
        <v>19</v>
      </c>
      <c r="P38" s="15">
        <v>7.7290000000000001</v>
      </c>
      <c r="Q38" s="87">
        <f>INDEX('Res Measure Mapping'!$Q:$Q,MATCH($B38,'Res Measure Mapping'!$B:$B,0))</f>
        <v>5.327102410616229</v>
      </c>
      <c r="R38" s="87" t="str">
        <f>INDEX('Res Measure Mapping'!$R:$R,MATCH($B38,'Res Measure Mapping'!$B:$B,0))</f>
        <v>household</v>
      </c>
      <c r="S38" s="88">
        <f t="shared" si="24"/>
        <v>5.327102410616229</v>
      </c>
      <c r="T38" s="60">
        <f t="shared" si="17"/>
        <v>90.560740980475899</v>
      </c>
      <c r="U38" s="16">
        <v>61.41</v>
      </c>
      <c r="V38" s="89">
        <f>INDEX('Res Measure Mapping'!$S:$S,MATCH($B38,'Res Measure Mapping'!$B:$B,0))</f>
        <v>61.28</v>
      </c>
      <c r="W38" s="76">
        <f t="shared" si="25"/>
        <v>61.28</v>
      </c>
      <c r="X38" s="17">
        <f t="shared" si="28"/>
        <v>2.4951450763493428</v>
      </c>
      <c r="Y38" s="17">
        <f t="shared" si="18"/>
        <v>1041.76</v>
      </c>
      <c r="Z38" s="17">
        <f t="shared" si="19"/>
        <v>999.34253370206113</v>
      </c>
      <c r="AA38" s="14">
        <v>14</v>
      </c>
      <c r="AB38" s="86">
        <f>INDEX('Res Measure Mapping'!$T:$T,MATCH($B38,'Res Measure Mapping'!$B:$B,0))</f>
        <v>14.199999999999998</v>
      </c>
      <c r="AC38" s="14">
        <f t="shared" si="20"/>
        <v>14</v>
      </c>
      <c r="AD38" s="60">
        <f t="shared" si="29"/>
        <v>892.99929048292267</v>
      </c>
      <c r="AE38" s="16">
        <f t="shared" si="35"/>
        <v>346.90119963578258</v>
      </c>
      <c r="AF38" s="16">
        <v>50</v>
      </c>
      <c r="AG38" s="89">
        <f>INDEX('Res Measure Mapping'!$U:$U,MATCH($B38,'Res Measure Mapping'!$B:$B,0))</f>
        <v>36.76896</v>
      </c>
      <c r="AH38" s="115">
        <v>50</v>
      </c>
      <c r="AI38" s="62">
        <f t="shared" si="30"/>
        <v>850</v>
      </c>
      <c r="AJ38" s="18">
        <f t="shared" si="31"/>
        <v>0.95184846064136375</v>
      </c>
      <c r="AK38" s="18">
        <f t="shared" si="32"/>
        <v>1.3403159581330839</v>
      </c>
      <c r="AL38" s="84">
        <f>IFERROR(IF(D36="Original",IF($AI38=0,"-",(INDEX('APP 2885'!$G:$G,MATCH($C$2+$AA38-1,'APP 2885'!$A:$A,0))*$T38)/($AI38+$AE38)),IF($AI38=0,"-",(INDEX('APP 2885'!G:G,MATCH($C$2+$AC38-1,'APP 2885'!$A:$A,0))*$T38)/($AI38+$AE38))),"N/A")</f>
        <v>1.5650080226770482</v>
      </c>
      <c r="AM38" s="20">
        <f t="shared" si="33"/>
        <v>1.1190854733620554</v>
      </c>
      <c r="AN38" s="21">
        <f t="shared" si="34"/>
        <v>1.5075529708537754</v>
      </c>
      <c r="AO38" s="84">
        <f>IFERROR(IF(D36="Original",IF($AI38=0,"-",(INDEX('APP 2885'!$G:$G,MATCH($C$2+$AA38-1,'APP 2885'!$A:$A,0))*$T38)/($Z38+$AE38)),IF($AI38=0,"-",(INDEX('APP 2885'!G:G,MATCH($C$2+$AC38-1,'APP 2885'!$A:$A,0))*$T38)/($Z38+$AE38))),"N/A")</f>
        <v>1.3913973624504949</v>
      </c>
      <c r="AP38" s="45"/>
      <c r="AQ38" s="13"/>
      <c r="AR38" s="13"/>
    </row>
    <row r="39" spans="2:44" ht="15.75" thickBot="1" x14ac:dyDescent="0.3">
      <c r="B39" s="66" t="str">
        <f t="shared" si="13"/>
        <v>ENERGY STAR Clothes Washer_Zone 3_ENERGY STAR Clothes Washers</v>
      </c>
      <c r="C39" s="33" t="s">
        <v>47</v>
      </c>
      <c r="D39" s="33" t="s">
        <v>30</v>
      </c>
      <c r="E39" s="33" t="s">
        <v>48</v>
      </c>
      <c r="F39" s="33" t="str">
        <f t="shared" si="23"/>
        <v>ENERGY STAR Clothes Washers</v>
      </c>
      <c r="G39" s="5">
        <v>8</v>
      </c>
      <c r="H39" s="5">
        <f t="shared" si="26"/>
        <v>9</v>
      </c>
      <c r="I39" s="5">
        <f t="shared" si="14"/>
        <v>9</v>
      </c>
      <c r="J39" s="5">
        <v>8</v>
      </c>
      <c r="K39" s="5">
        <f>INDEX('Res Measure Mapping'!$X:$X,MATCH($B39,'Res Measure Mapping'!$B:$B,0))</f>
        <v>0</v>
      </c>
      <c r="L39" s="5">
        <f>INDEX('Res Measure Mapping'!$Y:$Y,MATCH($B39,'Res Measure Mapping'!$B:$B,0))</f>
        <v>0</v>
      </c>
      <c r="M39" s="74" t="str">
        <f t="shared" si="15"/>
        <v>N/A</v>
      </c>
      <c r="N39" s="5">
        <f t="shared" si="27"/>
        <v>9</v>
      </c>
      <c r="O39" s="5">
        <f t="shared" si="16"/>
        <v>9</v>
      </c>
      <c r="P39" s="6">
        <v>7.7290000000000001</v>
      </c>
      <c r="Q39" s="68">
        <f>INDEX('Res Measure Mapping'!$Q:$Q,MATCH($B39,'Res Measure Mapping'!$B:$B,0))</f>
        <v>5.327102410616229</v>
      </c>
      <c r="R39" s="68" t="str">
        <f>INDEX('Res Measure Mapping'!$R:$R,MATCH($B39,'Res Measure Mapping'!$B:$B,0))</f>
        <v>household</v>
      </c>
      <c r="S39" s="6">
        <f t="shared" si="24"/>
        <v>5.327102410616229</v>
      </c>
      <c r="T39" s="59">
        <f t="shared" si="17"/>
        <v>47.943921695546059</v>
      </c>
      <c r="U39" s="7">
        <v>61.41</v>
      </c>
      <c r="V39" s="7">
        <f>INDEX('Res Measure Mapping'!$S:$S,MATCH($B39,'Res Measure Mapping'!$B:$B,0))</f>
        <v>61.28</v>
      </c>
      <c r="W39" s="7">
        <f t="shared" si="25"/>
        <v>61.28</v>
      </c>
      <c r="X39" s="8">
        <f t="shared" si="28"/>
        <v>2.4951450763493428</v>
      </c>
      <c r="Y39" s="8">
        <f t="shared" si="18"/>
        <v>551.52</v>
      </c>
      <c r="Z39" s="8">
        <f t="shared" si="19"/>
        <v>529.06369431285589</v>
      </c>
      <c r="AA39" s="5">
        <v>14</v>
      </c>
      <c r="AB39" s="5">
        <f>INDEX('Res Measure Mapping'!$T:$T,MATCH($B39,'Res Measure Mapping'!$B:$B,0))</f>
        <v>14.199999999999998</v>
      </c>
      <c r="AC39" s="5">
        <f t="shared" si="20"/>
        <v>14</v>
      </c>
      <c r="AD39" s="59">
        <f t="shared" si="29"/>
        <v>472.76433025566496</v>
      </c>
      <c r="AE39" s="7">
        <f t="shared" si="35"/>
        <v>183.65357627776723</v>
      </c>
      <c r="AF39" s="7">
        <v>50</v>
      </c>
      <c r="AG39" s="7">
        <f>INDEX('Res Measure Mapping'!$U:$U,MATCH($B39,'Res Measure Mapping'!$B:$B,0))</f>
        <v>36.76896</v>
      </c>
      <c r="AH39" s="113">
        <v>50</v>
      </c>
      <c r="AI39" s="61">
        <f t="shared" si="30"/>
        <v>450</v>
      </c>
      <c r="AJ39" s="9">
        <f t="shared" si="31"/>
        <v>0.95184846064136375</v>
      </c>
      <c r="AK39" s="9">
        <f t="shared" si="32"/>
        <v>1.3403159581330837</v>
      </c>
      <c r="AL39" s="10">
        <f>IFERROR(IF(D37="Original",IF($AI39=0,"-",(INDEX('APP 2885'!$G:$G,MATCH($C$2+$AA39-1,'APP 2885'!$A:$A,0))*$T39)/($AI39+$AE39)),IF($AI39=0,"-",(INDEX('APP 2885'!G:G,MATCH($C$2+$AC39-1,'APP 2885'!$A:$A,0))*$T39)/($AI39+$AE39))),"N/A")</f>
        <v>1.5650080226770482</v>
      </c>
      <c r="AM39" s="11">
        <f t="shared" si="33"/>
        <v>1.1190854733620554</v>
      </c>
      <c r="AN39" s="12">
        <f t="shared" si="34"/>
        <v>1.5075529708537754</v>
      </c>
      <c r="AO39" s="10">
        <f>IFERROR(IF(D37="Original",IF($AI39=0,"-",(INDEX('APP 2885'!$G:$G,MATCH($C$2+$AA39-1,'APP 2885'!$A:$A,0))*$T39)/($Z39+$AE39)),IF($AI39=0,"-",(INDEX('APP 2885'!G:G,MATCH($C$2+$AC39-1,'APP 2885'!$A:$A,0))*$T39)/($Z39+$AE39))),"N/A")</f>
        <v>1.3913973624504947</v>
      </c>
      <c r="AP39" s="45"/>
      <c r="AQ39" s="13"/>
      <c r="AR39" s="13"/>
    </row>
    <row r="40" spans="2:44" ht="15.75" thickBot="1" x14ac:dyDescent="0.3">
      <c r="B40" s="66" t="str">
        <f t="shared" si="13"/>
        <v>Smart Thermostat_Zone 1_Smart Thermostat</v>
      </c>
      <c r="C40" s="34" t="s">
        <v>217</v>
      </c>
      <c r="D40" s="34" t="s">
        <v>27</v>
      </c>
      <c r="E40" s="34" t="s">
        <v>217</v>
      </c>
      <c r="F40" s="34" t="str">
        <f t="shared" si="23"/>
        <v>Smart Thermostat</v>
      </c>
      <c r="G40" s="14">
        <v>122</v>
      </c>
      <c r="H40" s="14">
        <f t="shared" si="26"/>
        <v>142</v>
      </c>
      <c r="I40" s="14">
        <f t="shared" si="14"/>
        <v>142</v>
      </c>
      <c r="J40" s="14">
        <v>125</v>
      </c>
      <c r="K40" s="86">
        <f>INDEX('Res Measure Mapping'!$X:$X,MATCH($B40,'Res Measure Mapping'!$B:$B,0))</f>
        <v>0</v>
      </c>
      <c r="L40" s="86">
        <f>INDEX('Res Measure Mapping'!$Y:$Y,MATCH($B40,'Res Measure Mapping'!$B:$B,0))</f>
        <v>0</v>
      </c>
      <c r="M40" s="90" t="str">
        <f t="shared" si="15"/>
        <v>N/A</v>
      </c>
      <c r="N40" s="14">
        <f t="shared" si="27"/>
        <v>146</v>
      </c>
      <c r="O40" s="14">
        <f t="shared" si="16"/>
        <v>146</v>
      </c>
      <c r="P40" s="15">
        <v>34.197000000000003</v>
      </c>
      <c r="Q40" s="87">
        <f>INDEX('Res Measure Mapping'!$Q:$Q,MATCH($B40,'Res Measure Mapping'!$B:$B,0))</f>
        <v>0</v>
      </c>
      <c r="R40" s="87" t="str">
        <f>INDEX('Res Measure Mapping'!$R:$R,MATCH($B40,'Res Measure Mapping'!$B:$B,0))</f>
        <v>household</v>
      </c>
      <c r="S40" s="88">
        <f>P40</f>
        <v>34.197000000000003</v>
      </c>
      <c r="T40" s="60">
        <f t="shared" si="17"/>
        <v>4992.7620000000006</v>
      </c>
      <c r="U40" s="16">
        <v>264.41000000000003</v>
      </c>
      <c r="V40" s="89">
        <f>INDEX('Res Measure Mapping'!$S:$S,MATCH($B40,'Res Measure Mapping'!$B:$B,0))</f>
        <v>230.61</v>
      </c>
      <c r="W40" s="76">
        <f t="shared" si="25"/>
        <v>230.61</v>
      </c>
      <c r="X40" s="17">
        <f t="shared" si="28"/>
        <v>9.3787355145520124</v>
      </c>
      <c r="Y40" s="17">
        <f t="shared" si="18"/>
        <v>33669.060000000005</v>
      </c>
      <c r="Z40" s="17">
        <f t="shared" si="19"/>
        <v>32337.279556933619</v>
      </c>
      <c r="AA40" s="14">
        <v>5</v>
      </c>
      <c r="AB40" s="86">
        <f>INDEX('Res Measure Mapping'!$T:$T,MATCH($B40,'Res Measure Mapping'!$B:$B,0))</f>
        <v>7</v>
      </c>
      <c r="AC40" s="14">
        <f t="shared" si="20"/>
        <v>7</v>
      </c>
      <c r="AD40" s="60">
        <f t="shared" si="29"/>
        <v>28827.271265780924</v>
      </c>
      <c r="AE40" s="16">
        <f t="shared" si="35"/>
        <v>19125.231403189955</v>
      </c>
      <c r="AF40" s="16">
        <v>75</v>
      </c>
      <c r="AG40" s="89">
        <f>INDEX('Res Measure Mapping'!$U:$U,MATCH($B40,'Res Measure Mapping'!$B:$B,0))</f>
        <v>25.000003543548086</v>
      </c>
      <c r="AH40" s="115">
        <v>75</v>
      </c>
      <c r="AI40" s="62">
        <f t="shared" si="30"/>
        <v>10950</v>
      </c>
      <c r="AJ40" s="18">
        <f t="shared" si="31"/>
        <v>0.37984864745065444</v>
      </c>
      <c r="AK40" s="18">
        <f t="shared" si="32"/>
        <v>1.0432909561887811</v>
      </c>
      <c r="AL40" s="84">
        <f>IFERROR(IF(D38="Original",IF($AI40=0,"-",(INDEX('APP 2885'!$G:$G,MATCH($C$2+$AA40-1,'APP 2885'!$A:$A,0))*$T40)/($AI40+$AE40)),IF($AI40=0,"-",(INDEX('APP 2885'!G:G,MATCH($C$2+$AC40-1,'APP 2885'!$A:$A,0))*$T40)/($AI40+$AE40))),"N/A")</f>
        <v>1.9016917965952533</v>
      </c>
      <c r="AM40" s="20">
        <f t="shared" si="33"/>
        <v>1.1217599910442861</v>
      </c>
      <c r="AN40" s="21">
        <f t="shared" si="34"/>
        <v>1.7852022997824128</v>
      </c>
      <c r="AO40" s="84">
        <f>IFERROR(IF(D38="Original",IF($AI40=0,"-",(INDEX('APP 2885'!$G:$G,MATCH($C$2+$AA40-1,'APP 2885'!$A:$A,0))*$T40)/($Z40+$AE40)),IF($AI40=0,"-",(INDEX('APP 2885'!G:G,MATCH($C$2+$AC40-1,'APP 2885'!$A:$A,0))*$T40)/($Z40+$AE40))),"N/A")</f>
        <v>1.1113686404549459</v>
      </c>
      <c r="AP40" s="45"/>
      <c r="AQ40" s="13"/>
      <c r="AR40" s="13"/>
    </row>
    <row r="41" spans="2:44" ht="15.75" thickBot="1" x14ac:dyDescent="0.3">
      <c r="B41" s="66" t="str">
        <f t="shared" si="13"/>
        <v>Smart Thermostat_Zone 2_Smart Thermostat</v>
      </c>
      <c r="C41" s="33" t="s">
        <v>217</v>
      </c>
      <c r="D41" s="33" t="s">
        <v>29</v>
      </c>
      <c r="E41" s="33" t="s">
        <v>217</v>
      </c>
      <c r="F41" s="33" t="str">
        <f t="shared" si="23"/>
        <v>Smart Thermostat</v>
      </c>
      <c r="G41" s="5">
        <v>56</v>
      </c>
      <c r="H41" s="5">
        <f t="shared" si="26"/>
        <v>65</v>
      </c>
      <c r="I41" s="5">
        <f t="shared" si="14"/>
        <v>65</v>
      </c>
      <c r="J41" s="5">
        <v>57</v>
      </c>
      <c r="K41" s="5">
        <f>INDEX('Res Measure Mapping'!$X:$X,MATCH($B41,'Res Measure Mapping'!$B:$B,0))</f>
        <v>0</v>
      </c>
      <c r="L41" s="5">
        <f>INDEX('Res Measure Mapping'!$Y:$Y,MATCH($B41,'Res Measure Mapping'!$B:$B,0))</f>
        <v>0</v>
      </c>
      <c r="M41" s="74" t="str">
        <f t="shared" si="15"/>
        <v>N/A</v>
      </c>
      <c r="N41" s="5">
        <f t="shared" si="27"/>
        <v>66</v>
      </c>
      <c r="O41" s="5">
        <f t="shared" si="16"/>
        <v>66</v>
      </c>
      <c r="P41" s="6">
        <v>34.506</v>
      </c>
      <c r="Q41" s="68">
        <f>INDEX('Res Measure Mapping'!$Q:$Q,MATCH($B41,'Res Measure Mapping'!$B:$B,0))</f>
        <v>0</v>
      </c>
      <c r="R41" s="68" t="str">
        <f>INDEX('Res Measure Mapping'!$R:$R,MATCH($B41,'Res Measure Mapping'!$B:$B,0))</f>
        <v>household</v>
      </c>
      <c r="S41" s="6">
        <f>P41</f>
        <v>34.506</v>
      </c>
      <c r="T41" s="59">
        <f t="shared" si="17"/>
        <v>2277.3960000000002</v>
      </c>
      <c r="U41" s="7">
        <v>264.41000000000003</v>
      </c>
      <c r="V41" s="7">
        <f>INDEX('Res Measure Mapping'!$S:$S,MATCH($B41,'Res Measure Mapping'!$B:$B,0))</f>
        <v>230.61</v>
      </c>
      <c r="W41" s="7">
        <f t="shared" si="25"/>
        <v>230.61</v>
      </c>
      <c r="X41" s="8">
        <f t="shared" si="28"/>
        <v>9.4634806464055821</v>
      </c>
      <c r="Y41" s="8">
        <f t="shared" si="18"/>
        <v>15220.26</v>
      </c>
      <c r="Z41" s="8">
        <f t="shared" si="19"/>
        <v>14605.133757983638</v>
      </c>
      <c r="AA41" s="5">
        <v>5</v>
      </c>
      <c r="AB41" s="5">
        <f>INDEX('Res Measure Mapping'!$T:$T,MATCH($B41,'Res Measure Mapping'!$B:$B,0))</f>
        <v>7</v>
      </c>
      <c r="AC41" s="5">
        <f t="shared" si="20"/>
        <v>7</v>
      </c>
      <c r="AD41" s="59">
        <f t="shared" si="29"/>
        <v>13149.257319216178</v>
      </c>
      <c r="AE41" s="7">
        <f t="shared" si="35"/>
        <v>8723.7736340524916</v>
      </c>
      <c r="AF41" s="7">
        <v>75</v>
      </c>
      <c r="AG41" s="7">
        <f>INDEX('Res Measure Mapping'!$U:$U,MATCH($B41,'Res Measure Mapping'!$B:$B,0))</f>
        <v>25.000003543548086</v>
      </c>
      <c r="AH41" s="113">
        <v>75</v>
      </c>
      <c r="AI41" s="61">
        <f t="shared" si="30"/>
        <v>4950</v>
      </c>
      <c r="AJ41" s="9">
        <f t="shared" si="31"/>
        <v>0.37644711635280914</v>
      </c>
      <c r="AK41" s="9">
        <f t="shared" si="32"/>
        <v>1.0398894250909358</v>
      </c>
      <c r="AL41" s="10">
        <f>IFERROR(IF(D39="Original",IF($AI41=0,"-",(INDEX('APP 2885'!$G:$G,MATCH($C$2+$AA41-1,'APP 2885'!$A:$A,0))*$T41)/($AI41+$AE41)),IF($AI41=0,"-",(INDEX('APP 2885'!G:G,MATCH($C$2+$AC41-1,'APP 2885'!$A:$A,0))*$T41)/($AI41+$AE41))),"N/A")</f>
        <v>1.9079123269983496</v>
      </c>
      <c r="AM41" s="11">
        <f t="shared" si="33"/>
        <v>1.1107192903313146</v>
      </c>
      <c r="AN41" s="12">
        <f t="shared" si="34"/>
        <v>1.7741615990694413</v>
      </c>
      <c r="AO41" s="10">
        <f>IFERROR(IF(D39="Original",IF($AI41=0,"-",(INDEX('APP 2885'!$G:$G,MATCH($C$2+$AA41-1,'APP 2885'!$A:$A,0))*$T41)/($Z41+$AE41)),IF($AI41=0,"-",(INDEX('APP 2885'!G:G,MATCH($C$2+$AC41-1,'APP 2885'!$A:$A,0))*$T41)/($Z41+$AE41))),"N/A")</f>
        <v>1.1182847458128125</v>
      </c>
      <c r="AP41" s="45"/>
      <c r="AQ41" s="13"/>
      <c r="AR41" s="13"/>
    </row>
    <row r="42" spans="2:44" ht="15.75" thickBot="1" x14ac:dyDescent="0.3">
      <c r="B42" s="66" t="str">
        <f t="shared" si="13"/>
        <v>Smart Thermostat_Zone 3_Smart Thermostat</v>
      </c>
      <c r="C42" s="34" t="s">
        <v>217</v>
      </c>
      <c r="D42" s="34" t="s">
        <v>30</v>
      </c>
      <c r="E42" s="34" t="s">
        <v>217</v>
      </c>
      <c r="F42" s="34" t="str">
        <f t="shared" si="23"/>
        <v>Smart Thermostat</v>
      </c>
      <c r="G42" s="14">
        <v>97</v>
      </c>
      <c r="H42" s="14">
        <f t="shared" si="26"/>
        <v>113</v>
      </c>
      <c r="I42" s="14">
        <f t="shared" si="14"/>
        <v>113</v>
      </c>
      <c r="J42" s="14">
        <v>98</v>
      </c>
      <c r="K42" s="86">
        <f>INDEX('Res Measure Mapping'!$X:$X,MATCH($B42,'Res Measure Mapping'!$B:$B,0))</f>
        <v>0</v>
      </c>
      <c r="L42" s="86">
        <f>INDEX('Res Measure Mapping'!$Y:$Y,MATCH($B42,'Res Measure Mapping'!$B:$B,0))</f>
        <v>0</v>
      </c>
      <c r="M42" s="90" t="str">
        <f t="shared" si="15"/>
        <v>N/A</v>
      </c>
      <c r="N42" s="14">
        <f t="shared" si="27"/>
        <v>114</v>
      </c>
      <c r="O42" s="14">
        <f t="shared" si="16"/>
        <v>114</v>
      </c>
      <c r="P42" s="15">
        <v>30.364999999999998</v>
      </c>
      <c r="Q42" s="87">
        <f>INDEX('Res Measure Mapping'!$Q:$Q,MATCH($B42,'Res Measure Mapping'!$B:$B,0))</f>
        <v>0</v>
      </c>
      <c r="R42" s="87" t="str">
        <f>INDEX('Res Measure Mapping'!$R:$R,MATCH($B42,'Res Measure Mapping'!$B:$B,0))</f>
        <v>household</v>
      </c>
      <c r="S42" s="88">
        <f>P42</f>
        <v>30.364999999999998</v>
      </c>
      <c r="T42" s="60">
        <f t="shared" si="17"/>
        <v>3461.6099999999997</v>
      </c>
      <c r="U42" s="16">
        <v>264.41000000000003</v>
      </c>
      <c r="V42" s="89">
        <f>INDEX('Res Measure Mapping'!$S:$S,MATCH($B42,'Res Measure Mapping'!$B:$B,0))</f>
        <v>230.61</v>
      </c>
      <c r="W42" s="76">
        <f t="shared" si="25"/>
        <v>230.61</v>
      </c>
      <c r="X42" s="17">
        <f t="shared" si="28"/>
        <v>8.3277861771316726</v>
      </c>
      <c r="Y42" s="17">
        <f t="shared" si="18"/>
        <v>26289.54</v>
      </c>
      <c r="Z42" s="17">
        <f t="shared" si="19"/>
        <v>25348.50016198412</v>
      </c>
      <c r="AA42" s="14">
        <v>5</v>
      </c>
      <c r="AB42" s="86">
        <f>INDEX('Res Measure Mapping'!$T:$T,MATCH($B42,'Res Measure Mapping'!$B:$B,0))</f>
        <v>7</v>
      </c>
      <c r="AC42" s="14">
        <f t="shared" si="20"/>
        <v>7</v>
      </c>
      <c r="AD42" s="60">
        <f t="shared" si="29"/>
        <v>19986.686825116012</v>
      </c>
      <c r="AE42" s="16">
        <f t="shared" si="35"/>
        <v>13260.013651280868</v>
      </c>
      <c r="AF42" s="16">
        <v>75</v>
      </c>
      <c r="AG42" s="89">
        <f>INDEX('Res Measure Mapping'!$U:$U,MATCH($B42,'Res Measure Mapping'!$B:$B,0))</f>
        <v>25.000003543548086</v>
      </c>
      <c r="AH42" s="115">
        <v>75</v>
      </c>
      <c r="AI42" s="62">
        <f t="shared" si="30"/>
        <v>8550</v>
      </c>
      <c r="AJ42" s="18">
        <f t="shared" si="31"/>
        <v>0.42778475866524074</v>
      </c>
      <c r="AK42" s="18">
        <f t="shared" si="32"/>
        <v>1.0912270674033675</v>
      </c>
      <c r="AL42" s="84">
        <f>IFERROR(IF(D40="Original",IF($AI42=0,"-",(INDEX('APP 2885'!$G:$G,MATCH($C$2+$AA42-1,'APP 2885'!$A:$A,0))*$T42)/($AI42+$AE42)),IF($AI42=0,"-",(INDEX('APP 2885'!G:G,MATCH($C$2+$AC42-1,'APP 2885'!$A:$A,0))*$T42)/($AI42+$AE42))),"N/A")</f>
        <v>1.8181530793286667</v>
      </c>
      <c r="AM42" s="20">
        <f t="shared" si="33"/>
        <v>1.2682692426105489</v>
      </c>
      <c r="AN42" s="21">
        <f t="shared" si="34"/>
        <v>1.9317115513486756</v>
      </c>
      <c r="AO42" s="84">
        <f>IFERROR(IF(D40="Original",IF($AI42=0,"-",(INDEX('APP 2885'!$G:$G,MATCH($C$2+$AA42-1,'APP 2885'!$A:$A,0))*$T42)/($Z42+$AE42)),IF($AI42=0,"-",(INDEX('APP 2885'!G:G,MATCH($C$2+$AC42-1,'APP 2885'!$A:$A,0))*$T42)/($Z42+$AE42))),"N/A")</f>
        <v>1.0270776977344409</v>
      </c>
      <c r="AP42" s="45"/>
      <c r="AQ42" s="13"/>
      <c r="AR42" s="13"/>
    </row>
    <row r="43" spans="2:44" ht="15.75" thickBot="1" x14ac:dyDescent="0.3">
      <c r="B43" s="66" t="str">
        <f t="shared" si="13"/>
        <v>Floor Insulation_Zone 1_Post R 30+, or fill cavity</v>
      </c>
      <c r="C43" s="33" t="s">
        <v>49</v>
      </c>
      <c r="D43" s="33" t="s">
        <v>27</v>
      </c>
      <c r="E43" s="33" t="s">
        <v>214</v>
      </c>
      <c r="F43" s="33" t="str">
        <f t="shared" si="23"/>
        <v>Post R 30+, or fill cavity</v>
      </c>
      <c r="G43" s="5">
        <v>188</v>
      </c>
      <c r="H43" s="5">
        <f t="shared" si="26"/>
        <v>219</v>
      </c>
      <c r="I43" s="5">
        <f t="shared" si="14"/>
        <v>219</v>
      </c>
      <c r="J43" s="5">
        <v>246641</v>
      </c>
      <c r="K43" s="5">
        <f>INDEX('Res Measure Mapping'!$X:$X,MATCH($B43,'Res Measure Mapping'!$B:$B,0))</f>
        <v>0</v>
      </c>
      <c r="L43" s="5">
        <f>INDEX('Res Measure Mapping'!$Y:$Y,MATCH($B43,'Res Measure Mapping'!$B:$B,0))</f>
        <v>0</v>
      </c>
      <c r="M43" s="74" t="str">
        <f t="shared" si="15"/>
        <v>N/A</v>
      </c>
      <c r="N43" s="5">
        <f t="shared" si="27"/>
        <v>287513</v>
      </c>
      <c r="O43" s="5">
        <f t="shared" si="16"/>
        <v>287513</v>
      </c>
      <c r="P43" s="6">
        <v>3.9E-2</v>
      </c>
      <c r="Q43" s="68">
        <f>INDEX('Res Measure Mapping'!$Q:$Q,MATCH($B43,'Res Measure Mapping'!$B:$B,0))</f>
        <v>3.2313637612481891E-2</v>
      </c>
      <c r="R43" s="68" t="str">
        <f>INDEX('Res Measure Mapping'!$R:$R,MATCH($B43,'Res Measure Mapping'!$B:$B,0))</f>
        <v>sqft floor</v>
      </c>
      <c r="S43" s="6">
        <f t="shared" si="24"/>
        <v>3.2313637612481891E-2</v>
      </c>
      <c r="T43" s="59">
        <f t="shared" si="17"/>
        <v>9290.5908908775054</v>
      </c>
      <c r="U43" s="7">
        <v>1.08</v>
      </c>
      <c r="V43" s="7">
        <f>INDEX('Res Measure Mapping'!$S:$S,MATCH($B43,'Res Measure Mapping'!$B:$B,0))</f>
        <v>1.58</v>
      </c>
      <c r="W43" s="7">
        <f t="shared" si="25"/>
        <v>1.58</v>
      </c>
      <c r="X43" s="8">
        <f t="shared" si="28"/>
        <v>2.7043568008954605E-2</v>
      </c>
      <c r="Y43" s="8">
        <f t="shared" si="18"/>
        <v>454270.54000000004</v>
      </c>
      <c r="Z43" s="8">
        <f t="shared" si="19"/>
        <v>454264.61745860608</v>
      </c>
      <c r="AA43" s="5">
        <v>45</v>
      </c>
      <c r="AB43" s="5">
        <f>INDEX('Res Measure Mapping'!$T:$T,MATCH($B43,'Res Measure Mapping'!$B:$B,0))</f>
        <v>45</v>
      </c>
      <c r="AC43" s="5">
        <f t="shared" si="20"/>
        <v>45</v>
      </c>
      <c r="AD43" s="59">
        <f t="shared" si="29"/>
        <v>163692.15513596978</v>
      </c>
      <c r="AE43" s="7">
        <f t="shared" si="35"/>
        <v>35588.457983857632</v>
      </c>
      <c r="AF43" s="7">
        <v>1.25</v>
      </c>
      <c r="AG43" s="7">
        <f>INDEX('Res Measure Mapping'!$U:$U,MATCH($B43,'Res Measure Mapping'!$B:$B,0))</f>
        <v>0.74999758517316228</v>
      </c>
      <c r="AH43" s="113">
        <v>2</v>
      </c>
      <c r="AI43" s="61">
        <f t="shared" si="30"/>
        <v>575026</v>
      </c>
      <c r="AJ43" s="9">
        <f t="shared" si="31"/>
        <v>3.51285007838255</v>
      </c>
      <c r="AK43" s="9">
        <f t="shared" si="32"/>
        <v>3.7302609735735648</v>
      </c>
      <c r="AL43" s="10">
        <f>IFERROR(IF(D41="Original",IF($AI43=0,"-",(INDEX('APP 2885'!$G:$G,MATCH($C$2+$AA43-1,'APP 2885'!$A:$A,0))*$T43)/($AI43+$AE43)),IF($AI43=0,"-",(INDEX('APP 2885'!G:G,MATCH($C$2+$AC43-1,'APP 2885'!$A:$A,0))*$T43)/($AI43+$AE43))),"N/A")</f>
        <v>1.5162083092386123</v>
      </c>
      <c r="AM43" s="11">
        <f t="shared" si="33"/>
        <v>2.7751153809495284</v>
      </c>
      <c r="AN43" s="12">
        <f t="shared" si="34"/>
        <v>2.9925262761405431</v>
      </c>
      <c r="AO43" s="10">
        <f>IFERROR(IF(D41="Original",IF($AI43=0,"-",(INDEX('APP 2885'!$G:$G,MATCH($C$2+$AA43-1,'APP 2885'!$A:$A,0))*$T43)/($Z43+$AE43)),IF($AI43=0,"-",(INDEX('APP 2885'!G:G,MATCH($C$2+$AC43-1,'APP 2885'!$A:$A,0))*$T43)/($Z43+$AE43))),"N/A")</f>
        <v>1.889992655655174</v>
      </c>
      <c r="AP43" s="45"/>
      <c r="AQ43" s="13"/>
      <c r="AR43" s="13"/>
    </row>
    <row r="44" spans="2:44" ht="15.75" thickBot="1" x14ac:dyDescent="0.3">
      <c r="B44" s="66" t="str">
        <f t="shared" si="13"/>
        <v>Floor Insulation_Zone 1_Post R 30+, or fill cavity</v>
      </c>
      <c r="C44" s="34" t="s">
        <v>49</v>
      </c>
      <c r="D44" s="34" t="s">
        <v>27</v>
      </c>
      <c r="E44" s="34" t="s">
        <v>214</v>
      </c>
      <c r="F44" s="34" t="str">
        <f t="shared" si="23"/>
        <v>Post R 30+, or fill cavity</v>
      </c>
      <c r="G44" s="14">
        <v>1</v>
      </c>
      <c r="H44" s="14">
        <f t="shared" si="26"/>
        <v>1</v>
      </c>
      <c r="I44" s="14">
        <f t="shared" si="14"/>
        <v>1</v>
      </c>
      <c r="J44" s="14">
        <v>844</v>
      </c>
      <c r="K44" s="86">
        <f>INDEX('Res Measure Mapping'!$X:$X,MATCH($B44,'Res Measure Mapping'!$B:$B,0))</f>
        <v>0</v>
      </c>
      <c r="L44" s="86">
        <f>INDEX('Res Measure Mapping'!$Y:$Y,MATCH($B44,'Res Measure Mapping'!$B:$B,0))</f>
        <v>0</v>
      </c>
      <c r="M44" s="90" t="str">
        <f t="shared" si="15"/>
        <v>N/A</v>
      </c>
      <c r="N44" s="14">
        <f t="shared" si="27"/>
        <v>984</v>
      </c>
      <c r="O44" s="14">
        <f t="shared" si="16"/>
        <v>984</v>
      </c>
      <c r="P44" s="15">
        <v>0.03</v>
      </c>
      <c r="Q44" s="87">
        <f>INDEX('Res Measure Mapping'!$Q:$Q,MATCH($B44,'Res Measure Mapping'!$B:$B,0))</f>
        <v>3.2313637612481891E-2</v>
      </c>
      <c r="R44" s="87" t="str">
        <f>INDEX('Res Measure Mapping'!$R:$R,MATCH($B44,'Res Measure Mapping'!$B:$B,0))</f>
        <v>sqft floor</v>
      </c>
      <c r="S44" s="88">
        <f t="shared" si="24"/>
        <v>3.2313637612481891E-2</v>
      </c>
      <c r="T44" s="60">
        <f t="shared" si="17"/>
        <v>31.79661941068218</v>
      </c>
      <c r="U44" s="16">
        <v>1.08</v>
      </c>
      <c r="V44" s="89">
        <f>INDEX('Res Measure Mapping'!$S:$S,MATCH($B44,'Res Measure Mapping'!$B:$B,0))</f>
        <v>1.58</v>
      </c>
      <c r="W44" s="76">
        <f t="shared" si="25"/>
        <v>1.58</v>
      </c>
      <c r="X44" s="17">
        <f t="shared" si="28"/>
        <v>2.7043568008954605E-2</v>
      </c>
      <c r="Y44" s="17">
        <f t="shared" si="18"/>
        <v>1554.72</v>
      </c>
      <c r="Z44" s="17">
        <f t="shared" si="19"/>
        <v>1554.692956431991</v>
      </c>
      <c r="AA44" s="14">
        <v>45</v>
      </c>
      <c r="AB44" s="86">
        <f>INDEX('Res Measure Mapping'!$T:$T,MATCH($B44,'Res Measure Mapping'!$B:$B,0))</f>
        <v>45</v>
      </c>
      <c r="AC44" s="14">
        <f t="shared" si="20"/>
        <v>45</v>
      </c>
      <c r="AD44" s="60">
        <f t="shared" si="29"/>
        <v>560.22886149076476</v>
      </c>
      <c r="AE44" s="16">
        <f t="shared" si="35"/>
        <v>121.79985828855011</v>
      </c>
      <c r="AF44" s="16">
        <v>1.25</v>
      </c>
      <c r="AG44" s="89">
        <f>INDEX('Res Measure Mapping'!$U:$U,MATCH($B44,'Res Measure Mapping'!$B:$B,0))</f>
        <v>0.74999758517316228</v>
      </c>
      <c r="AH44" s="115">
        <v>2</v>
      </c>
      <c r="AI44" s="62">
        <f t="shared" si="30"/>
        <v>1968</v>
      </c>
      <c r="AJ44" s="18">
        <f t="shared" si="31"/>
        <v>3.5128500783825505</v>
      </c>
      <c r="AK44" s="18">
        <f t="shared" si="32"/>
        <v>3.7302609735735652</v>
      </c>
      <c r="AL44" s="84">
        <f>IFERROR(IF(D42="Original",IF($AI44=0,"-",(INDEX('APP 2885'!$G:$G,MATCH($C$2+$AA44-1,'APP 2885'!$A:$A,0))*$T44)/($AI44+$AE44)),IF($AI44=0,"-",(INDEX('APP 2885'!G:G,MATCH($C$2+$AC44-1,'APP 2885'!$A:$A,0))*$T44)/($AI44+$AE44))),"N/A")</f>
        <v>1.5162083092386123</v>
      </c>
      <c r="AM44" s="20">
        <f t="shared" si="33"/>
        <v>2.7751032895644911</v>
      </c>
      <c r="AN44" s="21">
        <f t="shared" si="34"/>
        <v>2.9925141847555055</v>
      </c>
      <c r="AO44" s="84">
        <f>IFERROR(IF(D42="Original",IF($AI44=0,"-",(INDEX('APP 2885'!$G:$G,MATCH($C$2+$AA44-1,'APP 2885'!$A:$A,0))*$T44)/($Z44+$AE44)),IF($AI44=0,"-",(INDEX('APP 2885'!G:G,MATCH($C$2+$AC44-1,'APP 2885'!$A:$A,0))*$T44)/($Z44+$AE44))),"N/A")</f>
        <v>1.8900002922535351</v>
      </c>
      <c r="AP44" s="45"/>
      <c r="AQ44" s="13"/>
      <c r="AR44" s="13"/>
    </row>
    <row r="45" spans="2:44" ht="15.75" thickBot="1" x14ac:dyDescent="0.3">
      <c r="B45" s="66" t="str">
        <f t="shared" si="13"/>
        <v>Floor Insulation_Zone 2_Post R 30+, or fill cavity</v>
      </c>
      <c r="C45" s="33" t="s">
        <v>49</v>
      </c>
      <c r="D45" s="33" t="s">
        <v>29</v>
      </c>
      <c r="E45" s="33" t="s">
        <v>214</v>
      </c>
      <c r="F45" s="33" t="str">
        <f t="shared" si="23"/>
        <v>Post R 30+, or fill cavity</v>
      </c>
      <c r="G45" s="5">
        <v>14</v>
      </c>
      <c r="H45" s="5">
        <f t="shared" si="26"/>
        <v>16</v>
      </c>
      <c r="I45" s="5">
        <f t="shared" si="14"/>
        <v>16</v>
      </c>
      <c r="J45" s="5">
        <v>17705</v>
      </c>
      <c r="K45" s="5">
        <f>INDEX('Res Measure Mapping'!$X:$X,MATCH($B45,'Res Measure Mapping'!$B:$B,0))</f>
        <v>0</v>
      </c>
      <c r="L45" s="5">
        <f>INDEX('Res Measure Mapping'!$Y:$Y,MATCH($B45,'Res Measure Mapping'!$B:$B,0))</f>
        <v>0</v>
      </c>
      <c r="M45" s="74" t="str">
        <f t="shared" si="15"/>
        <v>N/A</v>
      </c>
      <c r="N45" s="5">
        <f t="shared" si="27"/>
        <v>20639</v>
      </c>
      <c r="O45" s="5">
        <f t="shared" si="16"/>
        <v>20639</v>
      </c>
      <c r="P45" s="6">
        <v>4.2999999999999997E-2</v>
      </c>
      <c r="Q45" s="68">
        <f>INDEX('Res Measure Mapping'!$Q:$Q,MATCH($B45,'Res Measure Mapping'!$B:$B,0))</f>
        <v>3.2313637612481891E-2</v>
      </c>
      <c r="R45" s="68" t="str">
        <f>INDEX('Res Measure Mapping'!$R:$R,MATCH($B45,'Res Measure Mapping'!$B:$B,0))</f>
        <v>sqft floor</v>
      </c>
      <c r="S45" s="6">
        <f t="shared" si="24"/>
        <v>3.2313637612481891E-2</v>
      </c>
      <c r="T45" s="59">
        <f t="shared" si="17"/>
        <v>666.92116668401377</v>
      </c>
      <c r="U45" s="7">
        <v>1.08</v>
      </c>
      <c r="V45" s="7">
        <f>INDEX('Res Measure Mapping'!$S:$S,MATCH($B45,'Res Measure Mapping'!$B:$B,0))</f>
        <v>1.58</v>
      </c>
      <c r="W45" s="7">
        <f t="shared" si="25"/>
        <v>1.58</v>
      </c>
      <c r="X45" s="8">
        <f t="shared" si="28"/>
        <v>2.7043568008954605E-2</v>
      </c>
      <c r="Y45" s="8">
        <f t="shared" si="18"/>
        <v>32609.620000000003</v>
      </c>
      <c r="Z45" s="8">
        <f t="shared" si="19"/>
        <v>32609.187302911858</v>
      </c>
      <c r="AA45" s="5">
        <v>45</v>
      </c>
      <c r="AB45" s="5">
        <f>INDEX('Res Measure Mapping'!$T:$T,MATCH($B45,'Res Measure Mapping'!$B:$B,0))</f>
        <v>45</v>
      </c>
      <c r="AC45" s="5">
        <f t="shared" si="20"/>
        <v>45</v>
      </c>
      <c r="AD45" s="59">
        <f t="shared" si="29"/>
        <v>11750.572634459244</v>
      </c>
      <c r="AE45" s="7">
        <f t="shared" si="35"/>
        <v>2554.7025154648231</v>
      </c>
      <c r="AF45" s="7">
        <v>1.25</v>
      </c>
      <c r="AG45" s="7">
        <f>INDEX('Res Measure Mapping'!$U:$U,MATCH($B45,'Res Measure Mapping'!$B:$B,0))</f>
        <v>0.74999758517316228</v>
      </c>
      <c r="AH45" s="113">
        <v>2</v>
      </c>
      <c r="AI45" s="61">
        <f t="shared" si="30"/>
        <v>41278</v>
      </c>
      <c r="AJ45" s="9">
        <f t="shared" si="31"/>
        <v>3.5128500783825496</v>
      </c>
      <c r="AK45" s="9">
        <f t="shared" si="32"/>
        <v>3.7302609735735643</v>
      </c>
      <c r="AL45" s="10">
        <f>IFERROR(IF(D43="Original",IF($AI45=0,"-",(INDEX('APP 2885'!$G:$G,MATCH($C$2+$AA45-1,'APP 2885'!$A:$A,0))*$T45)/($AI45+$AE45)),IF($AI45=0,"-",(INDEX('APP 2885'!G:G,MATCH($C$2+$AC45-1,'APP 2885'!$A:$A,0))*$T45)/($AI45+$AE45))),"N/A")</f>
        <v>1.5162083092386123</v>
      </c>
      <c r="AM45" s="11">
        <f t="shared" si="33"/>
        <v>2.7751147384327042</v>
      </c>
      <c r="AN45" s="12">
        <f t="shared" si="34"/>
        <v>2.9925256336237189</v>
      </c>
      <c r="AO45" s="10">
        <f>IFERROR(IF(D43="Original",IF($AI45=0,"-",(INDEX('APP 2885'!$G:$G,MATCH($C$2+$AA45-1,'APP 2885'!$A:$A,0))*$T45)/($Z45+$AE45)),IF($AI45=0,"-",(INDEX('APP 2885'!G:G,MATCH($C$2+$AC45-1,'APP 2885'!$A:$A,0))*$T45)/($Z45+$AE45))),"N/A")</f>
        <v>1.8899930614502207</v>
      </c>
      <c r="AP45" s="45"/>
      <c r="AQ45" s="13"/>
      <c r="AR45" s="13"/>
    </row>
    <row r="46" spans="2:44" ht="15.75" thickBot="1" x14ac:dyDescent="0.3">
      <c r="B46" s="66" t="str">
        <f t="shared" si="13"/>
        <v>Floor Insulation_Zone 3_Post R 30+, or fill cavity</v>
      </c>
      <c r="C46" s="34" t="s">
        <v>49</v>
      </c>
      <c r="D46" s="34" t="s">
        <v>30</v>
      </c>
      <c r="E46" s="34" t="s">
        <v>214</v>
      </c>
      <c r="F46" s="34" t="str">
        <f t="shared" si="23"/>
        <v>Post R 30+, or fill cavity</v>
      </c>
      <c r="G46" s="14">
        <v>29</v>
      </c>
      <c r="H46" s="14">
        <f t="shared" si="26"/>
        <v>34</v>
      </c>
      <c r="I46" s="14">
        <f t="shared" si="14"/>
        <v>34</v>
      </c>
      <c r="J46" s="14">
        <v>31358</v>
      </c>
      <c r="K46" s="86">
        <f>INDEX('Res Measure Mapping'!$X:$X,MATCH($B46,'Res Measure Mapping'!$B:$B,0))</f>
        <v>0</v>
      </c>
      <c r="L46" s="86">
        <f>INDEX('Res Measure Mapping'!$Y:$Y,MATCH($B46,'Res Measure Mapping'!$B:$B,0))</f>
        <v>0</v>
      </c>
      <c r="M46" s="90" t="str">
        <f t="shared" si="15"/>
        <v>N/A</v>
      </c>
      <c r="N46" s="14">
        <f t="shared" si="27"/>
        <v>36554</v>
      </c>
      <c r="O46" s="14">
        <f t="shared" si="16"/>
        <v>36554</v>
      </c>
      <c r="P46" s="15">
        <v>4.7E-2</v>
      </c>
      <c r="Q46" s="87">
        <f>INDEX('Res Measure Mapping'!$Q:$Q,MATCH($B46,'Res Measure Mapping'!$B:$B,0))</f>
        <v>3.2313637612481891E-2</v>
      </c>
      <c r="R46" s="87" t="str">
        <f>INDEX('Res Measure Mapping'!$R:$R,MATCH($B46,'Res Measure Mapping'!$B:$B,0))</f>
        <v>sqft floor</v>
      </c>
      <c r="S46" s="88">
        <f t="shared" si="24"/>
        <v>3.2313637612481891E-2</v>
      </c>
      <c r="T46" s="60">
        <f t="shared" si="17"/>
        <v>1181.1927092866631</v>
      </c>
      <c r="U46" s="16">
        <v>1.08</v>
      </c>
      <c r="V46" s="89">
        <f>INDEX('Res Measure Mapping'!$S:$S,MATCH($B46,'Res Measure Mapping'!$B:$B,0))</f>
        <v>1.58</v>
      </c>
      <c r="W46" s="76">
        <f t="shared" si="25"/>
        <v>1.58</v>
      </c>
      <c r="X46" s="17">
        <f t="shared" si="28"/>
        <v>2.7043568008954605E-2</v>
      </c>
      <c r="Y46" s="17">
        <f t="shared" si="18"/>
        <v>57755.32</v>
      </c>
      <c r="Z46" s="17">
        <f t="shared" si="19"/>
        <v>57754.400518687697</v>
      </c>
      <c r="AA46" s="14">
        <v>45</v>
      </c>
      <c r="AB46" s="86">
        <f>INDEX('Res Measure Mapping'!$T:$T,MATCH($B46,'Res Measure Mapping'!$B:$B,0))</f>
        <v>45</v>
      </c>
      <c r="AC46" s="14">
        <f t="shared" si="20"/>
        <v>45</v>
      </c>
      <c r="AD46" s="60">
        <f t="shared" si="29"/>
        <v>20811.591263143717</v>
      </c>
      <c r="AE46" s="16">
        <f t="shared" si="35"/>
        <v>4524.6666868695738</v>
      </c>
      <c r="AF46" s="16">
        <v>1.25</v>
      </c>
      <c r="AG46" s="89">
        <f>INDEX('Res Measure Mapping'!$U:$U,MATCH($B46,'Res Measure Mapping'!$B:$B,0))</f>
        <v>0.74999758517316228</v>
      </c>
      <c r="AH46" s="115">
        <v>2</v>
      </c>
      <c r="AI46" s="62">
        <f t="shared" si="30"/>
        <v>73108</v>
      </c>
      <c r="AJ46" s="18">
        <f t="shared" si="31"/>
        <v>3.51285007838255</v>
      </c>
      <c r="AK46" s="18">
        <f t="shared" si="32"/>
        <v>3.7302609735735648</v>
      </c>
      <c r="AL46" s="84">
        <f>IFERROR(IF(D44="Original",IF($AI46=0,"-",(INDEX('APP 2885'!$G:$G,MATCH($C$2+$AA46-1,'APP 2885'!$A:$A,0))*$T46)/($AI46+$AE46)),IF($AI46=0,"-",(INDEX('APP 2885'!G:G,MATCH($C$2+$AC46-1,'APP 2885'!$A:$A,0))*$T46)/($AI46+$AE46))),"N/A")</f>
        <v>1.5162083092386123</v>
      </c>
      <c r="AM46" s="20">
        <f t="shared" si="33"/>
        <v>2.7751073807108559</v>
      </c>
      <c r="AN46" s="21">
        <f t="shared" si="34"/>
        <v>2.9925182759018707</v>
      </c>
      <c r="AO46" s="84">
        <f>IFERROR(IF(D44="Original",IF($AI46=0,"-",(INDEX('APP 2885'!$G:$G,MATCH($C$2+$AA46-1,'APP 2885'!$A:$A,0))*$T46)/($Z46+$AE46)),IF($AI46=0,"-",(INDEX('APP 2885'!G:G,MATCH($C$2+$AC46-1,'APP 2885'!$A:$A,0))*$T46)/($Z46+$AE46))),"N/A")</f>
        <v>1.889997708387001</v>
      </c>
      <c r="AP46" s="45"/>
      <c r="AQ46" s="13"/>
      <c r="AR46" s="13"/>
    </row>
    <row r="47" spans="2:44" ht="39" thickBot="1" x14ac:dyDescent="0.3">
      <c r="B47" s="66" t="str">
        <f t="shared" si="13"/>
        <v>High-Efficiency Combination Domestic Hot Water and Hydronic Space Heating System using pre-approved Tankless Water Heater_Zone 1_95+% Annual Fuel Utilization Efficiency (AFUE) Hydronic Space Heating &amp; DHW</v>
      </c>
      <c r="C47" s="33" t="s">
        <v>50</v>
      </c>
      <c r="D47" s="33" t="s">
        <v>27</v>
      </c>
      <c r="E47" s="33" t="s">
        <v>51</v>
      </c>
      <c r="F47" s="33" t="str">
        <f t="shared" si="23"/>
        <v>95+% Annual Fuel Utilization Efficiency (AFUE) Hydronic Space Heating &amp; DHW</v>
      </c>
      <c r="G47" s="5">
        <v>8</v>
      </c>
      <c r="H47" s="5">
        <f t="shared" si="26"/>
        <v>9</v>
      </c>
      <c r="I47" s="5">
        <f t="shared" si="14"/>
        <v>11</v>
      </c>
      <c r="J47" s="5">
        <v>8</v>
      </c>
      <c r="K47" s="5">
        <f>INDEX('Res Measure Mapping'!$X:$X,MATCH($B47,'Res Measure Mapping'!$B:$B,0))</f>
        <v>19.665977591327202</v>
      </c>
      <c r="L47" s="5">
        <f>INDEX('Res Measure Mapping'!$Y:$Y,MATCH($B47,'Res Measure Mapping'!$B:$B,0))</f>
        <v>24.873811944280515</v>
      </c>
      <c r="M47" s="74">
        <f t="shared" si="15"/>
        <v>0.2648144150865907</v>
      </c>
      <c r="N47" s="5">
        <f t="shared" si="27"/>
        <v>9</v>
      </c>
      <c r="O47" s="5">
        <f t="shared" si="16"/>
        <v>11</v>
      </c>
      <c r="P47" s="6">
        <v>148.97</v>
      </c>
      <c r="Q47" s="68">
        <f>INDEX('Res Measure Mapping'!$Q:$Q,MATCH($B47,'Res Measure Mapping'!$B:$B,0))</f>
        <v>148.96985837512395</v>
      </c>
      <c r="R47" s="68" t="str">
        <f>INDEX('Res Measure Mapping'!$R:$R,MATCH($B47,'Res Measure Mapping'!$B:$B,0))</f>
        <v>household</v>
      </c>
      <c r="S47" s="6">
        <f t="shared" si="24"/>
        <v>148.96985837512395</v>
      </c>
      <c r="T47" s="59">
        <f t="shared" si="17"/>
        <v>1340.7287253761156</v>
      </c>
      <c r="U47" s="7">
        <v>5190.57</v>
      </c>
      <c r="V47" s="7">
        <f>INDEX('Res Measure Mapping'!$S:$S,MATCH($B47,'Res Measure Mapping'!$B:$B,0))</f>
        <v>5190.57</v>
      </c>
      <c r="W47" s="7">
        <f t="shared" si="25"/>
        <v>5190.57</v>
      </c>
      <c r="X47" s="8">
        <f t="shared" si="28"/>
        <v>90.246159251166787</v>
      </c>
      <c r="Y47" s="8">
        <f t="shared" si="18"/>
        <v>46715.13</v>
      </c>
      <c r="Z47" s="8">
        <f t="shared" si="19"/>
        <v>45902.914566739499</v>
      </c>
      <c r="AA47" s="5">
        <v>21</v>
      </c>
      <c r="AB47" s="5">
        <f>INDEX('Res Measure Mapping'!$T:$T,MATCH($B47,'Res Measure Mapping'!$B:$B,0))</f>
        <v>21</v>
      </c>
      <c r="AC47" s="5">
        <f t="shared" si="20"/>
        <v>21</v>
      </c>
      <c r="AD47" s="59">
        <f t="shared" si="29"/>
        <v>17099.272279168443</v>
      </c>
      <c r="AE47" s="7">
        <f t="shared" si="35"/>
        <v>5135.78398524146</v>
      </c>
      <c r="AF47" s="7">
        <v>1500</v>
      </c>
      <c r="AG47" s="7">
        <f>INDEX('Res Measure Mapping'!$U:$U,MATCH($B47,'Res Measure Mapping'!$B:$B,0))</f>
        <v>599.99999896449128</v>
      </c>
      <c r="AH47" s="113">
        <v>1500</v>
      </c>
      <c r="AI47" s="61">
        <f t="shared" si="30"/>
        <v>13500</v>
      </c>
      <c r="AJ47" s="9">
        <f t="shared" si="31"/>
        <v>0.78950728309336682</v>
      </c>
      <c r="AK47" s="9">
        <f t="shared" si="32"/>
        <v>1.089858309815027</v>
      </c>
      <c r="AL47" s="10">
        <f>IFERROR(IF(D45="Original",IF($AI47=0,"-",(INDEX('APP 2885'!$G:$G,MATCH($C$2+$AA47-1,'APP 2885'!$A:$A,0))*$T47)/($AI47+$AE47)),IF($AI47=0,"-",(INDEX('APP 2885'!G:G,MATCH($C$2+$AC47-1,'APP 2885'!$A:$A,0))*$T47)/($AI47+$AE47))),"N/A")</f>
        <v>3.0488735425597522</v>
      </c>
      <c r="AM47" s="11">
        <f t="shared" si="33"/>
        <v>2.6844952122706247</v>
      </c>
      <c r="AN47" s="12">
        <f t="shared" si="34"/>
        <v>2.9848462389922847</v>
      </c>
      <c r="AO47" s="10">
        <f>IFERROR(IF(D45="Original",IF($AI47=0,"-",(INDEX('APP 2885'!$G:$G,MATCH($C$2+$AA47-1,'APP 2885'!$A:$A,0))*$T47)/($Z47+$AE47)),IF($AI47=0,"-",(INDEX('APP 2885'!G:G,MATCH($C$2+$AC47-1,'APP 2885'!$A:$A,0))*$T47)/($Z47+$AE47))),"N/A")</f>
        <v>1.1132366292528859</v>
      </c>
      <c r="AP47" s="45"/>
      <c r="AQ47" s="13"/>
      <c r="AR47" s="13"/>
    </row>
    <row r="48" spans="2:44" ht="39" thickBot="1" x14ac:dyDescent="0.3">
      <c r="B48" s="66" t="str">
        <f t="shared" si="13"/>
        <v>High-Efficiency Combination Domestic Hot Water and Hydronic Space Heating System using pre-approved Tankless Water Heater_Zone 1_95+% Annual Fuel Utilization Efficiency (AFUE) Hydronic Space Heating &amp; DHW</v>
      </c>
      <c r="C48" s="34" t="s">
        <v>50</v>
      </c>
      <c r="D48" s="34" t="s">
        <v>27</v>
      </c>
      <c r="E48" s="34" t="s">
        <v>51</v>
      </c>
      <c r="F48" s="34" t="str">
        <f t="shared" si="23"/>
        <v>95+% Annual Fuel Utilization Efficiency (AFUE) Hydronic Space Heating &amp; DHW</v>
      </c>
      <c r="G48" s="14">
        <v>1</v>
      </c>
      <c r="H48" s="14">
        <f t="shared" si="26"/>
        <v>1</v>
      </c>
      <c r="I48" s="14">
        <f t="shared" si="14"/>
        <v>1</v>
      </c>
      <c r="J48" s="14">
        <v>1</v>
      </c>
      <c r="K48" s="86">
        <f>INDEX('Res Measure Mapping'!$X:$X,MATCH($B48,'Res Measure Mapping'!$B:$B,0))</f>
        <v>19.665977591327202</v>
      </c>
      <c r="L48" s="86">
        <f>INDEX('Res Measure Mapping'!$Y:$Y,MATCH($B48,'Res Measure Mapping'!$B:$B,0))</f>
        <v>24.873811944280515</v>
      </c>
      <c r="M48" s="90">
        <f t="shared" si="15"/>
        <v>0.2648144150865907</v>
      </c>
      <c r="N48" s="14">
        <f t="shared" si="27"/>
        <v>1</v>
      </c>
      <c r="O48" s="14">
        <f t="shared" si="16"/>
        <v>1</v>
      </c>
      <c r="P48" s="15">
        <v>159</v>
      </c>
      <c r="Q48" s="87">
        <f>INDEX('Res Measure Mapping'!$Q:$Q,MATCH($B48,'Res Measure Mapping'!$B:$B,0))</f>
        <v>148.96985837512395</v>
      </c>
      <c r="R48" s="87" t="str">
        <f>INDEX('Res Measure Mapping'!$R:$R,MATCH($B48,'Res Measure Mapping'!$B:$B,0))</f>
        <v>household</v>
      </c>
      <c r="S48" s="88">
        <f t="shared" si="24"/>
        <v>148.96985837512395</v>
      </c>
      <c r="T48" s="60">
        <f t="shared" si="17"/>
        <v>148.96985837512395</v>
      </c>
      <c r="U48" s="16">
        <v>5190.57</v>
      </c>
      <c r="V48" s="89">
        <f>INDEX('Res Measure Mapping'!$S:$S,MATCH($B48,'Res Measure Mapping'!$B:$B,0))</f>
        <v>5190.57</v>
      </c>
      <c r="W48" s="76">
        <f t="shared" si="25"/>
        <v>5190.57</v>
      </c>
      <c r="X48" s="17">
        <f t="shared" si="28"/>
        <v>90.246159251166787</v>
      </c>
      <c r="Y48" s="17">
        <f t="shared" si="18"/>
        <v>5190.57</v>
      </c>
      <c r="Z48" s="17">
        <f t="shared" si="19"/>
        <v>5100.3238407488325</v>
      </c>
      <c r="AA48" s="14">
        <v>21</v>
      </c>
      <c r="AB48" s="86">
        <f>INDEX('Res Measure Mapping'!$T:$T,MATCH($B48,'Res Measure Mapping'!$B:$B,0))</f>
        <v>21</v>
      </c>
      <c r="AC48" s="14">
        <f t="shared" si="20"/>
        <v>21</v>
      </c>
      <c r="AD48" s="60">
        <f t="shared" si="29"/>
        <v>1899.9191421298272</v>
      </c>
      <c r="AE48" s="16">
        <f t="shared" si="35"/>
        <v>570.64266502682892</v>
      </c>
      <c r="AF48" s="16">
        <v>1500</v>
      </c>
      <c r="AG48" s="89">
        <f>INDEX('Res Measure Mapping'!$U:$U,MATCH($B48,'Res Measure Mapping'!$B:$B,0))</f>
        <v>599.99999896449128</v>
      </c>
      <c r="AH48" s="115">
        <v>1500</v>
      </c>
      <c r="AI48" s="62">
        <f t="shared" si="30"/>
        <v>1500</v>
      </c>
      <c r="AJ48" s="18">
        <f t="shared" si="31"/>
        <v>0.78950728309336682</v>
      </c>
      <c r="AK48" s="18">
        <f t="shared" si="32"/>
        <v>1.0898583098150267</v>
      </c>
      <c r="AL48" s="84">
        <f>IFERROR(IF(D46="Original",IF($AI48=0,"-",(INDEX('APP 2885'!$G:$G,MATCH($C$2+$AA48-1,'APP 2885'!$A:$A,0))*$T48)/($AI48+$AE48)),IF($AI48=0,"-",(INDEX('APP 2885'!G:G,MATCH($C$2+$AC48-1,'APP 2885'!$A:$A,0))*$T48)/($AI48+$AE48))),"N/A")</f>
        <v>3.0488735425597522</v>
      </c>
      <c r="AM48" s="20">
        <f t="shared" si="33"/>
        <v>2.6844952122706243</v>
      </c>
      <c r="AN48" s="21">
        <f t="shared" si="34"/>
        <v>2.9848462389922839</v>
      </c>
      <c r="AO48" s="84">
        <f>IFERROR(IF(D46="Original",IF($AI48=0,"-",(INDEX('APP 2885'!$G:$G,MATCH($C$2+$AA48-1,'APP 2885'!$A:$A,0))*$T48)/($Z48+$AE48)),IF($AI48=0,"-",(INDEX('APP 2885'!G:G,MATCH($C$2+$AC48-1,'APP 2885'!$A:$A,0))*$T48)/($Z48+$AE48))),"N/A")</f>
        <v>1.1132366292528861</v>
      </c>
      <c r="AP48" s="45"/>
      <c r="AQ48" s="13"/>
      <c r="AR48" s="13"/>
    </row>
    <row r="49" spans="2:44" ht="39" thickBot="1" x14ac:dyDescent="0.3">
      <c r="B49" s="66" t="str">
        <f t="shared" si="13"/>
        <v>High-Efficiency Combination Domestic Hot Water and Hydronic Space Heating System using pre-approved Tankless Water Heater_Zone 2_95+% Annual Fuel Utilization Efficiency (AFUE) Hydronic Space Heating &amp; DHW</v>
      </c>
      <c r="C49" s="33" t="s">
        <v>50</v>
      </c>
      <c r="D49" s="33" t="s">
        <v>29</v>
      </c>
      <c r="E49" s="33" t="s">
        <v>51</v>
      </c>
      <c r="F49" s="33" t="str">
        <f t="shared" si="23"/>
        <v>95+% Annual Fuel Utilization Efficiency (AFUE) Hydronic Space Heating &amp; DHW</v>
      </c>
      <c r="G49" s="5">
        <v>2</v>
      </c>
      <c r="H49" s="5">
        <f t="shared" si="26"/>
        <v>2</v>
      </c>
      <c r="I49" s="5">
        <f t="shared" si="14"/>
        <v>3</v>
      </c>
      <c r="J49" s="5">
        <v>2</v>
      </c>
      <c r="K49" s="5">
        <f>INDEX('Res Measure Mapping'!$X:$X,MATCH($B49,'Res Measure Mapping'!$B:$B,0))</f>
        <v>6.8453430082341837</v>
      </c>
      <c r="L49" s="5">
        <f>INDEX('Res Measure Mapping'!$Y:$Y,MATCH($B49,'Res Measure Mapping'!$B:$B,0))</f>
        <v>8.6580885130268026</v>
      </c>
      <c r="M49" s="74">
        <f t="shared" si="15"/>
        <v>0.26481441508659076</v>
      </c>
      <c r="N49" s="5">
        <f t="shared" si="27"/>
        <v>2</v>
      </c>
      <c r="O49" s="5">
        <f t="shared" si="16"/>
        <v>3</v>
      </c>
      <c r="P49" s="6">
        <v>146.04</v>
      </c>
      <c r="Q49" s="68">
        <f>INDEX('Res Measure Mapping'!$Q:$Q,MATCH($B49,'Res Measure Mapping'!$B:$B,0))</f>
        <v>146.03600407141286</v>
      </c>
      <c r="R49" s="68" t="str">
        <f>INDEX('Res Measure Mapping'!$R:$R,MATCH($B49,'Res Measure Mapping'!$B:$B,0))</f>
        <v>household</v>
      </c>
      <c r="S49" s="6">
        <f t="shared" si="24"/>
        <v>146.03600407141286</v>
      </c>
      <c r="T49" s="59">
        <f t="shared" si="17"/>
        <v>292.07200814282572</v>
      </c>
      <c r="U49" s="7">
        <v>5190.57</v>
      </c>
      <c r="V49" s="7">
        <f>INDEX('Res Measure Mapping'!$S:$S,MATCH($B49,'Res Measure Mapping'!$B:$B,0))</f>
        <v>5190.57</v>
      </c>
      <c r="W49" s="7">
        <f t="shared" si="25"/>
        <v>5190.57</v>
      </c>
      <c r="X49" s="8">
        <f t="shared" si="28"/>
        <v>88.46882599999519</v>
      </c>
      <c r="Y49" s="8">
        <f t="shared" si="18"/>
        <v>10381.14</v>
      </c>
      <c r="Z49" s="8">
        <f t="shared" si="19"/>
        <v>10204.20234800001</v>
      </c>
      <c r="AA49" s="5">
        <v>21</v>
      </c>
      <c r="AB49" s="5">
        <f>INDEX('Res Measure Mapping'!$T:$T,MATCH($B49,'Res Measure Mapping'!$B:$B,0))</f>
        <v>21</v>
      </c>
      <c r="AC49" s="5">
        <f t="shared" si="20"/>
        <v>21</v>
      </c>
      <c r="AD49" s="59">
        <f t="shared" si="29"/>
        <v>3725.0031999997973</v>
      </c>
      <c r="AE49" s="7">
        <f t="shared" si="35"/>
        <v>1118.8085356614079</v>
      </c>
      <c r="AF49" s="7">
        <v>1500</v>
      </c>
      <c r="AG49" s="7">
        <f>INDEX('Res Measure Mapping'!$U:$U,MATCH($B49,'Res Measure Mapping'!$B:$B,0))</f>
        <v>599.99999896449128</v>
      </c>
      <c r="AH49" s="113">
        <v>1500</v>
      </c>
      <c r="AI49" s="61">
        <f t="shared" si="30"/>
        <v>3000</v>
      </c>
      <c r="AJ49" s="9">
        <f t="shared" si="31"/>
        <v>0.8053684356566897</v>
      </c>
      <c r="AK49" s="9">
        <f t="shared" si="32"/>
        <v>1.1057194623783497</v>
      </c>
      <c r="AL49" s="10">
        <f>IFERROR(IF(D47="Original",IF($AI49=0,"-",(INDEX('APP 2885'!$G:$G,MATCH($C$2+$AA49-1,'APP 2885'!$A:$A,0))*$T49)/($AI49+$AE49)),IF($AI49=0,"-",(INDEX('APP 2885'!G:G,MATCH($C$2+$AC49-1,'APP 2885'!$A:$A,0))*$T49)/($AI49+$AE49))),"N/A")</f>
        <v>3.0051385355799507</v>
      </c>
      <c r="AM49" s="11">
        <f t="shared" si="33"/>
        <v>2.7393808273776958</v>
      </c>
      <c r="AN49" s="12">
        <f t="shared" si="34"/>
        <v>3.0397318540993559</v>
      </c>
      <c r="AO49" s="10">
        <f>IFERROR(IF(D47="Original",IF($AI49=0,"-",(INDEX('APP 2885'!$G:$G,MATCH($C$2+$AA49-1,'APP 2885'!$A:$A,0))*$T49)/($Z49+$AE49)),IF($AI49=0,"-",(INDEX('APP 2885'!G:G,MATCH($C$2+$AC49-1,'APP 2885'!$A:$A,0))*$T49)/($Z49+$AE49))),"N/A")</f>
        <v>1.0931359492952548</v>
      </c>
      <c r="AP49" s="45"/>
      <c r="AQ49" s="13"/>
      <c r="AR49" s="13"/>
    </row>
    <row r="50" spans="2:44" ht="39" thickBot="1" x14ac:dyDescent="0.3">
      <c r="B50" s="66" t="str">
        <f t="shared" si="13"/>
        <v>High-Efficiency Combination Domestic Hot Water and Hydronic Space Heating System using pre-approved Tankless Water Heater_Zone 3_95+% Annual Fuel Utilization Efficiency (AFUE) Hydronic Space Heating &amp; DHW</v>
      </c>
      <c r="C50" s="34" t="s">
        <v>50</v>
      </c>
      <c r="D50" s="34" t="s">
        <v>30</v>
      </c>
      <c r="E50" s="34" t="s">
        <v>51</v>
      </c>
      <c r="F50" s="34" t="str">
        <f t="shared" si="23"/>
        <v>95+% Annual Fuel Utilization Efficiency (AFUE) Hydronic Space Heating &amp; DHW</v>
      </c>
      <c r="G50" s="14">
        <v>2</v>
      </c>
      <c r="H50" s="14">
        <f t="shared" si="26"/>
        <v>2</v>
      </c>
      <c r="I50" s="14">
        <f t="shared" si="14"/>
        <v>3</v>
      </c>
      <c r="J50" s="14">
        <v>2</v>
      </c>
      <c r="K50" s="86">
        <f>INDEX('Res Measure Mapping'!$X:$X,MATCH($B50,'Res Measure Mapping'!$B:$B,0))</f>
        <v>3.4002809623470402</v>
      </c>
      <c r="L50" s="86">
        <f>INDEX('Res Measure Mapping'!$Y:$Y,MATCH($B50,'Res Measure Mapping'!$B:$B,0))</f>
        <v>4.4374130414826256</v>
      </c>
      <c r="M50" s="90">
        <f t="shared" si="15"/>
        <v>0.30501364170203926</v>
      </c>
      <c r="N50" s="14">
        <f t="shared" si="27"/>
        <v>2</v>
      </c>
      <c r="O50" s="14">
        <f t="shared" si="16"/>
        <v>3</v>
      </c>
      <c r="P50" s="15">
        <v>136.16999999999999</v>
      </c>
      <c r="Q50" s="87">
        <f>INDEX('Res Measure Mapping'!$Q:$Q,MATCH($B50,'Res Measure Mapping'!$B:$B,0))</f>
        <v>136.16968276177087</v>
      </c>
      <c r="R50" s="87" t="str">
        <f>INDEX('Res Measure Mapping'!$R:$R,MATCH($B50,'Res Measure Mapping'!$B:$B,0))</f>
        <v>household</v>
      </c>
      <c r="S50" s="88">
        <f t="shared" si="24"/>
        <v>136.16968276177087</v>
      </c>
      <c r="T50" s="60">
        <f t="shared" si="17"/>
        <v>272.33936552354174</v>
      </c>
      <c r="U50" s="16">
        <v>5190.57</v>
      </c>
      <c r="V50" s="89">
        <f>INDEX('Res Measure Mapping'!$S:$S,MATCH($B50,'Res Measure Mapping'!$B:$B,0))</f>
        <v>5190.57</v>
      </c>
      <c r="W50" s="76">
        <f t="shared" si="25"/>
        <v>5190.57</v>
      </c>
      <c r="X50" s="17">
        <f t="shared" si="28"/>
        <v>82.49179404302707</v>
      </c>
      <c r="Y50" s="17">
        <f t="shared" si="18"/>
        <v>10381.14</v>
      </c>
      <c r="Z50" s="17">
        <f t="shared" si="19"/>
        <v>10216.156411913946</v>
      </c>
      <c r="AA50" s="14">
        <v>21</v>
      </c>
      <c r="AB50" s="86">
        <f>INDEX('Res Measure Mapping'!$T:$T,MATCH($B50,'Res Measure Mapping'!$B:$B,0))</f>
        <v>21</v>
      </c>
      <c r="AC50" s="14">
        <f t="shared" si="20"/>
        <v>21</v>
      </c>
      <c r="AD50" s="60">
        <f t="shared" si="29"/>
        <v>3473.3386965485074</v>
      </c>
      <c r="AE50" s="16">
        <f t="shared" si="35"/>
        <v>1043.2208436604164</v>
      </c>
      <c r="AF50" s="16">
        <v>1500</v>
      </c>
      <c r="AG50" s="89">
        <f>INDEX('Res Measure Mapping'!$U:$U,MATCH($B50,'Res Measure Mapping'!$B:$B,0))</f>
        <v>599.99999896449128</v>
      </c>
      <c r="AH50" s="115">
        <v>1500</v>
      </c>
      <c r="AI50" s="62">
        <f t="shared" si="30"/>
        <v>3000</v>
      </c>
      <c r="AJ50" s="18">
        <f t="shared" si="31"/>
        <v>0.86372227476149421</v>
      </c>
      <c r="AK50" s="18">
        <f t="shared" si="32"/>
        <v>1.1640733014831541</v>
      </c>
      <c r="AL50" s="84">
        <f>IFERROR(IF(D48="Original",IF($AI50=0,"-",(INDEX('APP 2885'!$G:$G,MATCH($C$2+$AA50-1,'APP 2885'!$A:$A,0))*$T50)/($AI50+$AE50)),IF($AI50=0,"-",(INDEX('APP 2885'!G:G,MATCH($C$2+$AC50-1,'APP 2885'!$A:$A,0))*$T50)/($AI50+$AE50))),"N/A")</f>
        <v>2.8544939237935192</v>
      </c>
      <c r="AM50" s="20">
        <f t="shared" si="33"/>
        <v>2.9413072851391791</v>
      </c>
      <c r="AN50" s="21">
        <f t="shared" si="34"/>
        <v>3.2416583118608391</v>
      </c>
      <c r="AO50" s="84">
        <f>IFERROR(IF(D48="Original",IF($AI50=0,"-",(INDEX('APP 2885'!$G:$G,MATCH($C$2+$AA50-1,'APP 2885'!$A:$A,0))*$T50)/($Z50+$AE50)),IF($AI50=0,"-",(INDEX('APP 2885'!G:G,MATCH($C$2+$AC50-1,'APP 2885'!$A:$A,0))*$T50)/($Z50+$AE50))),"N/A")</f>
        <v>1.0250433100169909</v>
      </c>
      <c r="AP50" s="45"/>
      <c r="AQ50" s="13"/>
      <c r="AR50" s="13"/>
    </row>
    <row r="51" spans="2:44" ht="15.75" thickBot="1" x14ac:dyDescent="0.3">
      <c r="B51" s="66" t="str">
        <f t="shared" si="13"/>
        <v>High-Efficiency Exterior Entry (not sliding) Door_Zone 1_High-Efficiency Exterior Entry (not sliding) Door</v>
      </c>
      <c r="C51" s="33" t="s">
        <v>52</v>
      </c>
      <c r="D51" s="33" t="s">
        <v>27</v>
      </c>
      <c r="E51" s="33" t="s">
        <v>52</v>
      </c>
      <c r="F51" s="33" t="str">
        <f t="shared" si="23"/>
        <v>High-Efficiency Exterior Entry (not sliding) Door</v>
      </c>
      <c r="G51" s="5">
        <v>4</v>
      </c>
      <c r="H51" s="5">
        <f t="shared" si="26"/>
        <v>5</v>
      </c>
      <c r="I51" s="5">
        <f t="shared" si="14"/>
        <v>8</v>
      </c>
      <c r="J51" s="5">
        <v>4</v>
      </c>
      <c r="K51" s="5">
        <f>INDEX('Res Measure Mapping'!$X:$X,MATCH($B51,'Res Measure Mapping'!$B:$B,0))</f>
        <v>169.06766591245608</v>
      </c>
      <c r="L51" s="5">
        <f>INDEX('Res Measure Mapping'!$Y:$Y,MATCH($B51,'Res Measure Mapping'!$B:$B,0))</f>
        <v>262.96253017038794</v>
      </c>
      <c r="M51" s="74">
        <f t="shared" si="15"/>
        <v>0.55536854874752339</v>
      </c>
      <c r="N51" s="5">
        <f t="shared" si="27"/>
        <v>5</v>
      </c>
      <c r="O51" s="5">
        <f t="shared" si="16"/>
        <v>8</v>
      </c>
      <c r="P51" s="6">
        <v>13</v>
      </c>
      <c r="Q51" s="68">
        <f>INDEX('Res Measure Mapping'!$Q:$Q,MATCH($B51,'Res Measure Mapping'!$B:$B,0))</f>
        <v>6.4089337258906038</v>
      </c>
      <c r="R51" s="68" t="str">
        <f>INDEX('Res Measure Mapping'!$R:$R,MATCH($B51,'Res Measure Mapping'!$B:$B,0))</f>
        <v>door</v>
      </c>
      <c r="S51" s="6">
        <f t="shared" si="24"/>
        <v>6.4089337258906038</v>
      </c>
      <c r="T51" s="59">
        <f t="shared" si="17"/>
        <v>32.044668629453021</v>
      </c>
      <c r="U51" s="7">
        <v>200</v>
      </c>
      <c r="V51" s="7">
        <f>INDEX('Res Measure Mapping'!$S:$S,MATCH($B51,'Res Measure Mapping'!$B:$B,0))</f>
        <v>410.13</v>
      </c>
      <c r="W51" s="7">
        <f t="shared" si="25"/>
        <v>410.13</v>
      </c>
      <c r="X51" s="8">
        <f t="shared" si="28"/>
        <v>5.3636930994750127</v>
      </c>
      <c r="Y51" s="8">
        <f t="shared" si="18"/>
        <v>2050.65</v>
      </c>
      <c r="Z51" s="8">
        <f t="shared" si="19"/>
        <v>2023.8315345026251</v>
      </c>
      <c r="AA51" s="5">
        <v>45</v>
      </c>
      <c r="AB51" s="5">
        <f>INDEX('Res Measure Mapping'!$T:$T,MATCH($B51,'Res Measure Mapping'!$B:$B,0))</f>
        <v>45</v>
      </c>
      <c r="AC51" s="5">
        <f t="shared" si="20"/>
        <v>45</v>
      </c>
      <c r="AD51" s="59">
        <f t="shared" si="29"/>
        <v>564.59927362894871</v>
      </c>
      <c r="AE51" s="7">
        <f t="shared" si="35"/>
        <v>122.75003350386636</v>
      </c>
      <c r="AF51" s="7">
        <v>100</v>
      </c>
      <c r="AG51" s="7">
        <f>INDEX('Res Measure Mapping'!$U:$U,MATCH($B51,'Res Measure Mapping'!$B:$B,0))</f>
        <v>49.99993907512728</v>
      </c>
      <c r="AH51" s="113">
        <v>100</v>
      </c>
      <c r="AI51" s="61">
        <f t="shared" si="30"/>
        <v>500</v>
      </c>
      <c r="AJ51" s="9">
        <f t="shared" si="31"/>
        <v>0.88558385274968854</v>
      </c>
      <c r="AK51" s="9">
        <f t="shared" si="32"/>
        <v>1.1029947479407032</v>
      </c>
      <c r="AL51" s="10">
        <f>IFERROR(IF(D49="Original",IF($AI51=0,"-",(INDEX('APP 2885'!$G:$G,MATCH($C$2+$AA51-1,'APP 2885'!$A:$A,0))*$T51)/($AI51+$AE51)),IF($AI51=0,"-",(INDEX('APP 2885'!G:G,MATCH($C$2+$AC51-1,'APP 2885'!$A:$A,0))*$T51)/($AI51+$AE51))),"N/A")</f>
        <v>5.1277240388680552</v>
      </c>
      <c r="AM51" s="11">
        <f t="shared" si="33"/>
        <v>3.5845450552822977</v>
      </c>
      <c r="AN51" s="12">
        <f t="shared" si="34"/>
        <v>3.8019559504733125</v>
      </c>
      <c r="AO51" s="10">
        <f>IFERROR(IF(D49="Original",IF($AI51=0,"-",(INDEX('APP 2885'!$G:$G,MATCH($C$2+$AA51-1,'APP 2885'!$A:$A,0))*$T51)/($Z51+$AE51)),IF($AI51=0,"-",(INDEX('APP 2885'!G:G,MATCH($C$2+$AC51-1,'APP 2885'!$A:$A,0))*$T51)/($Z51+$AE51))),"N/A")</f>
        <v>1.4876165735314866</v>
      </c>
      <c r="AP51" s="45"/>
      <c r="AQ51" s="13"/>
      <c r="AR51" s="13"/>
    </row>
    <row r="52" spans="2:44" ht="15.75" thickBot="1" x14ac:dyDescent="0.3">
      <c r="B52" s="66" t="str">
        <f t="shared" si="13"/>
        <v>High-Efficiency Exterior Entry (not sliding) Door_Zone 2_High-Efficiency Exterior Entry (not sliding) Door</v>
      </c>
      <c r="C52" s="34" t="s">
        <v>52</v>
      </c>
      <c r="D52" s="34" t="s">
        <v>29</v>
      </c>
      <c r="E52" s="34" t="s">
        <v>52</v>
      </c>
      <c r="F52" s="34" t="str">
        <f t="shared" si="23"/>
        <v>High-Efficiency Exterior Entry (not sliding) Door</v>
      </c>
      <c r="G52" s="14">
        <v>16</v>
      </c>
      <c r="H52" s="14">
        <f t="shared" si="26"/>
        <v>19</v>
      </c>
      <c r="I52" s="14">
        <f t="shared" si="14"/>
        <v>30</v>
      </c>
      <c r="J52" s="14">
        <v>17</v>
      </c>
      <c r="K52" s="86">
        <f>INDEX('Res Measure Mapping'!$X:$X,MATCH($B52,'Res Measure Mapping'!$B:$B,0))</f>
        <v>83.599561248498546</v>
      </c>
      <c r="L52" s="86">
        <f>INDEX('Res Measure Mapping'!$Y:$Y,MATCH($B52,'Res Measure Mapping'!$B:$B,0))</f>
        <v>130.02812825500689</v>
      </c>
      <c r="M52" s="90">
        <f t="shared" si="15"/>
        <v>0.5553685487475235</v>
      </c>
      <c r="N52" s="14">
        <f t="shared" si="27"/>
        <v>20</v>
      </c>
      <c r="O52" s="14">
        <f t="shared" si="16"/>
        <v>31</v>
      </c>
      <c r="P52" s="15">
        <v>13</v>
      </c>
      <c r="Q52" s="87">
        <f>INDEX('Res Measure Mapping'!$Q:$Q,MATCH($B52,'Res Measure Mapping'!$B:$B,0))</f>
        <v>9.1929593665283793</v>
      </c>
      <c r="R52" s="87" t="str">
        <f>INDEX('Res Measure Mapping'!$R:$R,MATCH($B52,'Res Measure Mapping'!$B:$B,0))</f>
        <v>door</v>
      </c>
      <c r="S52" s="88">
        <f t="shared" si="24"/>
        <v>9.1929593665283793</v>
      </c>
      <c r="T52" s="60">
        <f t="shared" si="17"/>
        <v>183.85918733056758</v>
      </c>
      <c r="U52" s="16">
        <v>200</v>
      </c>
      <c r="V52" s="89">
        <f>INDEX('Res Measure Mapping'!$S:$S,MATCH($B52,'Res Measure Mapping'!$B:$B,0))</f>
        <v>410.13</v>
      </c>
      <c r="W52" s="76">
        <f t="shared" si="25"/>
        <v>410.13</v>
      </c>
      <c r="X52" s="17">
        <f t="shared" si="28"/>
        <v>7.6936686860731172</v>
      </c>
      <c r="Y52" s="17">
        <f t="shared" si="18"/>
        <v>8202.6</v>
      </c>
      <c r="Z52" s="17">
        <f t="shared" si="19"/>
        <v>8056.4202949646115</v>
      </c>
      <c r="AA52" s="14">
        <v>45</v>
      </c>
      <c r="AB52" s="86">
        <f>INDEX('Res Measure Mapping'!$T:$T,MATCH($B52,'Res Measure Mapping'!$B:$B,0))</f>
        <v>45</v>
      </c>
      <c r="AC52" s="14">
        <f t="shared" si="20"/>
        <v>45</v>
      </c>
      <c r="AD52" s="60">
        <f t="shared" si="29"/>
        <v>3239.4394467676284</v>
      </c>
      <c r="AE52" s="16">
        <f t="shared" si="35"/>
        <v>704.28943003883535</v>
      </c>
      <c r="AF52" s="16">
        <v>100</v>
      </c>
      <c r="AG52" s="89">
        <f>INDEX('Res Measure Mapping'!$U:$U,MATCH($B52,'Res Measure Mapping'!$B:$B,0))</f>
        <v>49.99993907512728</v>
      </c>
      <c r="AH52" s="115">
        <v>100</v>
      </c>
      <c r="AI52" s="62">
        <f t="shared" si="30"/>
        <v>2000</v>
      </c>
      <c r="AJ52" s="18">
        <f t="shared" si="31"/>
        <v>0.61739076555224282</v>
      </c>
      <c r="AK52" s="18">
        <f t="shared" si="32"/>
        <v>0.83480166074325746</v>
      </c>
      <c r="AL52" s="84">
        <f>IFERROR(IF(D51="Original",IF($AI52=0,"-",(INDEX('APP 2885'!$G:$G,MATCH($C$2+$AA52-1,'APP 2885'!$A:$A,0))*$T52)/($AI52+$AE52)),IF($AI52=0,"-",(INDEX('APP 2885'!G:G,MATCH($C$2+$AC52-1,'APP 2885'!$A:$A,0))*$T52)/($AI52+$AE52))),"N/A")</f>
        <v>6.7750855679001907</v>
      </c>
      <c r="AM52" s="20">
        <f t="shared" si="33"/>
        <v>2.4869797467594137</v>
      </c>
      <c r="AN52" s="21">
        <f t="shared" si="34"/>
        <v>2.7043906419504284</v>
      </c>
      <c r="AO52" s="84">
        <f>IFERROR(IF(D51="Original",IF($AI52=0,"-",(INDEX('APP 2885'!$G:$G,MATCH($C$2+$AA52-1,'APP 2885'!$A:$A,0))*$T52)/($Z52+$AE52)),IF($AI52=0,"-",(INDEX('APP 2885'!G:G,MATCH($C$2+$AC52-1,'APP 2885'!$A:$A,0))*$T52)/($Z52+$AE52))),"N/A")</f>
        <v>2.0913593605995127</v>
      </c>
      <c r="AP52" s="45"/>
      <c r="AQ52" s="13"/>
      <c r="AR52" s="13"/>
    </row>
    <row r="53" spans="2:44" ht="15.75" thickBot="1" x14ac:dyDescent="0.3">
      <c r="B53" s="66" t="str">
        <f t="shared" si="13"/>
        <v>High-Efficiency Exterior Entry (not sliding) Door_Zone 3_High-Efficiency Exterior Entry (not sliding) Door</v>
      </c>
      <c r="C53" s="33" t="s">
        <v>52</v>
      </c>
      <c r="D53" s="33" t="s">
        <v>30</v>
      </c>
      <c r="E53" s="33" t="s">
        <v>52</v>
      </c>
      <c r="F53" s="33" t="str">
        <f t="shared" si="23"/>
        <v>High-Efficiency Exterior Entry (not sliding) Door</v>
      </c>
      <c r="G53" s="5">
        <v>2</v>
      </c>
      <c r="H53" s="5">
        <f t="shared" si="26"/>
        <v>2</v>
      </c>
      <c r="I53" s="5">
        <f t="shared" si="14"/>
        <v>3</v>
      </c>
      <c r="J53" s="5">
        <v>2</v>
      </c>
      <c r="K53" s="5">
        <f>INDEX('Res Measure Mapping'!$X:$X,MATCH($B53,'Res Measure Mapping'!$B:$B,0))</f>
        <v>117.17723514714957</v>
      </c>
      <c r="L53" s="5">
        <f>INDEX('Res Measure Mapping'!$Y:$Y,MATCH($B53,'Res Measure Mapping'!$B:$B,0))</f>
        <v>184.81700780444021</v>
      </c>
      <c r="M53" s="74">
        <f t="shared" si="15"/>
        <v>0.57724328938423519</v>
      </c>
      <c r="N53" s="5">
        <f t="shared" si="27"/>
        <v>2</v>
      </c>
      <c r="O53" s="5">
        <f t="shared" si="16"/>
        <v>3</v>
      </c>
      <c r="P53" s="6">
        <v>13</v>
      </c>
      <c r="Q53" s="68">
        <f>INDEX('Res Measure Mapping'!$Q:$Q,MATCH($B53,'Res Measure Mapping'!$B:$B,0))</f>
        <v>8.8582733125943296</v>
      </c>
      <c r="R53" s="68" t="str">
        <f>INDEX('Res Measure Mapping'!$R:$R,MATCH($B53,'Res Measure Mapping'!$B:$B,0))</f>
        <v>door</v>
      </c>
      <c r="S53" s="6">
        <f t="shared" si="24"/>
        <v>8.8582733125943296</v>
      </c>
      <c r="T53" s="59">
        <f t="shared" si="17"/>
        <v>17.716546625188659</v>
      </c>
      <c r="U53" s="7">
        <v>200</v>
      </c>
      <c r="V53" s="7">
        <f>INDEX('Res Measure Mapping'!$S:$S,MATCH($B53,'Res Measure Mapping'!$B:$B,0))</f>
        <v>410.13</v>
      </c>
      <c r="W53" s="7">
        <f t="shared" si="25"/>
        <v>410.13</v>
      </c>
      <c r="X53" s="8">
        <f t="shared" si="28"/>
        <v>7.4135669788695342</v>
      </c>
      <c r="Y53" s="8">
        <f t="shared" si="18"/>
        <v>820.26</v>
      </c>
      <c r="Z53" s="8">
        <f t="shared" si="19"/>
        <v>805.43286604226091</v>
      </c>
      <c r="AA53" s="5">
        <v>45</v>
      </c>
      <c r="AB53" s="5">
        <f>INDEX('Res Measure Mapping'!$T:$T,MATCH($B53,'Res Measure Mapping'!$B:$B,0))</f>
        <v>45</v>
      </c>
      <c r="AC53" s="5">
        <f t="shared" si="20"/>
        <v>45</v>
      </c>
      <c r="AD53" s="59">
        <f t="shared" si="29"/>
        <v>312.15018858398042</v>
      </c>
      <c r="AE53" s="7">
        <f t="shared" si="35"/>
        <v>67.864851934087213</v>
      </c>
      <c r="AF53" s="7">
        <v>100</v>
      </c>
      <c r="AG53" s="7">
        <f>INDEX('Res Measure Mapping'!$U:$U,MATCH($B53,'Res Measure Mapping'!$B:$B,0))</f>
        <v>49.99993907512728</v>
      </c>
      <c r="AH53" s="113">
        <v>100</v>
      </c>
      <c r="AI53" s="61">
        <f t="shared" si="30"/>
        <v>200</v>
      </c>
      <c r="AJ53" s="9">
        <f t="shared" si="31"/>
        <v>0.64071721662981562</v>
      </c>
      <c r="AK53" s="9">
        <f t="shared" si="32"/>
        <v>0.85812811182083026</v>
      </c>
      <c r="AL53" s="10">
        <f>IFERROR(IF(D52="Original",IF($AI53=0,"-",(INDEX('APP 2885'!$G:$G,MATCH($C$2+$AA53-1,'APP 2885'!$A:$A,0))*$T53)/($AI53+$AE53)),IF($AI53=0,"-",(INDEX('APP 2885'!G:G,MATCH($C$2+$AC53-1,'APP 2885'!$A:$A,0))*$T53)/($AI53+$AE53))),"N/A")</f>
        <v>6.5909187752395262</v>
      </c>
      <c r="AM53" s="11">
        <f t="shared" si="33"/>
        <v>2.5802735205638632</v>
      </c>
      <c r="AN53" s="12">
        <f t="shared" si="34"/>
        <v>2.7976844157548779</v>
      </c>
      <c r="AO53" s="10">
        <f>IFERROR(IF(D52="Original",IF($AI53=0,"-",(INDEX('APP 2885'!$G:$G,MATCH($C$2+$AA53-1,'APP 2885'!$A:$A,0))*$T53)/($Z53+$AE53)),IF($AI53=0,"-",(INDEX('APP 2885'!G:G,MATCH($C$2+$AC53-1,'APP 2885'!$A:$A,0))*$T53)/($Z53+$AE53))),"N/A")</f>
        <v>2.0216192548060068</v>
      </c>
      <c r="AP53" s="45"/>
      <c r="AQ53" s="13"/>
      <c r="AR53" s="13"/>
    </row>
    <row r="54" spans="2:44" ht="15.75" thickBot="1" x14ac:dyDescent="0.3">
      <c r="B54" s="66" t="str">
        <f t="shared" si="13"/>
        <v>High-Efficiency Natural Gas Hearth (Fireplace)_Zone 1_Natural Gas Hearth (Fireplace) - 70% FE Hearth</v>
      </c>
      <c r="C54" s="34" t="s">
        <v>54</v>
      </c>
      <c r="D54" s="34" t="s">
        <v>27</v>
      </c>
      <c r="E54" s="34" t="s">
        <v>55</v>
      </c>
      <c r="F54" s="34" t="str">
        <f t="shared" si="23"/>
        <v>Natural Gas Hearth (Fireplace) - 70% FE Hearth</v>
      </c>
      <c r="G54" s="14">
        <v>33</v>
      </c>
      <c r="H54" s="14">
        <f t="shared" si="26"/>
        <v>38</v>
      </c>
      <c r="I54" s="14">
        <f t="shared" si="14"/>
        <v>54</v>
      </c>
      <c r="J54" s="14">
        <v>34</v>
      </c>
      <c r="K54" s="86">
        <f>INDEX('Res Measure Mapping'!$X:$X,MATCH($B54,'Res Measure Mapping'!$B:$B,0))</f>
        <v>89.972944319504904</v>
      </c>
      <c r="L54" s="86">
        <f>INDEX('Res Measure Mapping'!$Y:$Y,MATCH($B54,'Res Measure Mapping'!$B:$B,0))</f>
        <v>128.41054346415348</v>
      </c>
      <c r="M54" s="90">
        <f t="shared" si="15"/>
        <v>0.42721286310417905</v>
      </c>
      <c r="N54" s="14">
        <f t="shared" si="27"/>
        <v>40</v>
      </c>
      <c r="O54" s="14">
        <f t="shared" si="16"/>
        <v>57</v>
      </c>
      <c r="P54" s="15">
        <v>56</v>
      </c>
      <c r="Q54" s="87">
        <f>INDEX('Res Measure Mapping'!$Q:$Q,MATCH($B54,'Res Measure Mapping'!$B:$B,0))</f>
        <v>27.616424266472379</v>
      </c>
      <c r="R54" s="87" t="str">
        <f>INDEX('Res Measure Mapping'!$R:$R,MATCH($B54,'Res Measure Mapping'!$B:$B,0))</f>
        <v>unit</v>
      </c>
      <c r="S54" s="88">
        <f t="shared" si="24"/>
        <v>27.616424266472379</v>
      </c>
      <c r="T54" s="60">
        <f t="shared" si="17"/>
        <v>1104.6569706588953</v>
      </c>
      <c r="U54" s="16">
        <v>425</v>
      </c>
      <c r="V54" s="89">
        <f>INDEX('Res Measure Mapping'!$S:$S,MATCH($B54,'Res Measure Mapping'!$B:$B,0))</f>
        <v>318.2749362936579</v>
      </c>
      <c r="W54" s="76">
        <f t="shared" si="25"/>
        <v>318.2749362936579</v>
      </c>
      <c r="X54" s="17">
        <f t="shared" si="28"/>
        <v>14.156250556576067</v>
      </c>
      <c r="Y54" s="17">
        <f t="shared" si="18"/>
        <v>12730.997451746316</v>
      </c>
      <c r="Z54" s="17">
        <f t="shared" si="19"/>
        <v>12193.059930596426</v>
      </c>
      <c r="AA54" s="14">
        <v>20</v>
      </c>
      <c r="AB54" s="86">
        <f>INDEX('Res Measure Mapping'!$T:$T,MATCH($B54,'Res Measure Mapping'!$B:$B,0))</f>
        <v>16</v>
      </c>
      <c r="AC54" s="14">
        <f t="shared" si="20"/>
        <v>16</v>
      </c>
      <c r="AD54" s="60">
        <f t="shared" si="29"/>
        <v>11921.053100274585</v>
      </c>
      <c r="AE54" s="16">
        <f t="shared" si="35"/>
        <v>4231.4895412595652</v>
      </c>
      <c r="AF54" s="16">
        <v>300</v>
      </c>
      <c r="AG54" s="89">
        <f>INDEX('Res Measure Mapping'!$U:$U,MATCH($B54,'Res Measure Mapping'!$B:$B,0))</f>
        <v>222.79243</v>
      </c>
      <c r="AH54" s="115">
        <v>300</v>
      </c>
      <c r="AI54" s="62">
        <f t="shared" si="30"/>
        <v>12000</v>
      </c>
      <c r="AJ54" s="18">
        <f t="shared" si="31"/>
        <v>1.006622476979286</v>
      </c>
      <c r="AK54" s="18">
        <f t="shared" si="32"/>
        <v>1.3615818505905066</v>
      </c>
      <c r="AL54" s="84" t="str">
        <f>IFERROR(IF(#REF!="Original",IF($AI54=0,"-",(INDEX('APP 2885'!$G:$G,MATCH($C$2+$AA54-1,'APP 2885'!$A:$A,0))*$T54)/($AI54+$AE54)),IF($AI54=0,"-",(INDEX('APP 2885'!G:G,MATCH($C$2+$AC54-1,'APP 2885'!$A:$A,0))*$T54)/($AI54+$AE54))),"N/A")</f>
        <v>N/A</v>
      </c>
      <c r="AM54" s="20">
        <f t="shared" si="33"/>
        <v>1.0228173491078214</v>
      </c>
      <c r="AN54" s="21">
        <f t="shared" si="34"/>
        <v>1.3777767227190421</v>
      </c>
      <c r="AO54" s="84" t="str">
        <f>IFERROR(IF(#REF!="Original",IF($AI54=0,"-",(INDEX('APP 2885'!$G:$G,MATCH($C$2+$AA54-1,'APP 2885'!$A:$A,0))*$T54)/($Z54+$AE54)),IF($AI54=0,"-",(INDEX('APP 2885'!G:G,MATCH($C$2+$AC54-1,'APP 2885'!$A:$A,0))*$T54)/($Z54+$AE54))),"N/A")</f>
        <v>N/A</v>
      </c>
      <c r="AP54" s="45"/>
      <c r="AQ54" s="13"/>
      <c r="AR54" s="13"/>
    </row>
    <row r="55" spans="2:44" ht="15.75" thickBot="1" x14ac:dyDescent="0.3">
      <c r="B55" s="66" t="str">
        <f t="shared" si="13"/>
        <v>High-Efficiency Natural Gas Hearth (Fireplace)_Zone 2_Natural Gas Hearth (Fireplace) - 70% FE Hearth</v>
      </c>
      <c r="C55" s="33" t="s">
        <v>54</v>
      </c>
      <c r="D55" s="33" t="s">
        <v>29</v>
      </c>
      <c r="E55" s="33" t="s">
        <v>55</v>
      </c>
      <c r="F55" s="33" t="str">
        <f t="shared" si="23"/>
        <v>Natural Gas Hearth (Fireplace) - 70% FE Hearth</v>
      </c>
      <c r="G55" s="5">
        <v>10</v>
      </c>
      <c r="H55" s="5">
        <f t="shared" si="26"/>
        <v>12</v>
      </c>
      <c r="I55" s="5">
        <f t="shared" si="14"/>
        <v>17</v>
      </c>
      <c r="J55" s="5">
        <v>11</v>
      </c>
      <c r="K55" s="5">
        <f>INDEX('Res Measure Mapping'!$X:$X,MATCH($B55,'Res Measure Mapping'!$B:$B,0))</f>
        <v>42.23412296495264</v>
      </c>
      <c r="L55" s="5">
        <f>INDEX('Res Measure Mapping'!$Y:$Y,MATCH($B55,'Res Measure Mapping'!$B:$B,0))</f>
        <v>60.277083557504078</v>
      </c>
      <c r="M55" s="74">
        <f t="shared" si="15"/>
        <v>0.4272128631041805</v>
      </c>
      <c r="N55" s="5">
        <f t="shared" si="27"/>
        <v>13</v>
      </c>
      <c r="O55" s="5">
        <f t="shared" si="16"/>
        <v>19</v>
      </c>
      <c r="P55" s="6">
        <v>56</v>
      </c>
      <c r="Q55" s="68">
        <f>INDEX('Res Measure Mapping'!$Q:$Q,MATCH($B55,'Res Measure Mapping'!$B:$B,0))</f>
        <v>27.616424266472379</v>
      </c>
      <c r="R55" s="68" t="str">
        <f>INDEX('Res Measure Mapping'!$R:$R,MATCH($B55,'Res Measure Mapping'!$B:$B,0))</f>
        <v>unit</v>
      </c>
      <c r="S55" s="6">
        <f t="shared" si="24"/>
        <v>27.616424266472379</v>
      </c>
      <c r="T55" s="59">
        <f t="shared" si="17"/>
        <v>359.01351546414094</v>
      </c>
      <c r="U55" s="7">
        <v>425</v>
      </c>
      <c r="V55" s="7">
        <f>INDEX('Res Measure Mapping'!$S:$S,MATCH($B55,'Res Measure Mapping'!$B:$B,0))</f>
        <v>318.2749362936579</v>
      </c>
      <c r="W55" s="7">
        <f t="shared" si="25"/>
        <v>318.2749362936579</v>
      </c>
      <c r="X55" s="8">
        <f t="shared" si="28"/>
        <v>14.156250556576067</v>
      </c>
      <c r="Y55" s="8">
        <f t="shared" si="18"/>
        <v>4137.5741718175523</v>
      </c>
      <c r="Z55" s="8">
        <f t="shared" si="19"/>
        <v>3967.6991651386393</v>
      </c>
      <c r="AA55" s="5">
        <v>20</v>
      </c>
      <c r="AB55" s="5">
        <f>INDEX('Res Measure Mapping'!$T:$T,MATCH($B55,'Res Measure Mapping'!$B:$B,0))</f>
        <v>16</v>
      </c>
      <c r="AC55" s="5">
        <f t="shared" si="20"/>
        <v>16</v>
      </c>
      <c r="AD55" s="59">
        <f t="shared" si="29"/>
        <v>3874.34225758924</v>
      </c>
      <c r="AE55" s="7">
        <f t="shared" si="35"/>
        <v>1375.2341009093584</v>
      </c>
      <c r="AF55" s="7">
        <v>300</v>
      </c>
      <c r="AG55" s="7">
        <f>INDEX('Res Measure Mapping'!$U:$U,MATCH($B55,'Res Measure Mapping'!$B:$B,0))</f>
        <v>222.79243</v>
      </c>
      <c r="AH55" s="113">
        <v>300</v>
      </c>
      <c r="AI55" s="61">
        <f t="shared" si="30"/>
        <v>3900</v>
      </c>
      <c r="AJ55" s="9">
        <f t="shared" si="31"/>
        <v>1.006622476979286</v>
      </c>
      <c r="AK55" s="9">
        <f t="shared" si="32"/>
        <v>1.3615818505905064</v>
      </c>
      <c r="AL55" s="10">
        <f>IFERROR(IF(D53="Original",IF($AI55=0,"-",(INDEX('APP 2885'!$G:$G,MATCH($C$2+$AA55-1,'APP 2885'!$A:$A,0))*$T55)/($AI55+$AE55)),IF($AI55=0,"-",(INDEX('APP 2885'!G:G,MATCH($C$2+$AC55-1,'APP 2885'!$A:$A,0))*$T55)/($AI55+$AE55))),"N/A")</f>
        <v>1.5955857835243223</v>
      </c>
      <c r="AM55" s="11">
        <f t="shared" si="33"/>
        <v>1.0240961952616674</v>
      </c>
      <c r="AN55" s="12">
        <f t="shared" si="34"/>
        <v>1.3790555688728878</v>
      </c>
      <c r="AO55" s="10">
        <f>IFERROR(IF(D53="Original",IF($AI55=0,"-",(INDEX('APP 2885'!$G:$G,MATCH($C$2+$AA55-1,'APP 2885'!$A:$A,0))*$T55)/($Z55+$AE55)),IF($AI55=0,"-",(INDEX('APP 2885'!G:G,MATCH($C$2+$AC55-1,'APP 2885'!$A:$A,0))*$T55)/($Z55+$AE55))),"N/A")</f>
        <v>1.5753684571844824</v>
      </c>
      <c r="AP55" s="45"/>
      <c r="AQ55" s="13"/>
      <c r="AR55" s="13"/>
    </row>
    <row r="56" spans="2:44" ht="15.75" thickBot="1" x14ac:dyDescent="0.3">
      <c r="B56" s="66" t="str">
        <f t="shared" si="13"/>
        <v>High-Efficiency Natural Gas Hearth (Fireplace)_Zone 3_Natural Gas Hearth (Fireplace) - 70% FE Hearth</v>
      </c>
      <c r="C56" s="34" t="s">
        <v>54</v>
      </c>
      <c r="D56" s="34" t="s">
        <v>30</v>
      </c>
      <c r="E56" s="34" t="s">
        <v>55</v>
      </c>
      <c r="F56" s="34" t="str">
        <f t="shared" si="23"/>
        <v>Natural Gas Hearth (Fireplace) - 70% FE Hearth</v>
      </c>
      <c r="G56" s="14">
        <v>6</v>
      </c>
      <c r="H56" s="14">
        <f t="shared" si="26"/>
        <v>7</v>
      </c>
      <c r="I56" s="14">
        <f t="shared" si="14"/>
        <v>7</v>
      </c>
      <c r="J56" s="14">
        <v>6</v>
      </c>
      <c r="K56" s="86">
        <f>INDEX('Res Measure Mapping'!$X:$X,MATCH($B56,'Res Measure Mapping'!$B:$B,0))</f>
        <v>0</v>
      </c>
      <c r="L56" s="86">
        <f>INDEX('Res Measure Mapping'!$Y:$Y,MATCH($B56,'Res Measure Mapping'!$B:$B,0))</f>
        <v>0</v>
      </c>
      <c r="M56" s="90" t="str">
        <f t="shared" si="15"/>
        <v>N/A</v>
      </c>
      <c r="N56" s="14">
        <f t="shared" si="27"/>
        <v>7</v>
      </c>
      <c r="O56" s="14">
        <f t="shared" si="16"/>
        <v>7</v>
      </c>
      <c r="P56" s="15">
        <v>57</v>
      </c>
      <c r="Q56" s="87">
        <f>INDEX('Res Measure Mapping'!$Q:$Q,MATCH($B56,'Res Measure Mapping'!$B:$B,0))</f>
        <v>28.54136532320042</v>
      </c>
      <c r="R56" s="87" t="str">
        <f>INDEX('Res Measure Mapping'!$R:$R,MATCH($B56,'Res Measure Mapping'!$B:$B,0))</f>
        <v>unit</v>
      </c>
      <c r="S56" s="88">
        <f t="shared" si="24"/>
        <v>28.54136532320042</v>
      </c>
      <c r="T56" s="60">
        <f t="shared" si="17"/>
        <v>199.78955726240295</v>
      </c>
      <c r="U56" s="16">
        <v>425</v>
      </c>
      <c r="V56" s="89">
        <f>INDEX('Res Measure Mapping'!$S:$S,MATCH($B56,'Res Measure Mapping'!$B:$B,0))</f>
        <v>318.27</v>
      </c>
      <c r="W56" s="76">
        <f t="shared" si="25"/>
        <v>318.27</v>
      </c>
      <c r="X56" s="17">
        <f t="shared" si="28"/>
        <v>14.630377736212527</v>
      </c>
      <c r="Y56" s="17">
        <f t="shared" si="18"/>
        <v>2227.89</v>
      </c>
      <c r="Z56" s="17">
        <f t="shared" si="19"/>
        <v>2125.4773558465122</v>
      </c>
      <c r="AA56" s="14">
        <v>20</v>
      </c>
      <c r="AB56" s="86">
        <f>INDEX('Res Measure Mapping'!$T:$T,MATCH($B56,'Res Measure Mapping'!$B:$B,0))</f>
        <v>16</v>
      </c>
      <c r="AC56" s="14">
        <f t="shared" si="20"/>
        <v>16</v>
      </c>
      <c r="AD56" s="60">
        <f t="shared" si="29"/>
        <v>2156.0556663892144</v>
      </c>
      <c r="AE56" s="16">
        <f t="shared" si="35"/>
        <v>765.31216881243813</v>
      </c>
      <c r="AF56" s="16">
        <v>300</v>
      </c>
      <c r="AG56" s="89">
        <f>INDEX('Res Measure Mapping'!$U:$U,MATCH($B56,'Res Measure Mapping'!$B:$B,0))</f>
        <v>222.79243</v>
      </c>
      <c r="AH56" s="115">
        <v>300</v>
      </c>
      <c r="AI56" s="62">
        <f t="shared" si="30"/>
        <v>2100</v>
      </c>
      <c r="AJ56" s="18">
        <f t="shared" si="31"/>
        <v>0.97400082601619842</v>
      </c>
      <c r="AK56" s="18">
        <f t="shared" si="32"/>
        <v>1.328960199627419</v>
      </c>
      <c r="AL56" s="84">
        <f>IFERROR(IF(D54="Original",IF($AI56=0,"-",(INDEX('APP 2885'!$G:$G,MATCH($C$2+$AA56-1,'APP 2885'!$A:$A,0))*$T56)/($AI56+$AE56)),IF($AI56=0,"-",(INDEX('APP 2885'!G:G,MATCH($C$2+$AC56-1,'APP 2885'!$A:$A,0))*$T56)/($AI56+$AE56))),"N/A")</f>
        <v>1.6347522254737408</v>
      </c>
      <c r="AM56" s="20">
        <f t="shared" si="33"/>
        <v>0.98581747632058492</v>
      </c>
      <c r="AN56" s="21">
        <f t="shared" si="34"/>
        <v>1.3407768499318056</v>
      </c>
      <c r="AO56" s="84">
        <f>IFERROR(IF(D54="Original",IF($AI56=0,"-",(INDEX('APP 2885'!$G:$G,MATCH($C$2+$AA56-1,'APP 2885'!$A:$A,0))*$T56)/($Z56+$AE56)),IF($AI56=0,"-",(INDEX('APP 2885'!G:G,MATCH($C$2+$AC56-1,'APP 2885'!$A:$A,0))*$T56)/($Z56+$AE56))),"N/A")</f>
        <v>1.6203446860060635</v>
      </c>
      <c r="AP56" s="45"/>
      <c r="AQ56" s="13"/>
      <c r="AR56" s="13"/>
    </row>
    <row r="57" spans="2:44" ht="26.25" thickBot="1" x14ac:dyDescent="0.3">
      <c r="B57" s="66" t="str">
        <f t="shared" si="13"/>
        <v>Prescriptive Air Sealing with Insulation Install_Zone 1_BPA Weatherization Specifications section 4.4 &amp; 6.2</v>
      </c>
      <c r="C57" s="33" t="s">
        <v>56</v>
      </c>
      <c r="D57" s="33" t="s">
        <v>27</v>
      </c>
      <c r="E57" s="33" t="s">
        <v>57</v>
      </c>
      <c r="F57" s="33" t="str">
        <f t="shared" si="23"/>
        <v>BPA Weatherization Specifications section 4.4 &amp; 6.2</v>
      </c>
      <c r="G57" s="5">
        <v>127</v>
      </c>
      <c r="H57" s="5">
        <f t="shared" si="26"/>
        <v>148</v>
      </c>
      <c r="I57" s="5">
        <f t="shared" si="14"/>
        <v>230</v>
      </c>
      <c r="J57" s="5">
        <v>127</v>
      </c>
      <c r="K57" s="5">
        <f>INDEX('Res Measure Mapping'!$X:$X,MATCH($B57,'Res Measure Mapping'!$B:$B,0))</f>
        <v>30.056473939992205</v>
      </c>
      <c r="L57" s="5">
        <f>INDEX('Res Measure Mapping'!$Y:$Y,MATCH($B57,'Res Measure Mapping'!$B:$B,0))</f>
        <v>46.748894252513423</v>
      </c>
      <c r="M57" s="74">
        <f t="shared" si="15"/>
        <v>0.55536854874752306</v>
      </c>
      <c r="N57" s="5">
        <f t="shared" si="27"/>
        <v>148</v>
      </c>
      <c r="O57" s="5">
        <f t="shared" si="16"/>
        <v>230</v>
      </c>
      <c r="P57" s="6">
        <v>63.75</v>
      </c>
      <c r="Q57" s="68">
        <f>INDEX('Res Measure Mapping'!$Q:$Q,MATCH($B57,'Res Measure Mapping'!$B:$B,0))</f>
        <v>26.912689862127035</v>
      </c>
      <c r="R57" s="68" t="str">
        <f>INDEX('Res Measure Mapping'!$R:$R,MATCH($B57,'Res Measure Mapping'!$B:$B,0))</f>
        <v>home</v>
      </c>
      <c r="S57" s="6">
        <f t="shared" si="24"/>
        <v>26.912689862127035</v>
      </c>
      <c r="T57" s="59">
        <f t="shared" si="17"/>
        <v>3983.0780995948012</v>
      </c>
      <c r="U57" s="7">
        <v>350</v>
      </c>
      <c r="V57" s="7">
        <f>INDEX('Res Measure Mapping'!$S:$S,MATCH($B57,'Res Measure Mapping'!$B:$B,0))</f>
        <v>1537.6415007297105</v>
      </c>
      <c r="W57" s="7">
        <f t="shared" si="25"/>
        <v>1537.6415007297105</v>
      </c>
      <c r="X57" s="8">
        <f t="shared" si="28"/>
        <v>13.215214743694926</v>
      </c>
      <c r="Y57" s="8">
        <f t="shared" si="18"/>
        <v>227570.94210799717</v>
      </c>
      <c r="Z57" s="8">
        <f t="shared" si="19"/>
        <v>225615.09032593033</v>
      </c>
      <c r="AA57" s="5">
        <v>15</v>
      </c>
      <c r="AB57" s="5">
        <f>INDEX('Res Measure Mapping'!$T:$T,MATCH($B57,'Res Measure Mapping'!$B:$B,0))</f>
        <v>15</v>
      </c>
      <c r="AC57" s="5">
        <f t="shared" si="20"/>
        <v>15</v>
      </c>
      <c r="AD57" s="59">
        <f t="shared" si="29"/>
        <v>41175.82699088104</v>
      </c>
      <c r="AE57" s="7">
        <f t="shared" si="35"/>
        <v>15257.544892331871</v>
      </c>
      <c r="AF57" s="7">
        <v>150</v>
      </c>
      <c r="AG57" s="7">
        <f>INDEX('Res Measure Mapping'!$U:$U,MATCH($B57,'Res Measure Mapping'!$B:$B,0))</f>
        <v>200.00743475033593</v>
      </c>
      <c r="AH57" s="113">
        <v>150</v>
      </c>
      <c r="AI57" s="61">
        <f t="shared" si="30"/>
        <v>22200</v>
      </c>
      <c r="AJ57" s="9">
        <f t="shared" si="31"/>
        <v>0.53915128419682978</v>
      </c>
      <c r="AK57" s="9">
        <f t="shared" si="32"/>
        <v>0.90969745187212303</v>
      </c>
      <c r="AL57" s="10">
        <f>IFERROR(IF(D55="Original",IF($AI57=0,"-",(INDEX('APP 2885'!$G:$G,MATCH($C$2+$AA57-1,'APP 2885'!$A:$A,0))*$T57)/($AI57+$AE57)),IF($AI57=0,"-",(INDEX('APP 2885'!G:G,MATCH($C$2+$AC57-1,'APP 2885'!$A:$A,0))*$T57)/($AI57+$AE57))),"N/A")</f>
        <v>2.3460117034867345</v>
      </c>
      <c r="AM57" s="11">
        <f t="shared" si="33"/>
        <v>5.4793092650184274</v>
      </c>
      <c r="AN57" s="12">
        <f t="shared" si="34"/>
        <v>5.8498554326937215</v>
      </c>
      <c r="AO57" s="10">
        <f>IFERROR(IF(D55="Original",IF($AI57=0,"-",(INDEX('APP 2885'!$G:$G,MATCH($C$2+$AA57-1,'APP 2885'!$A:$A,0))*$T57)/($Z57+$AE57)),IF($AI57=0,"-",(INDEX('APP 2885'!G:G,MATCH($C$2+$AC57-1,'APP 2885'!$A:$A,0))*$T57)/($Z57+$AE57))),"N/A")</f>
        <v>0.36482283934687421</v>
      </c>
      <c r="AP57" s="45"/>
      <c r="AQ57" s="13"/>
      <c r="AR57" s="13"/>
    </row>
    <row r="58" spans="2:44" ht="26.25" thickBot="1" x14ac:dyDescent="0.3">
      <c r="B58" s="66" t="str">
        <f t="shared" si="13"/>
        <v>Prescriptive Air Sealing with Insulation Install_Zone 2_BPA Weatherization Specifications section 4.4 &amp; 6.2</v>
      </c>
      <c r="C58" s="34" t="s">
        <v>56</v>
      </c>
      <c r="D58" s="34" t="s">
        <v>29</v>
      </c>
      <c r="E58" s="34" t="s">
        <v>57</v>
      </c>
      <c r="F58" s="34" t="str">
        <f t="shared" si="23"/>
        <v>BPA Weatherization Specifications section 4.4 &amp; 6.2</v>
      </c>
      <c r="G58" s="14">
        <v>6</v>
      </c>
      <c r="H58" s="14">
        <f t="shared" si="26"/>
        <v>7</v>
      </c>
      <c r="I58" s="14">
        <f t="shared" si="14"/>
        <v>7</v>
      </c>
      <c r="J58" s="14">
        <v>6</v>
      </c>
      <c r="K58" s="86">
        <f>INDEX('Res Measure Mapping'!$X:$X,MATCH($B58,'Res Measure Mapping'!$B:$B,0))</f>
        <v>0</v>
      </c>
      <c r="L58" s="86">
        <f>INDEX('Res Measure Mapping'!$Y:$Y,MATCH($B58,'Res Measure Mapping'!$B:$B,0))</f>
        <v>0</v>
      </c>
      <c r="M58" s="90" t="str">
        <f t="shared" si="15"/>
        <v>N/A</v>
      </c>
      <c r="N58" s="14">
        <f t="shared" si="27"/>
        <v>7</v>
      </c>
      <c r="O58" s="14">
        <f t="shared" si="16"/>
        <v>7</v>
      </c>
      <c r="P58" s="15">
        <v>60.35</v>
      </c>
      <c r="Q58" s="87">
        <f>INDEX('Res Measure Mapping'!$Q:$Q,MATCH($B58,'Res Measure Mapping'!$B:$B,0))</f>
        <v>25.094929130880168</v>
      </c>
      <c r="R58" s="87" t="str">
        <f>INDEX('Res Measure Mapping'!$R:$R,MATCH($B58,'Res Measure Mapping'!$B:$B,0))</f>
        <v>home</v>
      </c>
      <c r="S58" s="88">
        <f t="shared" si="24"/>
        <v>25.094929130880168</v>
      </c>
      <c r="T58" s="60">
        <f t="shared" si="17"/>
        <v>175.66450391616118</v>
      </c>
      <c r="U58" s="16">
        <v>350</v>
      </c>
      <c r="V58" s="89">
        <f>INDEX('Res Measure Mapping'!$S:$S,MATCH($B58,'Res Measure Mapping'!$B:$B,0))</f>
        <v>1433.7847568263323</v>
      </c>
      <c r="W58" s="76">
        <f t="shared" si="25"/>
        <v>1433.7847568263323</v>
      </c>
      <c r="X58" s="17">
        <f t="shared" si="28"/>
        <v>12.322621006719999</v>
      </c>
      <c r="Y58" s="17">
        <f t="shared" si="18"/>
        <v>10036.493297784327</v>
      </c>
      <c r="Z58" s="17">
        <f t="shared" si="19"/>
        <v>9950.2349507372874</v>
      </c>
      <c r="AA58" s="14">
        <v>15</v>
      </c>
      <c r="AB58" s="86">
        <f>INDEX('Res Measure Mapping'!$T:$T,MATCH($B58,'Res Measure Mapping'!$B:$B,0))</f>
        <v>15</v>
      </c>
      <c r="AC58" s="14">
        <f t="shared" si="20"/>
        <v>15</v>
      </c>
      <c r="AD58" s="60">
        <f t="shared" si="29"/>
        <v>1815.9652009903155</v>
      </c>
      <c r="AE58" s="16">
        <f t="shared" si="35"/>
        <v>672.898945858655</v>
      </c>
      <c r="AF58" s="16">
        <v>150</v>
      </c>
      <c r="AG58" s="89">
        <f>INDEX('Res Measure Mapping'!$U:$U,MATCH($B58,'Res Measure Mapping'!$B:$B,0))</f>
        <v>200.00743475033596</v>
      </c>
      <c r="AH58" s="115">
        <v>150</v>
      </c>
      <c r="AI58" s="62">
        <f t="shared" si="30"/>
        <v>1050</v>
      </c>
      <c r="AJ58" s="18">
        <f t="shared" si="31"/>
        <v>0.57820491242199723</v>
      </c>
      <c r="AK58" s="18">
        <f t="shared" si="32"/>
        <v>0.94875108009729048</v>
      </c>
      <c r="AL58" s="84">
        <f>IFERROR(IF(D56="Original",IF($AI58=0,"-",(INDEX('APP 2885'!$G:$G,MATCH($C$2+$AA58-1,'APP 2885'!$A:$A,0))*$T58)/($AI58+$AE58)),IF($AI58=0,"-",(INDEX('APP 2885'!G:G,MATCH($C$2+$AC58-1,'APP 2885'!$A:$A,0))*$T58)/($AI58+$AE58))),"N/A")</f>
        <v>2.2494423600605669</v>
      </c>
      <c r="AM58" s="20">
        <f t="shared" si="33"/>
        <v>5.4793092650184283</v>
      </c>
      <c r="AN58" s="21">
        <f t="shared" si="34"/>
        <v>5.8498554326937215</v>
      </c>
      <c r="AO58" s="84">
        <f>IFERROR(IF(D56="Original",IF($AI58=0,"-",(INDEX('APP 2885'!$G:$G,MATCH($C$2+$AA58-1,'APP 2885'!$A:$A,0))*$T58)/($Z58+$AE58)),IF($AI58=0,"-",(INDEX('APP 2885'!G:G,MATCH($C$2+$AC58-1,'APP 2885'!$A:$A,0))*$T58)/($Z58+$AE58))),"N/A")</f>
        <v>0.36482283934687421</v>
      </c>
      <c r="AP58" s="45"/>
      <c r="AQ58" s="13"/>
      <c r="AR58" s="13"/>
    </row>
    <row r="59" spans="2:44" ht="26.25" thickBot="1" x14ac:dyDescent="0.3">
      <c r="B59" s="66" t="str">
        <f t="shared" si="13"/>
        <v>Prescriptive Air Sealing with Insulation Install_Zone 3_BPA Weatherization Specifications section 4.4 &amp; 6.2</v>
      </c>
      <c r="C59" s="33" t="s">
        <v>56</v>
      </c>
      <c r="D59" s="33" t="s">
        <v>30</v>
      </c>
      <c r="E59" s="33" t="s">
        <v>57</v>
      </c>
      <c r="F59" s="33" t="str">
        <f t="shared" si="23"/>
        <v>BPA Weatherization Specifications section 4.4 &amp; 6.2</v>
      </c>
      <c r="G59" s="5">
        <v>858</v>
      </c>
      <c r="H59" s="5">
        <f t="shared" ref="H59:H77" si="36">ROUND((G59/(7/12))*0.68,0)</f>
        <v>1000</v>
      </c>
      <c r="I59" s="5">
        <f t="shared" si="14"/>
        <v>1000</v>
      </c>
      <c r="J59" s="5">
        <v>858</v>
      </c>
      <c r="K59" s="5">
        <f>INDEX('Res Measure Mapping'!$X:$X,MATCH($B59,'Res Measure Mapping'!$B:$B,0))</f>
        <v>0</v>
      </c>
      <c r="L59" s="5">
        <f>INDEX('Res Measure Mapping'!$Y:$Y,MATCH($B59,'Res Measure Mapping'!$B:$B,0))</f>
        <v>0</v>
      </c>
      <c r="M59" s="74" t="str">
        <f t="shared" si="15"/>
        <v>N/A</v>
      </c>
      <c r="N59" s="5">
        <f t="shared" ref="N59:N77" si="37">ROUND((J59/(7/12))*0.68,0)</f>
        <v>1000</v>
      </c>
      <c r="O59" s="5">
        <f t="shared" si="16"/>
        <v>1000</v>
      </c>
      <c r="P59" s="6">
        <v>71.400000000000006</v>
      </c>
      <c r="Q59" s="68">
        <f>INDEX('Res Measure Mapping'!$Q:$Q,MATCH($B59,'Res Measure Mapping'!$B:$B,0))</f>
        <v>30.630503837253922</v>
      </c>
      <c r="R59" s="68" t="str">
        <f>INDEX('Res Measure Mapping'!$R:$R,MATCH($B59,'Res Measure Mapping'!$B:$B,0))</f>
        <v>home</v>
      </c>
      <c r="S59" s="6">
        <f t="shared" si="24"/>
        <v>30.630503837253922</v>
      </c>
      <c r="T59" s="59">
        <f t="shared" si="17"/>
        <v>30630.503837253924</v>
      </c>
      <c r="U59" s="7">
        <v>350</v>
      </c>
      <c r="V59" s="7">
        <f>INDEX('Res Measure Mapping'!$S:$S,MATCH($B59,'Res Measure Mapping'!$B:$B,0))</f>
        <v>1750.0567252737571</v>
      </c>
      <c r="W59" s="7">
        <f t="shared" si="25"/>
        <v>1750.0567252737571</v>
      </c>
      <c r="X59" s="8">
        <f t="shared" si="28"/>
        <v>15.040811156023546</v>
      </c>
      <c r="Y59" s="8">
        <f t="shared" si="18"/>
        <v>1750056.7252737572</v>
      </c>
      <c r="Z59" s="8">
        <f t="shared" si="19"/>
        <v>1735015.9141177337</v>
      </c>
      <c r="AA59" s="5">
        <v>15</v>
      </c>
      <c r="AB59" s="5">
        <f>INDEX('Res Measure Mapping'!$T:$T,MATCH($B59,'Res Measure Mapping'!$B:$B,0))</f>
        <v>15</v>
      </c>
      <c r="AC59" s="5">
        <f t="shared" si="20"/>
        <v>15</v>
      </c>
      <c r="AD59" s="59">
        <f t="shared" si="29"/>
        <v>316648.65591628518</v>
      </c>
      <c r="AE59" s="7">
        <f t="shared" si="35"/>
        <v>117332.94594931204</v>
      </c>
      <c r="AF59" s="7">
        <v>150</v>
      </c>
      <c r="AG59" s="7">
        <f>INDEX('Res Measure Mapping'!$U:$U,MATCH($B59,'Res Measure Mapping'!$B:$B,0))</f>
        <v>200.00743475033602</v>
      </c>
      <c r="AH59" s="113">
        <v>150</v>
      </c>
      <c r="AI59" s="61">
        <f t="shared" si="30"/>
        <v>150000</v>
      </c>
      <c r="AJ59" s="9">
        <f t="shared" si="31"/>
        <v>0.4737111533473764</v>
      </c>
      <c r="AK59" s="9">
        <f t="shared" si="32"/>
        <v>0.8442573210226697</v>
      </c>
      <c r="AL59" s="10">
        <f>IFERROR(IF(D57="Original",IF($AI59=0,"-",(INDEX('APP 2885'!$G:$G,MATCH($C$2+$AA59-1,'APP 2885'!$A:$A,0))*$T59)/($AI59+$AE59)),IF($AI59=0,"-",(INDEX('APP 2885'!G:G,MATCH($C$2+$AC59-1,'APP 2885'!$A:$A,0))*$T59)/($AI59+$AE59))),"N/A")</f>
        <v>2.5278559221007395</v>
      </c>
      <c r="AM59" s="11">
        <f t="shared" si="33"/>
        <v>5.4793092650184283</v>
      </c>
      <c r="AN59" s="12">
        <f t="shared" si="34"/>
        <v>5.8498554326937215</v>
      </c>
      <c r="AO59" s="10">
        <f>IFERROR(IF(D57="Original",IF($AI59=0,"-",(INDEX('APP 2885'!$G:$G,MATCH($C$2+$AA59-1,'APP 2885'!$A:$A,0))*$T59)/($Z59+$AE59)),IF($AI59=0,"-",(INDEX('APP 2885'!G:G,MATCH($C$2+$AC59-1,'APP 2885'!$A:$A,0))*$T59)/($Z59+$AE59))),"N/A")</f>
        <v>0.36482283934687415</v>
      </c>
      <c r="AP59" s="45"/>
      <c r="AQ59" s="13"/>
      <c r="AR59" s="13"/>
    </row>
    <row r="60" spans="2:44" ht="15.75" thickBot="1" x14ac:dyDescent="0.3">
      <c r="B60" s="66" t="str">
        <f t="shared" si="13"/>
        <v>Programmable Thermostat_Zone 1_5-2 Programmable</v>
      </c>
      <c r="C60" s="34" t="s">
        <v>58</v>
      </c>
      <c r="D60" s="34" t="s">
        <v>27</v>
      </c>
      <c r="E60" s="34" t="s">
        <v>59</v>
      </c>
      <c r="F60" s="34" t="str">
        <f t="shared" ref="F60:F77" si="38">E60</f>
        <v>5-2 Programmable</v>
      </c>
      <c r="G60" s="14">
        <v>118</v>
      </c>
      <c r="H60" s="14">
        <f t="shared" si="36"/>
        <v>138</v>
      </c>
      <c r="I60" s="14">
        <f t="shared" si="14"/>
        <v>172</v>
      </c>
      <c r="J60" s="14">
        <v>124</v>
      </c>
      <c r="K60" s="86">
        <f>INDEX('Res Measure Mapping'!$X:$X,MATCH($B60,'Res Measure Mapping'!$B:$B,0))</f>
        <v>77.327912230791753</v>
      </c>
      <c r="L60" s="86">
        <f>INDEX('Res Measure Mapping'!$Y:$Y,MATCH($B60,'Res Measure Mapping'!$B:$B,0))</f>
        <v>84.879156201462834</v>
      </c>
      <c r="M60" s="90">
        <f t="shared" si="15"/>
        <v>9.7652241639910681E-2</v>
      </c>
      <c r="N60" s="14">
        <f t="shared" si="37"/>
        <v>145</v>
      </c>
      <c r="O60" s="14">
        <f t="shared" si="16"/>
        <v>181</v>
      </c>
      <c r="P60" s="15">
        <v>28.5</v>
      </c>
      <c r="Q60" s="87">
        <f>INDEX('Res Measure Mapping'!$Q:$Q,MATCH($B60,'Res Measure Mapping'!$B:$B,0))</f>
        <v>28.497254076415988</v>
      </c>
      <c r="R60" s="87" t="str">
        <f>INDEX('Res Measure Mapping'!$R:$R,MATCH($B60,'Res Measure Mapping'!$B:$B,0))</f>
        <v>household</v>
      </c>
      <c r="S60" s="88">
        <f t="shared" si="24"/>
        <v>28.497254076415988</v>
      </c>
      <c r="T60" s="60">
        <f t="shared" si="17"/>
        <v>4132.1018410803181</v>
      </c>
      <c r="U60" s="16">
        <v>64.34</v>
      </c>
      <c r="V60" s="89">
        <f>INDEX('Res Measure Mapping'!$S:$S,MATCH($B60,'Res Measure Mapping'!$B:$B,0))</f>
        <v>64.34</v>
      </c>
      <c r="W60" s="76">
        <f t="shared" si="25"/>
        <v>64.34</v>
      </c>
      <c r="X60" s="17">
        <f t="shared" si="28"/>
        <v>13.993299597876343</v>
      </c>
      <c r="Y60" s="17">
        <f t="shared" si="18"/>
        <v>9329.3000000000011</v>
      </c>
      <c r="Z60" s="17">
        <f t="shared" si="19"/>
        <v>7398.2246554930662</v>
      </c>
      <c r="AA60" s="14">
        <v>15</v>
      </c>
      <c r="AB60" s="86">
        <f>INDEX('Res Measure Mapping'!$T:$T,MATCH($B60,'Res Measure Mapping'!$B:$B,0))</f>
        <v>15</v>
      </c>
      <c r="AC60" s="14">
        <f t="shared" si="20"/>
        <v>15</v>
      </c>
      <c r="AD60" s="60">
        <f t="shared" si="29"/>
        <v>42716.388246148832</v>
      </c>
      <c r="AE60" s="16">
        <f t="shared" si="35"/>
        <v>15828.393961540389</v>
      </c>
      <c r="AF60" s="16">
        <v>25</v>
      </c>
      <c r="AG60" s="89">
        <f>INDEX('Res Measure Mapping'!$U:$U,MATCH($B60,'Res Measure Mapping'!$B:$B,0))</f>
        <v>24.999998262314779</v>
      </c>
      <c r="AH60" s="115">
        <v>50</v>
      </c>
      <c r="AI60" s="62">
        <f t="shared" si="30"/>
        <v>7250</v>
      </c>
      <c r="AJ60" s="18">
        <f t="shared" si="31"/>
        <v>0.16972408711669662</v>
      </c>
      <c r="AK60" s="18">
        <f t="shared" si="32"/>
        <v>0.54027025479198976</v>
      </c>
      <c r="AL60" s="84">
        <f>IFERROR(IF(D58="Original",IF($AI60=0,"-",(INDEX('APP 2885'!$G:$G,MATCH($C$2+$AA60-1,'APP 2885'!$A:$A,0))*$T60)/($AI60+$AE60)),IF($AI60=0,"-",(INDEX('APP 2885'!G:G,MATCH($C$2+$AC60-1,'APP 2885'!$A:$A,0))*$T60)/($AI60+$AE60))),"N/A")</f>
        <v>3.9501728066553232</v>
      </c>
      <c r="AM60" s="20">
        <f t="shared" si="33"/>
        <v>0.1731940587500411</v>
      </c>
      <c r="AN60" s="21">
        <f t="shared" si="34"/>
        <v>0.54374022642533426</v>
      </c>
      <c r="AO60" s="84">
        <f>IFERROR(IF(D58="Original",IF($AI60=0,"-",(INDEX('APP 2885'!$G:$G,MATCH($C$2+$AA60-1,'APP 2885'!$A:$A,0))*$T60)/($Z60+$AE60)),IF($AI60=0,"-",(INDEX('APP 2885'!G:G,MATCH($C$2+$AC60-1,'APP 2885'!$A:$A,0))*$T60)/($Z60+$AE60))),"N/A")</f>
        <v>3.924964100512657</v>
      </c>
      <c r="AP60" s="45"/>
      <c r="AQ60" s="13"/>
      <c r="AR60" s="13"/>
    </row>
    <row r="61" spans="2:44" ht="15.75" thickBot="1" x14ac:dyDescent="0.3">
      <c r="B61" s="66" t="str">
        <f t="shared" si="13"/>
        <v>Programmable Thermostat_Zone 2_5-2 Programmable</v>
      </c>
      <c r="C61" s="33" t="s">
        <v>58</v>
      </c>
      <c r="D61" s="33" t="s">
        <v>29</v>
      </c>
      <c r="E61" s="33" t="s">
        <v>59</v>
      </c>
      <c r="F61" s="33" t="str">
        <f t="shared" si="38"/>
        <v>5-2 Programmable</v>
      </c>
      <c r="G61" s="5">
        <v>19</v>
      </c>
      <c r="H61" s="5">
        <f t="shared" si="36"/>
        <v>22</v>
      </c>
      <c r="I61" s="5">
        <f t="shared" si="14"/>
        <v>27</v>
      </c>
      <c r="J61" s="5">
        <v>20</v>
      </c>
      <c r="K61" s="5">
        <f>INDEX('Res Measure Mapping'!$X:$X,MATCH($B61,'Res Measure Mapping'!$B:$B,0))</f>
        <v>38.236640340820585</v>
      </c>
      <c r="L61" s="5">
        <f>INDEX('Res Measure Mapping'!$Y:$Y,MATCH($B61,'Res Measure Mapping'!$B:$B,0))</f>
        <v>41.970533982880767</v>
      </c>
      <c r="M61" s="74">
        <f t="shared" si="15"/>
        <v>9.7652241639911014E-2</v>
      </c>
      <c r="N61" s="5">
        <f t="shared" si="37"/>
        <v>23</v>
      </c>
      <c r="O61" s="5">
        <f t="shared" si="16"/>
        <v>29</v>
      </c>
      <c r="P61" s="6">
        <v>25.75</v>
      </c>
      <c r="Q61" s="68">
        <f>INDEX('Res Measure Mapping'!$Q:$Q,MATCH($B61,'Res Measure Mapping'!$B:$B,0))</f>
        <v>28.754950259934116</v>
      </c>
      <c r="R61" s="68" t="str">
        <f>INDEX('Res Measure Mapping'!$R:$R,MATCH($B61,'Res Measure Mapping'!$B:$B,0))</f>
        <v>household</v>
      </c>
      <c r="S61" s="6">
        <f t="shared" si="24"/>
        <v>28.754950259934116</v>
      </c>
      <c r="T61" s="59">
        <f t="shared" si="17"/>
        <v>661.36385597848471</v>
      </c>
      <c r="U61" s="7">
        <v>64.34</v>
      </c>
      <c r="V61" s="7">
        <f>INDEX('Res Measure Mapping'!$S:$S,MATCH($B61,'Res Measure Mapping'!$B:$B,0))</f>
        <v>64.34</v>
      </c>
      <c r="W61" s="7">
        <f t="shared" si="25"/>
        <v>64.34</v>
      </c>
      <c r="X61" s="8">
        <f t="shared" si="28"/>
        <v>14.119838803777686</v>
      </c>
      <c r="Y61" s="8">
        <f t="shared" si="18"/>
        <v>1479.8200000000002</v>
      </c>
      <c r="Z61" s="8">
        <f t="shared" si="19"/>
        <v>1169.1835463168911</v>
      </c>
      <c r="AA61" s="5">
        <v>15</v>
      </c>
      <c r="AB61" s="5">
        <f>INDEX('Res Measure Mapping'!$T:$T,MATCH($B61,'Res Measure Mapping'!$B:$B,0))</f>
        <v>15</v>
      </c>
      <c r="AC61" s="5">
        <f t="shared" si="20"/>
        <v>15</v>
      </c>
      <c r="AD61" s="59">
        <f t="shared" si="29"/>
        <v>6836.9745786713002</v>
      </c>
      <c r="AE61" s="7">
        <f t="shared" si="35"/>
        <v>2533.4147286200532</v>
      </c>
      <c r="AF61" s="7">
        <v>25</v>
      </c>
      <c r="AG61" s="7">
        <f>INDEX('Res Measure Mapping'!$U:$U,MATCH($B61,'Res Measure Mapping'!$B:$B,0))</f>
        <v>24.999998262314779</v>
      </c>
      <c r="AH61" s="113">
        <v>50</v>
      </c>
      <c r="AI61" s="61">
        <f t="shared" si="30"/>
        <v>1150</v>
      </c>
      <c r="AJ61" s="9">
        <f t="shared" si="31"/>
        <v>0.16820305337795938</v>
      </c>
      <c r="AK61" s="9">
        <f t="shared" si="32"/>
        <v>0.53874922105325262</v>
      </c>
      <c r="AL61" s="10">
        <f>IFERROR(IF(D59="Original",IF($AI61=0,"-",(INDEX('APP 2885'!$G:$G,MATCH($C$2+$AA61-1,'APP 2885'!$A:$A,0))*$T61)/($AI61+$AE61)),IF($AI61=0,"-",(INDEX('APP 2885'!G:G,MATCH($C$2+$AC61-1,'APP 2885'!$A:$A,0))*$T61)/($AI61+$AE61))),"N/A")</f>
        <v>3.9613252053558141</v>
      </c>
      <c r="AM61" s="11">
        <f t="shared" si="33"/>
        <v>0.17100890647806249</v>
      </c>
      <c r="AN61" s="12">
        <f t="shared" si="34"/>
        <v>0.5415550741533558</v>
      </c>
      <c r="AO61" s="10">
        <f>IFERROR(IF(D59="Original",IF($AI61=0,"-",(INDEX('APP 2885'!$G:$G,MATCH($C$2+$AA61-1,'APP 2885'!$A:$A,0))*$T61)/($Z61+$AE61)),IF($AI61=0,"-",(INDEX('APP 2885'!G:G,MATCH($C$2+$AC61-1,'APP 2885'!$A:$A,0))*$T61)/($Z61+$AE61))),"N/A")</f>
        <v>3.9408011679338757</v>
      </c>
      <c r="AP61" s="45"/>
      <c r="AQ61" s="13"/>
      <c r="AR61" s="13"/>
    </row>
    <row r="62" spans="2:44" ht="15.75" thickBot="1" x14ac:dyDescent="0.3">
      <c r="B62" s="66" t="str">
        <f t="shared" si="13"/>
        <v>Programmable Thermostat_Zone 3_5-2 Programmable</v>
      </c>
      <c r="C62" s="34" t="s">
        <v>58</v>
      </c>
      <c r="D62" s="34" t="s">
        <v>30</v>
      </c>
      <c r="E62" s="34" t="s">
        <v>59</v>
      </c>
      <c r="F62" s="34" t="str">
        <f t="shared" si="38"/>
        <v>5-2 Programmable</v>
      </c>
      <c r="G62" s="14">
        <v>97</v>
      </c>
      <c r="H62" s="14">
        <f t="shared" si="36"/>
        <v>113</v>
      </c>
      <c r="I62" s="14">
        <f t="shared" si="14"/>
        <v>141</v>
      </c>
      <c r="J62" s="14">
        <v>99</v>
      </c>
      <c r="K62" s="86">
        <f>INDEX('Res Measure Mapping'!$X:$X,MATCH($B62,'Res Measure Mapping'!$B:$B,0))</f>
        <v>58.137111445417055</v>
      </c>
      <c r="L62" s="86">
        <f>INDEX('Res Measure Mapping'!$Y:$Y,MATCH($B62,'Res Measure Mapping'!$B:$B,0))</f>
        <v>64.026628343913131</v>
      </c>
      <c r="M62" s="90">
        <f t="shared" si="15"/>
        <v>0.10130391331921508</v>
      </c>
      <c r="N62" s="14">
        <f t="shared" si="37"/>
        <v>115</v>
      </c>
      <c r="O62" s="14">
        <f t="shared" si="16"/>
        <v>144</v>
      </c>
      <c r="P62" s="15">
        <v>25.3</v>
      </c>
      <c r="Q62" s="87">
        <f>INDEX('Res Measure Mapping'!$Q:$Q,MATCH($B62,'Res Measure Mapping'!$B:$B,0))</f>
        <v>25.304168255272938</v>
      </c>
      <c r="R62" s="87" t="str">
        <f>INDEX('Res Measure Mapping'!$R:$R,MATCH($B62,'Res Measure Mapping'!$B:$B,0))</f>
        <v>household</v>
      </c>
      <c r="S62" s="88">
        <f t="shared" si="24"/>
        <v>25.304168255272938</v>
      </c>
      <c r="T62" s="60">
        <f t="shared" si="17"/>
        <v>2909.979349356388</v>
      </c>
      <c r="U62" s="16">
        <v>64.34</v>
      </c>
      <c r="V62" s="89">
        <f>INDEX('Res Measure Mapping'!$S:$S,MATCH($B62,'Res Measure Mapping'!$B:$B,0))</f>
        <v>64.34</v>
      </c>
      <c r="W62" s="76">
        <f t="shared" si="25"/>
        <v>64.34</v>
      </c>
      <c r="X62" s="17">
        <f t="shared" si="28"/>
        <v>12.425365844779622</v>
      </c>
      <c r="Y62" s="17">
        <f t="shared" si="18"/>
        <v>7399.1</v>
      </c>
      <c r="Z62" s="17">
        <f t="shared" si="19"/>
        <v>5995.0336595399031</v>
      </c>
      <c r="AA62" s="14">
        <v>15</v>
      </c>
      <c r="AB62" s="86">
        <f>INDEX('Res Measure Mapping'!$T:$T,MATCH($B62,'Res Measure Mapping'!$B:$B,0))</f>
        <v>15</v>
      </c>
      <c r="AC62" s="14">
        <f t="shared" si="20"/>
        <v>15</v>
      </c>
      <c r="AD62" s="60">
        <f t="shared" si="29"/>
        <v>30082.464676834879</v>
      </c>
      <c r="AE62" s="16">
        <f t="shared" si="35"/>
        <v>11146.942000228542</v>
      </c>
      <c r="AF62" s="16">
        <v>25</v>
      </c>
      <c r="AG62" s="89">
        <f>INDEX('Res Measure Mapping'!$U:$U,MATCH($B62,'Res Measure Mapping'!$B:$B,0))</f>
        <v>24.999998262314779</v>
      </c>
      <c r="AH62" s="115">
        <v>50</v>
      </c>
      <c r="AI62" s="62">
        <f t="shared" si="30"/>
        <v>5750</v>
      </c>
      <c r="AJ62" s="18">
        <f t="shared" si="31"/>
        <v>0.19114125327728915</v>
      </c>
      <c r="AK62" s="18">
        <f t="shared" si="32"/>
        <v>0.56168742095258228</v>
      </c>
      <c r="AL62" s="84">
        <f>IFERROR(IF(D61="Original",IF($AI62=0,"-",(INDEX('APP 2885'!$G:$G,MATCH($C$2+$AA62-1,'APP 2885'!$A:$A,0))*$T62)/($AI62+$AE62)),IF($AI62=0,"-",(INDEX('APP 2885'!G:G,MATCH($C$2+$AC62-1,'APP 2885'!$A:$A,0))*$T62)/($AI62+$AE62))),"N/A")</f>
        <v>3.7995525431291912</v>
      </c>
      <c r="AM62" s="20">
        <f t="shared" si="33"/>
        <v>0.19928665167373744</v>
      </c>
      <c r="AN62" s="21">
        <f t="shared" si="34"/>
        <v>0.56983281934903063</v>
      </c>
      <c r="AO62" s="84">
        <f>IFERROR(IF(D61="Original",IF($AI62=0,"-",(INDEX('APP 2885'!$G:$G,MATCH($C$2+$AA62-1,'APP 2885'!$A:$A,0))*$T62)/($Z62+$AE62)),IF($AI62=0,"-",(INDEX('APP 2885'!G:G,MATCH($C$2+$AC62-1,'APP 2885'!$A:$A,0))*$T62)/($Z62+$AE62))),"N/A")</f>
        <v>3.7452403516562933</v>
      </c>
      <c r="AP62" s="45"/>
      <c r="AQ62" s="13"/>
      <c r="AR62" s="13"/>
    </row>
    <row r="63" spans="2:44" ht="15.75" thickBot="1" x14ac:dyDescent="0.3">
      <c r="B63" s="66" t="str">
        <f t="shared" si="13"/>
        <v>Wall/Sloped Ceiling Insulation_Zone 1_Post R-11+, or fill cavity</v>
      </c>
      <c r="C63" s="33" t="s">
        <v>215</v>
      </c>
      <c r="D63" s="33" t="s">
        <v>27</v>
      </c>
      <c r="E63" s="33" t="s">
        <v>216</v>
      </c>
      <c r="F63" s="33" t="str">
        <f t="shared" si="38"/>
        <v>Post R-11+, or fill cavity</v>
      </c>
      <c r="G63" s="5">
        <v>28</v>
      </c>
      <c r="H63" s="5">
        <f t="shared" si="36"/>
        <v>33</v>
      </c>
      <c r="I63" s="5">
        <f t="shared" si="14"/>
        <v>39</v>
      </c>
      <c r="J63" s="5">
        <v>26751</v>
      </c>
      <c r="K63" s="5">
        <f>INDEX('Res Measure Mapping'!$X:$X,MATCH($B63,'Res Measure Mapping'!$B:$B,0))</f>
        <v>388359.81936675473</v>
      </c>
      <c r="L63" s="5">
        <f>INDEX('Res Measure Mapping'!$Y:$Y,MATCH($B63,'Res Measure Mapping'!$B:$B,0))</f>
        <v>398819.86948368477</v>
      </c>
      <c r="M63" s="74">
        <f t="shared" si="15"/>
        <v>2.6933914363194974E-2</v>
      </c>
      <c r="N63" s="5">
        <f t="shared" si="37"/>
        <v>31184</v>
      </c>
      <c r="O63" s="5">
        <f t="shared" si="16"/>
        <v>36702</v>
      </c>
      <c r="P63" s="6">
        <v>7.0000000000000007E-2</v>
      </c>
      <c r="Q63" s="68">
        <f>INDEX('Res Measure Mapping'!$Q:$Q,MATCH($B63,'Res Measure Mapping'!$B:$B,0))</f>
        <v>6.6857047222845786E-2</v>
      </c>
      <c r="R63" s="68" t="str">
        <f>INDEX('Res Measure Mapping'!$R:$R,MATCH($B63,'Res Measure Mapping'!$B:$B,0))</f>
        <v>sqft wall</v>
      </c>
      <c r="S63" s="6">
        <f t="shared" si="24"/>
        <v>6.6857047222845786E-2</v>
      </c>
      <c r="T63" s="59">
        <f t="shared" si="17"/>
        <v>2084.8701605972228</v>
      </c>
      <c r="U63" s="7">
        <v>1.18</v>
      </c>
      <c r="V63" s="7">
        <f>INDEX('Res Measure Mapping'!$S:$S,MATCH($B63,'Res Measure Mapping'!$B:$B,0))</f>
        <v>1.7299999999999998</v>
      </c>
      <c r="W63" s="7">
        <f t="shared" si="25"/>
        <v>1.7299999999999998</v>
      </c>
      <c r="X63" s="8">
        <f t="shared" ref="X63:X77" si="39">IF($D$3="Original",PV($AR$3,$AA63,(-0.05*0.95*$P63)),PV($AR$3,$AC63,(-0.05*0.95*$S63)))</f>
        <v>5.5953251847774554E-2</v>
      </c>
      <c r="Y63" s="8">
        <f t="shared" si="18"/>
        <v>53948.319999999992</v>
      </c>
      <c r="Z63" s="8">
        <f t="shared" si="19"/>
        <v>53946.473542689018</v>
      </c>
      <c r="AA63" s="5">
        <v>45</v>
      </c>
      <c r="AB63" s="5">
        <f>INDEX('Res Measure Mapping'!$T:$T,MATCH($B63,'Res Measure Mapping'!$B:$B,0))</f>
        <v>45</v>
      </c>
      <c r="AC63" s="5">
        <f t="shared" si="20"/>
        <v>45</v>
      </c>
      <c r="AD63" s="59">
        <f t="shared" ref="AD63:AD77" si="40">IF($D$3="Original",PV($AR$3,$AA63,-$T63),PV($AR$3,$AC63,-$T63))</f>
        <v>36733.604328863184</v>
      </c>
      <c r="AE63" s="7">
        <f t="shared" si="35"/>
        <v>7986.2858007306741</v>
      </c>
      <c r="AF63" s="7">
        <v>1.25</v>
      </c>
      <c r="AG63" s="7">
        <f>INDEX('Res Measure Mapping'!$U:$U,MATCH($B63,'Res Measure Mapping'!$B:$B,0))</f>
        <v>0.75000093778904475</v>
      </c>
      <c r="AH63" s="113">
        <v>2</v>
      </c>
      <c r="AI63" s="61">
        <f t="shared" ref="AI63:AI77" si="41">IF($D$3="Original",IF(ISNUMBER(AF63),AF63*J63,""),IF(ISNUMBER(AH63),AH63*N63,""))</f>
        <v>62368</v>
      </c>
      <c r="AJ63" s="9">
        <f t="shared" ref="AJ63:AJ78" si="42">IF(ISERROR(AI63/AD63),0,AI63/AD63)</f>
        <v>1.6978459135575421</v>
      </c>
      <c r="AK63" s="9">
        <f t="shared" ref="AK63:AK78" si="43">IF(ISERROR((AE63+AI63)/AD63),0,(AE63+AI63)/AD63)</f>
        <v>1.9152568087485569</v>
      </c>
      <c r="AL63" s="10" t="str">
        <f>IFERROR(IF(#REF!="Original",IF($AI63=0,"-",(INDEX('APP 2885'!$G:$G,MATCH($C$2+$AA63-1,'APP 2885'!$A:$A,0))*$T63)/($AI63+$AE63)),IF($AI63=0,"-",(INDEX('APP 2885'!G:G,MATCH($C$2+$AC63-1,'APP 2885'!$A:$A,0))*$T63)/($AI63+$AE63))),"N/A")</f>
        <v>N/A</v>
      </c>
      <c r="AM63" s="11">
        <f t="shared" ref="AM63:AM78" si="44">IF(ISERROR(SE63/AD63),0,Z63/AD63)</f>
        <v>1.4685864490651395</v>
      </c>
      <c r="AN63" s="12">
        <f t="shared" ref="AN63:AN78" si="45">IF(ISERROR(Z63/AD63),0,(Z63+AE63)/AD63)</f>
        <v>1.685997344256154</v>
      </c>
      <c r="AO63" s="10" t="str">
        <f>IFERROR(IF(#REF!="Original",IF($AI63=0,"-",(INDEX('APP 2885'!$G:$G,MATCH($C$2+$AA63-1,'APP 2885'!$A:$A,0))*$T63)/($Z63+$AE63)),IF($AI63=0,"-",(INDEX('APP 2885'!G:G,MATCH($C$2+$AC63-1,'APP 2885'!$A:$A,0))*$T63)/($Z63+$AE63))),"N/A")</f>
        <v>N/A</v>
      </c>
      <c r="AP63" s="45"/>
      <c r="AQ63" s="13"/>
      <c r="AR63" s="13"/>
    </row>
    <row r="64" spans="2:44" ht="15.75" thickBot="1" x14ac:dyDescent="0.3">
      <c r="B64" s="66" t="str">
        <f t="shared" ref="B64:B77" si="46">C64&amp;"_"&amp;D64&amp;"_"&amp;E64</f>
        <v>Wall/Sloped Ceiling Insulation_Zone 2_Post R-11+, or fill cavity</v>
      </c>
      <c r="C64" s="34" t="s">
        <v>215</v>
      </c>
      <c r="D64" s="34" t="s">
        <v>29</v>
      </c>
      <c r="E64" s="34" t="s">
        <v>216</v>
      </c>
      <c r="F64" s="34" t="str">
        <f t="shared" si="38"/>
        <v>Post R-11+, or fill cavity</v>
      </c>
      <c r="G64" s="14">
        <v>4</v>
      </c>
      <c r="H64" s="14">
        <f t="shared" si="36"/>
        <v>5</v>
      </c>
      <c r="I64" s="14">
        <f t="shared" ref="I64:I77" si="47">ROUND(IFERROR(H64*IF(M64&lt;15%,(1+(M64+15%)),(1+M64)),H64),0)</f>
        <v>6</v>
      </c>
      <c r="J64" s="14">
        <v>3876</v>
      </c>
      <c r="K64" s="86">
        <f>INDEX('Res Measure Mapping'!$X:$X,MATCH($B64,'Res Measure Mapping'!$B:$B,0))</f>
        <v>186193.11402218475</v>
      </c>
      <c r="L64" s="86">
        <f>INDEX('Res Measure Mapping'!$Y:$Y,MATCH($B64,'Res Measure Mapping'!$B:$B,0))</f>
        <v>191208.02341027488</v>
      </c>
      <c r="M64" s="90">
        <f t="shared" ref="M64:M77" si="48">IFERROR((L64-K64)/K64,"N/A")</f>
        <v>2.6933914363195047E-2</v>
      </c>
      <c r="N64" s="14">
        <f t="shared" si="37"/>
        <v>4518</v>
      </c>
      <c r="O64" s="14">
        <f t="shared" ref="O64:O77" si="49">ROUND(IFERROR(N64*IF(M64&lt;15%,(1+(M64+15%)),(1+M64)),N64),0)</f>
        <v>5317</v>
      </c>
      <c r="P64" s="15">
        <v>6.7000000000000004E-2</v>
      </c>
      <c r="Q64" s="87">
        <f>INDEX('Res Measure Mapping'!$Q:$Q,MATCH($B64,'Res Measure Mapping'!$B:$B,0))</f>
        <v>7.4219681182031302E-2</v>
      </c>
      <c r="R64" s="87" t="str">
        <f>INDEX('Res Measure Mapping'!$R:$R,MATCH($B64,'Res Measure Mapping'!$B:$B,0))</f>
        <v>sqft wall</v>
      </c>
      <c r="S64" s="88">
        <f t="shared" si="24"/>
        <v>7.4219681182031302E-2</v>
      </c>
      <c r="T64" s="60">
        <f t="shared" ref="T64:T77" si="50">IF($D$3="Original",IF(ISNUMBER(J64),J64*P64,""),IF(ISNUMBER(N64),N64*S64,""))</f>
        <v>335.32451958041742</v>
      </c>
      <c r="U64" s="16">
        <v>1.18</v>
      </c>
      <c r="V64" s="89">
        <f>INDEX('Res Measure Mapping'!$S:$S,MATCH($B64,'Res Measure Mapping'!$B:$B,0))</f>
        <v>1.7299999999999998</v>
      </c>
      <c r="W64" s="76">
        <f t="shared" si="25"/>
        <v>1.7299999999999998</v>
      </c>
      <c r="X64" s="17">
        <f t="shared" si="39"/>
        <v>6.2115105074826919E-2</v>
      </c>
      <c r="Y64" s="17">
        <f t="shared" ref="Y64:Y77" si="51">IF($D$3="Original",IF(ISNUMBER(U64),U64*J64,""),IF(ISNUMBER(W64),W64*N64,""))</f>
        <v>7816.1399999999985</v>
      </c>
      <c r="Z64" s="17">
        <f t="shared" ref="Z64:Z77" si="52">IF($D$3="Original",Y64-G64*(X64),Y64-H64*(X64))</f>
        <v>7815.8294244746239</v>
      </c>
      <c r="AA64" s="14">
        <v>45</v>
      </c>
      <c r="AB64" s="86">
        <f>INDEX('Res Measure Mapping'!$T:$T,MATCH($B64,'Res Measure Mapping'!$B:$B,0))</f>
        <v>45</v>
      </c>
      <c r="AC64" s="14">
        <f t="shared" si="20"/>
        <v>45</v>
      </c>
      <c r="AD64" s="60">
        <f t="shared" si="40"/>
        <v>5908.1272574330105</v>
      </c>
      <c r="AE64" s="16">
        <f t="shared" si="35"/>
        <v>1284.4912359409448</v>
      </c>
      <c r="AF64" s="16">
        <v>1.25</v>
      </c>
      <c r="AG64" s="89">
        <f>INDEX('Res Measure Mapping'!$U:$U,MATCH($B64,'Res Measure Mapping'!$B:$B,0))</f>
        <v>0.75000093778904475</v>
      </c>
      <c r="AH64" s="115">
        <v>2</v>
      </c>
      <c r="AI64" s="62">
        <f t="shared" si="41"/>
        <v>9036</v>
      </c>
      <c r="AJ64" s="18">
        <f t="shared" si="42"/>
        <v>1.529418647614913</v>
      </c>
      <c r="AK64" s="18">
        <f t="shared" si="43"/>
        <v>1.7468295428059275</v>
      </c>
      <c r="AL64" s="84">
        <f>IFERROR(IF(D62="Original",IF($AI64=0,"-",(INDEX('APP 2885'!$G:$G,MATCH($C$2+$AA64-1,'APP 2885'!$A:$A,0))*$T64)/($AI64+$AE64)),IF($AI64=0,"-",(INDEX('APP 2885'!G:G,MATCH($C$2+$AC64-1,'APP 2885'!$A:$A,0))*$T64)/($AI64+$AE64))),"N/A")</f>
        <v>3.2377816754093667</v>
      </c>
      <c r="AM64" s="20">
        <f t="shared" si="44"/>
        <v>1.3228945626791526</v>
      </c>
      <c r="AN64" s="21">
        <f t="shared" si="45"/>
        <v>1.5403054578701674</v>
      </c>
      <c r="AO64" s="84">
        <f>IFERROR(IF(D62="Original",IF($AI64=0,"-",(INDEX('APP 2885'!$G:$G,MATCH($C$2+$AA64-1,'APP 2885'!$A:$A,0))*$T64)/($Z64+$AE64)),IF($AI64=0,"-",(INDEX('APP 2885'!G:G,MATCH($C$2+$AC64-1,'APP 2885'!$A:$A,0))*$T64)/($Z64+$AE64))),"N/A")</f>
        <v>3.6719032935073108</v>
      </c>
      <c r="AP64" s="45"/>
      <c r="AQ64" s="13"/>
      <c r="AR64" s="13"/>
    </row>
    <row r="65" spans="2:44" ht="15.75" thickBot="1" x14ac:dyDescent="0.3">
      <c r="B65" s="66" t="str">
        <f t="shared" si="46"/>
        <v>Wall/Sloped Ceiling Insulation_Zone 3_Post R-11+, or fill cavity</v>
      </c>
      <c r="C65" s="33" t="s">
        <v>215</v>
      </c>
      <c r="D65" s="33" t="s">
        <v>30</v>
      </c>
      <c r="E65" s="33" t="s">
        <v>216</v>
      </c>
      <c r="F65" s="33" t="str">
        <f t="shared" si="38"/>
        <v>Post R-11+, or fill cavity</v>
      </c>
      <c r="G65" s="5">
        <v>14</v>
      </c>
      <c r="H65" s="5">
        <f t="shared" si="36"/>
        <v>16</v>
      </c>
      <c r="I65" s="5">
        <f t="shared" si="47"/>
        <v>16</v>
      </c>
      <c r="J65" s="5">
        <v>11149</v>
      </c>
      <c r="K65" s="5">
        <f>INDEX('Res Measure Mapping'!$X:$X,MATCH($B65,'Res Measure Mapping'!$B:$B,0))</f>
        <v>0</v>
      </c>
      <c r="L65" s="5">
        <f>INDEX('Res Measure Mapping'!$Y:$Y,MATCH($B65,'Res Measure Mapping'!$B:$B,0))</f>
        <v>0</v>
      </c>
      <c r="M65" s="74" t="str">
        <f t="shared" si="48"/>
        <v>N/A</v>
      </c>
      <c r="N65" s="5">
        <f t="shared" si="37"/>
        <v>12997</v>
      </c>
      <c r="O65" s="5">
        <f t="shared" si="49"/>
        <v>12997</v>
      </c>
      <c r="P65" s="6">
        <v>7.3999999999999996E-2</v>
      </c>
      <c r="Q65" s="68">
        <f>INDEX('Res Measure Mapping'!$Q:$Q,MATCH($B65,'Res Measure Mapping'!$B:$B,0))</f>
        <v>7.4219681182031302E-2</v>
      </c>
      <c r="R65" s="68" t="str">
        <f>INDEX('Res Measure Mapping'!$R:$R,MATCH($B65,'Res Measure Mapping'!$B:$B,0))</f>
        <v>sqft wall</v>
      </c>
      <c r="S65" s="6">
        <f t="shared" si="24"/>
        <v>7.4219681182031302E-2</v>
      </c>
      <c r="T65" s="59">
        <f t="shared" si="50"/>
        <v>964.63319632286084</v>
      </c>
      <c r="U65" s="7">
        <v>1.18</v>
      </c>
      <c r="V65" s="7">
        <f>INDEX('Res Measure Mapping'!$S:$S,MATCH($B65,'Res Measure Mapping'!$B:$B,0))</f>
        <v>1.7299999999999998</v>
      </c>
      <c r="W65" s="7">
        <f t="shared" si="25"/>
        <v>1.7299999999999998</v>
      </c>
      <c r="X65" s="8">
        <f t="shared" si="39"/>
        <v>6.2115105074826919E-2</v>
      </c>
      <c r="Y65" s="8">
        <f t="shared" si="51"/>
        <v>22484.809999999998</v>
      </c>
      <c r="Z65" s="8">
        <f t="shared" si="52"/>
        <v>22483.816158318801</v>
      </c>
      <c r="AA65" s="5">
        <v>45</v>
      </c>
      <c r="AB65" s="5">
        <f>INDEX('Res Measure Mapping'!$T:$T,MATCH($B65,'Res Measure Mapping'!$B:$B,0))</f>
        <v>45</v>
      </c>
      <c r="AC65" s="5">
        <f t="shared" si="20"/>
        <v>45</v>
      </c>
      <c r="AD65" s="59">
        <f t="shared" si="40"/>
        <v>16996.000434895272</v>
      </c>
      <c r="AE65" s="7">
        <f t="shared" si="35"/>
        <v>3695.1156692174545</v>
      </c>
      <c r="AF65" s="7">
        <v>1.25</v>
      </c>
      <c r="AG65" s="7">
        <f>INDEX('Res Measure Mapping'!$U:$U,MATCH($B65,'Res Measure Mapping'!$B:$B,0))</f>
        <v>0.75000093778904464</v>
      </c>
      <c r="AH65" s="113">
        <v>2</v>
      </c>
      <c r="AI65" s="61">
        <f t="shared" si="41"/>
        <v>25994</v>
      </c>
      <c r="AJ65" s="9">
        <f t="shared" si="42"/>
        <v>1.529418647614913</v>
      </c>
      <c r="AK65" s="9">
        <f t="shared" si="43"/>
        <v>1.7468295428059277</v>
      </c>
      <c r="AL65" s="10">
        <f>IFERROR(IF(D63="Original",IF($AI65=0,"-",(INDEX('APP 2885'!$G:$G,MATCH($C$2+$AA65-1,'APP 2885'!$A:$A,0))*$T65)/($AI65+$AE65)),IF($AI65=0,"-",(INDEX('APP 2885'!G:G,MATCH($C$2+$AC65-1,'APP 2885'!$A:$A,0))*$T65)/($AI65+$AE65))),"N/A")</f>
        <v>3.2377816754093662</v>
      </c>
      <c r="AM65" s="11">
        <f t="shared" si="44"/>
        <v>1.3228886551541998</v>
      </c>
      <c r="AN65" s="12">
        <f t="shared" si="45"/>
        <v>1.5402995503452144</v>
      </c>
      <c r="AO65" s="10">
        <f>IFERROR(IF(D63="Original",IF($AI65=0,"-",(INDEX('APP 2885'!$G:$G,MATCH($C$2+$AA65-1,'APP 2885'!$A:$A,0))*$T65)/($Z65+$AE65)),IF($AI65=0,"-",(INDEX('APP 2885'!G:G,MATCH($C$2+$AC65-1,'APP 2885'!$A:$A,0))*$T65)/($Z65+$AE65))),"N/A")</f>
        <v>3.6719173763915953</v>
      </c>
      <c r="AP65" s="45"/>
      <c r="AQ65" s="13"/>
      <c r="AR65" s="13"/>
    </row>
    <row r="66" spans="2:44" ht="15.75" thickBot="1" x14ac:dyDescent="0.3">
      <c r="B66" s="66" t="str">
        <f t="shared" si="46"/>
        <v>Whole House Residential Air Sealing_Zone 1_Min. 400 CFM50 reduction</v>
      </c>
      <c r="C66" s="34" t="s">
        <v>61</v>
      </c>
      <c r="D66" s="34" t="s">
        <v>27</v>
      </c>
      <c r="E66" s="34" t="s">
        <v>62</v>
      </c>
      <c r="F66" s="34" t="str">
        <f t="shared" si="38"/>
        <v>Min. 400 CFM50 reduction</v>
      </c>
      <c r="G66" s="14">
        <v>8</v>
      </c>
      <c r="H66" s="14">
        <f t="shared" si="36"/>
        <v>9</v>
      </c>
      <c r="I66" s="14">
        <f t="shared" si="47"/>
        <v>14</v>
      </c>
      <c r="J66" s="14">
        <v>8</v>
      </c>
      <c r="K66" s="86">
        <f>INDEX('Res Measure Mapping'!$X:$X,MATCH($B66,'Res Measure Mapping'!$B:$B,0))</f>
        <v>7.5141184849980514</v>
      </c>
      <c r="L66" s="86">
        <f>INDEX('Res Measure Mapping'!$Y:$Y,MATCH($B66,'Res Measure Mapping'!$B:$B,0))</f>
        <v>11.687223563128356</v>
      </c>
      <c r="M66" s="90">
        <f t="shared" si="48"/>
        <v>0.55536854874752306</v>
      </c>
      <c r="N66" s="14">
        <f t="shared" si="37"/>
        <v>9</v>
      </c>
      <c r="O66" s="14">
        <f t="shared" si="49"/>
        <v>14</v>
      </c>
      <c r="P66" s="15">
        <v>75</v>
      </c>
      <c r="Q66" s="87">
        <f>INDEX('Res Measure Mapping'!$Q:$Q,MATCH($B66,'Res Measure Mapping'!$B:$B,0))</f>
        <v>52.832940686137157</v>
      </c>
      <c r="R66" s="87" t="str">
        <f>INDEX('Res Measure Mapping'!$R:$R,MATCH($B66,'Res Measure Mapping'!$B:$B,0))</f>
        <v>home</v>
      </c>
      <c r="S66" s="88">
        <f t="shared" si="24"/>
        <v>52.832940686137157</v>
      </c>
      <c r="T66" s="60">
        <f t="shared" si="50"/>
        <v>475.49646617523439</v>
      </c>
      <c r="U66" s="16">
        <v>750</v>
      </c>
      <c r="V66" s="89">
        <f>INDEX('Res Measure Mapping'!$S:$S,MATCH($B66,'Res Measure Mapping'!$B:$B,0))</f>
        <v>1104.503049819933</v>
      </c>
      <c r="W66" s="76">
        <f t="shared" si="25"/>
        <v>1104.503049819933</v>
      </c>
      <c r="X66" s="17">
        <f t="shared" si="39"/>
        <v>31.116225893012668</v>
      </c>
      <c r="Y66" s="17">
        <f t="shared" si="51"/>
        <v>9940.5274483793983</v>
      </c>
      <c r="Z66" s="17">
        <f t="shared" si="52"/>
        <v>9660.4814153422849</v>
      </c>
      <c r="AA66" s="14">
        <v>15</v>
      </c>
      <c r="AB66" s="86">
        <f>INDEX('Res Measure Mapping'!$T:$T,MATCH($B66,'Res Measure Mapping'!$B:$B,0))</f>
        <v>20</v>
      </c>
      <c r="AC66" s="14">
        <f t="shared" si="20"/>
        <v>20</v>
      </c>
      <c r="AD66" s="60">
        <f t="shared" si="40"/>
        <v>5895.7059586760843</v>
      </c>
      <c r="AE66" s="16">
        <f t="shared" si="35"/>
        <v>1821.4326953699058</v>
      </c>
      <c r="AF66" s="16">
        <v>300</v>
      </c>
      <c r="AG66" s="89">
        <f>INDEX('Res Measure Mapping'!$U:$U,MATCH($B66,'Res Measure Mapping'!$B:$B,0))</f>
        <v>120.009957165</v>
      </c>
      <c r="AH66" s="115">
        <v>500</v>
      </c>
      <c r="AI66" s="62">
        <f t="shared" si="41"/>
        <v>4500</v>
      </c>
      <c r="AJ66" s="18">
        <f t="shared" si="42"/>
        <v>0.76326737315958371</v>
      </c>
      <c r="AK66" s="18">
        <f t="shared" si="43"/>
        <v>1.0722096284444655</v>
      </c>
      <c r="AL66" s="84">
        <f>IFERROR(IF(D64="Original",IF($AI66=0,"-",(INDEX('APP 2885'!$G:$G,MATCH($C$2+$AA66-1,'APP 2885'!$A:$A,0))*$T66)/($AI66+$AE66)),IF($AI66=0,"-",(INDEX('APP 2885'!G:G,MATCH($C$2+$AC66-1,'APP 2885'!$A:$A,0))*$T66)/($AI66+$AE66))),"N/A")</f>
        <v>3.0700251760459931</v>
      </c>
      <c r="AM66" s="20">
        <f t="shared" si="44"/>
        <v>1.6385622829656186</v>
      </c>
      <c r="AN66" s="21">
        <f t="shared" si="45"/>
        <v>1.9475045382505003</v>
      </c>
      <c r="AO66" s="84">
        <f>IFERROR(IF(D64="Original",IF($AI66=0,"-",(INDEX('APP 2885'!$G:$G,MATCH($C$2+$AA66-1,'APP 2885'!$A:$A,0))*$T66)/($Z66+$AE66)),IF($AI66=0,"-",(INDEX('APP 2885'!G:G,MATCH($C$2+$AC66-1,'APP 2885'!$A:$A,0))*$T66)/($Z66+$AE66))),"N/A")</f>
        <v>1.6902197086947319</v>
      </c>
      <c r="AP66" s="45"/>
      <c r="AQ66" s="13"/>
      <c r="AR66" s="13"/>
    </row>
    <row r="67" spans="2:44" ht="15.75" thickBot="1" x14ac:dyDescent="0.3">
      <c r="B67" s="66" t="str">
        <f t="shared" si="46"/>
        <v>Windows 0.22 U-factor_Zone 1_U Factor&lt;= 0.22</v>
      </c>
      <c r="C67" s="33" t="s">
        <v>63</v>
      </c>
      <c r="D67" s="33" t="s">
        <v>27</v>
      </c>
      <c r="E67" s="33" t="s">
        <v>64</v>
      </c>
      <c r="F67" s="33" t="str">
        <f t="shared" si="38"/>
        <v>U Factor&lt;= 0.22</v>
      </c>
      <c r="G67" s="5">
        <v>3</v>
      </c>
      <c r="H67" s="5">
        <f t="shared" si="36"/>
        <v>3</v>
      </c>
      <c r="I67" s="5">
        <f t="shared" si="47"/>
        <v>5</v>
      </c>
      <c r="J67" s="5">
        <v>123</v>
      </c>
      <c r="K67" s="5">
        <f>INDEX('Res Measure Mapping'!$X:$X,MATCH($B67,'Res Measure Mapping'!$B:$B,0))</f>
        <v>8011.7694399632965</v>
      </c>
      <c r="L67" s="5">
        <f>INDEX('Res Measure Mapping'!$Y:$Y,MATCH($B67,'Res Measure Mapping'!$B:$B,0))</f>
        <v>12226.565301238596</v>
      </c>
      <c r="M67" s="74">
        <f t="shared" si="48"/>
        <v>0.52607553086233194</v>
      </c>
      <c r="N67" s="5">
        <f t="shared" si="37"/>
        <v>143</v>
      </c>
      <c r="O67" s="5">
        <f t="shared" si="49"/>
        <v>218</v>
      </c>
      <c r="P67" s="6">
        <v>0.26300000000000001</v>
      </c>
      <c r="Q67" s="68">
        <f>INDEX('Res Measure Mapping'!$Q:$Q,MATCH($B67,'Res Measure Mapping'!$B:$B,0))</f>
        <v>0.20159341794283192</v>
      </c>
      <c r="R67" s="68" t="str">
        <f>INDEX('Res Measure Mapping'!$R:$R,MATCH($B67,'Res Measure Mapping'!$B:$B,0))</f>
        <v>sqft window</v>
      </c>
      <c r="S67" s="6">
        <f t="shared" si="24"/>
        <v>0.20159341794283192</v>
      </c>
      <c r="T67" s="59">
        <f t="shared" si="50"/>
        <v>28.827858765824963</v>
      </c>
      <c r="U67" s="7">
        <v>29.12</v>
      </c>
      <c r="V67" s="7">
        <f>INDEX('Res Measure Mapping'!$S:$S,MATCH($B67,'Res Measure Mapping'!$B:$B,0))</f>
        <v>25.040000000000003</v>
      </c>
      <c r="W67" s="7">
        <f t="shared" si="25"/>
        <v>25.040000000000003</v>
      </c>
      <c r="X67" s="8">
        <f t="shared" si="39"/>
        <v>0.16871530756378533</v>
      </c>
      <c r="Y67" s="8">
        <f t="shared" si="51"/>
        <v>3580.7200000000003</v>
      </c>
      <c r="Z67" s="8">
        <f t="shared" si="52"/>
        <v>3580.213854077309</v>
      </c>
      <c r="AA67" s="5">
        <v>45</v>
      </c>
      <c r="AB67" s="5">
        <f>INDEX('Res Measure Mapping'!$T:$T,MATCH($B67,'Res Measure Mapping'!$B:$B,0))</f>
        <v>45</v>
      </c>
      <c r="AC67" s="5">
        <f t="shared" si="20"/>
        <v>45</v>
      </c>
      <c r="AD67" s="59">
        <f t="shared" si="40"/>
        <v>507.92187329729057</v>
      </c>
      <c r="AE67" s="7">
        <f t="shared" si="35"/>
        <v>110.42774916066105</v>
      </c>
      <c r="AF67" s="7">
        <v>9</v>
      </c>
      <c r="AG67" s="7">
        <f>INDEX('Res Measure Mapping'!$U:$U,MATCH($B67,'Res Measure Mapping'!$B:$B,0))</f>
        <v>2.2499965932869617</v>
      </c>
      <c r="AH67" s="113">
        <v>9</v>
      </c>
      <c r="AI67" s="61">
        <f t="shared" si="41"/>
        <v>1287</v>
      </c>
      <c r="AJ67" s="9">
        <f t="shared" si="42"/>
        <v>2.5338542552718715</v>
      </c>
      <c r="AK67" s="9">
        <f t="shared" si="43"/>
        <v>2.7512651504628858</v>
      </c>
      <c r="AL67" s="10">
        <f>IFERROR(IF(D65="Original",IF($AI67=0,"-",(INDEX('APP 2885'!$G:$G,MATCH($C$2+$AA67-1,'APP 2885'!$A:$A,0))*$T67)/($AI67+$AE67)),IF($AI67=0,"-",(INDEX('APP 2885'!G:G,MATCH($C$2+$AC67-1,'APP 2885'!$A:$A,0))*$T67)/($AI67+$AE67))),"N/A")</f>
        <v>2.0557279558493975</v>
      </c>
      <c r="AM67" s="11">
        <f t="shared" si="44"/>
        <v>7.048749113393237</v>
      </c>
      <c r="AN67" s="12">
        <f t="shared" si="45"/>
        <v>7.2661600085842517</v>
      </c>
      <c r="AO67" s="10">
        <f>IFERROR(IF(D65="Original",IF($AI67=0,"-",(INDEX('APP 2885'!$G:$G,MATCH($C$2+$AA67-1,'APP 2885'!$A:$A,0))*$T67)/($Z67+$AE67)),IF($AI67=0,"-",(INDEX('APP 2885'!G:G,MATCH($C$2+$AC67-1,'APP 2885'!$A:$A,0))*$T67)/($Z67+$AE67))),"N/A")</f>
        <v>0.77838262260656543</v>
      </c>
      <c r="AP67" s="45"/>
      <c r="AQ67" s="13"/>
      <c r="AR67" s="13"/>
    </row>
    <row r="68" spans="2:44" ht="15.75" thickBot="1" x14ac:dyDescent="0.3">
      <c r="B68" s="66" t="str">
        <f t="shared" si="46"/>
        <v>Windows 0.22 U-factor_Zone 3_U Factor&lt;= 0.22</v>
      </c>
      <c r="C68" s="34" t="s">
        <v>63</v>
      </c>
      <c r="D68" s="34" t="s">
        <v>30</v>
      </c>
      <c r="E68" s="34" t="s">
        <v>64</v>
      </c>
      <c r="F68" s="34" t="str">
        <f t="shared" si="38"/>
        <v>U Factor&lt;= 0.22</v>
      </c>
      <c r="G68" s="14">
        <v>2</v>
      </c>
      <c r="H68" s="14">
        <f t="shared" si="36"/>
        <v>2</v>
      </c>
      <c r="I68" s="14">
        <f t="shared" si="47"/>
        <v>2</v>
      </c>
      <c r="J68" s="14">
        <v>185</v>
      </c>
      <c r="K68" s="86">
        <f>INDEX('Res Measure Mapping'!$X:$X,MATCH($B68,'Res Measure Mapping'!$B:$B,0))</f>
        <v>0</v>
      </c>
      <c r="L68" s="86">
        <f>INDEX('Res Measure Mapping'!$Y:$Y,MATCH($B68,'Res Measure Mapping'!$B:$B,0))</f>
        <v>0</v>
      </c>
      <c r="M68" s="90" t="str">
        <f t="shared" si="48"/>
        <v>N/A</v>
      </c>
      <c r="N68" s="14">
        <f t="shared" si="37"/>
        <v>216</v>
      </c>
      <c r="O68" s="14">
        <f t="shared" si="49"/>
        <v>216</v>
      </c>
      <c r="P68" s="15">
        <v>0.34899999999999998</v>
      </c>
      <c r="Q68" s="87">
        <f>INDEX('Res Measure Mapping'!$Q:$Q,MATCH($B68,'Res Measure Mapping'!$B:$B,0))</f>
        <v>0.20159341794283192</v>
      </c>
      <c r="R68" s="87" t="str">
        <f>INDEX('Res Measure Mapping'!$R:$R,MATCH($B68,'Res Measure Mapping'!$B:$B,0))</f>
        <v>sqft window</v>
      </c>
      <c r="S68" s="88">
        <f t="shared" si="24"/>
        <v>0.20159341794283192</v>
      </c>
      <c r="T68" s="60">
        <f>IF($D$3="Original",IF(ISNUMBER(J68),J68*P68,""),IF(ISNUMBER(N68),N68*S68,""))</f>
        <v>43.544178275651696</v>
      </c>
      <c r="U68" s="16">
        <v>29.12</v>
      </c>
      <c r="V68" s="89">
        <f>INDEX('Res Measure Mapping'!$S:$S,MATCH($B68,'Res Measure Mapping'!$B:$B,0))</f>
        <v>25.040000000000003</v>
      </c>
      <c r="W68" s="76">
        <f t="shared" si="25"/>
        <v>25.040000000000003</v>
      </c>
      <c r="X68" s="17">
        <f t="shared" si="39"/>
        <v>0.16871530756378533</v>
      </c>
      <c r="Y68" s="17">
        <f t="shared" si="51"/>
        <v>5408.64</v>
      </c>
      <c r="Z68" s="17">
        <f t="shared" si="52"/>
        <v>5408.3025693848731</v>
      </c>
      <c r="AA68" s="14">
        <v>45</v>
      </c>
      <c r="AB68" s="86">
        <f>INDEX('Res Measure Mapping'!$T:$T,MATCH($B68,'Res Measure Mapping'!$B:$B,0))</f>
        <v>45</v>
      </c>
      <c r="AC68" s="14">
        <f t="shared" si="20"/>
        <v>45</v>
      </c>
      <c r="AD68" s="60">
        <f t="shared" si="40"/>
        <v>767.21066176373961</v>
      </c>
      <c r="AE68" s="16">
        <f t="shared" si="35"/>
        <v>166.79995677414539</v>
      </c>
      <c r="AF68" s="16">
        <v>9</v>
      </c>
      <c r="AG68" s="89">
        <f>INDEX('Res Measure Mapping'!$U:$U,MATCH($B68,'Res Measure Mapping'!$B:$B,0))</f>
        <v>2.2499965932869617</v>
      </c>
      <c r="AH68" s="115">
        <v>9</v>
      </c>
      <c r="AI68" s="62">
        <f t="shared" si="41"/>
        <v>1944</v>
      </c>
      <c r="AJ68" s="18">
        <f t="shared" si="42"/>
        <v>2.5338542552718715</v>
      </c>
      <c r="AK68" s="18">
        <f t="shared" si="43"/>
        <v>2.7512651504628858</v>
      </c>
      <c r="AL68" s="84">
        <f>IFERROR(IF(D66="Original",IF($AI68=0,"-",(INDEX('APP 2885'!$G:$G,MATCH($C$2+$AA68-1,'APP 2885'!$A:$A,0))*$T68)/($AI68+$AE68)),IF($AI68=0,"-",(INDEX('APP 2885'!G:G,MATCH($C$2+$AC68-1,'APP 2885'!$A:$A,0))*$T68)/($AI68+$AE68))),"N/A")</f>
        <v>2.0557279558493979</v>
      </c>
      <c r="AM68" s="20">
        <f t="shared" si="44"/>
        <v>7.049305802074926</v>
      </c>
      <c r="AN68" s="21">
        <f t="shared" si="45"/>
        <v>7.2667166972659407</v>
      </c>
      <c r="AO68" s="84">
        <f>IFERROR(IF(D66="Original",IF($AI68=0,"-",(INDEX('APP 2885'!$G:$G,MATCH($C$2+$AA68-1,'APP 2885'!$A:$A,0))*$T68)/($Z68+$AE68)),IF($AI68=0,"-",(INDEX('APP 2885'!G:G,MATCH($C$2+$AC68-1,'APP 2885'!$A:$A,0))*$T68)/($Z68+$AE68))),"N/A")</f>
        <v>0.77832299226537016</v>
      </c>
      <c r="AP68" s="45"/>
      <c r="AQ68" s="13"/>
      <c r="AR68" s="13"/>
    </row>
    <row r="69" spans="2:44" ht="15.75" thickBot="1" x14ac:dyDescent="0.3">
      <c r="B69" s="66" t="str">
        <f t="shared" si="46"/>
        <v>Windows 0.27 U-factor_Zone 1_U Factor&lt;= 0.27</v>
      </c>
      <c r="C69" s="33" t="s">
        <v>65</v>
      </c>
      <c r="D69" s="33" t="s">
        <v>27</v>
      </c>
      <c r="E69" s="33" t="s">
        <v>66</v>
      </c>
      <c r="F69" s="33" t="str">
        <f t="shared" si="38"/>
        <v>U Factor&lt;= 0.27</v>
      </c>
      <c r="G69" s="5">
        <v>6</v>
      </c>
      <c r="H69" s="5">
        <f t="shared" si="36"/>
        <v>7</v>
      </c>
      <c r="I69" s="5">
        <f t="shared" si="47"/>
        <v>11</v>
      </c>
      <c r="J69" s="5">
        <v>1545</v>
      </c>
      <c r="K69" s="5">
        <f>INDEX('Res Measure Mapping'!$X:$X,MATCH($B69,'Res Measure Mapping'!$B:$B,0))</f>
        <v>8011.7694399632965</v>
      </c>
      <c r="L69" s="5">
        <f>INDEX('Res Measure Mapping'!$Y:$Y,MATCH($B69,'Res Measure Mapping'!$B:$B,0))</f>
        <v>12226.565301238596</v>
      </c>
      <c r="M69" s="74">
        <f t="shared" si="48"/>
        <v>0.52607553086233194</v>
      </c>
      <c r="N69" s="5">
        <f t="shared" si="37"/>
        <v>1801</v>
      </c>
      <c r="O69" s="5">
        <f t="shared" si="49"/>
        <v>2748</v>
      </c>
      <c r="P69" s="6">
        <v>0.22</v>
      </c>
      <c r="Q69" s="68">
        <f>INDEX('Res Measure Mapping'!$Q:$Q,MATCH($B69,'Res Measure Mapping'!$B:$B,0))</f>
        <v>0.26345669774378105</v>
      </c>
      <c r="R69" s="68" t="str">
        <f>INDEX('Res Measure Mapping'!$R:$R,MATCH($B69,'Res Measure Mapping'!$B:$B,0))</f>
        <v>sqft window</v>
      </c>
      <c r="S69" s="6">
        <f t="shared" si="24"/>
        <v>0.26345669774378105</v>
      </c>
      <c r="T69" s="59">
        <f t="shared" si="50"/>
        <v>474.48551263654969</v>
      </c>
      <c r="U69" s="7">
        <v>23.09</v>
      </c>
      <c r="V69" s="7">
        <f>INDEX('Res Measure Mapping'!$S:$S,MATCH($B69,'Res Measure Mapping'!$B:$B,0))</f>
        <v>29.09</v>
      </c>
      <c r="W69" s="7">
        <f t="shared" si="25"/>
        <v>29.09</v>
      </c>
      <c r="X69" s="8">
        <f t="shared" si="39"/>
        <v>0.22048923145985946</v>
      </c>
      <c r="Y69" s="8">
        <f t="shared" si="51"/>
        <v>52391.09</v>
      </c>
      <c r="Z69" s="8">
        <f t="shared" si="52"/>
        <v>52389.546575379776</v>
      </c>
      <c r="AA69" s="5">
        <v>45</v>
      </c>
      <c r="AB69" s="5">
        <f>INDEX('Res Measure Mapping'!$T:$T,MATCH($B69,'Res Measure Mapping'!$B:$B,0))</f>
        <v>45</v>
      </c>
      <c r="AC69" s="5">
        <f t="shared" si="20"/>
        <v>45</v>
      </c>
      <c r="AD69" s="59">
        <f t="shared" si="40"/>
        <v>8360.0232812464601</v>
      </c>
      <c r="AE69" s="7">
        <f t="shared" ref="AE69:AE77" si="53">(T69/$T$78)*$AR$4</f>
        <v>1817.5601453935164</v>
      </c>
      <c r="AF69" s="7">
        <v>7</v>
      </c>
      <c r="AG69" s="7">
        <f>INDEX('Res Measure Mapping'!$U:$U,MATCH($B69,'Res Measure Mapping'!$B:$B,0))</f>
        <v>2.0000006513736381</v>
      </c>
      <c r="AH69" s="113">
        <v>7</v>
      </c>
      <c r="AI69" s="61">
        <f t="shared" si="41"/>
        <v>12607</v>
      </c>
      <c r="AJ69" s="9">
        <f t="shared" si="42"/>
        <v>1.5080101545028624</v>
      </c>
      <c r="AK69" s="9">
        <f t="shared" si="43"/>
        <v>1.7254210496938769</v>
      </c>
      <c r="AL69" s="10">
        <f>IFERROR(IF(D67="Original",IF($AI69=0,"-",(INDEX('APP 2885'!$G:$G,MATCH($C$2+$AA69-1,'APP 2885'!$A:$A,0))*$T69)/($AI69+$AE69)),IF($AI69=0,"-",(INDEX('APP 2885'!G:G,MATCH($C$2+$AC69-1,'APP 2885'!$A:$A,0))*$T69)/($AI69+$AE69))),"N/A")</f>
        <v>3.2779550734959519</v>
      </c>
      <c r="AM69" s="11">
        <f t="shared" si="44"/>
        <v>6.2666747224140043</v>
      </c>
      <c r="AN69" s="12">
        <f t="shared" si="45"/>
        <v>6.484085617605019</v>
      </c>
      <c r="AO69" s="10">
        <f>IFERROR(IF(D67="Original",IF($AI69=0,"-",(INDEX('APP 2885'!$G:$G,MATCH($C$2+$AA69-1,'APP 2885'!$A:$A,0))*$T69)/($Z69+$AE69)),IF($AI69=0,"-",(INDEX('APP 2885'!G:G,MATCH($C$2+$AC69-1,'APP 2885'!$A:$A,0))*$T69)/($Z69+$AE69))),"N/A")</f>
        <v>0.87226681097554926</v>
      </c>
      <c r="AP69" s="45"/>
      <c r="AQ69" s="13"/>
      <c r="AR69" s="13"/>
    </row>
    <row r="70" spans="2:44" ht="15.75" thickBot="1" x14ac:dyDescent="0.3">
      <c r="B70" s="66" t="str">
        <f t="shared" si="46"/>
        <v>Windows 0.27 U-factor_Zone 1_U Factor&lt;= 0.27</v>
      </c>
      <c r="C70" s="34" t="s">
        <v>65</v>
      </c>
      <c r="D70" s="34" t="s">
        <v>27</v>
      </c>
      <c r="E70" s="34" t="s">
        <v>66</v>
      </c>
      <c r="F70" s="34" t="str">
        <f t="shared" si="38"/>
        <v>U Factor&lt;= 0.27</v>
      </c>
      <c r="G70" s="14">
        <v>1</v>
      </c>
      <c r="H70" s="14">
        <f t="shared" si="36"/>
        <v>1</v>
      </c>
      <c r="I70" s="14">
        <f t="shared" si="47"/>
        <v>2</v>
      </c>
      <c r="J70" s="14">
        <v>256</v>
      </c>
      <c r="K70" s="86">
        <f>INDEX('Res Measure Mapping'!$X:$X,MATCH($B70,'Res Measure Mapping'!$B:$B,0))</f>
        <v>8011.7694399632965</v>
      </c>
      <c r="L70" s="86">
        <f>INDEX('Res Measure Mapping'!$Y:$Y,MATCH($B70,'Res Measure Mapping'!$B:$B,0))</f>
        <v>12226.565301238596</v>
      </c>
      <c r="M70" s="90">
        <f t="shared" si="48"/>
        <v>0.52607553086233194</v>
      </c>
      <c r="N70" s="14">
        <f t="shared" si="37"/>
        <v>298</v>
      </c>
      <c r="O70" s="14">
        <f t="shared" si="49"/>
        <v>455</v>
      </c>
      <c r="P70" s="15">
        <v>0.6</v>
      </c>
      <c r="Q70" s="87">
        <f>INDEX('Res Measure Mapping'!$Q:$Q,MATCH($B70,'Res Measure Mapping'!$B:$B,0))</f>
        <v>0.26345669774378105</v>
      </c>
      <c r="R70" s="87" t="str">
        <f>INDEX('Res Measure Mapping'!$R:$R,MATCH($B70,'Res Measure Mapping'!$B:$B,0))</f>
        <v>sqft window</v>
      </c>
      <c r="S70" s="88">
        <f t="shared" si="24"/>
        <v>0.26345669774378105</v>
      </c>
      <c r="T70" s="60">
        <f t="shared" si="50"/>
        <v>78.510095927646759</v>
      </c>
      <c r="U70" s="16">
        <v>24.76</v>
      </c>
      <c r="V70" s="89">
        <f>INDEX('Res Measure Mapping'!$S:$S,MATCH($B70,'Res Measure Mapping'!$B:$B,0))</f>
        <v>29.09</v>
      </c>
      <c r="W70" s="76">
        <f t="shared" si="25"/>
        <v>29.09</v>
      </c>
      <c r="X70" s="17">
        <f t="shared" si="39"/>
        <v>0.22048923145985946</v>
      </c>
      <c r="Y70" s="17">
        <f t="shared" si="51"/>
        <v>8668.82</v>
      </c>
      <c r="Z70" s="17">
        <f t="shared" si="52"/>
        <v>8668.5995107685394</v>
      </c>
      <c r="AA70" s="14">
        <v>45</v>
      </c>
      <c r="AB70" s="86">
        <f>INDEX('Res Measure Mapping'!$T:$T,MATCH($B70,'Res Measure Mapping'!$B:$B,0))</f>
        <v>45</v>
      </c>
      <c r="AC70" s="14">
        <f t="shared" ref="AC70:AC77" si="54">IFERROR(ROUND(AB70,0),AA70)</f>
        <v>45</v>
      </c>
      <c r="AD70" s="60">
        <f t="shared" si="40"/>
        <v>1383.2798100008024</v>
      </c>
      <c r="AE70" s="16">
        <f t="shared" si="53"/>
        <v>300.74010179193107</v>
      </c>
      <c r="AF70" s="16">
        <v>7</v>
      </c>
      <c r="AG70" s="89">
        <f>INDEX('Res Measure Mapping'!$U:$U,MATCH($B70,'Res Measure Mapping'!$B:$B,0))</f>
        <v>2.0000006513736381</v>
      </c>
      <c r="AH70" s="115">
        <v>7</v>
      </c>
      <c r="AI70" s="62">
        <f t="shared" si="41"/>
        <v>2086</v>
      </c>
      <c r="AJ70" s="18">
        <f t="shared" si="42"/>
        <v>1.5080101545028624</v>
      </c>
      <c r="AK70" s="18">
        <f t="shared" si="43"/>
        <v>1.7254210496938769</v>
      </c>
      <c r="AL70" s="84">
        <f>IFERROR(IF(D68="Original",IF($AI70=0,"-",(INDEX('APP 2885'!$G:$G,MATCH($C$2+$AA70-1,'APP 2885'!$A:$A,0))*$T70)/($AI70+$AE70)),IF($AI70=0,"-",(INDEX('APP 2885'!G:G,MATCH($C$2+$AC70-1,'APP 2885'!$A:$A,0))*$T70)/($AI70+$AE70))),"N/A")</f>
        <v>3.2779550734959519</v>
      </c>
      <c r="AM70" s="20">
        <f t="shared" si="44"/>
        <v>6.2666999460965966</v>
      </c>
      <c r="AN70" s="21">
        <f t="shared" si="45"/>
        <v>6.4841108412876114</v>
      </c>
      <c r="AO70" s="84">
        <f>IFERROR(IF(D68="Original",IF($AI70=0,"-",(INDEX('APP 2885'!$G:$G,MATCH($C$2+$AA70-1,'APP 2885'!$A:$A,0))*$T70)/($Z70+$AE70)),IF($AI70=0,"-",(INDEX('APP 2885'!G:G,MATCH($C$2+$AC70-1,'APP 2885'!$A:$A,0))*$T70)/($Z70+$AE70))),"N/A")</f>
        <v>0.87226341779154692</v>
      </c>
      <c r="AP70" s="45"/>
      <c r="AQ70" s="13"/>
      <c r="AR70" s="13"/>
    </row>
    <row r="71" spans="2:44" ht="15.75" thickBot="1" x14ac:dyDescent="0.3">
      <c r="B71" s="66" t="str">
        <f t="shared" si="46"/>
        <v>Windows 0.27 U-factor_Zone 2_U Factor&lt;= 0.27</v>
      </c>
      <c r="C71" s="33" t="s">
        <v>65</v>
      </c>
      <c r="D71" s="33" t="s">
        <v>29</v>
      </c>
      <c r="E71" s="33" t="s">
        <v>66</v>
      </c>
      <c r="F71" s="33" t="str">
        <f t="shared" si="38"/>
        <v>U Factor&lt;= 0.27</v>
      </c>
      <c r="G71" s="5">
        <v>2</v>
      </c>
      <c r="H71" s="5">
        <f t="shared" si="36"/>
        <v>2</v>
      </c>
      <c r="I71" s="5">
        <f t="shared" si="47"/>
        <v>3</v>
      </c>
      <c r="J71" s="5">
        <v>210</v>
      </c>
      <c r="K71" s="5">
        <f>INDEX('Res Measure Mapping'!$X:$X,MATCH($B71,'Res Measure Mapping'!$B:$B,0))</f>
        <v>3694.0328303265715</v>
      </c>
      <c r="L71" s="5">
        <f>INDEX('Res Measure Mapping'!$Y:$Y,MATCH($B71,'Res Measure Mapping'!$B:$B,0))</f>
        <v>5637.3731125635059</v>
      </c>
      <c r="M71" s="74">
        <f t="shared" si="48"/>
        <v>0.52607553086233216</v>
      </c>
      <c r="N71" s="5">
        <f t="shared" si="37"/>
        <v>245</v>
      </c>
      <c r="O71" s="5">
        <f t="shared" si="49"/>
        <v>374</v>
      </c>
      <c r="P71" s="6">
        <v>0.28999999999999998</v>
      </c>
      <c r="Q71" s="68">
        <f>INDEX('Res Measure Mapping'!$Q:$Q,MATCH($B71,'Res Measure Mapping'!$B:$B,0))</f>
        <v>0.26345669774378105</v>
      </c>
      <c r="R71" s="68" t="str">
        <f>INDEX('Res Measure Mapping'!$R:$R,MATCH($B71,'Res Measure Mapping'!$B:$B,0))</f>
        <v>sqft window</v>
      </c>
      <c r="S71" s="6">
        <f t="shared" si="24"/>
        <v>0.26345669774378105</v>
      </c>
      <c r="T71" s="59">
        <f t="shared" si="50"/>
        <v>64.546890947226359</v>
      </c>
      <c r="U71" s="7">
        <v>23.09</v>
      </c>
      <c r="V71" s="7">
        <f>INDEX('Res Measure Mapping'!$S:$S,MATCH($B71,'Res Measure Mapping'!$B:$B,0))</f>
        <v>29.09</v>
      </c>
      <c r="W71" s="7">
        <f t="shared" si="25"/>
        <v>29.09</v>
      </c>
      <c r="X71" s="8">
        <f t="shared" si="39"/>
        <v>0.22048923145985946</v>
      </c>
      <c r="Y71" s="8">
        <f t="shared" si="51"/>
        <v>7127.05</v>
      </c>
      <c r="Z71" s="8">
        <f t="shared" si="52"/>
        <v>7126.6090215370805</v>
      </c>
      <c r="AA71" s="5">
        <v>45</v>
      </c>
      <c r="AB71" s="5">
        <f>INDEX('Res Measure Mapping'!$T:$T,MATCH($B71,'Res Measure Mapping'!$B:$B,0))</f>
        <v>45</v>
      </c>
      <c r="AC71" s="5">
        <f t="shared" si="54"/>
        <v>45</v>
      </c>
      <c r="AD71" s="59">
        <f t="shared" si="40"/>
        <v>1137.2602464771696</v>
      </c>
      <c r="AE71" s="7">
        <f t="shared" si="53"/>
        <v>247.25276825175541</v>
      </c>
      <c r="AF71" s="7">
        <v>7</v>
      </c>
      <c r="AG71" s="7">
        <f>INDEX('Res Measure Mapping'!$U:$U,MATCH($B71,'Res Measure Mapping'!$B:$B,0))</f>
        <v>2.0000006513736381</v>
      </c>
      <c r="AH71" s="113">
        <v>7</v>
      </c>
      <c r="AI71" s="61">
        <f t="shared" si="41"/>
        <v>1715</v>
      </c>
      <c r="AJ71" s="9">
        <f t="shared" si="42"/>
        <v>1.5080101545028624</v>
      </c>
      <c r="AK71" s="9">
        <f t="shared" si="43"/>
        <v>1.7254210496938771</v>
      </c>
      <c r="AL71" s="10">
        <f>IFERROR(IF(D69="Original",IF($AI71=0,"-",(INDEX('APP 2885'!$G:$G,MATCH($C$2+$AA71-1,'APP 2885'!$A:$A,0))*$T71)/($AI71+$AE71)),IF($AI71=0,"-",(INDEX('APP 2885'!G:G,MATCH($C$2+$AC71-1,'APP 2885'!$A:$A,0))*$T71)/($AI71+$AE71))),"N/A")</f>
        <v>3.2779550734959519</v>
      </c>
      <c r="AM71" s="11">
        <f t="shared" si="44"/>
        <v>6.2664715869677119</v>
      </c>
      <c r="AN71" s="12">
        <f t="shared" si="45"/>
        <v>6.4838824821587266</v>
      </c>
      <c r="AO71" s="10">
        <f>IFERROR(IF(D69="Original",IF($AI71=0,"-",(INDEX('APP 2885'!$G:$G,MATCH($C$2+$AA71-1,'APP 2885'!$A:$A,0))*$T71)/($Z71+$AE71)),IF($AI71=0,"-",(INDEX('APP 2885'!G:G,MATCH($C$2+$AC71-1,'APP 2885'!$A:$A,0))*$T71)/($Z71+$AE71))),"N/A")</f>
        <v>0.87229413847699944</v>
      </c>
      <c r="AP71" s="45"/>
      <c r="AQ71" s="13"/>
      <c r="AR71" s="13"/>
    </row>
    <row r="72" spans="2:44" ht="15.75" thickBot="1" x14ac:dyDescent="0.3">
      <c r="B72" s="66" t="str">
        <f t="shared" si="46"/>
        <v>Windows 0.27 U-factor_Zone 3_U Factor&lt;= 0.27</v>
      </c>
      <c r="C72" s="34" t="s">
        <v>65</v>
      </c>
      <c r="D72" s="34" t="s">
        <v>30</v>
      </c>
      <c r="E72" s="34" t="s">
        <v>66</v>
      </c>
      <c r="F72" s="34" t="str">
        <f t="shared" si="38"/>
        <v>U Factor&lt;= 0.27</v>
      </c>
      <c r="G72" s="14">
        <v>7</v>
      </c>
      <c r="H72" s="14">
        <f t="shared" si="36"/>
        <v>8</v>
      </c>
      <c r="I72" s="14">
        <f t="shared" si="47"/>
        <v>12</v>
      </c>
      <c r="J72" s="14">
        <v>947</v>
      </c>
      <c r="K72" s="86">
        <f>INDEX('Res Measure Mapping'!$X:$X,MATCH($B72,'Res Measure Mapping'!$B:$B,0))</f>
        <v>6219.5389808976252</v>
      </c>
      <c r="L72" s="86">
        <f>INDEX('Res Measure Mapping'!$Y:$Y,MATCH($B72,'Res Measure Mapping'!$B:$B,0))</f>
        <v>9494.9725117636044</v>
      </c>
      <c r="M72" s="90">
        <f t="shared" si="48"/>
        <v>0.52663606433306054</v>
      </c>
      <c r="N72" s="14">
        <f t="shared" si="37"/>
        <v>1104</v>
      </c>
      <c r="O72" s="14">
        <f t="shared" si="49"/>
        <v>1685</v>
      </c>
      <c r="P72" s="15">
        <v>0.28999999999999998</v>
      </c>
      <c r="Q72" s="87">
        <f>INDEX('Res Measure Mapping'!$Q:$Q,MATCH($B72,'Res Measure Mapping'!$B:$B,0))</f>
        <v>0.26345669774378105</v>
      </c>
      <c r="R72" s="87" t="str">
        <f>INDEX('Res Measure Mapping'!$R:$R,MATCH($B72,'Res Measure Mapping'!$B:$B,0))</f>
        <v>sqft window</v>
      </c>
      <c r="S72" s="88">
        <f t="shared" si="24"/>
        <v>0.26345669774378105</v>
      </c>
      <c r="T72" s="60">
        <f t="shared" si="50"/>
        <v>290.85619430913431</v>
      </c>
      <c r="U72" s="16">
        <v>23.09</v>
      </c>
      <c r="V72" s="89">
        <f>INDEX('Res Measure Mapping'!$S:$S,MATCH($B72,'Res Measure Mapping'!$B:$B,0))</f>
        <v>29.09</v>
      </c>
      <c r="W72" s="76">
        <f t="shared" si="25"/>
        <v>29.09</v>
      </c>
      <c r="X72" s="17">
        <f t="shared" si="39"/>
        <v>0.22048923145985946</v>
      </c>
      <c r="Y72" s="17">
        <f t="shared" si="51"/>
        <v>32115.360000000001</v>
      </c>
      <c r="Z72" s="17">
        <f t="shared" si="52"/>
        <v>32113.596086148322</v>
      </c>
      <c r="AA72" s="14">
        <v>45</v>
      </c>
      <c r="AB72" s="86">
        <f>INDEX('Res Measure Mapping'!$T:$T,MATCH($B72,'Res Measure Mapping'!$B:$B,0))</f>
        <v>45</v>
      </c>
      <c r="AC72" s="14">
        <f t="shared" si="54"/>
        <v>45</v>
      </c>
      <c r="AD72" s="60">
        <f t="shared" si="40"/>
        <v>5124.6339269828386</v>
      </c>
      <c r="AE72" s="16">
        <f t="shared" si="53"/>
        <v>1114.1512495915838</v>
      </c>
      <c r="AF72" s="16">
        <v>7</v>
      </c>
      <c r="AG72" s="89">
        <f>INDEX('Res Measure Mapping'!$U:$U,MATCH($B72,'Res Measure Mapping'!$B:$B,0))</f>
        <v>2.0000006513736386</v>
      </c>
      <c r="AH72" s="115">
        <v>7</v>
      </c>
      <c r="AI72" s="62">
        <f t="shared" si="41"/>
        <v>7728</v>
      </c>
      <c r="AJ72" s="18">
        <f t="shared" si="42"/>
        <v>1.5080101545028621</v>
      </c>
      <c r="AK72" s="18">
        <f t="shared" si="43"/>
        <v>1.7254210496938767</v>
      </c>
      <c r="AL72" s="84">
        <f>IFERROR(IF(D70="Original",IF($AI72=0,"-",(INDEX('APP 2885'!$G:$G,MATCH($C$2+$AA72-1,'APP 2885'!$A:$A,0))*$T72)/($AI72+$AE72)),IF($AI72=0,"-",(INDEX('APP 2885'!G:G,MATCH($C$2+$AC72-1,'APP 2885'!$A:$A,0))*$T72)/($AI72+$AE72))),"N/A")</f>
        <v>3.2779550734959524</v>
      </c>
      <c r="AM72" s="20">
        <f t="shared" si="44"/>
        <v>6.2665151391712008</v>
      </c>
      <c r="AN72" s="21">
        <f t="shared" si="45"/>
        <v>6.4839260343622156</v>
      </c>
      <c r="AO72" s="84">
        <f>IFERROR(IF(D70="Original",IF($AI72=0,"-",(INDEX('APP 2885'!$G:$G,MATCH($C$2+$AA72-1,'APP 2885'!$A:$A,0))*$T72)/($Z72+$AE72)),IF($AI72=0,"-",(INDEX('APP 2885'!G:G,MATCH($C$2+$AC72-1,'APP 2885'!$A:$A,0))*$T72)/($Z72+$AE72))),"N/A")</f>
        <v>0.87228827932135511</v>
      </c>
      <c r="AP72" s="45"/>
      <c r="AQ72" s="13"/>
      <c r="AR72" s="13"/>
    </row>
    <row r="73" spans="2:44" ht="15.75" thickBot="1" x14ac:dyDescent="0.3">
      <c r="B73" s="66" t="str">
        <f t="shared" si="46"/>
        <v>Windows 0.27 U-factor_Zone 3_U Factor&lt;= 0.27</v>
      </c>
      <c r="C73" s="33" t="s">
        <v>65</v>
      </c>
      <c r="D73" s="33" t="s">
        <v>30</v>
      </c>
      <c r="E73" s="33" t="s">
        <v>66</v>
      </c>
      <c r="F73" s="33" t="str">
        <f t="shared" si="38"/>
        <v>U Factor&lt;= 0.27</v>
      </c>
      <c r="G73" s="5">
        <v>1</v>
      </c>
      <c r="H73" s="5">
        <f t="shared" si="36"/>
        <v>1</v>
      </c>
      <c r="I73" s="5">
        <f t="shared" si="47"/>
        <v>2</v>
      </c>
      <c r="J73" s="5">
        <v>153</v>
      </c>
      <c r="K73" s="5">
        <f>INDEX('Res Measure Mapping'!$X:$X,MATCH($B73,'Res Measure Mapping'!$B:$B,0))</f>
        <v>6219.5389808976252</v>
      </c>
      <c r="L73" s="5">
        <f>INDEX('Res Measure Mapping'!$Y:$Y,MATCH($B73,'Res Measure Mapping'!$B:$B,0))</f>
        <v>9494.9725117636044</v>
      </c>
      <c r="M73" s="74">
        <f t="shared" si="48"/>
        <v>0.52663606433306054</v>
      </c>
      <c r="N73" s="5">
        <f t="shared" si="37"/>
        <v>178</v>
      </c>
      <c r="O73" s="5">
        <f t="shared" si="49"/>
        <v>272</v>
      </c>
      <c r="P73" s="6">
        <v>0.6</v>
      </c>
      <c r="Q73" s="68">
        <f>INDEX('Res Measure Mapping'!$Q:$Q,MATCH($B73,'Res Measure Mapping'!$B:$B,0))</f>
        <v>0.26345669774378105</v>
      </c>
      <c r="R73" s="68" t="str">
        <f>INDEX('Res Measure Mapping'!$R:$R,MATCH($B73,'Res Measure Mapping'!$B:$B,0))</f>
        <v>sqft window</v>
      </c>
      <c r="S73" s="6">
        <f t="shared" si="24"/>
        <v>0.26345669774378105</v>
      </c>
      <c r="T73" s="59">
        <f t="shared" si="50"/>
        <v>46.89529219839303</v>
      </c>
      <c r="U73" s="7">
        <v>24.76</v>
      </c>
      <c r="V73" s="7">
        <f>INDEX('Res Measure Mapping'!$S:$S,MATCH($B73,'Res Measure Mapping'!$B:$B,0))</f>
        <v>29.09</v>
      </c>
      <c r="W73" s="7">
        <f t="shared" si="25"/>
        <v>29.09</v>
      </c>
      <c r="X73" s="8">
        <f>IF($D$3="Original",PV($AR$3,$AA73,(-0.05*0.95*$P73)),PV($AR$3,$AC73,(-0.05*0.95*$S73)))</f>
        <v>0.22048923145985946</v>
      </c>
      <c r="Y73" s="8">
        <f t="shared" si="51"/>
        <v>5178.0199999999995</v>
      </c>
      <c r="Z73" s="8">
        <f t="shared" si="52"/>
        <v>5177.7995107685392</v>
      </c>
      <c r="AA73" s="5">
        <v>45</v>
      </c>
      <c r="AB73" s="5">
        <f>INDEX('Res Measure Mapping'!$T:$T,MATCH($B73,'Res Measure Mapping'!$B:$B,0))</f>
        <v>45</v>
      </c>
      <c r="AC73" s="5">
        <f t="shared" si="54"/>
        <v>45</v>
      </c>
      <c r="AD73" s="59">
        <f t="shared" si="40"/>
        <v>826.25438315484166</v>
      </c>
      <c r="AE73" s="7">
        <f t="shared" si="53"/>
        <v>179.63670509719373</v>
      </c>
      <c r="AF73" s="7">
        <v>7</v>
      </c>
      <c r="AG73" s="7">
        <f>INDEX('Res Measure Mapping'!$U:$U,MATCH($B73,'Res Measure Mapping'!$B:$B,0))</f>
        <v>2.0000006513736386</v>
      </c>
      <c r="AH73" s="113">
        <v>7</v>
      </c>
      <c r="AI73" s="61">
        <f t="shared" si="41"/>
        <v>1246</v>
      </c>
      <c r="AJ73" s="9">
        <f t="shared" si="42"/>
        <v>1.5080101545028624</v>
      </c>
      <c r="AK73" s="9">
        <f t="shared" si="43"/>
        <v>1.7254210496938769</v>
      </c>
      <c r="AL73" s="10">
        <f>IFERROR(IF(D71="Original",IF($AI73=0,"-",(INDEX('APP 2885'!$G:$G,MATCH($C$2+$AA73-1,'APP 2885'!$A:$A,0))*$T73)/($AI73+$AE73)),IF($AI73=0,"-",(INDEX('APP 2885'!G:G,MATCH($C$2+$AC73-1,'APP 2885'!$A:$A,0))*$T73)/($AI73+$AE73))),"N/A")</f>
        <v>3.2779550734959519</v>
      </c>
      <c r="AM73" s="11">
        <f t="shared" si="44"/>
        <v>6.2665924881371673</v>
      </c>
      <c r="AN73" s="12">
        <f t="shared" si="45"/>
        <v>6.484003383328182</v>
      </c>
      <c r="AO73" s="10">
        <f>IFERROR(IF(D71="Original",IF($AI73=0,"-",(INDEX('APP 2885'!$G:$G,MATCH($C$2+$AA73-1,'APP 2885'!$A:$A,0))*$T73)/($Z73+$AE73)),IF($AI73=0,"-",(INDEX('APP 2885'!G:G,MATCH($C$2+$AC73-1,'APP 2885'!$A:$A,0))*$T73)/($Z73+$AE73))),"N/A")</f>
        <v>0.8722778736209813</v>
      </c>
      <c r="AP73" s="45"/>
      <c r="AQ73" s="13"/>
      <c r="AR73" s="13"/>
    </row>
    <row r="74" spans="2:44" ht="15.75" thickBot="1" x14ac:dyDescent="0.3">
      <c r="B74" s="66" t="str">
        <f t="shared" si="46"/>
        <v>Windows 0.30 U-factor_Zone 1_U Factor&lt;= 0.30</v>
      </c>
      <c r="C74" s="34" t="s">
        <v>67</v>
      </c>
      <c r="D74" s="34" t="s">
        <v>27</v>
      </c>
      <c r="E74" s="34" t="s">
        <v>68</v>
      </c>
      <c r="F74" s="34" t="str">
        <f t="shared" si="38"/>
        <v>U Factor&lt;= 0.30</v>
      </c>
      <c r="G74" s="14">
        <v>14</v>
      </c>
      <c r="H74" s="14">
        <f t="shared" si="36"/>
        <v>16</v>
      </c>
      <c r="I74" s="14">
        <f t="shared" si="47"/>
        <v>24</v>
      </c>
      <c r="J74" s="14">
        <v>1864</v>
      </c>
      <c r="K74" s="86">
        <f>INDEX('Res Measure Mapping'!$X:$X,MATCH($B74,'Res Measure Mapping'!$B:$B,0))</f>
        <v>8011.7694399632965</v>
      </c>
      <c r="L74" s="86">
        <f>INDEX('Res Measure Mapping'!$Y:$Y,MATCH($B74,'Res Measure Mapping'!$B:$B,0))</f>
        <v>12226.565301238596</v>
      </c>
      <c r="M74" s="90">
        <f t="shared" si="48"/>
        <v>0.52607553086233194</v>
      </c>
      <c r="N74" s="14">
        <f t="shared" si="37"/>
        <v>2173</v>
      </c>
      <c r="O74" s="14">
        <f t="shared" si="49"/>
        <v>3316</v>
      </c>
      <c r="P74" s="15">
        <v>0.22</v>
      </c>
      <c r="Q74" s="87">
        <f>INDEX('Res Measure Mapping'!$Q:$Q,MATCH($B74,'Res Measure Mapping'!$B:$B,0))</f>
        <v>0.26345669774378105</v>
      </c>
      <c r="R74" s="87" t="str">
        <f>INDEX('Res Measure Mapping'!$R:$R,MATCH($B74,'Res Measure Mapping'!$B:$B,0))</f>
        <v>sqft window</v>
      </c>
      <c r="S74" s="88">
        <f t="shared" si="24"/>
        <v>0.26345669774378105</v>
      </c>
      <c r="T74" s="60">
        <f t="shared" si="50"/>
        <v>572.49140419723619</v>
      </c>
      <c r="U74" s="16">
        <v>23.09</v>
      </c>
      <c r="V74" s="89">
        <f>INDEX('Res Measure Mapping'!$S:$S,MATCH($B74,'Res Measure Mapping'!$B:$B,0))</f>
        <v>29.09</v>
      </c>
      <c r="W74" s="76">
        <f t="shared" si="25"/>
        <v>29.09</v>
      </c>
      <c r="X74" s="17">
        <f t="shared" si="39"/>
        <v>0.22048923145985946</v>
      </c>
      <c r="Y74" s="17">
        <f t="shared" si="51"/>
        <v>63212.57</v>
      </c>
      <c r="Z74" s="17">
        <f t="shared" si="52"/>
        <v>63209.042172296642</v>
      </c>
      <c r="AA74" s="14">
        <v>45</v>
      </c>
      <c r="AB74" s="86">
        <f>INDEX('Res Measure Mapping'!$T:$T,MATCH($B74,'Res Measure Mapping'!$B:$B,0))</f>
        <v>45</v>
      </c>
      <c r="AC74" s="14">
        <f t="shared" si="54"/>
        <v>45</v>
      </c>
      <c r="AD74" s="60">
        <f t="shared" si="40"/>
        <v>10086.802104468938</v>
      </c>
      <c r="AE74" s="16">
        <f t="shared" si="53"/>
        <v>2192.980675147202</v>
      </c>
      <c r="AF74" s="16">
        <v>5</v>
      </c>
      <c r="AG74" s="89">
        <f>INDEX('Res Measure Mapping'!$U:$U,MATCH($B74,'Res Measure Mapping'!$B:$B,0))</f>
        <v>2.0000006513736381</v>
      </c>
      <c r="AH74" s="115">
        <v>5</v>
      </c>
      <c r="AI74" s="62">
        <f t="shared" si="41"/>
        <v>10865</v>
      </c>
      <c r="AJ74" s="18">
        <f t="shared" si="42"/>
        <v>1.0771501103591874</v>
      </c>
      <c r="AK74" s="18">
        <f t="shared" si="43"/>
        <v>1.2945610055502021</v>
      </c>
      <c r="AL74" s="84">
        <f>IFERROR(IF(D72="Original",IF($AI74=0,"-",(INDEX('APP 2885'!$G:$G,MATCH($C$2+$AA74-1,'APP 2885'!$A:$A,0))*$T74)/($AI74+$AE74)),IF($AI74=0,"-",(INDEX('APP 2885'!G:G,MATCH($C$2+$AC74-1,'APP 2885'!$A:$A,0))*$T74)/($AI74+$AE74))),"N/A")</f>
        <v>4.3689348431725374</v>
      </c>
      <c r="AM74" s="20">
        <f t="shared" si="44"/>
        <v>6.266509595176057</v>
      </c>
      <c r="AN74" s="21">
        <f t="shared" si="45"/>
        <v>6.4839204903670717</v>
      </c>
      <c r="AO74" s="84">
        <f>IFERROR(IF(D72="Original",IF($AI74=0,"-",(INDEX('APP 2885'!$G:$G,MATCH($C$2+$AA74-1,'APP 2885'!$A:$A,0))*$T74)/($Z74+$AE74)),IF($AI74=0,"-",(INDEX('APP 2885'!G:G,MATCH($C$2+$AC74-1,'APP 2885'!$A:$A,0))*$T74)/($Z74+$AE74))),"N/A")</f>
        <v>0.87228902516054174</v>
      </c>
      <c r="AP74" s="45"/>
      <c r="AQ74" s="13"/>
      <c r="AR74" s="13"/>
    </row>
    <row r="75" spans="2:44" ht="15.75" thickBot="1" x14ac:dyDescent="0.3">
      <c r="B75" s="66" t="str">
        <f t="shared" si="46"/>
        <v>Windows 0.30 U-factor_Zone 2_U Factor&lt;= 0.30</v>
      </c>
      <c r="C75" s="33" t="s">
        <v>67</v>
      </c>
      <c r="D75" s="33" t="s">
        <v>29</v>
      </c>
      <c r="E75" s="33" t="s">
        <v>68</v>
      </c>
      <c r="F75" s="33" t="str">
        <f t="shared" si="38"/>
        <v>U Factor&lt;= 0.30</v>
      </c>
      <c r="G75" s="5">
        <v>15</v>
      </c>
      <c r="H75" s="5">
        <f t="shared" si="36"/>
        <v>17</v>
      </c>
      <c r="I75" s="5">
        <f t="shared" si="47"/>
        <v>26</v>
      </c>
      <c r="J75" s="5">
        <v>2984</v>
      </c>
      <c r="K75" s="5">
        <f>INDEX('Res Measure Mapping'!$X:$X,MATCH($B75,'Res Measure Mapping'!$B:$B,0))</f>
        <v>3694.0328303265715</v>
      </c>
      <c r="L75" s="5">
        <f>INDEX('Res Measure Mapping'!$Y:$Y,MATCH($B75,'Res Measure Mapping'!$B:$B,0))</f>
        <v>5637.3731125635059</v>
      </c>
      <c r="M75" s="74">
        <f t="shared" si="48"/>
        <v>0.52607553086233216</v>
      </c>
      <c r="N75" s="5">
        <f t="shared" si="37"/>
        <v>3478</v>
      </c>
      <c r="O75" s="5">
        <f t="shared" si="49"/>
        <v>5308</v>
      </c>
      <c r="P75" s="6">
        <v>0.28999999999999998</v>
      </c>
      <c r="Q75" s="68">
        <f>INDEX('Res Measure Mapping'!$Q:$Q,MATCH($B75,'Res Measure Mapping'!$B:$B,0))</f>
        <v>0.26345669774378105</v>
      </c>
      <c r="R75" s="68" t="str">
        <f>INDEX('Res Measure Mapping'!$R:$R,MATCH($B75,'Res Measure Mapping'!$B:$B,0))</f>
        <v>sqft window</v>
      </c>
      <c r="S75" s="6">
        <f t="shared" si="24"/>
        <v>0.26345669774378105</v>
      </c>
      <c r="T75" s="59">
        <f t="shared" si="50"/>
        <v>916.30239475287055</v>
      </c>
      <c r="U75" s="7">
        <v>23.09</v>
      </c>
      <c r="V75" s="7">
        <f>INDEX('Res Measure Mapping'!$S:$S,MATCH($B75,'Res Measure Mapping'!$B:$B,0))</f>
        <v>29.09</v>
      </c>
      <c r="W75" s="7">
        <f t="shared" si="25"/>
        <v>29.09</v>
      </c>
      <c r="X75" s="8">
        <f t="shared" si="39"/>
        <v>0.22048923145985946</v>
      </c>
      <c r="Y75" s="8">
        <f t="shared" si="51"/>
        <v>101175.02</v>
      </c>
      <c r="Z75" s="8">
        <f t="shared" si="52"/>
        <v>101171.27168306519</v>
      </c>
      <c r="AA75" s="5">
        <v>45</v>
      </c>
      <c r="AB75" s="5">
        <f>INDEX('Res Measure Mapping'!$T:$T,MATCH($B75,'Res Measure Mapping'!$B:$B,0))</f>
        <v>45</v>
      </c>
      <c r="AC75" s="5">
        <f t="shared" si="54"/>
        <v>45</v>
      </c>
      <c r="AD75" s="59">
        <f t="shared" si="40"/>
        <v>16144.453621418761</v>
      </c>
      <c r="AE75" s="7">
        <f t="shared" si="53"/>
        <v>3509.9801142024708</v>
      </c>
      <c r="AF75" s="7">
        <v>5</v>
      </c>
      <c r="AG75" s="7">
        <f>INDEX('Res Measure Mapping'!$U:$U,MATCH($B75,'Res Measure Mapping'!$B:$B,0))</f>
        <v>2.0000006513736381</v>
      </c>
      <c r="AH75" s="113">
        <v>5</v>
      </c>
      <c r="AI75" s="61">
        <f t="shared" si="41"/>
        <v>17390</v>
      </c>
      <c r="AJ75" s="9">
        <f t="shared" si="42"/>
        <v>1.0771501103591874</v>
      </c>
      <c r="AK75" s="9">
        <f t="shared" si="43"/>
        <v>1.2945610055502019</v>
      </c>
      <c r="AL75" s="10">
        <f>IFERROR(IF(D73="Original",IF($AI75=0,"-",(INDEX('APP 2885'!$G:$G,MATCH($C$2+$AA75-1,'APP 2885'!$A:$A,0))*$T75)/($AI75+$AE75)),IF($AI75=0,"-",(INDEX('APP 2885'!G:G,MATCH($C$2+$AC75-1,'APP 2885'!$A:$A,0))*$T75)/($AI75+$AE75))),"N/A")</f>
        <v>4.3689348431725383</v>
      </c>
      <c r="AM75" s="11">
        <f t="shared" si="44"/>
        <v>6.2666271684067274</v>
      </c>
      <c r="AN75" s="12">
        <f t="shared" si="45"/>
        <v>6.4840380635977422</v>
      </c>
      <c r="AO75" s="10">
        <f>IFERROR(IF(D73="Original",IF($AI75=0,"-",(INDEX('APP 2885'!$G:$G,MATCH($C$2+$AA75-1,'APP 2885'!$A:$A,0))*$T75)/($Z75+$AE75)),IF($AI75=0,"-",(INDEX('APP 2885'!G:G,MATCH($C$2+$AC75-1,'APP 2885'!$A:$A,0))*$T75)/($Z75+$AE75))),"N/A")</f>
        <v>0.87227320819004261</v>
      </c>
      <c r="AP75" s="45"/>
      <c r="AQ75" s="13"/>
      <c r="AR75" s="13"/>
    </row>
    <row r="76" spans="2:44" ht="15.75" thickBot="1" x14ac:dyDescent="0.3">
      <c r="B76" s="66" t="str">
        <f t="shared" si="46"/>
        <v>Windows 0.30 U-factor_Zone 3_U Factor&lt;= 0.30</v>
      </c>
      <c r="C76" s="34" t="s">
        <v>67</v>
      </c>
      <c r="D76" s="34" t="s">
        <v>30</v>
      </c>
      <c r="E76" s="34" t="s">
        <v>68</v>
      </c>
      <c r="F76" s="34" t="str">
        <f t="shared" si="38"/>
        <v>U Factor&lt;= 0.30</v>
      </c>
      <c r="G76" s="14">
        <v>14</v>
      </c>
      <c r="H76" s="14">
        <f t="shared" si="36"/>
        <v>16</v>
      </c>
      <c r="I76" s="14">
        <f t="shared" si="47"/>
        <v>24</v>
      </c>
      <c r="J76" s="14">
        <v>2054</v>
      </c>
      <c r="K76" s="86">
        <f>INDEX('Res Measure Mapping'!$X:$X,MATCH($B76,'Res Measure Mapping'!$B:$B,0))</f>
        <v>6219.5389808976252</v>
      </c>
      <c r="L76" s="86">
        <f>INDEX('Res Measure Mapping'!$Y:$Y,MATCH($B76,'Res Measure Mapping'!$B:$B,0))</f>
        <v>9494.9725117636044</v>
      </c>
      <c r="M76" s="90">
        <f t="shared" si="48"/>
        <v>0.52663606433306054</v>
      </c>
      <c r="N76" s="14">
        <f t="shared" si="37"/>
        <v>2394</v>
      </c>
      <c r="O76" s="14">
        <f t="shared" si="49"/>
        <v>3655</v>
      </c>
      <c r="P76" s="15">
        <v>0.28999999999999998</v>
      </c>
      <c r="Q76" s="87">
        <f>INDEX('Res Measure Mapping'!$Q:$Q,MATCH($B76,'Res Measure Mapping'!$B:$B,0))</f>
        <v>0.26345669774378105</v>
      </c>
      <c r="R76" s="87" t="str">
        <f>INDEX('Res Measure Mapping'!$R:$R,MATCH($B76,'Res Measure Mapping'!$B:$B,0))</f>
        <v>sqft window</v>
      </c>
      <c r="S76" s="88">
        <f t="shared" si="24"/>
        <v>0.26345669774378105</v>
      </c>
      <c r="T76" s="60">
        <f t="shared" si="50"/>
        <v>630.71533439861184</v>
      </c>
      <c r="U76" s="16">
        <v>23.09</v>
      </c>
      <c r="V76" s="89">
        <f>INDEX('Res Measure Mapping'!$S:$S,MATCH($B76,'Res Measure Mapping'!$B:$B,0))</f>
        <v>29.09</v>
      </c>
      <c r="W76" s="76">
        <f t="shared" si="25"/>
        <v>29.09</v>
      </c>
      <c r="X76" s="17">
        <f t="shared" si="39"/>
        <v>0.22048923145985946</v>
      </c>
      <c r="Y76" s="17">
        <f t="shared" si="51"/>
        <v>69641.460000000006</v>
      </c>
      <c r="Z76" s="17">
        <f t="shared" si="52"/>
        <v>69637.932172296642</v>
      </c>
      <c r="AA76" s="14">
        <v>45</v>
      </c>
      <c r="AB76" s="86">
        <f>INDEX('Res Measure Mapping'!$T:$T,MATCH($B76,'Res Measure Mapping'!$B:$B,0))</f>
        <v>45</v>
      </c>
      <c r="AC76" s="14">
        <f t="shared" si="54"/>
        <v>45</v>
      </c>
      <c r="AD76" s="60">
        <f t="shared" si="40"/>
        <v>11112.657265576916</v>
      </c>
      <c r="AE76" s="16">
        <f t="shared" si="53"/>
        <v>2416.0127640600099</v>
      </c>
      <c r="AF76" s="16">
        <v>5</v>
      </c>
      <c r="AG76" s="89">
        <f>INDEX('Res Measure Mapping'!$U:$U,MATCH($B76,'Res Measure Mapping'!$B:$B,0))</f>
        <v>2.0000006513736386</v>
      </c>
      <c r="AH76" s="115">
        <v>5</v>
      </c>
      <c r="AI76" s="62">
        <f t="shared" si="41"/>
        <v>11970</v>
      </c>
      <c r="AJ76" s="18">
        <f t="shared" si="42"/>
        <v>1.0771501103591874</v>
      </c>
      <c r="AK76" s="18">
        <f t="shared" si="43"/>
        <v>1.2945610055502019</v>
      </c>
      <c r="AL76" s="84">
        <f>IFERROR(IF(D74="Original",IF($AI76=0,"-",(INDEX('APP 2885'!$G:$G,MATCH($C$2+$AA76-1,'APP 2885'!$A:$A,0))*$T76)/($AI76+$AE76)),IF($AI76=0,"-",(INDEX('APP 2885'!G:G,MATCH($C$2+$AC76-1,'APP 2885'!$A:$A,0))*$T76)/($AI76+$AE76))),"N/A")</f>
        <v>4.3689348431725383</v>
      </c>
      <c r="AM76" s="20">
        <f t="shared" si="44"/>
        <v>6.2665418817522918</v>
      </c>
      <c r="AN76" s="21">
        <f t="shared" si="45"/>
        <v>6.4839527769433065</v>
      </c>
      <c r="AO76" s="84">
        <f>IFERROR(IF(D74="Original",IF($AI76=0,"-",(INDEX('APP 2885'!$G:$G,MATCH($C$2+$AA76-1,'APP 2885'!$A:$A,0))*$T76)/($Z76+$AE76)),IF($AI76=0,"-",(INDEX('APP 2885'!G:G,MATCH($C$2+$AC76-1,'APP 2885'!$A:$A,0))*$T76)/($Z76+$AE76))),"N/A")</f>
        <v>0.87228468163320916</v>
      </c>
      <c r="AP76" s="45"/>
      <c r="AQ76" s="13"/>
      <c r="AR76" s="13"/>
    </row>
    <row r="77" spans="2:44" ht="15.75" thickBot="1" x14ac:dyDescent="0.3">
      <c r="B77" s="66" t="str">
        <f t="shared" si="46"/>
        <v>Windows 0.30 U-factor_Zone 3_U Factor&lt;= 0.30</v>
      </c>
      <c r="C77" s="33" t="s">
        <v>67</v>
      </c>
      <c r="D77" s="33" t="s">
        <v>30</v>
      </c>
      <c r="E77" s="33" t="s">
        <v>68</v>
      </c>
      <c r="F77" s="33" t="str">
        <f t="shared" si="38"/>
        <v>U Factor&lt;= 0.30</v>
      </c>
      <c r="G77" s="5">
        <v>1</v>
      </c>
      <c r="H77" s="5">
        <f t="shared" si="36"/>
        <v>1</v>
      </c>
      <c r="I77" s="5">
        <f t="shared" si="47"/>
        <v>2</v>
      </c>
      <c r="J77" s="5">
        <v>9</v>
      </c>
      <c r="K77" s="5">
        <f>INDEX('Res Measure Mapping'!$X:$X,MATCH($B77,'Res Measure Mapping'!$B:$B,0))</f>
        <v>6219.5389808976252</v>
      </c>
      <c r="L77" s="5">
        <f>INDEX('Res Measure Mapping'!$Y:$Y,MATCH($B77,'Res Measure Mapping'!$B:$B,0))</f>
        <v>9494.9725117636044</v>
      </c>
      <c r="M77" s="74">
        <f t="shared" si="48"/>
        <v>0.52663606433306054</v>
      </c>
      <c r="N77" s="5">
        <f t="shared" si="37"/>
        <v>10</v>
      </c>
      <c r="O77" s="5">
        <f t="shared" si="49"/>
        <v>15</v>
      </c>
      <c r="P77" s="6">
        <v>0.2</v>
      </c>
      <c r="Q77" s="68">
        <f>INDEX('Res Measure Mapping'!$Q:$Q,MATCH($B77,'Res Measure Mapping'!$B:$B,0))</f>
        <v>0.26345669774378105</v>
      </c>
      <c r="R77" s="68" t="str">
        <f>INDEX('Res Measure Mapping'!$R:$R,MATCH($B77,'Res Measure Mapping'!$B:$B,0))</f>
        <v>sqft window</v>
      </c>
      <c r="S77" s="6">
        <f t="shared" si="24"/>
        <v>0.26345669774378105</v>
      </c>
      <c r="T77" s="59">
        <f t="shared" si="50"/>
        <v>2.6345669774378107</v>
      </c>
      <c r="U77" s="7">
        <v>24.76</v>
      </c>
      <c r="V77" s="7">
        <f>INDEX('Res Measure Mapping'!$S:$S,MATCH($B77,'Res Measure Mapping'!$B:$B,0))</f>
        <v>29.09</v>
      </c>
      <c r="W77" s="7">
        <f t="shared" si="25"/>
        <v>29.09</v>
      </c>
      <c r="X77" s="8">
        <f t="shared" si="39"/>
        <v>0.22048923145985946</v>
      </c>
      <c r="Y77" s="8">
        <f t="shared" si="51"/>
        <v>290.89999999999998</v>
      </c>
      <c r="Z77" s="8">
        <f t="shared" si="52"/>
        <v>290.67951076854013</v>
      </c>
      <c r="AA77" s="5">
        <v>45</v>
      </c>
      <c r="AB77" s="5">
        <f>INDEX('Res Measure Mapping'!$T:$T,MATCH($B77,'Res Measure Mapping'!$B:$B,0))</f>
        <v>45</v>
      </c>
      <c r="AC77" s="5">
        <f t="shared" si="54"/>
        <v>45</v>
      </c>
      <c r="AD77" s="59">
        <f t="shared" si="40"/>
        <v>46.418785570496723</v>
      </c>
      <c r="AE77" s="7">
        <f t="shared" si="53"/>
        <v>10.091949724561445</v>
      </c>
      <c r="AF77" s="7">
        <v>5</v>
      </c>
      <c r="AG77" s="7">
        <f>INDEX('Res Measure Mapping'!$U:$U,MATCH($B77,'Res Measure Mapping'!$B:$B,0))</f>
        <v>2.0000006513736386</v>
      </c>
      <c r="AH77" s="113">
        <v>5</v>
      </c>
      <c r="AI77" s="61">
        <f t="shared" si="41"/>
        <v>50</v>
      </c>
      <c r="AJ77" s="9">
        <f t="shared" si="42"/>
        <v>1.0771501103591874</v>
      </c>
      <c r="AK77" s="9">
        <f t="shared" si="43"/>
        <v>1.2945610055502019</v>
      </c>
      <c r="AL77" s="10">
        <f>IFERROR(IF(D75="Original",IF($AI77=0,"-",(INDEX('APP 2885'!$G:$G,MATCH($C$2+$AA77-1,'APP 2885'!$A:$A,0))*$T77)/($AI77+$AE77)),IF($AI77=0,"-",(INDEX('APP 2885'!G:G,MATCH($C$2+$AC77-1,'APP 2885'!$A:$A,0))*$T77)/($AI77+$AE77))),"N/A")</f>
        <v>4.3689348431725383</v>
      </c>
      <c r="AM77" s="11">
        <f t="shared" si="44"/>
        <v>6.2621093420697518</v>
      </c>
      <c r="AN77" s="12">
        <f t="shared" si="45"/>
        <v>6.4795202372607665</v>
      </c>
      <c r="AO77" s="10">
        <f>IFERROR(IF(D75="Original",IF($AI77=0,"-",(INDEX('APP 2885'!$G:$G,MATCH($C$2+$AA77-1,'APP 2885'!$A:$A,0))*$T77)/($Z77+$AE77)),IF($AI77=0,"-",(INDEX('APP 2885'!G:G,MATCH($C$2+$AC77-1,'APP 2885'!$A:$A,0))*$T77)/($Z77+$AE77))),"N/A")</f>
        <v>0.87288139810668774</v>
      </c>
      <c r="AP77" s="45"/>
      <c r="AQ77" s="13"/>
      <c r="AR77" s="13"/>
    </row>
    <row r="78" spans="2:44" ht="15.75" thickBot="1" x14ac:dyDescent="0.3">
      <c r="C78" s="22" t="s">
        <v>69</v>
      </c>
      <c r="D78" s="23" t="s">
        <v>70</v>
      </c>
      <c r="E78" s="23" t="s">
        <v>70</v>
      </c>
      <c r="F78" s="23"/>
      <c r="G78" s="24">
        <v>2536</v>
      </c>
      <c r="H78" s="25"/>
      <c r="I78" s="25"/>
      <c r="J78" s="67">
        <f>SUM(J5:J77)</f>
        <v>2234444</v>
      </c>
      <c r="K78" s="67">
        <f>SUM(K5:K77)</f>
        <v>900803.92585972883</v>
      </c>
      <c r="L78" s="67"/>
      <c r="M78" s="67"/>
      <c r="N78" s="25"/>
      <c r="O78" s="25"/>
      <c r="P78" s="23" t="s">
        <v>70</v>
      </c>
      <c r="Q78" s="23"/>
      <c r="R78" s="23"/>
      <c r="S78" s="23"/>
      <c r="T78" s="26">
        <f>SUM(T5:T77)</f>
        <v>445948.36714129616</v>
      </c>
      <c r="U78" s="27">
        <f>SUM(U5:U77)</f>
        <v>53591.389999999978</v>
      </c>
      <c r="V78" s="27"/>
      <c r="W78" s="27"/>
      <c r="X78" s="27">
        <f>SUM(X5:X77)</f>
        <v>1617.5424998394813</v>
      </c>
      <c r="Y78" s="27">
        <f>SUM(Y5:Y77)</f>
        <v>8534942.0471158735</v>
      </c>
      <c r="Z78" s="27">
        <f>SUM(Z5:Z77)</f>
        <v>8450872.0691846143</v>
      </c>
      <c r="AA78" s="104">
        <f>ROUND(SUMPRODUCT(AA5:AA77,T5:T77)/SUM(T5:T77),0)</f>
        <v>36</v>
      </c>
      <c r="AB78" s="25">
        <f>ROUND(SUMPRODUCT(AB5:AB77,T5:T77)/SUM(T5:T77),0)</f>
        <v>36</v>
      </c>
      <c r="AC78" s="104">
        <f>ROUND(SUMPRODUCT(AC5:AC77,T5:T77)/SUM(T5:T77),0)</f>
        <v>36</v>
      </c>
      <c r="AD78" s="26">
        <f>SUM(AD5:AD77)</f>
        <v>6959403.3560603317</v>
      </c>
      <c r="AE78" s="58">
        <f>AR4</f>
        <v>1708246</v>
      </c>
      <c r="AF78" s="23" t="s">
        <v>70</v>
      </c>
      <c r="AG78" s="23"/>
      <c r="AH78" s="114"/>
      <c r="AI78" s="63">
        <f>SUM(AI5:AI77)</f>
        <v>6442192</v>
      </c>
      <c r="AJ78" s="27">
        <f t="shared" si="42"/>
        <v>0.92568165263622237</v>
      </c>
      <c r="AK78" s="27">
        <f t="shared" si="43"/>
        <v>1.1711403381875403</v>
      </c>
      <c r="AL78" s="28">
        <f>IF(VALUE(LEFT($AI78,11))=0,"-",IF(D3="Original",(INDEX('APP 2885'!G:G,MATCH(C2+AA78-1,'APP 2885'!A:A,0))*VALUE(LEFT($T78,7)))/(VALUE(LEFT($AI78,11))+$AE78),(INDEX('APP 2885'!G:G,MATCH(C2+AC78-1,'APP 2885'!A:A,0))*VALUE(LEFT($T78,7)))/(VALUE(LEFT($AI78,11))+$AE78)))</f>
        <v>3.9816528521276555</v>
      </c>
      <c r="AM78" s="27">
        <f t="shared" si="44"/>
        <v>1.2143098534194736</v>
      </c>
      <c r="AN78" s="27">
        <f t="shared" si="45"/>
        <v>1.4597685389707917</v>
      </c>
      <c r="AO78" s="28">
        <f>IF($AI78=0,"-",IF(C2="Original",(INDEX('APP 2885'!G:G,MATCH(C2+AA78-1,'APP 2885'!A:A,0))*$T78)/($Z78+$AE78),(INDEX('APP 2885'!G:G,MATCH(C2+AC78-1,'APP 2885'!A:A,0))*$T78)/($Z78+$AE78)))</f>
        <v>3.1943955375983619</v>
      </c>
      <c r="AQ78" s="13"/>
      <c r="AR78" s="13"/>
    </row>
    <row r="79" spans="2:44" x14ac:dyDescent="0.25">
      <c r="S79" s="110" t="s">
        <v>207</v>
      </c>
      <c r="T79" s="111">
        <f>T78+'2025'!T78</f>
        <v>972441.76162618736</v>
      </c>
    </row>
  </sheetData>
  <autoFilter ref="B4:AO4" xr:uid="{00000000-0001-0000-0000-000000000000}"/>
  <mergeCells count="3">
    <mergeCell ref="D1:AO1"/>
    <mergeCell ref="D2:AO2"/>
    <mergeCell ref="D3:E3"/>
  </mergeCells>
  <dataValidations disablePrompts="1" count="1">
    <dataValidation type="list" allowBlank="1" showInputMessage="1" showErrorMessage="1" sqref="D3:E3" xr:uid="{976E09F9-C414-4E1D-A556-FB42DAB15D8B}">
      <formula1>$AS$1:$AS$2</formula1>
    </dataValidation>
  </dataValidations>
  <pageMargins left="0" right="0" top="0" bottom="0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4371D-640D-46AD-A733-103F10CC3ED3}">
  <sheetPr>
    <tabColor theme="4"/>
    <outlinePr summaryBelow="0"/>
  </sheetPr>
  <dimension ref="B1:AS78"/>
  <sheetViews>
    <sheetView showGridLines="0" zoomScale="80" zoomScaleNormal="80" workbookViewId="0">
      <pane xSplit="6" ySplit="4" topLeftCell="G50" activePane="bottomRight" state="frozen"/>
      <selection pane="topRight" activeCell="E1" sqref="E1"/>
      <selection pane="bottomLeft" activeCell="A5" sqref="A5"/>
      <selection pane="bottomRight" activeCell="K42" sqref="K42"/>
    </sheetView>
  </sheetViews>
  <sheetFormatPr defaultRowHeight="15" x14ac:dyDescent="0.25"/>
  <cols>
    <col min="2" max="2" width="9.140625" hidden="1" customWidth="1"/>
    <col min="3" max="3" width="42.42578125" customWidth="1"/>
    <col min="4" max="4" width="10.42578125" customWidth="1"/>
    <col min="5" max="6" width="45.140625" customWidth="1"/>
    <col min="7" max="7" width="19.140625" customWidth="1"/>
    <col min="8" max="10" width="17.5703125" customWidth="1"/>
    <col min="11" max="13" width="18.5703125" customWidth="1"/>
    <col min="14" max="15" width="17.5703125" customWidth="1"/>
    <col min="16" max="20" width="21.140625" customWidth="1"/>
    <col min="21" max="23" width="25.85546875" customWidth="1"/>
    <col min="24" max="24" width="18.42578125" customWidth="1"/>
    <col min="25" max="25" width="25.42578125" customWidth="1"/>
    <col min="26" max="26" width="33.85546875" customWidth="1"/>
    <col min="27" max="28" width="12.7109375" customWidth="1"/>
    <col min="29" max="29" width="17.42578125" customWidth="1"/>
    <col min="30" max="30" width="20.85546875" customWidth="1"/>
    <col min="31" max="31" width="23.42578125" customWidth="1"/>
    <col min="32" max="33" width="15.85546875" customWidth="1"/>
    <col min="34" max="34" width="17.42578125" customWidth="1"/>
    <col min="35" max="35" width="19.85546875" customWidth="1"/>
    <col min="36" max="36" width="12.5703125" customWidth="1"/>
    <col min="37" max="37" width="19.5703125" customWidth="1"/>
    <col min="38" max="38" width="17.85546875" customWidth="1"/>
    <col min="39" max="39" width="21.5703125" customWidth="1"/>
    <col min="40" max="40" width="20.7109375" customWidth="1"/>
    <col min="41" max="41" width="21.42578125" customWidth="1"/>
    <col min="42" max="42" width="13.5703125" customWidth="1"/>
    <col min="43" max="43" width="37.7109375" customWidth="1"/>
    <col min="44" max="44" width="16.28515625" customWidth="1"/>
    <col min="45" max="45" width="0" hidden="1" customWidth="1"/>
  </cols>
  <sheetData>
    <row r="1" spans="2:45" ht="30" customHeight="1" thickBot="1" x14ac:dyDescent="0.3">
      <c r="C1" s="1" t="s">
        <v>0</v>
      </c>
      <c r="D1" s="116" t="s">
        <v>1</v>
      </c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Q1" s="2" t="s">
        <v>2</v>
      </c>
      <c r="AR1" s="3">
        <f>'APP 2885'!E63</f>
        <v>5.0599999999999999E-2</v>
      </c>
      <c r="AS1" t="s">
        <v>183</v>
      </c>
    </row>
    <row r="2" spans="2:45" ht="30" customHeight="1" thickBot="1" x14ac:dyDescent="0.3">
      <c r="C2" s="1">
        <v>2025</v>
      </c>
      <c r="D2" s="117" t="s">
        <v>3</v>
      </c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Q2" s="2" t="s">
        <v>4</v>
      </c>
      <c r="AR2" s="3">
        <f>'APP 2885'!E65</f>
        <v>0.02</v>
      </c>
      <c r="AS2" t="s">
        <v>184</v>
      </c>
    </row>
    <row r="3" spans="2:45" ht="24.95" customHeight="1" thickBot="1" x14ac:dyDescent="0.3">
      <c r="C3" s="83" t="s">
        <v>182</v>
      </c>
      <c r="D3" s="118" t="s">
        <v>184</v>
      </c>
      <c r="E3" s="119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Q3" s="2" t="s">
        <v>5</v>
      </c>
      <c r="AR3" s="3">
        <f>'APP 2885'!E62</f>
        <v>5.0599999999999999E-2</v>
      </c>
    </row>
    <row r="4" spans="2:45" ht="45.75" customHeight="1" thickTop="1" thickBot="1" x14ac:dyDescent="0.3">
      <c r="B4" t="s">
        <v>188</v>
      </c>
      <c r="C4" s="4" t="s">
        <v>6</v>
      </c>
      <c r="D4" s="4" t="s">
        <v>7</v>
      </c>
      <c r="E4" s="4" t="s">
        <v>8</v>
      </c>
      <c r="F4" s="4" t="s">
        <v>187</v>
      </c>
      <c r="G4" s="64" t="s">
        <v>197</v>
      </c>
      <c r="H4" s="4" t="s">
        <v>200</v>
      </c>
      <c r="I4" s="4" t="s">
        <v>201</v>
      </c>
      <c r="J4" s="4" t="s">
        <v>202</v>
      </c>
      <c r="K4" s="85" t="s">
        <v>174</v>
      </c>
      <c r="L4" s="85" t="s">
        <v>196</v>
      </c>
      <c r="M4" s="85" t="s">
        <v>205</v>
      </c>
      <c r="N4" s="4" t="s">
        <v>200</v>
      </c>
      <c r="O4" s="4" t="s">
        <v>206</v>
      </c>
      <c r="P4" s="4" t="s">
        <v>9</v>
      </c>
      <c r="Q4" s="85" t="s">
        <v>176</v>
      </c>
      <c r="R4" s="85" t="s">
        <v>177</v>
      </c>
      <c r="S4" s="4" t="s">
        <v>175</v>
      </c>
      <c r="T4" s="4" t="s">
        <v>10</v>
      </c>
      <c r="U4" s="4" t="s">
        <v>11</v>
      </c>
      <c r="V4" s="85" t="s">
        <v>178</v>
      </c>
      <c r="W4" s="4" t="s">
        <v>179</v>
      </c>
      <c r="X4" s="4" t="s">
        <v>12</v>
      </c>
      <c r="Y4" s="4" t="s">
        <v>13</v>
      </c>
      <c r="Z4" s="4" t="s">
        <v>14</v>
      </c>
      <c r="AA4" s="4" t="s">
        <v>15</v>
      </c>
      <c r="AB4" s="85" t="s">
        <v>180</v>
      </c>
      <c r="AC4" s="4" t="s">
        <v>181</v>
      </c>
      <c r="AD4" s="4" t="s">
        <v>16</v>
      </c>
      <c r="AE4" s="4" t="s">
        <v>17</v>
      </c>
      <c r="AF4" s="4" t="s">
        <v>18</v>
      </c>
      <c r="AG4" s="85" t="s">
        <v>185</v>
      </c>
      <c r="AH4" s="4" t="s">
        <v>186</v>
      </c>
      <c r="AI4" s="4" t="s">
        <v>19</v>
      </c>
      <c r="AJ4" s="4" t="s">
        <v>20</v>
      </c>
      <c r="AK4" s="4" t="s">
        <v>21</v>
      </c>
      <c r="AL4" s="4" t="s">
        <v>22</v>
      </c>
      <c r="AM4" s="4" t="s">
        <v>23</v>
      </c>
      <c r="AN4" s="4" t="s">
        <v>24</v>
      </c>
      <c r="AO4" s="4" t="s">
        <v>25</v>
      </c>
      <c r="AQ4" s="112" t="s">
        <v>225</v>
      </c>
      <c r="AR4" s="69">
        <v>1742411</v>
      </c>
    </row>
    <row r="5" spans="2:45" ht="15.75" thickBot="1" x14ac:dyDescent="0.3">
      <c r="B5" s="66" t="str">
        <f>C5&amp;"_"&amp;D5&amp;"_"&amp;E5</f>
        <v>0.91 UEF Tankless Water Heater_Zone 1_0.91+ UEF</v>
      </c>
      <c r="C5" s="33" t="s">
        <v>26</v>
      </c>
      <c r="D5" s="33" t="s">
        <v>27</v>
      </c>
      <c r="E5" s="33" t="s">
        <v>28</v>
      </c>
      <c r="F5" s="33" t="str">
        <f t="shared" ref="F5:F18" si="0">E5</f>
        <v>0.91+ UEF</v>
      </c>
      <c r="G5" s="5">
        <v>62</v>
      </c>
      <c r="H5" s="5">
        <f t="shared" ref="H5:H25" si="1">ROUND((G5/(7/12))*0.68,0)</f>
        <v>72</v>
      </c>
      <c r="I5" s="5">
        <f>ROUND(IFERROR(H5*IF(M5&lt;15%,(1+(M5+15%)),(1+M5)),H5),0)</f>
        <v>99</v>
      </c>
      <c r="J5" s="5">
        <v>62</v>
      </c>
      <c r="K5" s="5">
        <f>INDEX('Res Measure Mapping'!$X:$X,MATCH($B5,'Res Measure Mapping'!$B:$B,0))</f>
        <v>277.55282274129382</v>
      </c>
      <c r="L5" s="5">
        <f>INDEX('Res Measure Mapping'!$Y:$Y,MATCH($B5,'Res Measure Mapping'!$B:$B,0))</f>
        <v>382.34164728935735</v>
      </c>
      <c r="M5" s="74">
        <f>IFERROR((L5-K5)/K5,"N/A")</f>
        <v>0.37754551913073819</v>
      </c>
      <c r="N5" s="5">
        <f t="shared" ref="N5:N25" si="2">ROUND((J5/(7/12))*0.68,0)</f>
        <v>72</v>
      </c>
      <c r="O5" s="5">
        <f>ROUND(IFERROR(N5*IF(M5&lt;15%,(1+(M5+15%)),(1+M5)),N5),0)</f>
        <v>99</v>
      </c>
      <c r="P5" s="6">
        <v>64.58</v>
      </c>
      <c r="Q5" s="68">
        <f>INDEX('Res Measure Mapping'!$Q:$Q,MATCH($B5,'Res Measure Mapping'!$B:$B,0))</f>
        <v>64.799975134263008</v>
      </c>
      <c r="R5" s="68" t="str">
        <f>INDEX('Res Measure Mapping'!$R:$R,MATCH($B5,'Res Measure Mapping'!$B:$B,0))</f>
        <v>unit</v>
      </c>
      <c r="S5" s="6">
        <f t="shared" ref="S5:S18" si="3">Q5</f>
        <v>64.799975134263008</v>
      </c>
      <c r="T5" s="59">
        <f>IF($D$3="Original",IF(ISNUMBER(J5),J5*P5,""),IF(ISNUMBER(O5),O5*S5,""))</f>
        <v>6415.1975382920382</v>
      </c>
      <c r="U5" s="7">
        <v>1171</v>
      </c>
      <c r="V5" s="7">
        <f>INDEX('Res Measure Mapping'!$S:$S,MATCH($B5,'Res Measure Mapping'!$B:$B,0))</f>
        <v>1372.8834736842109</v>
      </c>
      <c r="W5" s="7">
        <f t="shared" ref="W5:W18" si="4">V5</f>
        <v>1372.8834736842109</v>
      </c>
      <c r="X5" s="8">
        <f t="shared" ref="X5:X33" si="5">IF($D$3="Original",PV($AR$3,$AA5,(-0.05*0.95*$P5)),PV($AR$3,$AC5,(-0.05*0.95*$S5)))</f>
        <v>38.164270963406679</v>
      </c>
      <c r="Y5" s="8">
        <f>IF($D$3="Original",IF(ISNUMBER(U5),U5*J5,""),IF(ISNUMBER(W5),W5*O5,""))</f>
        <v>135915.46389473689</v>
      </c>
      <c r="Z5" s="8">
        <f>IF($D$3="Original",Y5-G5*(X5),Y5-I5*(X5))</f>
        <v>132137.20106935964</v>
      </c>
      <c r="AA5" s="5">
        <v>13</v>
      </c>
      <c r="AB5" s="5">
        <f>INDEX('Res Measure Mapping'!$T:$T,MATCH($B5,'Res Measure Mapping'!$B:$B,0))</f>
        <v>20</v>
      </c>
      <c r="AC5" s="5">
        <f>IFERROR(ROUND(AB5,0),AA5)</f>
        <v>20</v>
      </c>
      <c r="AD5" s="59">
        <f t="shared" ref="AD5:AD33" si="6">IF($D$3="Original",PV($AR$3,$AA5,-$T5),PV($AR$3,$AC5,-$T5))</f>
        <v>79542.375271100245</v>
      </c>
      <c r="AE5" s="7">
        <f t="shared" ref="AE5:AE36" si="7">(T5/$T$78)*$AR$4</f>
        <v>21230.866094396442</v>
      </c>
      <c r="AF5" s="7">
        <v>350</v>
      </c>
      <c r="AG5" s="7">
        <f>INDEX('Res Measure Mapping'!$U:$U,MATCH($B5,'Res Measure Mapping'!$B:$B,0))</f>
        <v>661.94804201166164</v>
      </c>
      <c r="AH5" s="113">
        <v>700</v>
      </c>
      <c r="AI5" s="61">
        <f>IF($D$3="Original",IF(ISNUMBER(AF5),AF5*J5,""),IF(ISNUMBER(AH5),AH5*O5,""))</f>
        <v>69300</v>
      </c>
      <c r="AJ5" s="9">
        <f t="shared" ref="AJ5:AJ62" si="8">IF(ISERROR(AI5/AD5),0,AI5/AD5)</f>
        <v>0.87123372622213413</v>
      </c>
      <c r="AK5" s="9">
        <f t="shared" ref="AK5:AK62" si="9">IF(ISERROR((AE5+AI5)/AD5),0,(AE5+AI5)/AD5)</f>
        <v>1.1381463752602898</v>
      </c>
      <c r="AL5" s="10">
        <f>IFERROR(IF(D3="Original",IF($AI5=0,"-",(INDEX('APP 2885'!$G:$G,MATCH($C$2+$AA5-1,'APP 2885'!$A:$A,0))*$T5)/($AI5+$AE5)),IF($AI5=0,"-",(INDEX('APP 2885'!G:G,MATCH($C$2+$AC5-1,'APP 2885'!$A:$A,0))*$T5)/($AI5+$AE5))),"N/A")</f>
        <v>3.0030289823055862</v>
      </c>
      <c r="AM5" s="11">
        <f t="shared" ref="AM5:AM33" si="10">IF(ISERROR(SE5/AD5),0,Z5/AD5)</f>
        <v>1.6612176920666892</v>
      </c>
      <c r="AN5" s="12">
        <f t="shared" ref="AN5:AN62" si="11">IF(ISERROR(Z5/AD5),0,(Z5+AE5)/AD5)</f>
        <v>1.9281303411048447</v>
      </c>
      <c r="AO5" s="10">
        <f>IFERROR(IF(D3="Original",IF($AI5=0,"-",(INDEX('APP 2885'!$G:$G,MATCH($C$2+$AA5-1,'APP 2885'!$A:$A,0))*$T5)/($Z5+$AE5)),IF($AI5=0,"-",(INDEX('APP 2885'!G:G,MATCH($C$2+$AC5-1,'APP 2885'!$A:$A,0))*$T5)/($Z5+$AE5))),"N/A")</f>
        <v>1.7726428956323588</v>
      </c>
      <c r="AQ5" s="13"/>
      <c r="AR5" s="13"/>
    </row>
    <row r="6" spans="2:45" ht="15.75" thickBot="1" x14ac:dyDescent="0.3">
      <c r="B6" s="66" t="str">
        <f t="shared" ref="B6:B63" si="12">C6&amp;"_"&amp;D6&amp;"_"&amp;E6</f>
        <v>0.91 UEF Tankless Water Heater_Zone 2_0.91+ UEF</v>
      </c>
      <c r="C6" s="34" t="s">
        <v>26</v>
      </c>
      <c r="D6" s="34" t="s">
        <v>29</v>
      </c>
      <c r="E6" s="34" t="s">
        <v>28</v>
      </c>
      <c r="F6" s="34" t="str">
        <f t="shared" si="0"/>
        <v>0.91+ UEF</v>
      </c>
      <c r="G6" s="14">
        <v>12</v>
      </c>
      <c r="H6" s="14">
        <f t="shared" si="1"/>
        <v>14</v>
      </c>
      <c r="I6" s="14">
        <f t="shared" ref="I6:I63" si="13">ROUND(IFERROR(H6*IF(M6&lt;15%,(1+(M6+15%)),(1+M6)),H6),0)</f>
        <v>19</v>
      </c>
      <c r="J6" s="14">
        <v>12</v>
      </c>
      <c r="K6" s="86">
        <f>INDEX('Res Measure Mapping'!$X:$X,MATCH($B6,'Res Measure Mapping'!$B:$B,0))</f>
        <v>134.40789426614219</v>
      </c>
      <c r="L6" s="86">
        <f>INDEX('Res Measure Mapping'!$Y:$Y,MATCH($B6,'Res Measure Mapping'!$B:$B,0))</f>
        <v>185.15299248212216</v>
      </c>
      <c r="M6" s="90">
        <f t="shared" ref="M6:M63" si="14">IFERROR((L6-K6)/K6,"N/A")</f>
        <v>0.37754551913073775</v>
      </c>
      <c r="N6" s="14">
        <f t="shared" si="2"/>
        <v>14</v>
      </c>
      <c r="O6" s="14">
        <f t="shared" ref="O6:O63" si="15">ROUND(IFERROR(N6*IF(M6&lt;15%,(1+(M6+15%)),(1+M6)),N6),0)</f>
        <v>19</v>
      </c>
      <c r="P6" s="15">
        <v>64.22</v>
      </c>
      <c r="Q6" s="87">
        <f>INDEX('Res Measure Mapping'!$Q:$Q,MATCH($B6,'Res Measure Mapping'!$B:$B,0))</f>
        <v>64.440972501940209</v>
      </c>
      <c r="R6" s="87" t="str">
        <f>INDEX('Res Measure Mapping'!$R:$R,MATCH($B6,'Res Measure Mapping'!$B:$B,0))</f>
        <v>unit</v>
      </c>
      <c r="S6" s="88">
        <f t="shared" si="3"/>
        <v>64.440972501940209</v>
      </c>
      <c r="T6" s="77">
        <f t="shared" ref="T6:T63" si="16">IF($D$3="Original",IF(ISNUMBER(J6),J6*P6,""),IF(ISNUMBER(O6),O6*S6,""))</f>
        <v>1224.378477536864</v>
      </c>
      <c r="U6" s="76">
        <v>1171</v>
      </c>
      <c r="V6" s="89">
        <f>INDEX('Res Measure Mapping'!$S:$S,MATCH($B6,'Res Measure Mapping'!$B:$B,0))</f>
        <v>1372.8834736842109</v>
      </c>
      <c r="W6" s="76">
        <f t="shared" si="4"/>
        <v>1372.8834736842109</v>
      </c>
      <c r="X6" s="17">
        <f t="shared" si="5"/>
        <v>37.952834559177276</v>
      </c>
      <c r="Y6" s="17">
        <f t="shared" ref="Y6:Y63" si="17">IF($D$3="Original",IF(ISNUMBER(U6),U6*J6,""),IF(ISNUMBER(W6),W6*O6,""))</f>
        <v>26084.786000000007</v>
      </c>
      <c r="Z6" s="17">
        <f t="shared" ref="Z6:Z63" si="18">IF($D$3="Original",Y6-G6*(X6),Y6-I6*(X6))</f>
        <v>25363.682143375638</v>
      </c>
      <c r="AA6" s="14">
        <v>13</v>
      </c>
      <c r="AB6" s="86">
        <f>INDEX('Res Measure Mapping'!$T:$T,MATCH($B6,'Res Measure Mapping'!$B:$B,0))</f>
        <v>20</v>
      </c>
      <c r="AC6" s="14">
        <f t="shared" ref="AC6:AC69" si="19">IFERROR(ROUND(AB6,0),AA6)</f>
        <v>20</v>
      </c>
      <c r="AD6" s="60">
        <f t="shared" si="6"/>
        <v>15181.133823670911</v>
      </c>
      <c r="AE6" s="16">
        <f t="shared" si="7"/>
        <v>4052.0366442787467</v>
      </c>
      <c r="AF6" s="16">
        <v>350</v>
      </c>
      <c r="AG6" s="89">
        <f>INDEX('Res Measure Mapping'!$U:$U,MATCH($B6,'Res Measure Mapping'!$B:$B,0))</f>
        <v>661.94804201166164</v>
      </c>
      <c r="AH6" s="115">
        <v>700</v>
      </c>
      <c r="AI6" s="78">
        <f t="shared" ref="AI6:AI63" si="20">IF($D$3="Original",IF(ISNUMBER(AF6),AF6*J6,""),IF(ISNUMBER(AH6),AH6*O6,""))</f>
        <v>13300</v>
      </c>
      <c r="AJ6" s="18">
        <f t="shared" si="8"/>
        <v>0.87608739600610153</v>
      </c>
      <c r="AK6" s="18">
        <f t="shared" si="9"/>
        <v>1.143000045044257</v>
      </c>
      <c r="AL6" s="19">
        <f>IFERROR(IF(D4="Original",IF($AI6=0,"-",(INDEX('APP 2885'!$G:$G,MATCH($C$2+$AA6-1,'APP 2885'!$A:$A,0))*$T6)/($AI6+$AE6)),IF($AI6=0,"-",(INDEX('APP 2885'!G:G,MATCH($C$2+$AC6-1,'APP 2885'!$A:$A,0))*$T6)/($AI6+$AE6))),"N/A")</f>
        <v>2.9902768296744546</v>
      </c>
      <c r="AM6" s="20">
        <f t="shared" si="10"/>
        <v>1.6707370106854451</v>
      </c>
      <c r="AN6" s="21">
        <f t="shared" si="11"/>
        <v>1.9376496597236006</v>
      </c>
      <c r="AO6" s="19">
        <f>IFERROR(IF(D4="Original",IF($AI6=0,"-",(INDEX('APP 2885'!$G:$G,MATCH($C$2+$AA6-1,'APP 2885'!$A:$A,0))*$T6)/($Z6+$AE6)),IF($AI6=0,"-",(INDEX('APP 2885'!G:G,MATCH($C$2+$AC6-1,'APP 2885'!$A:$A,0))*$T6)/($Z6+$AE6))),"N/A")</f>
        <v>1.7639342250859995</v>
      </c>
      <c r="AQ6" s="13"/>
      <c r="AR6" s="13"/>
    </row>
    <row r="7" spans="2:45" ht="15.75" thickBot="1" x14ac:dyDescent="0.3">
      <c r="B7" s="66" t="str">
        <f t="shared" si="12"/>
        <v>0.91 UEF Tankless Water Heater_Zone 2_0.91+ UEF</v>
      </c>
      <c r="C7" s="33" t="s">
        <v>26</v>
      </c>
      <c r="D7" s="33" t="s">
        <v>29</v>
      </c>
      <c r="E7" s="33" t="s">
        <v>28</v>
      </c>
      <c r="F7" s="33" t="str">
        <f t="shared" si="0"/>
        <v>0.91+ UEF</v>
      </c>
      <c r="G7" s="5">
        <v>1</v>
      </c>
      <c r="H7" s="5">
        <f t="shared" si="1"/>
        <v>1</v>
      </c>
      <c r="I7" s="5">
        <f t="shared" si="13"/>
        <v>1</v>
      </c>
      <c r="J7" s="5">
        <v>1</v>
      </c>
      <c r="K7" s="5">
        <f>INDEX('Res Measure Mapping'!$X:$X,MATCH($B7,'Res Measure Mapping'!$B:$B,0))</f>
        <v>134.40789426614219</v>
      </c>
      <c r="L7" s="5">
        <f>INDEX('Res Measure Mapping'!$Y:$Y,MATCH($B7,'Res Measure Mapping'!$B:$B,0))</f>
        <v>185.15299248212216</v>
      </c>
      <c r="M7" s="74">
        <f t="shared" si="14"/>
        <v>0.37754551913073775</v>
      </c>
      <c r="N7" s="5">
        <f t="shared" si="2"/>
        <v>1</v>
      </c>
      <c r="O7" s="5">
        <f t="shared" si="15"/>
        <v>1</v>
      </c>
      <c r="P7" s="6">
        <v>60.03</v>
      </c>
      <c r="Q7" s="68">
        <f>INDEX('Res Measure Mapping'!$Q:$Q,MATCH($B7,'Res Measure Mapping'!$B:$B,0))</f>
        <v>64.440972501940209</v>
      </c>
      <c r="R7" s="68" t="str">
        <f>INDEX('Res Measure Mapping'!$R:$R,MATCH($B7,'Res Measure Mapping'!$B:$B,0))</f>
        <v>unit</v>
      </c>
      <c r="S7" s="6">
        <f t="shared" si="3"/>
        <v>64.440972501940209</v>
      </c>
      <c r="T7" s="59">
        <f t="shared" si="16"/>
        <v>64.440972501940209</v>
      </c>
      <c r="U7" s="7">
        <v>2533.17</v>
      </c>
      <c r="V7" s="7">
        <f>INDEX('Res Measure Mapping'!$S:$S,MATCH($B7,'Res Measure Mapping'!$B:$B,0))</f>
        <v>1372.8834736842109</v>
      </c>
      <c r="W7" s="7">
        <f t="shared" si="4"/>
        <v>1372.8834736842109</v>
      </c>
      <c r="X7" s="8">
        <f t="shared" si="5"/>
        <v>37.952834559177276</v>
      </c>
      <c r="Y7" s="8">
        <f t="shared" si="17"/>
        <v>1372.8834736842109</v>
      </c>
      <c r="Z7" s="8">
        <f t="shared" si="18"/>
        <v>1334.9306391250336</v>
      </c>
      <c r="AA7" s="5">
        <v>19</v>
      </c>
      <c r="AB7" s="5">
        <f>INDEX('Res Measure Mapping'!$T:$T,MATCH($B7,'Res Measure Mapping'!$B:$B,0))</f>
        <v>20</v>
      </c>
      <c r="AC7" s="5">
        <f t="shared" si="19"/>
        <v>20</v>
      </c>
      <c r="AD7" s="59">
        <f t="shared" si="6"/>
        <v>799.00704335110038</v>
      </c>
      <c r="AE7" s="7">
        <f t="shared" si="7"/>
        <v>213.26508654098663</v>
      </c>
      <c r="AF7" s="7">
        <v>350</v>
      </c>
      <c r="AG7" s="7">
        <f>INDEX('Res Measure Mapping'!$U:$U,MATCH($B7,'Res Measure Mapping'!$B:$B,0))</f>
        <v>661.94804201166164</v>
      </c>
      <c r="AH7" s="113">
        <v>700</v>
      </c>
      <c r="AI7" s="61">
        <f t="shared" si="20"/>
        <v>700</v>
      </c>
      <c r="AJ7" s="9">
        <f t="shared" si="8"/>
        <v>0.87608739600610175</v>
      </c>
      <c r="AK7" s="9">
        <f t="shared" si="9"/>
        <v>1.1430000450442575</v>
      </c>
      <c r="AL7" s="10">
        <f>IFERROR(IF(D5="Original",IF($AI7=0,"-",(INDEX('APP 2885'!$G:$G,MATCH($C$2+$AA7-1,'APP 2885'!$A:$A,0))*$T7)/($AI7+$AE7)),IF($AI7=0,"-",(INDEX('APP 2885'!G:G,MATCH($C$2+$AC7-1,'APP 2885'!$A:$A,0))*$T7)/($AI7+$AE7))),"N/A")</f>
        <v>2.9902768296744542</v>
      </c>
      <c r="AM7" s="11">
        <f t="shared" si="10"/>
        <v>1.6707370106854456</v>
      </c>
      <c r="AN7" s="12">
        <f t="shared" si="11"/>
        <v>1.9376496597236013</v>
      </c>
      <c r="AO7" s="10">
        <f>IFERROR(IF(D5="Original",IF($AI7=0,"-",(INDEX('APP 2885'!$G:$G,MATCH($C$2+$AA7-1,'APP 2885'!$A:$A,0))*$T7)/($Z7+$AE7)),IF($AI7=0,"-",(INDEX('APP 2885'!G:G,MATCH($C$2+$AC7-1,'APP 2885'!$A:$A,0))*$T7)/($Z7+$AE7))),"N/A")</f>
        <v>1.7639342250859993</v>
      </c>
      <c r="AQ7" s="13"/>
      <c r="AR7" s="13"/>
    </row>
    <row r="8" spans="2:45" ht="15.75" thickBot="1" x14ac:dyDescent="0.3">
      <c r="B8" s="66" t="str">
        <f t="shared" si="12"/>
        <v>0.91 UEF Tankless Water Heater_Zone 3_0.91+ UEF</v>
      </c>
      <c r="C8" s="34" t="s">
        <v>26</v>
      </c>
      <c r="D8" s="34" t="s">
        <v>30</v>
      </c>
      <c r="E8" s="34" t="s">
        <v>28</v>
      </c>
      <c r="F8" s="34" t="str">
        <f t="shared" si="0"/>
        <v>0.91+ UEF</v>
      </c>
      <c r="G8" s="14">
        <v>24</v>
      </c>
      <c r="H8" s="14">
        <f t="shared" si="1"/>
        <v>28</v>
      </c>
      <c r="I8" s="14">
        <f t="shared" si="13"/>
        <v>40</v>
      </c>
      <c r="J8" s="14">
        <v>24</v>
      </c>
      <c r="K8" s="86">
        <f>INDEX('Res Measure Mapping'!$X:$X,MATCH($B8,'Res Measure Mapping'!$B:$B,0))</f>
        <v>159.79924914328984</v>
      </c>
      <c r="L8" s="86">
        <f>INDEX('Res Measure Mapping'!$Y:$Y,MATCH($B8,'Res Measure Mapping'!$B:$B,0))</f>
        <v>226.89765682055514</v>
      </c>
      <c r="M8" s="90">
        <f t="shared" si="14"/>
        <v>0.4198918833285572</v>
      </c>
      <c r="N8" s="14">
        <f t="shared" si="2"/>
        <v>28</v>
      </c>
      <c r="O8" s="14">
        <f t="shared" si="15"/>
        <v>40</v>
      </c>
      <c r="P8" s="15">
        <v>63.68</v>
      </c>
      <c r="Q8" s="87">
        <f>INDEX('Res Measure Mapping'!$Q:$Q,MATCH($B8,'Res Measure Mapping'!$B:$B,0))</f>
        <v>61.831578947368456</v>
      </c>
      <c r="R8" s="87" t="str">
        <f>INDEX('Res Measure Mapping'!$R:$R,MATCH($B8,'Res Measure Mapping'!$B:$B,0))</f>
        <v>unit</v>
      </c>
      <c r="S8" s="88">
        <f t="shared" si="3"/>
        <v>61.831578947368456</v>
      </c>
      <c r="T8" s="77">
        <f t="shared" si="16"/>
        <v>2473.2631578947385</v>
      </c>
      <c r="U8" s="16">
        <v>1171</v>
      </c>
      <c r="V8" s="89">
        <f>INDEX('Res Measure Mapping'!$S:$S,MATCH($B8,'Res Measure Mapping'!$B:$B,0))</f>
        <v>1372.8804578479323</v>
      </c>
      <c r="W8" s="76">
        <f t="shared" si="4"/>
        <v>1372.8804578479323</v>
      </c>
      <c r="X8" s="17">
        <f t="shared" si="5"/>
        <v>36.416019113484495</v>
      </c>
      <c r="Y8" s="17">
        <f t="shared" si="17"/>
        <v>54915.218313917292</v>
      </c>
      <c r="Z8" s="17">
        <f t="shared" si="18"/>
        <v>53458.577549377915</v>
      </c>
      <c r="AA8" s="14">
        <v>13</v>
      </c>
      <c r="AB8" s="86">
        <f>INDEX('Res Measure Mapping'!$T:$T,MATCH($B8,'Res Measure Mapping'!$B:$B,0))</f>
        <v>20</v>
      </c>
      <c r="AC8" s="14">
        <f t="shared" si="19"/>
        <v>20</v>
      </c>
      <c r="AD8" s="60">
        <f t="shared" si="6"/>
        <v>30666.121358723787</v>
      </c>
      <c r="AE8" s="16">
        <f t="shared" si="7"/>
        <v>8185.1756875825295</v>
      </c>
      <c r="AF8" s="16">
        <v>350</v>
      </c>
      <c r="AG8" s="89">
        <f>INDEX('Res Measure Mapping'!$U:$U,MATCH($B8,'Res Measure Mapping'!$B:$B,0))</f>
        <v>661.94804201166164</v>
      </c>
      <c r="AH8" s="115">
        <v>700</v>
      </c>
      <c r="AI8" s="78">
        <f t="shared" si="20"/>
        <v>28000</v>
      </c>
      <c r="AJ8" s="18">
        <f t="shared" si="8"/>
        <v>0.91305971408851361</v>
      </c>
      <c r="AK8" s="18">
        <f t="shared" si="9"/>
        <v>1.1799723631266692</v>
      </c>
      <c r="AL8" s="19">
        <f>IFERROR(IF(D6="Original",IF($AI8=0,"-",(INDEX('APP 2885'!$G:$G,MATCH($C$2+$AA8-1,'APP 2885'!$A:$A,0))*$T8)/($AI8+$AE8)),IF($AI8=0,"-",(INDEX('APP 2885'!G:G,MATCH($C$2+$AC8-1,'APP 2885'!$A:$A,0))*$T8)/($AI8+$AE8))),"N/A")</f>
        <v>2.8965818673549668</v>
      </c>
      <c r="AM8" s="20">
        <f t="shared" si="10"/>
        <v>1.7432454833147724</v>
      </c>
      <c r="AN8" s="21">
        <f t="shared" si="11"/>
        <v>2.0101581323529283</v>
      </c>
      <c r="AO8" s="19">
        <f>IFERROR(IF(D6="Original",IF($AI8=0,"-",(INDEX('APP 2885'!$G:$G,MATCH($C$2+$AA8-1,'APP 2885'!$A:$A,0))*$T8)/($Z8+$AE8)),IF($AI8=0,"-",(INDEX('APP 2885'!G:G,MATCH($C$2+$AC8-1,'APP 2885'!$A:$A,0))*$T8)/($Z8+$AE8))),"N/A")</f>
        <v>1.7003073021981607</v>
      </c>
      <c r="AQ8" s="13"/>
      <c r="AR8" s="13"/>
    </row>
    <row r="9" spans="2:45" ht="15.75" thickBot="1" x14ac:dyDescent="0.3">
      <c r="B9" s="66" t="str">
        <f t="shared" si="12"/>
        <v>0.91 UEF Tankless Water Heater_Zone 3_0.91+ UEF</v>
      </c>
      <c r="C9" s="33" t="s">
        <v>26</v>
      </c>
      <c r="D9" s="33" t="s">
        <v>30</v>
      </c>
      <c r="E9" s="33" t="s">
        <v>28</v>
      </c>
      <c r="F9" s="33" t="str">
        <f t="shared" si="0"/>
        <v>0.91+ UEF</v>
      </c>
      <c r="G9" s="5">
        <v>1</v>
      </c>
      <c r="H9" s="5">
        <f t="shared" si="1"/>
        <v>1</v>
      </c>
      <c r="I9" s="5">
        <f t="shared" si="13"/>
        <v>1</v>
      </c>
      <c r="J9" s="5">
        <v>1</v>
      </c>
      <c r="K9" s="5">
        <f>INDEX('Res Measure Mapping'!$X:$X,MATCH($B9,'Res Measure Mapping'!$B:$B,0))</f>
        <v>159.79924914328984</v>
      </c>
      <c r="L9" s="5">
        <f>INDEX('Res Measure Mapping'!$Y:$Y,MATCH($B9,'Res Measure Mapping'!$B:$B,0))</f>
        <v>226.89765682055514</v>
      </c>
      <c r="M9" s="74">
        <f t="shared" si="14"/>
        <v>0.4198918833285572</v>
      </c>
      <c r="N9" s="5">
        <f t="shared" si="2"/>
        <v>1</v>
      </c>
      <c r="O9" s="5">
        <f t="shared" si="15"/>
        <v>1</v>
      </c>
      <c r="P9" s="6">
        <v>60.03</v>
      </c>
      <c r="Q9" s="68">
        <f>INDEX('Res Measure Mapping'!$Q:$Q,MATCH($B9,'Res Measure Mapping'!$B:$B,0))</f>
        <v>61.831578947368456</v>
      </c>
      <c r="R9" s="68" t="str">
        <f>INDEX('Res Measure Mapping'!$R:$R,MATCH($B9,'Res Measure Mapping'!$B:$B,0))</f>
        <v>unit</v>
      </c>
      <c r="S9" s="6">
        <f t="shared" si="3"/>
        <v>61.831578947368456</v>
      </c>
      <c r="T9" s="59">
        <f t="shared" si="16"/>
        <v>61.831578947368456</v>
      </c>
      <c r="U9" s="7">
        <v>2533.17</v>
      </c>
      <c r="V9" s="7">
        <f>INDEX('Res Measure Mapping'!$S:$S,MATCH($B9,'Res Measure Mapping'!$B:$B,0))</f>
        <v>1372.8804578479323</v>
      </c>
      <c r="W9" s="7">
        <f t="shared" si="4"/>
        <v>1372.8804578479323</v>
      </c>
      <c r="X9" s="8">
        <f t="shared" si="5"/>
        <v>36.416019113484495</v>
      </c>
      <c r="Y9" s="8">
        <f t="shared" si="17"/>
        <v>1372.8804578479323</v>
      </c>
      <c r="Z9" s="8">
        <f t="shared" si="18"/>
        <v>1336.4644387344479</v>
      </c>
      <c r="AA9" s="5">
        <v>19</v>
      </c>
      <c r="AB9" s="5">
        <f>INDEX('Res Measure Mapping'!$T:$T,MATCH($B9,'Res Measure Mapping'!$B:$B,0))</f>
        <v>20</v>
      </c>
      <c r="AC9" s="5">
        <f t="shared" si="19"/>
        <v>20</v>
      </c>
      <c r="AD9" s="59">
        <f t="shared" si="6"/>
        <v>766.65303396809463</v>
      </c>
      <c r="AE9" s="7">
        <f t="shared" si="7"/>
        <v>204.62939218956319</v>
      </c>
      <c r="AF9" s="7">
        <v>350</v>
      </c>
      <c r="AG9" s="7">
        <f>INDEX('Res Measure Mapping'!$U:$U,MATCH($B9,'Res Measure Mapping'!$B:$B,0))</f>
        <v>661.94804201166164</v>
      </c>
      <c r="AH9" s="113">
        <v>700</v>
      </c>
      <c r="AI9" s="61">
        <f t="shared" si="20"/>
        <v>700</v>
      </c>
      <c r="AJ9" s="9">
        <f t="shared" si="8"/>
        <v>0.91305971408851361</v>
      </c>
      <c r="AK9" s="9">
        <f t="shared" si="9"/>
        <v>1.1799723631266692</v>
      </c>
      <c r="AL9" s="10">
        <f>IFERROR(IF(D7="Original",IF($AI9=0,"-",(INDEX('APP 2885'!$G:$G,MATCH($C$2+$AA9-1,'APP 2885'!$A:$A,0))*$T9)/($AI9+$AE9)),IF($AI9=0,"-",(INDEX('APP 2885'!G:G,MATCH($C$2+$AC9-1,'APP 2885'!$A:$A,0))*$T9)/($AI9+$AE9))),"N/A")</f>
        <v>2.8965818673549668</v>
      </c>
      <c r="AM9" s="11">
        <f t="shared" si="10"/>
        <v>1.7432454833147726</v>
      </c>
      <c r="AN9" s="12">
        <f t="shared" si="11"/>
        <v>2.0101581323529278</v>
      </c>
      <c r="AO9" s="10">
        <f>IFERROR(IF(D7="Original",IF($AI9=0,"-",(INDEX('APP 2885'!$G:$G,MATCH($C$2+$AA9-1,'APP 2885'!$A:$A,0))*$T9)/($Z9+$AE9)),IF($AI9=0,"-",(INDEX('APP 2885'!G:G,MATCH($C$2+$AC9-1,'APP 2885'!$A:$A,0))*$T9)/($Z9+$AE9))),"N/A")</f>
        <v>1.7003073021981607</v>
      </c>
      <c r="AQ9" s="13"/>
      <c r="AR9" s="13"/>
    </row>
    <row r="10" spans="2:45" ht="15.75" thickBot="1" x14ac:dyDescent="0.3">
      <c r="B10" s="66" t="str">
        <f t="shared" si="12"/>
        <v>95% AFUE New Gas Furnace (New &amp; Existing)_Zone 1_95+% Annual Fuel Utilization Efficiency (AFUE)</v>
      </c>
      <c r="C10" s="34" t="s">
        <v>31</v>
      </c>
      <c r="D10" s="34" t="s">
        <v>27</v>
      </c>
      <c r="E10" s="34" t="s">
        <v>32</v>
      </c>
      <c r="F10" s="34" t="str">
        <f t="shared" si="0"/>
        <v>95+% Annual Fuel Utilization Efficiency (AFUE)</v>
      </c>
      <c r="G10" s="14">
        <v>430</v>
      </c>
      <c r="H10" s="14">
        <f t="shared" si="1"/>
        <v>501</v>
      </c>
      <c r="I10" s="14">
        <f t="shared" si="13"/>
        <v>595</v>
      </c>
      <c r="J10" s="14">
        <v>433</v>
      </c>
      <c r="K10" s="86">
        <f>INDEX('Res Measure Mapping'!$X:$X,MATCH($B10,'Res Measure Mapping'!$B:$B,0))</f>
        <v>277.80661333497426</v>
      </c>
      <c r="L10" s="86">
        <f>INDEX('Res Measure Mapping'!$Y:$Y,MATCH($B10,'Res Measure Mapping'!$B:$B,0))</f>
        <v>329.97240111952357</v>
      </c>
      <c r="M10" s="90">
        <f t="shared" si="14"/>
        <v>0.18777734323282194</v>
      </c>
      <c r="N10" s="14">
        <f t="shared" si="2"/>
        <v>505</v>
      </c>
      <c r="O10" s="14">
        <f t="shared" si="15"/>
        <v>600</v>
      </c>
      <c r="P10" s="15">
        <v>94.58</v>
      </c>
      <c r="Q10" s="87">
        <f>INDEX('Res Measure Mapping'!$Q:$Q,MATCH($B10,'Res Measure Mapping'!$B:$B,0))</f>
        <v>87.144236993867992</v>
      </c>
      <c r="R10" s="87" t="str">
        <f>INDEX('Res Measure Mapping'!$R:$R,MATCH($B10,'Res Measure Mapping'!$B:$B,0))</f>
        <v>kBTU/hr</v>
      </c>
      <c r="S10" s="88">
        <f t="shared" si="3"/>
        <v>87.144236993867992</v>
      </c>
      <c r="T10" s="77">
        <f t="shared" si="16"/>
        <v>52286.542196320792</v>
      </c>
      <c r="U10" s="16">
        <v>1024</v>
      </c>
      <c r="V10" s="89">
        <f>INDEX('Res Measure Mapping'!$S:$S,MATCH($B10,'Res Measure Mapping'!$B:$B,0))</f>
        <v>810.48534881323485</v>
      </c>
      <c r="W10" s="76">
        <f t="shared" si="4"/>
        <v>810.48534881323485</v>
      </c>
      <c r="X10" s="17">
        <f t="shared" si="5"/>
        <v>54.189470936882337</v>
      </c>
      <c r="Y10" s="17">
        <f t="shared" si="17"/>
        <v>486291.20928794093</v>
      </c>
      <c r="Z10" s="17">
        <f t="shared" si="18"/>
        <v>454048.47408049594</v>
      </c>
      <c r="AA10" s="14">
        <v>22</v>
      </c>
      <c r="AB10" s="86">
        <f>INDEX('Res Measure Mapping'!$T:$T,MATCH($B10,'Res Measure Mapping'!$B:$B,0))</f>
        <v>21.5</v>
      </c>
      <c r="AC10" s="14">
        <f t="shared" si="19"/>
        <v>22</v>
      </c>
      <c r="AD10" s="60">
        <f t="shared" si="6"/>
        <v>684498.58025535592</v>
      </c>
      <c r="AE10" s="16">
        <f t="shared" si="7"/>
        <v>173040.43551005641</v>
      </c>
      <c r="AF10" s="16">
        <v>650</v>
      </c>
      <c r="AG10" s="89">
        <f>INDEX('Res Measure Mapping'!$U:$U,MATCH($B10,'Res Measure Mapping'!$B:$B,0))</f>
        <v>686.16827933505942</v>
      </c>
      <c r="AH10" s="115">
        <v>800</v>
      </c>
      <c r="AI10" s="78">
        <f t="shared" si="20"/>
        <v>480000</v>
      </c>
      <c r="AJ10" s="18">
        <f t="shared" si="8"/>
        <v>0.70124323679522227</v>
      </c>
      <c r="AK10" s="18">
        <f t="shared" si="9"/>
        <v>0.95404205990673663</v>
      </c>
      <c r="AL10" s="19">
        <f>IFERROR(IF(D8="Original",IF($AI10=0,"-",(INDEX('APP 2885'!$G:$G,MATCH($C$2+$AA10-1,'APP 2885'!$A:$A,0))*$T10)/($AI10+$AE10)),IF($AI10=0,"-",(INDEX('APP 2885'!G:G,MATCH($C$2+$AC10-1,'APP 2885'!$A:$A,0))*$T10)/($AI10+$AE10))),"N/A")</f>
        <v>3.6544148661968046</v>
      </c>
      <c r="AM10" s="20">
        <f t="shared" si="10"/>
        <v>0.66333004505445536</v>
      </c>
      <c r="AN10" s="21">
        <f t="shared" si="11"/>
        <v>0.91612886816596961</v>
      </c>
      <c r="AO10" s="19">
        <f>IFERROR(IF(D8="Original",IF($AI10=0,"-",(INDEX('APP 2885'!$G:$G,MATCH($C$2+$AA10-1,'APP 2885'!$A:$A,0))*$T10)/($Z10+$AE10)),IF($AI10=0,"-",(INDEX('APP 2885'!G:G,MATCH($C$2+$AC10-1,'APP 2885'!$A:$A,0))*$T10)/($Z10+$AE10))),"N/A")</f>
        <v>3.8056496283976706</v>
      </c>
      <c r="AQ10" s="13"/>
      <c r="AR10" s="13"/>
    </row>
    <row r="11" spans="2:45" ht="15.75" thickBot="1" x14ac:dyDescent="0.3">
      <c r="B11" s="66" t="str">
        <f t="shared" si="12"/>
        <v>95% AFUE New Gas Furnace (New &amp; Existing)_Zone 1_High-Efficiency Natural Gas Furnace</v>
      </c>
      <c r="C11" s="33" t="s">
        <v>31</v>
      </c>
      <c r="D11" s="33" t="s">
        <v>27</v>
      </c>
      <c r="E11" s="33" t="s">
        <v>33</v>
      </c>
      <c r="F11" s="33" t="s">
        <v>32</v>
      </c>
      <c r="G11" s="5">
        <v>1</v>
      </c>
      <c r="H11" s="5">
        <f t="shared" si="1"/>
        <v>1</v>
      </c>
      <c r="I11" s="5">
        <f t="shared" si="13"/>
        <v>1</v>
      </c>
      <c r="J11" s="5">
        <v>1</v>
      </c>
      <c r="K11" s="5">
        <f>INDEX('Res Measure Mapping'!$X:$X,MATCH($B11,'Res Measure Mapping'!$B:$B,0))</f>
        <v>42.458464661815327</v>
      </c>
      <c r="L11" s="5">
        <f>INDEX('Res Measure Mapping'!$Y:$Y,MATCH($B11,'Res Measure Mapping'!$B:$B,0))</f>
        <v>50.886643536057981</v>
      </c>
      <c r="M11" s="74">
        <f t="shared" si="14"/>
        <v>0.19850408961731647</v>
      </c>
      <c r="N11" s="5">
        <f t="shared" si="2"/>
        <v>1</v>
      </c>
      <c r="O11" s="5">
        <f t="shared" si="15"/>
        <v>1</v>
      </c>
      <c r="P11" s="6">
        <v>89</v>
      </c>
      <c r="Q11" s="68">
        <f>INDEX('Res Measure Mapping'!$Q:$Q,MATCH($B11,'Res Measure Mapping'!$B:$B,0))</f>
        <v>58.269754736620598</v>
      </c>
      <c r="R11" s="68" t="str">
        <f>INDEX('Res Measure Mapping'!$R:$R,MATCH($B11,'Res Measure Mapping'!$B:$B,0))</f>
        <v>kBTU/hr</v>
      </c>
      <c r="S11" s="6">
        <f t="shared" si="3"/>
        <v>58.269754736620598</v>
      </c>
      <c r="T11" s="59">
        <f t="shared" si="16"/>
        <v>58.269754736620598</v>
      </c>
      <c r="U11" s="7">
        <v>1024</v>
      </c>
      <c r="V11" s="7">
        <f>INDEX('Res Measure Mapping'!$S:$S,MATCH($B11,'Res Measure Mapping'!$B:$B,0))</f>
        <v>810.48534881323485</v>
      </c>
      <c r="W11" s="7">
        <f t="shared" si="4"/>
        <v>810.48534881323485</v>
      </c>
      <c r="X11" s="8">
        <f t="shared" si="5"/>
        <v>36.234262754765453</v>
      </c>
      <c r="Y11" s="8">
        <f t="shared" si="17"/>
        <v>810.48534881323485</v>
      </c>
      <c r="Z11" s="8">
        <f t="shared" si="18"/>
        <v>774.25108605846935</v>
      </c>
      <c r="AA11" s="5">
        <v>22</v>
      </c>
      <c r="AB11" s="5">
        <f>INDEX('Res Measure Mapping'!$T:$T,MATCH($B11,'Res Measure Mapping'!$B:$B,0))</f>
        <v>21.5</v>
      </c>
      <c r="AC11" s="5">
        <f t="shared" si="19"/>
        <v>22</v>
      </c>
      <c r="AD11" s="59">
        <f t="shared" si="6"/>
        <v>762.82658431085144</v>
      </c>
      <c r="AE11" s="7">
        <f t="shared" si="7"/>
        <v>192.84166275195963</v>
      </c>
      <c r="AF11" s="7">
        <v>400</v>
      </c>
      <c r="AG11" s="7">
        <f>INDEX('Res Measure Mapping'!$U:$U,MATCH($B11,'Res Measure Mapping'!$B:$B,0))</f>
        <v>695.48372644903623</v>
      </c>
      <c r="AH11" s="113">
        <v>800</v>
      </c>
      <c r="AI11" s="61">
        <f t="shared" si="20"/>
        <v>800</v>
      </c>
      <c r="AJ11" s="9">
        <f t="shared" si="8"/>
        <v>1.048731148669565</v>
      </c>
      <c r="AK11" s="9">
        <f t="shared" si="9"/>
        <v>1.3015299717810793</v>
      </c>
      <c r="AL11" s="10">
        <f>IFERROR(IF(D9="Original",IF($AI11=0,"-",(INDEX('APP 2885'!$G:$G,MATCH($C$2+$AA11-1,'APP 2885'!$A:$A,0))*$T11)/($AI11+$AE11)),IF($AI11=0,"-",(INDEX('APP 2885'!G:G,MATCH($C$2+$AC11-1,'APP 2885'!$A:$A,0))*$T11)/($AI11+$AE11))),"N/A")</f>
        <v>2.6787439108522002</v>
      </c>
      <c r="AM11" s="11">
        <f t="shared" si="10"/>
        <v>1.0149765385509459</v>
      </c>
      <c r="AN11" s="12">
        <f t="shared" si="11"/>
        <v>1.2677753616624603</v>
      </c>
      <c r="AO11" s="10">
        <f>IFERROR(IF(D9="Original",IF($AI11=0,"-",(INDEX('APP 2885'!$G:$G,MATCH($C$2+$AA11-1,'APP 2885'!$A:$A,0))*$T11)/($Z11+$AE11)),IF($AI11=0,"-",(INDEX('APP 2885'!G:G,MATCH($C$2+$AC11-1,'APP 2885'!$A:$A,0))*$T11)/($Z11+$AE11))),"N/A")</f>
        <v>2.750065659998572</v>
      </c>
      <c r="AQ11" s="13"/>
      <c r="AR11" s="13"/>
    </row>
    <row r="12" spans="2:45" ht="15.75" thickBot="1" x14ac:dyDescent="0.3">
      <c r="B12" s="66" t="str">
        <f t="shared" si="12"/>
        <v>95% AFUE New Gas Furnace (New &amp; Existing)_Zone 2_95+% Annual Fuel Utilization Efficiency (AFUE)</v>
      </c>
      <c r="C12" s="34" t="s">
        <v>31</v>
      </c>
      <c r="D12" s="34" t="s">
        <v>29</v>
      </c>
      <c r="E12" s="34" t="s">
        <v>32</v>
      </c>
      <c r="F12" s="34" t="s">
        <v>32</v>
      </c>
      <c r="G12" s="14">
        <v>91</v>
      </c>
      <c r="H12" s="14">
        <f t="shared" si="1"/>
        <v>106</v>
      </c>
      <c r="I12" s="14">
        <f t="shared" si="13"/>
        <v>126</v>
      </c>
      <c r="J12" s="14">
        <v>91</v>
      </c>
      <c r="K12" s="86">
        <f>INDEX('Res Measure Mapping'!$X:$X,MATCH($B12,'Res Measure Mapping'!$B:$B,0))</f>
        <v>138.8530524619712</v>
      </c>
      <c r="L12" s="86">
        <f>INDEX('Res Measure Mapping'!$Y:$Y,MATCH($B12,'Res Measure Mapping'!$B:$B,0))</f>
        <v>164.97715084908032</v>
      </c>
      <c r="M12" s="90">
        <f t="shared" si="14"/>
        <v>0.18814205322755817</v>
      </c>
      <c r="N12" s="14">
        <f t="shared" si="2"/>
        <v>106</v>
      </c>
      <c r="O12" s="14">
        <f t="shared" si="15"/>
        <v>126</v>
      </c>
      <c r="P12" s="15">
        <v>95.62</v>
      </c>
      <c r="Q12" s="87">
        <f>INDEX('Res Measure Mapping'!$Q:$Q,MATCH($B12,'Res Measure Mapping'!$B:$B,0))</f>
        <v>87.616857480618364</v>
      </c>
      <c r="R12" s="87" t="str">
        <f>INDEX('Res Measure Mapping'!$R:$R,MATCH($B12,'Res Measure Mapping'!$B:$B,0))</f>
        <v>kBTU/hr</v>
      </c>
      <c r="S12" s="88">
        <f t="shared" si="3"/>
        <v>87.616857480618364</v>
      </c>
      <c r="T12" s="77">
        <f t="shared" si="16"/>
        <v>11039.724042557915</v>
      </c>
      <c r="U12" s="16">
        <v>1024</v>
      </c>
      <c r="V12" s="89">
        <f>INDEX('Res Measure Mapping'!$S:$S,MATCH($B12,'Res Measure Mapping'!$B:$B,0))</f>
        <v>810.48534881323485</v>
      </c>
      <c r="W12" s="76">
        <f t="shared" si="4"/>
        <v>810.48534881323485</v>
      </c>
      <c r="X12" s="17">
        <f t="shared" si="5"/>
        <v>54.483363625767055</v>
      </c>
      <c r="Y12" s="17">
        <f t="shared" si="17"/>
        <v>102121.15395046759</v>
      </c>
      <c r="Z12" s="17">
        <f t="shared" si="18"/>
        <v>95256.250133620939</v>
      </c>
      <c r="AA12" s="14">
        <v>22</v>
      </c>
      <c r="AB12" s="86">
        <f>INDEX('Res Measure Mapping'!$T:$T,MATCH($B12,'Res Measure Mapping'!$B:$B,0))</f>
        <v>21.5</v>
      </c>
      <c r="AC12" s="14">
        <f t="shared" si="19"/>
        <v>22</v>
      </c>
      <c r="AD12" s="60">
        <f t="shared" si="6"/>
        <v>144524.29088098209</v>
      </c>
      <c r="AE12" s="16">
        <f t="shared" si="7"/>
        <v>36535.570645738437</v>
      </c>
      <c r="AF12" s="16">
        <v>650</v>
      </c>
      <c r="AG12" s="89">
        <f>INDEX('Res Measure Mapping'!$U:$U,MATCH($B12,'Res Measure Mapping'!$B:$B,0))</f>
        <v>686.16827933505942</v>
      </c>
      <c r="AH12" s="115">
        <v>800</v>
      </c>
      <c r="AI12" s="78">
        <f t="shared" si="20"/>
        <v>100800</v>
      </c>
      <c r="AJ12" s="18">
        <f t="shared" si="8"/>
        <v>0.69746060946260102</v>
      </c>
      <c r="AK12" s="18">
        <f t="shared" si="9"/>
        <v>0.95025943257411538</v>
      </c>
      <c r="AL12" s="19">
        <f>IFERROR(IF(D10="Original",IF($AI12=0,"-",(INDEX('APP 2885'!$G:$G,MATCH($C$2+$AA12-1,'APP 2885'!$A:$A,0))*$T12)/($AI12+$AE12)),IF($AI12=0,"-",(INDEX('APP 2885'!G:G,MATCH($C$2+$AC12-1,'APP 2885'!$A:$A,0))*$T12)/($AI12+$AE12))),"N/A")</f>
        <v>3.6689617247532818</v>
      </c>
      <c r="AM12" s="20">
        <f t="shared" si="10"/>
        <v>0.6591020066797344</v>
      </c>
      <c r="AN12" s="21">
        <f t="shared" si="11"/>
        <v>0.91190082979124876</v>
      </c>
      <c r="AO12" s="19">
        <f>IFERROR(IF(D10="Original",IF($AI12=0,"-",(INDEX('APP 2885'!$G:$G,MATCH($C$2+$AA12-1,'APP 2885'!$A:$A,0))*$T12)/($Z12+$AE12)),IF($AI12=0,"-",(INDEX('APP 2885'!G:G,MATCH($C$2+$AC12-1,'APP 2885'!$A:$A,0))*$T12)/($Z12+$AE12))),"N/A")</f>
        <v>3.8232945653732093</v>
      </c>
      <c r="AQ12" s="13"/>
      <c r="AR12" s="13"/>
    </row>
    <row r="13" spans="2:45" ht="15.75" thickBot="1" x14ac:dyDescent="0.3">
      <c r="B13" s="66" t="str">
        <f t="shared" si="12"/>
        <v>95% AFUE New Gas Furnace (New &amp; Existing)_Zone 2_High-Efficiency Natural Gas Furnace</v>
      </c>
      <c r="C13" s="33" t="s">
        <v>31</v>
      </c>
      <c r="D13" s="33" t="s">
        <v>29</v>
      </c>
      <c r="E13" s="33" t="s">
        <v>33</v>
      </c>
      <c r="F13" s="33" t="s">
        <v>32</v>
      </c>
      <c r="G13" s="5">
        <v>6</v>
      </c>
      <c r="H13" s="5">
        <f t="shared" si="1"/>
        <v>7</v>
      </c>
      <c r="I13" s="5">
        <f t="shared" si="13"/>
        <v>8</v>
      </c>
      <c r="J13" s="5">
        <v>6</v>
      </c>
      <c r="K13" s="5">
        <f>INDEX('Res Measure Mapping'!$X:$X,MATCH($B13,'Res Measure Mapping'!$B:$B,0))</f>
        <v>28.861189569299516</v>
      </c>
      <c r="L13" s="5">
        <f>INDEX('Res Measure Mapping'!$Y:$Y,MATCH($B13,'Res Measure Mapping'!$B:$B,0))</f>
        <v>34.821590994419559</v>
      </c>
      <c r="M13" s="74">
        <f t="shared" si="14"/>
        <v>0.20651960345599529</v>
      </c>
      <c r="N13" s="5">
        <f t="shared" si="2"/>
        <v>7</v>
      </c>
      <c r="O13" s="5">
        <f t="shared" si="15"/>
        <v>8</v>
      </c>
      <c r="P13" s="6">
        <v>90</v>
      </c>
      <c r="Q13" s="68">
        <f>INDEX('Res Measure Mapping'!$Q:$Q,MATCH($B13,'Res Measure Mapping'!$B:$B,0))</f>
        <v>57.297972088595486</v>
      </c>
      <c r="R13" s="68" t="str">
        <f>INDEX('Res Measure Mapping'!$R:$R,MATCH($B13,'Res Measure Mapping'!$B:$B,0))</f>
        <v>kBTU/hr</v>
      </c>
      <c r="S13" s="6">
        <f t="shared" si="3"/>
        <v>57.297972088595486</v>
      </c>
      <c r="T13" s="59">
        <f t="shared" si="16"/>
        <v>458.38377670876389</v>
      </c>
      <c r="U13" s="7">
        <v>1024</v>
      </c>
      <c r="V13" s="7">
        <f>INDEX('Res Measure Mapping'!$S:$S,MATCH($B13,'Res Measure Mapping'!$B:$B,0))</f>
        <v>810.48534881323485</v>
      </c>
      <c r="W13" s="7">
        <f t="shared" si="4"/>
        <v>810.48534881323485</v>
      </c>
      <c r="X13" s="8">
        <f t="shared" si="5"/>
        <v>35.629972793906312</v>
      </c>
      <c r="Y13" s="8">
        <f t="shared" si="17"/>
        <v>6483.8827905058788</v>
      </c>
      <c r="Z13" s="8">
        <f t="shared" si="18"/>
        <v>6198.8430081546285</v>
      </c>
      <c r="AA13" s="5">
        <v>22</v>
      </c>
      <c r="AB13" s="5">
        <f>INDEX('Res Measure Mapping'!$T:$T,MATCH($B13,'Res Measure Mapping'!$B:$B,0))</f>
        <v>21.5</v>
      </c>
      <c r="AC13" s="5">
        <f t="shared" si="19"/>
        <v>22</v>
      </c>
      <c r="AD13" s="59">
        <f t="shared" si="6"/>
        <v>6000.837523184221</v>
      </c>
      <c r="AE13" s="7">
        <f t="shared" si="7"/>
        <v>1517.0046635443857</v>
      </c>
      <c r="AF13" s="7">
        <v>400</v>
      </c>
      <c r="AG13" s="7">
        <f>INDEX('Res Measure Mapping'!$U:$U,MATCH($B13,'Res Measure Mapping'!$B:$B,0))</f>
        <v>695.48372644903623</v>
      </c>
      <c r="AH13" s="113">
        <v>800</v>
      </c>
      <c r="AI13" s="61">
        <f t="shared" si="20"/>
        <v>6400</v>
      </c>
      <c r="AJ13" s="9">
        <f t="shared" si="8"/>
        <v>1.0665177944367958</v>
      </c>
      <c r="AK13" s="9">
        <f t="shared" si="9"/>
        <v>1.3193166175483102</v>
      </c>
      <c r="AL13" s="10">
        <f>IFERROR(IF(D11="Original",IF($AI13=0,"-",(INDEX('APP 2885'!$G:$G,MATCH($C$2+$AA13-1,'APP 2885'!$A:$A,0))*$T13)/($AI13+$AE13)),IF($AI13=0,"-",(INDEX('APP 2885'!G:G,MATCH($C$2+$AC13-1,'APP 2885'!$A:$A,0))*$T13)/($AI13+$AE13))),"N/A")</f>
        <v>2.6426298587666621</v>
      </c>
      <c r="AM13" s="11">
        <f t="shared" si="10"/>
        <v>1.0329963082995355</v>
      </c>
      <c r="AN13" s="12">
        <f t="shared" si="11"/>
        <v>1.2857951314110498</v>
      </c>
      <c r="AO13" s="10">
        <f>IFERROR(IF(D11="Original",IF($AI13=0,"-",(INDEX('APP 2885'!$G:$G,MATCH($C$2+$AA13-1,'APP 2885'!$A:$A,0))*$T13)/($Z13+$AE13)),IF($AI13=0,"-",(INDEX('APP 2885'!G:G,MATCH($C$2+$AC13-1,'APP 2885'!$A:$A,0))*$T13)/($Z13+$AE13))),"N/A")</f>
        <v>2.7115248778972312</v>
      </c>
      <c r="AP13" s="45"/>
      <c r="AQ13" s="13"/>
      <c r="AR13" s="13"/>
    </row>
    <row r="14" spans="2:45" ht="15.75" thickBot="1" x14ac:dyDescent="0.3">
      <c r="B14" s="66" t="str">
        <f t="shared" si="12"/>
        <v>95% AFUE New Gas Furnace (New &amp; Existing)_Zone 3_95+% Annual Fuel Utilization Efficiency (AFUE)</v>
      </c>
      <c r="C14" s="34" t="s">
        <v>31</v>
      </c>
      <c r="D14" s="34" t="s">
        <v>30</v>
      </c>
      <c r="E14" s="34" t="s">
        <v>32</v>
      </c>
      <c r="F14" s="34" t="s">
        <v>32</v>
      </c>
      <c r="G14" s="14">
        <v>204</v>
      </c>
      <c r="H14" s="14">
        <f t="shared" si="1"/>
        <v>238</v>
      </c>
      <c r="I14" s="14">
        <f t="shared" si="13"/>
        <v>286</v>
      </c>
      <c r="J14" s="14">
        <v>205</v>
      </c>
      <c r="K14" s="86">
        <f>INDEX('Res Measure Mapping'!$X:$X,MATCH($B14,'Res Measure Mapping'!$B:$B,0))</f>
        <v>211.26697706240412</v>
      </c>
      <c r="L14" s="86">
        <f>INDEX('Res Measure Mapping'!$Y:$Y,MATCH($B14,'Res Measure Mapping'!$B:$B,0))</f>
        <v>253.66780410800828</v>
      </c>
      <c r="M14" s="90">
        <f t="shared" si="14"/>
        <v>0.20069784513970579</v>
      </c>
      <c r="N14" s="14">
        <f t="shared" si="2"/>
        <v>239</v>
      </c>
      <c r="O14" s="14">
        <f t="shared" si="15"/>
        <v>287</v>
      </c>
      <c r="P14" s="15">
        <v>83.8</v>
      </c>
      <c r="Q14" s="87">
        <f>INDEX('Res Measure Mapping'!$Q:$Q,MATCH($B14,'Res Measure Mapping'!$B:$B,0))</f>
        <v>74.801440676811836</v>
      </c>
      <c r="R14" s="87" t="str">
        <f>INDEX('Res Measure Mapping'!$R:$R,MATCH($B14,'Res Measure Mapping'!$B:$B,0))</f>
        <v>kBTU/hr</v>
      </c>
      <c r="S14" s="88">
        <f t="shared" si="3"/>
        <v>74.801440676811836</v>
      </c>
      <c r="T14" s="77">
        <f t="shared" si="16"/>
        <v>21468.013474244995</v>
      </c>
      <c r="U14" s="16">
        <v>1024</v>
      </c>
      <c r="V14" s="89">
        <f>INDEX('Res Measure Mapping'!$S:$S,MATCH($B14,'Res Measure Mapping'!$B:$B,0))</f>
        <v>1080.6500000000001</v>
      </c>
      <c r="W14" s="76">
        <f t="shared" si="4"/>
        <v>1080.6500000000001</v>
      </c>
      <c r="X14" s="17">
        <f t="shared" si="5"/>
        <v>46.514269163642453</v>
      </c>
      <c r="Y14" s="17">
        <f t="shared" si="17"/>
        <v>310146.55000000005</v>
      </c>
      <c r="Z14" s="17">
        <f t="shared" si="18"/>
        <v>296843.46901919832</v>
      </c>
      <c r="AA14" s="14">
        <v>22</v>
      </c>
      <c r="AB14" s="86">
        <f>INDEX('Res Measure Mapping'!$T:$T,MATCH($B14,'Res Measure Mapping'!$B:$B,0))</f>
        <v>21.5</v>
      </c>
      <c r="AC14" s="14">
        <f t="shared" si="19"/>
        <v>22</v>
      </c>
      <c r="AD14" s="60">
        <f t="shared" si="6"/>
        <v>281044.11052558699</v>
      </c>
      <c r="AE14" s="16">
        <f t="shared" si="7"/>
        <v>71047.620383290763</v>
      </c>
      <c r="AF14" s="16">
        <v>650</v>
      </c>
      <c r="AG14" s="89">
        <f>INDEX('Res Measure Mapping'!$U:$U,MATCH($B14,'Res Measure Mapping'!$B:$B,0))</f>
        <v>686.16827933505954</v>
      </c>
      <c r="AH14" s="115">
        <v>800</v>
      </c>
      <c r="AI14" s="78">
        <f t="shared" si="20"/>
        <v>229600</v>
      </c>
      <c r="AJ14" s="18">
        <f t="shared" si="8"/>
        <v>0.81695360764052238</v>
      </c>
      <c r="AK14" s="18">
        <f t="shared" si="9"/>
        <v>1.0697524307520367</v>
      </c>
      <c r="AL14" s="19">
        <f>IFERROR(IF(D12="Original",IF($AI14=0,"-",(INDEX('APP 2885'!$G:$G,MATCH($C$2+$AA14-1,'APP 2885'!$A:$A,0))*$T14)/($AI14+$AE14)),IF($AI14=0,"-",(INDEX('APP 2885'!G:G,MATCH($C$2+$AC14-1,'APP 2885'!$A:$A,0))*$T14)/($AI14+$AE14))),"N/A")</f>
        <v>3.2591330353409096</v>
      </c>
      <c r="AM14" s="20">
        <f t="shared" si="10"/>
        <v>1.0562166503473942</v>
      </c>
      <c r="AN14" s="21">
        <f t="shared" si="11"/>
        <v>1.3090154734589086</v>
      </c>
      <c r="AO14" s="19">
        <f>IFERROR(IF(D12="Original",IF($AI14=0,"-",(INDEX('APP 2885'!$G:$G,MATCH($C$2+$AA14-1,'APP 2885'!$A:$A,0))*$T14)/($Z14+$AE14)),IF($AI14=0,"-",(INDEX('APP 2885'!G:G,MATCH($C$2+$AC14-1,'APP 2885'!$A:$A,0))*$T14)/($Z14+$AE14))),"N/A")</f>
        <v>2.6634257252037332</v>
      </c>
      <c r="AP14" s="45"/>
      <c r="AQ14" s="13"/>
      <c r="AR14" s="13"/>
    </row>
    <row r="15" spans="2:45" ht="15.75" thickBot="1" x14ac:dyDescent="0.3">
      <c r="B15" s="66" t="str">
        <f t="shared" si="12"/>
        <v>95% AFUE New Gas Furnace (New &amp; Existing)_Zone 3_High-Efficiency Natural Gas Furnace</v>
      </c>
      <c r="C15" s="33" t="s">
        <v>31</v>
      </c>
      <c r="D15" s="33" t="s">
        <v>30</v>
      </c>
      <c r="E15" s="33" t="s">
        <v>33</v>
      </c>
      <c r="F15" s="33" t="s">
        <v>32</v>
      </c>
      <c r="G15" s="5">
        <v>3</v>
      </c>
      <c r="H15" s="5">
        <f t="shared" si="1"/>
        <v>3</v>
      </c>
      <c r="I15" s="5">
        <f t="shared" si="13"/>
        <v>4</v>
      </c>
      <c r="J15" s="5">
        <v>3</v>
      </c>
      <c r="K15" s="5">
        <f>INDEX('Res Measure Mapping'!$X:$X,MATCH($B15,'Res Measure Mapping'!$B:$B,0))</f>
        <v>95.538417416115919</v>
      </c>
      <c r="L15" s="5">
        <f>INDEX('Res Measure Mapping'!$Y:$Y,MATCH($B15,'Res Measure Mapping'!$B:$B,0))</f>
        <v>116.27766542724044</v>
      </c>
      <c r="M15" s="74">
        <f t="shared" si="14"/>
        <v>0.21707757540922079</v>
      </c>
      <c r="N15" s="5">
        <f t="shared" si="2"/>
        <v>3</v>
      </c>
      <c r="O15" s="5">
        <f t="shared" si="15"/>
        <v>4</v>
      </c>
      <c r="P15" s="6">
        <v>78</v>
      </c>
      <c r="Q15" s="68">
        <f>INDEX('Res Measure Mapping'!$Q:$Q,MATCH($B15,'Res Measure Mapping'!$B:$B,0))</f>
        <v>50.569791554646372</v>
      </c>
      <c r="R15" s="68" t="str">
        <f>INDEX('Res Measure Mapping'!$R:$R,MATCH($B15,'Res Measure Mapping'!$B:$B,0))</f>
        <v>kBTU/hr</v>
      </c>
      <c r="S15" s="6">
        <f t="shared" si="3"/>
        <v>50.569791554646372</v>
      </c>
      <c r="T15" s="59">
        <f t="shared" si="16"/>
        <v>202.27916621858549</v>
      </c>
      <c r="U15" s="7">
        <v>1024</v>
      </c>
      <c r="V15" s="7">
        <f>INDEX('Res Measure Mapping'!$S:$S,MATCH($B15,'Res Measure Mapping'!$B:$B,0))</f>
        <v>810.48534881323485</v>
      </c>
      <c r="W15" s="7">
        <f t="shared" si="4"/>
        <v>810.48534881323485</v>
      </c>
      <c r="X15" s="8">
        <f t="shared" si="5"/>
        <v>31.446144280631383</v>
      </c>
      <c r="Y15" s="8">
        <f t="shared" si="17"/>
        <v>3241.9413952529394</v>
      </c>
      <c r="Z15" s="8">
        <f t="shared" si="18"/>
        <v>3116.1568181304137</v>
      </c>
      <c r="AA15" s="5">
        <v>22</v>
      </c>
      <c r="AB15" s="5">
        <f>INDEX('Res Measure Mapping'!$T:$T,MATCH($B15,'Res Measure Mapping'!$B:$B,0))</f>
        <v>21.5</v>
      </c>
      <c r="AC15" s="5">
        <f t="shared" si="19"/>
        <v>22</v>
      </c>
      <c r="AD15" s="59">
        <f t="shared" si="6"/>
        <v>2648.0963604742215</v>
      </c>
      <c r="AE15" s="7">
        <f t="shared" si="7"/>
        <v>669.43564341376771</v>
      </c>
      <c r="AF15" s="7">
        <v>400</v>
      </c>
      <c r="AG15" s="7">
        <f>INDEX('Res Measure Mapping'!$U:$U,MATCH($B15,'Res Measure Mapping'!$B:$B,0))</f>
        <v>518.60420070970497</v>
      </c>
      <c r="AH15" s="113">
        <v>800</v>
      </c>
      <c r="AI15" s="61">
        <f t="shared" si="20"/>
        <v>3200</v>
      </c>
      <c r="AJ15" s="9">
        <f t="shared" si="8"/>
        <v>1.2084152403830741</v>
      </c>
      <c r="AK15" s="9">
        <f t="shared" si="9"/>
        <v>1.4612140634945885</v>
      </c>
      <c r="AL15" s="10">
        <f>IFERROR(IF(D13="Original",IF($AI15=0,"-",(INDEX('APP 2885'!$G:$G,MATCH($C$2+$AA15-1,'APP 2885'!$A:$A,0))*$T15)/($AI15+$AE15)),IF($AI15=0,"-",(INDEX('APP 2885'!G:G,MATCH($C$2+$AC15-1,'APP 2885'!$A:$A,0))*$T15)/($AI15+$AE15))),"N/A")</f>
        <v>2.3860059753066518</v>
      </c>
      <c r="AM15" s="11">
        <f t="shared" si="10"/>
        <v>1.1767535595163809</v>
      </c>
      <c r="AN15" s="12">
        <f t="shared" si="11"/>
        <v>1.4295523826278953</v>
      </c>
      <c r="AO15" s="10">
        <f>IFERROR(IF(D13="Original",IF($AI15=0,"-",(INDEX('APP 2885'!$G:$G,MATCH($C$2+$AA15-1,'APP 2885'!$A:$A,0))*$T15)/($Z15+$AE15)),IF($AI15=0,"-",(INDEX('APP 2885'!G:G,MATCH($C$2+$AC15-1,'APP 2885'!$A:$A,0))*$T15)/($Z15+$AE15))),"N/A")</f>
        <v>2.4388511600331539</v>
      </c>
      <c r="AP15" s="45"/>
      <c r="AQ15" s="13"/>
      <c r="AR15" s="13"/>
    </row>
    <row r="16" spans="2:45" ht="15.75" thickBot="1" x14ac:dyDescent="0.3">
      <c r="B16" s="66" t="str">
        <f t="shared" si="12"/>
        <v>98% AFUE New Gas Furnace (New &amp; Existing)_Zone 1_98+% Annual Fuel Utilization Efficiency (AFUE)</v>
      </c>
      <c r="C16" s="34" t="s">
        <v>34</v>
      </c>
      <c r="D16" s="34" t="s">
        <v>27</v>
      </c>
      <c r="E16" s="34" t="s">
        <v>35</v>
      </c>
      <c r="F16" s="34" t="str">
        <f t="shared" si="0"/>
        <v>98+% Annual Fuel Utilization Efficiency (AFUE)</v>
      </c>
      <c r="G16" s="14">
        <v>11</v>
      </c>
      <c r="H16" s="14">
        <f t="shared" si="1"/>
        <v>13</v>
      </c>
      <c r="I16" s="14">
        <f t="shared" si="13"/>
        <v>15</v>
      </c>
      <c r="J16" s="14">
        <v>11</v>
      </c>
      <c r="K16" s="86">
        <f>INDEX('Res Measure Mapping'!$X:$X,MATCH($B16,'Res Measure Mapping'!$B:$B,0))</f>
        <v>277.80661333497426</v>
      </c>
      <c r="L16" s="86">
        <f>INDEX('Res Measure Mapping'!$Y:$Y,MATCH($B16,'Res Measure Mapping'!$B:$B,0))</f>
        <v>329.97240111952357</v>
      </c>
      <c r="M16" s="90">
        <f t="shared" si="14"/>
        <v>0.18777734323282194</v>
      </c>
      <c r="N16" s="14">
        <f t="shared" si="2"/>
        <v>13</v>
      </c>
      <c r="O16" s="14">
        <f t="shared" si="15"/>
        <v>15</v>
      </c>
      <c r="P16" s="15">
        <v>113.5</v>
      </c>
      <c r="Q16" s="87">
        <f>INDEX('Res Measure Mapping'!$Q:$Q,MATCH($B16,'Res Measure Mapping'!$B:$B,0))</f>
        <v>134.26646957884776</v>
      </c>
      <c r="R16" s="87" t="str">
        <f>INDEX('Res Measure Mapping'!$R:$R,MATCH($B16,'Res Measure Mapping'!$B:$B,0))</f>
        <v>kBTU/hr</v>
      </c>
      <c r="S16" s="88">
        <f t="shared" si="3"/>
        <v>134.26646957884776</v>
      </c>
      <c r="T16" s="77">
        <f t="shared" si="16"/>
        <v>2013.9970436827164</v>
      </c>
      <c r="U16" s="16">
        <v>1024</v>
      </c>
      <c r="V16" s="89">
        <f>INDEX('Res Measure Mapping'!$S:$S,MATCH($B16,'Res Measure Mapping'!$B:$B,0))</f>
        <v>1372.094693877551</v>
      </c>
      <c r="W16" s="76">
        <f t="shared" si="4"/>
        <v>1372.094693877551</v>
      </c>
      <c r="X16" s="17">
        <f t="shared" si="5"/>
        <v>83.491797071477507</v>
      </c>
      <c r="Y16" s="17">
        <f t="shared" si="17"/>
        <v>20581.420408163263</v>
      </c>
      <c r="Z16" s="17">
        <f t="shared" si="18"/>
        <v>19329.0434520911</v>
      </c>
      <c r="AA16" s="14">
        <v>22</v>
      </c>
      <c r="AB16" s="86">
        <f>INDEX('Res Measure Mapping'!$T:$T,MATCH($B16,'Res Measure Mapping'!$B:$B,0))</f>
        <v>21.5</v>
      </c>
      <c r="AC16" s="14">
        <f t="shared" si="19"/>
        <v>22</v>
      </c>
      <c r="AD16" s="60">
        <f t="shared" si="6"/>
        <v>26365.830654150788</v>
      </c>
      <c r="AE16" s="16">
        <f t="shared" si="7"/>
        <v>6665.2509597268072</v>
      </c>
      <c r="AF16" s="16">
        <v>900</v>
      </c>
      <c r="AG16" s="89">
        <f>INDEX('Res Measure Mapping'!$U:$U,MATCH($B16,'Res Measure Mapping'!$B:$B,0))</f>
        <v>693.46480561370299</v>
      </c>
      <c r="AH16" s="115">
        <v>1200</v>
      </c>
      <c r="AI16" s="78">
        <f t="shared" si="20"/>
        <v>18000</v>
      </c>
      <c r="AJ16" s="18">
        <f t="shared" si="8"/>
        <v>0.68270179825213473</v>
      </c>
      <c r="AK16" s="18">
        <f t="shared" si="9"/>
        <v>0.93550062136364898</v>
      </c>
      <c r="AL16" s="19">
        <f>IFERROR(IF(D14="Original",IF($AI16=0,"-",(INDEX('APP 2885'!$G:$G,MATCH($C$2+$AA16-1,'APP 2885'!$A:$A,0))*$T16)/($AI16+$AE16)),IF($AI16=0,"-",(INDEX('APP 2885'!G:G,MATCH($C$2+$AC16-1,'APP 2885'!$A:$A,0))*$T16)/($AI16+$AE16))),"N/A")</f>
        <v>3.726844650961421</v>
      </c>
      <c r="AM16" s="20">
        <f t="shared" si="10"/>
        <v>0.73310959573534684</v>
      </c>
      <c r="AN16" s="21">
        <f t="shared" si="11"/>
        <v>0.9859084188468612</v>
      </c>
      <c r="AO16" s="19">
        <f>IFERROR(IF(D14="Original",IF($AI16=0,"-",(INDEX('APP 2885'!$G:$G,MATCH($C$2+$AA16-1,'APP 2885'!$A:$A,0))*$T16)/($Z16+$AE16)),IF($AI16=0,"-",(INDEX('APP 2885'!G:G,MATCH($C$2+$AC16-1,'APP 2885'!$A:$A,0))*$T16)/($Z16+$AE16))),"N/A")</f>
        <v>3.5362975100446374</v>
      </c>
      <c r="AP16" s="45"/>
      <c r="AQ16" s="13"/>
      <c r="AR16" s="13"/>
    </row>
    <row r="17" spans="2:44" ht="15.75" thickBot="1" x14ac:dyDescent="0.3">
      <c r="B17" s="66" t="str">
        <f t="shared" si="12"/>
        <v>98% AFUE New Gas Furnace (New &amp; Existing)_Zone 2_98+% Annual Fuel Utilization Efficiency (AFUE)</v>
      </c>
      <c r="C17" s="33" t="s">
        <v>34</v>
      </c>
      <c r="D17" s="33" t="s">
        <v>29</v>
      </c>
      <c r="E17" s="33" t="s">
        <v>35</v>
      </c>
      <c r="F17" s="33" t="str">
        <f t="shared" si="0"/>
        <v>98+% Annual Fuel Utilization Efficiency (AFUE)</v>
      </c>
      <c r="G17" s="5">
        <v>4</v>
      </c>
      <c r="H17" s="5">
        <f t="shared" si="1"/>
        <v>5</v>
      </c>
      <c r="I17" s="5">
        <f t="shared" si="13"/>
        <v>6</v>
      </c>
      <c r="J17" s="5">
        <v>4</v>
      </c>
      <c r="K17" s="5">
        <f>INDEX('Res Measure Mapping'!$X:$X,MATCH($B17,'Res Measure Mapping'!$B:$B,0))</f>
        <v>138.8530524619712</v>
      </c>
      <c r="L17" s="5">
        <f>INDEX('Res Measure Mapping'!$Y:$Y,MATCH($B17,'Res Measure Mapping'!$B:$B,0))</f>
        <v>164.97715084908032</v>
      </c>
      <c r="M17" s="74">
        <f t="shared" si="14"/>
        <v>0.18814205322755817</v>
      </c>
      <c r="N17" s="5">
        <f t="shared" si="2"/>
        <v>5</v>
      </c>
      <c r="O17" s="5">
        <f t="shared" si="15"/>
        <v>6</v>
      </c>
      <c r="P17" s="6">
        <v>114.74</v>
      </c>
      <c r="Q17" s="68">
        <f>INDEX('Res Measure Mapping'!$Q:$Q,MATCH($B17,'Res Measure Mapping'!$B:$B,0))</f>
        <v>135.09854011054688</v>
      </c>
      <c r="R17" s="68" t="str">
        <f>INDEX('Res Measure Mapping'!$R:$R,MATCH($B17,'Res Measure Mapping'!$B:$B,0))</f>
        <v>kBTU/hr</v>
      </c>
      <c r="S17" s="6">
        <f t="shared" si="3"/>
        <v>135.09854011054688</v>
      </c>
      <c r="T17" s="59">
        <f t="shared" si="16"/>
        <v>810.59124066328127</v>
      </c>
      <c r="U17" s="7">
        <v>1024</v>
      </c>
      <c r="V17" s="7">
        <f>INDEX('Res Measure Mapping'!$S:$S,MATCH($B17,'Res Measure Mapping'!$B:$B,0))</f>
        <v>1372.094693877551</v>
      </c>
      <c r="W17" s="7">
        <f t="shared" si="4"/>
        <v>1372.094693877551</v>
      </c>
      <c r="X17" s="8">
        <f t="shared" si="5"/>
        <v>84.009208933126118</v>
      </c>
      <c r="Y17" s="8">
        <f t="shared" si="17"/>
        <v>8232.5681632653068</v>
      </c>
      <c r="Z17" s="8">
        <f t="shared" si="18"/>
        <v>7728.5129096665496</v>
      </c>
      <c r="AA17" s="5">
        <v>22</v>
      </c>
      <c r="AB17" s="5">
        <f>INDEX('Res Measure Mapping'!$T:$T,MATCH($B17,'Res Measure Mapping'!$B:$B,0))</f>
        <v>21.5</v>
      </c>
      <c r="AC17" s="5">
        <f t="shared" si="19"/>
        <v>22</v>
      </c>
      <c r="AD17" s="59">
        <f t="shared" si="6"/>
        <v>10611.689549447508</v>
      </c>
      <c r="AE17" s="7">
        <f t="shared" si="7"/>
        <v>2682.6226293250861</v>
      </c>
      <c r="AF17" s="7">
        <v>900</v>
      </c>
      <c r="AG17" s="7">
        <f>INDEX('Res Measure Mapping'!$U:$U,MATCH($B17,'Res Measure Mapping'!$B:$B,0))</f>
        <v>693.46480561370299</v>
      </c>
      <c r="AH17" s="113">
        <v>1200</v>
      </c>
      <c r="AI17" s="61">
        <f t="shared" si="20"/>
        <v>7200</v>
      </c>
      <c r="AJ17" s="9">
        <f t="shared" si="8"/>
        <v>0.67849704483437923</v>
      </c>
      <c r="AK17" s="9">
        <f t="shared" si="9"/>
        <v>0.93129586794589359</v>
      </c>
      <c r="AL17" s="10">
        <f>IFERROR(IF(D15="Original",IF($AI17=0,"-",(INDEX('APP 2885'!$G:$G,MATCH($C$2+$AA17-1,'APP 2885'!$A:$A,0))*$T17)/($AI17+$AE17)),IF($AI17=0,"-",(INDEX('APP 2885'!G:G,MATCH($C$2+$AC17-1,'APP 2885'!$A:$A,0))*$T17)/($AI17+$AE17))),"N/A")</f>
        <v>3.7436711647718361</v>
      </c>
      <c r="AM17" s="11">
        <f t="shared" si="10"/>
        <v>0.72830182919070885</v>
      </c>
      <c r="AN17" s="12">
        <f t="shared" si="11"/>
        <v>0.98110065230222321</v>
      </c>
      <c r="AO17" s="10">
        <f>IFERROR(IF(D15="Original",IF($AI17=0,"-",(INDEX('APP 2885'!$G:$G,MATCH($C$2+$AA17-1,'APP 2885'!$A:$A,0))*$T17)/($Z17+$AE17)),IF($AI17=0,"-",(INDEX('APP 2885'!G:G,MATCH($C$2+$AC17-1,'APP 2885'!$A:$A,0))*$T17)/($Z17+$AE17))),"N/A")</f>
        <v>3.5536267135476463</v>
      </c>
      <c r="AP17" s="45"/>
      <c r="AQ17" s="13"/>
      <c r="AR17" s="13"/>
    </row>
    <row r="18" spans="2:44" ht="15.75" thickBot="1" x14ac:dyDescent="0.3">
      <c r="B18" s="66" t="str">
        <f t="shared" si="12"/>
        <v>98% AFUE New Gas Furnace (New &amp; Existing)_Zone 3_98+% Annual Fuel Utilization Efficiency (AFUE)</v>
      </c>
      <c r="C18" s="34" t="s">
        <v>34</v>
      </c>
      <c r="D18" s="34" t="s">
        <v>30</v>
      </c>
      <c r="E18" s="34" t="s">
        <v>35</v>
      </c>
      <c r="F18" s="34" t="str">
        <f t="shared" si="0"/>
        <v>98+% Annual Fuel Utilization Efficiency (AFUE)</v>
      </c>
      <c r="G18" s="14">
        <v>17</v>
      </c>
      <c r="H18" s="14">
        <f t="shared" si="1"/>
        <v>20</v>
      </c>
      <c r="I18" s="14">
        <f t="shared" si="13"/>
        <v>24</v>
      </c>
      <c r="J18" s="14">
        <v>17</v>
      </c>
      <c r="K18" s="86">
        <f>INDEX('Res Measure Mapping'!$X:$X,MATCH($B18,'Res Measure Mapping'!$B:$B,0))</f>
        <v>211.26697706240412</v>
      </c>
      <c r="L18" s="86">
        <f>INDEX('Res Measure Mapping'!$Y:$Y,MATCH($B18,'Res Measure Mapping'!$B:$B,0))</f>
        <v>253.66780410800828</v>
      </c>
      <c r="M18" s="90">
        <f t="shared" si="14"/>
        <v>0.20069784513970579</v>
      </c>
      <c r="N18" s="14">
        <f t="shared" si="2"/>
        <v>20</v>
      </c>
      <c r="O18" s="14">
        <f t="shared" si="15"/>
        <v>24</v>
      </c>
      <c r="P18" s="15">
        <v>100.56</v>
      </c>
      <c r="Q18" s="87">
        <f>INDEX('Res Measure Mapping'!$Q:$Q,MATCH($B18,'Res Measure Mapping'!$B:$B,0))</f>
        <v>136.14878414094053</v>
      </c>
      <c r="R18" s="87" t="str">
        <f>INDEX('Res Measure Mapping'!$R:$R,MATCH($B18,'Res Measure Mapping'!$B:$B,0))</f>
        <v>kBTU/hr</v>
      </c>
      <c r="S18" s="88">
        <f t="shared" si="3"/>
        <v>136.14878414094053</v>
      </c>
      <c r="T18" s="77">
        <f t="shared" si="16"/>
        <v>3267.5708193825731</v>
      </c>
      <c r="U18" s="16">
        <v>1024</v>
      </c>
      <c r="V18" s="89">
        <f>INDEX('Res Measure Mapping'!$S:$S,MATCH($B18,'Res Measure Mapping'!$B:$B,0))</f>
        <v>1372.094693877551</v>
      </c>
      <c r="W18" s="76">
        <f t="shared" si="4"/>
        <v>1372.094693877551</v>
      </c>
      <c r="X18" s="17">
        <f t="shared" si="5"/>
        <v>84.662289048632275</v>
      </c>
      <c r="Y18" s="17">
        <f t="shared" si="17"/>
        <v>32930.272653061227</v>
      </c>
      <c r="Z18" s="17">
        <f t="shared" si="18"/>
        <v>30898.377715894054</v>
      </c>
      <c r="AA18" s="14">
        <v>22</v>
      </c>
      <c r="AB18" s="86">
        <f>INDEX('Res Measure Mapping'!$T:$T,MATCH($B18,'Res Measure Mapping'!$B:$B,0))</f>
        <v>21.5</v>
      </c>
      <c r="AC18" s="14">
        <f t="shared" si="19"/>
        <v>22</v>
      </c>
      <c r="AD18" s="60">
        <f t="shared" si="6"/>
        <v>42776.735519308939</v>
      </c>
      <c r="AE18" s="16">
        <f t="shared" si="7"/>
        <v>10813.908395833812</v>
      </c>
      <c r="AF18" s="16">
        <v>900</v>
      </c>
      <c r="AG18" s="89">
        <f>INDEX('Res Measure Mapping'!$U:$U,MATCH($B18,'Res Measure Mapping'!$B:$B,0))</f>
        <v>693.46480561370311</v>
      </c>
      <c r="AH18" s="115">
        <v>1200</v>
      </c>
      <c r="AI18" s="78">
        <f t="shared" si="20"/>
        <v>28800</v>
      </c>
      <c r="AJ18" s="18">
        <f t="shared" si="8"/>
        <v>0.67326315695595806</v>
      </c>
      <c r="AK18" s="18">
        <f t="shared" si="9"/>
        <v>0.92606198006747242</v>
      </c>
      <c r="AL18" s="19">
        <f>IFERROR(IF(D16="Original",IF($AI18=0,"-",(INDEX('APP 2885'!$G:$G,MATCH($C$2+$AA18-1,'APP 2885'!$A:$A,0))*$T18)/($AI18+$AE18)),IF($AI18=0,"-",(INDEX('APP 2885'!G:G,MATCH($C$2+$AC18-1,'APP 2885'!$A:$A,0))*$T18)/($AI18+$AE18))),"N/A")</f>
        <v>3.7648295273348533</v>
      </c>
      <c r="AM18" s="20">
        <f t="shared" si="10"/>
        <v>0.72231733770209916</v>
      </c>
      <c r="AN18" s="21">
        <f t="shared" si="11"/>
        <v>0.97511616081361341</v>
      </c>
      <c r="AO18" s="19">
        <f>IFERROR(IF(D16="Original",IF($AI18=0,"-",(INDEX('APP 2885'!$G:$G,MATCH($C$2+$AA18-1,'APP 2885'!$A:$A,0))*$T18)/($Z18+$AE18)),IF($AI18=0,"-",(INDEX('APP 2885'!G:G,MATCH($C$2+$AC18-1,'APP 2885'!$A:$A,0))*$T18)/($Z18+$AE18))),"N/A")</f>
        <v>3.5754360627057786</v>
      </c>
      <c r="AP18" s="45"/>
      <c r="AQ18" s="13"/>
      <c r="AR18" s="13"/>
    </row>
    <row r="19" spans="2:44" ht="15.75" thickBot="1" x14ac:dyDescent="0.3">
      <c r="B19" s="66" t="str">
        <f t="shared" si="12"/>
        <v>Bundle A_Zone 1_</v>
      </c>
      <c r="C19" s="33" t="s">
        <v>36</v>
      </c>
      <c r="D19" s="33" t="s">
        <v>27</v>
      </c>
      <c r="E19" s="33"/>
      <c r="F19" s="33"/>
      <c r="G19" s="5">
        <v>112</v>
      </c>
      <c r="H19" s="5">
        <f t="shared" si="1"/>
        <v>131</v>
      </c>
      <c r="I19" s="5">
        <f t="shared" si="13"/>
        <v>131</v>
      </c>
      <c r="J19" s="5">
        <v>112</v>
      </c>
      <c r="K19" s="5" t="str">
        <f>INDEX('Res Measure Mapping'!$X:$X,MATCH($B19,'Res Measure Mapping'!$B:$B,0))</f>
        <v>N/A</v>
      </c>
      <c r="L19" s="5" t="str">
        <f>INDEX('Res Measure Mapping'!$Y:$Y,MATCH($B19,'Res Measure Mapping'!$B:$B,0))</f>
        <v>N/A</v>
      </c>
      <c r="M19" s="74" t="str">
        <f t="shared" si="14"/>
        <v>N/A</v>
      </c>
      <c r="N19" s="5">
        <f t="shared" si="2"/>
        <v>131</v>
      </c>
      <c r="O19" s="5">
        <f t="shared" si="15"/>
        <v>131</v>
      </c>
      <c r="P19" s="6">
        <v>0</v>
      </c>
      <c r="Q19" s="68" t="str">
        <f>INDEX('Res Measure Mapping'!$Q:$Q,MATCH($B19,'Res Measure Mapping'!$B:$B,0))</f>
        <v>N/A</v>
      </c>
      <c r="R19" s="68" t="str">
        <f>INDEX('Res Measure Mapping'!$R:$R,MATCH($B19,'Res Measure Mapping'!$B:$B,0))</f>
        <v>N/A</v>
      </c>
      <c r="S19" s="6">
        <f t="shared" ref="S19:S22" si="21">P19</f>
        <v>0</v>
      </c>
      <c r="T19" s="59">
        <f t="shared" si="16"/>
        <v>0</v>
      </c>
      <c r="U19" s="7">
        <v>0</v>
      </c>
      <c r="V19" s="7" t="str">
        <f>INDEX('Res Measure Mapping'!$S:$S,MATCH($B19,'Res Measure Mapping'!$B:$B,0))</f>
        <v>N/A</v>
      </c>
      <c r="W19" s="7">
        <f t="shared" ref="W19:W22" si="22">U19</f>
        <v>0</v>
      </c>
      <c r="X19" s="8">
        <f t="shared" si="5"/>
        <v>0</v>
      </c>
      <c r="Y19" s="8">
        <f t="shared" si="17"/>
        <v>0</v>
      </c>
      <c r="Z19" s="8">
        <f t="shared" si="18"/>
        <v>0</v>
      </c>
      <c r="AA19" s="5">
        <v>0</v>
      </c>
      <c r="AB19" s="5" t="str">
        <f>INDEX('Res Measure Mapping'!$T:$T,MATCH($B19,'Res Measure Mapping'!$B:$B,0))</f>
        <v>N/A</v>
      </c>
      <c r="AC19" s="5">
        <f t="shared" si="19"/>
        <v>0</v>
      </c>
      <c r="AD19" s="59">
        <f t="shared" si="6"/>
        <v>0</v>
      </c>
      <c r="AE19" s="7">
        <f t="shared" si="7"/>
        <v>0</v>
      </c>
      <c r="AF19" s="7">
        <v>250</v>
      </c>
      <c r="AG19" s="7" t="str">
        <f>INDEX('Res Measure Mapping'!$U:$U,MATCH($B19,'Res Measure Mapping'!$B:$B,0))</f>
        <v>N/A</v>
      </c>
      <c r="AH19" s="113">
        <v>250</v>
      </c>
      <c r="AI19" s="61">
        <f t="shared" si="20"/>
        <v>32750</v>
      </c>
      <c r="AJ19" s="9">
        <f t="shared" si="8"/>
        <v>0</v>
      </c>
      <c r="AK19" s="9">
        <f t="shared" si="9"/>
        <v>0</v>
      </c>
      <c r="AL19" s="10">
        <f>IFERROR(IF(D17="Original",IF($AI19=0,"-",(INDEX('APP 2885'!$G:$G,MATCH($C$2+$AA19-1,'APP 2885'!$A:$A,0))*$T19)/($AI19+$AE19)),IF($AI19=0,"-",(INDEX('APP 2885'!G:G,MATCH($C$2+$AC19-1,'APP 2885'!$A:$A,0))*$T19)/($AI19+$AE19))),"N/A")</f>
        <v>0</v>
      </c>
      <c r="AM19" s="11">
        <f t="shared" si="10"/>
        <v>0</v>
      </c>
      <c r="AN19" s="12">
        <f t="shared" si="11"/>
        <v>0</v>
      </c>
      <c r="AO19" s="10" t="str">
        <f>IFERROR(IF(D17="Original",IF($AI19=0,"-",(INDEX('APP 2885'!$G:$G,MATCH($C$2+$AA19-1,'APP 2885'!$A:$A,0))*$T19)/($Z19+$AE19)),IF($AI19=0,"-",(INDEX('APP 2885'!G:G,MATCH($C$2+$AC19-1,'APP 2885'!$A:$A,0))*$T19)/($Z19+$AE19))),"N/A")</f>
        <v>N/A</v>
      </c>
      <c r="AP19" s="45"/>
      <c r="AQ19" s="13"/>
      <c r="AR19" s="13"/>
    </row>
    <row r="20" spans="2:44" ht="15.75" thickBot="1" x14ac:dyDescent="0.3">
      <c r="B20" s="66" t="str">
        <f t="shared" si="12"/>
        <v>Bundle A_Zone 2_</v>
      </c>
      <c r="C20" s="34" t="s">
        <v>36</v>
      </c>
      <c r="D20" s="34" t="s">
        <v>29</v>
      </c>
      <c r="E20" s="34"/>
      <c r="F20" s="34"/>
      <c r="G20" s="14">
        <v>6</v>
      </c>
      <c r="H20" s="14">
        <f t="shared" si="1"/>
        <v>7</v>
      </c>
      <c r="I20" s="14">
        <f t="shared" si="13"/>
        <v>7</v>
      </c>
      <c r="J20" s="14">
        <v>6</v>
      </c>
      <c r="K20" s="86" t="str">
        <f>INDEX('Res Measure Mapping'!$X:$X,MATCH($B20,'Res Measure Mapping'!$B:$B,0))</f>
        <v>N/A</v>
      </c>
      <c r="L20" s="86" t="str">
        <f>INDEX('Res Measure Mapping'!$Y:$Y,MATCH($B20,'Res Measure Mapping'!$B:$B,0))</f>
        <v>N/A</v>
      </c>
      <c r="M20" s="90" t="str">
        <f t="shared" si="14"/>
        <v>N/A</v>
      </c>
      <c r="N20" s="14">
        <f t="shared" si="2"/>
        <v>7</v>
      </c>
      <c r="O20" s="14">
        <f t="shared" si="15"/>
        <v>7</v>
      </c>
      <c r="P20" s="15">
        <v>0</v>
      </c>
      <c r="Q20" s="87" t="str">
        <f>INDEX('Res Measure Mapping'!$Q:$Q,MATCH($B20,'Res Measure Mapping'!$B:$B,0))</f>
        <v>N/A</v>
      </c>
      <c r="R20" s="87" t="str">
        <f>INDEX('Res Measure Mapping'!$R:$R,MATCH($B20,'Res Measure Mapping'!$B:$B,0))</f>
        <v>N/A</v>
      </c>
      <c r="S20" s="88">
        <f t="shared" si="21"/>
        <v>0</v>
      </c>
      <c r="T20" s="77">
        <f t="shared" si="16"/>
        <v>0</v>
      </c>
      <c r="U20" s="16">
        <v>0</v>
      </c>
      <c r="V20" s="89" t="str">
        <f>INDEX('Res Measure Mapping'!$S:$S,MATCH($B20,'Res Measure Mapping'!$B:$B,0))</f>
        <v>N/A</v>
      </c>
      <c r="W20" s="76">
        <f t="shared" si="22"/>
        <v>0</v>
      </c>
      <c r="X20" s="17">
        <f t="shared" si="5"/>
        <v>0</v>
      </c>
      <c r="Y20" s="17">
        <f t="shared" si="17"/>
        <v>0</v>
      </c>
      <c r="Z20" s="17">
        <f t="shared" si="18"/>
        <v>0</v>
      </c>
      <c r="AA20" s="14">
        <v>0</v>
      </c>
      <c r="AB20" s="86" t="str">
        <f>INDEX('Res Measure Mapping'!$T:$T,MATCH($B20,'Res Measure Mapping'!$B:$B,0))</f>
        <v>N/A</v>
      </c>
      <c r="AC20" s="14">
        <f t="shared" si="19"/>
        <v>0</v>
      </c>
      <c r="AD20" s="60">
        <f t="shared" si="6"/>
        <v>0</v>
      </c>
      <c r="AE20" s="16">
        <f t="shared" si="7"/>
        <v>0</v>
      </c>
      <c r="AF20" s="16">
        <v>250</v>
      </c>
      <c r="AG20" s="89" t="str">
        <f>INDEX('Res Measure Mapping'!$U:$U,MATCH($B20,'Res Measure Mapping'!$B:$B,0))</f>
        <v>N/A</v>
      </c>
      <c r="AH20" s="115">
        <v>250</v>
      </c>
      <c r="AI20" s="78">
        <f t="shared" si="20"/>
        <v>1750</v>
      </c>
      <c r="AJ20" s="18">
        <f t="shared" si="8"/>
        <v>0</v>
      </c>
      <c r="AK20" s="18">
        <f t="shared" si="9"/>
        <v>0</v>
      </c>
      <c r="AL20" s="19">
        <f>IFERROR(IF(D18="Original",IF($AI20=0,"-",(INDEX('APP 2885'!$G:$G,MATCH($C$2+$AA20-1,'APP 2885'!$A:$A,0))*$T20)/($AI20+$AE20)),IF($AI20=0,"-",(INDEX('APP 2885'!G:G,MATCH($C$2+$AC20-1,'APP 2885'!$A:$A,0))*$T20)/($AI20+$AE20))),"N/A")</f>
        <v>0</v>
      </c>
      <c r="AM20" s="20">
        <f t="shared" si="10"/>
        <v>0</v>
      </c>
      <c r="AN20" s="21">
        <f t="shared" si="11"/>
        <v>0</v>
      </c>
      <c r="AO20" s="19" t="str">
        <f>IFERROR(IF(D18="Original",IF($AI20=0,"-",(INDEX('APP 2885'!$G:$G,MATCH($C$2+$AA20-1,'APP 2885'!$A:$A,0))*$T20)/($Z20+$AE20)),IF($AI20=0,"-",(INDEX('APP 2885'!G:G,MATCH($C$2+$AC20-1,'APP 2885'!$A:$A,0))*$T20)/($Z20+$AE20))),"N/A")</f>
        <v>N/A</v>
      </c>
      <c r="AP20" s="45"/>
      <c r="AQ20" s="13"/>
      <c r="AR20" s="13"/>
    </row>
    <row r="21" spans="2:44" ht="15.75" thickBot="1" x14ac:dyDescent="0.3">
      <c r="B21" s="66" t="str">
        <f t="shared" si="12"/>
        <v>Bundle A_Zone 3_</v>
      </c>
      <c r="C21" s="33" t="s">
        <v>36</v>
      </c>
      <c r="D21" s="33" t="s">
        <v>30</v>
      </c>
      <c r="E21" s="33"/>
      <c r="F21" s="33"/>
      <c r="G21" s="5">
        <v>26</v>
      </c>
      <c r="H21" s="5">
        <f t="shared" si="1"/>
        <v>30</v>
      </c>
      <c r="I21" s="5">
        <f t="shared" si="13"/>
        <v>30</v>
      </c>
      <c r="J21" s="5">
        <v>26</v>
      </c>
      <c r="K21" s="5" t="str">
        <f>INDEX('Res Measure Mapping'!$X:$X,MATCH($B21,'Res Measure Mapping'!$B:$B,0))</f>
        <v>N/A</v>
      </c>
      <c r="L21" s="5" t="str">
        <f>INDEX('Res Measure Mapping'!$Y:$Y,MATCH($B21,'Res Measure Mapping'!$B:$B,0))</f>
        <v>N/A</v>
      </c>
      <c r="M21" s="74" t="str">
        <f t="shared" si="14"/>
        <v>N/A</v>
      </c>
      <c r="N21" s="5">
        <f t="shared" si="2"/>
        <v>30</v>
      </c>
      <c r="O21" s="5">
        <f t="shared" si="15"/>
        <v>30</v>
      </c>
      <c r="P21" s="6">
        <v>0</v>
      </c>
      <c r="Q21" s="68" t="str">
        <f>INDEX('Res Measure Mapping'!$Q:$Q,MATCH($B21,'Res Measure Mapping'!$B:$B,0))</f>
        <v>N/A</v>
      </c>
      <c r="R21" s="68" t="str">
        <f>INDEX('Res Measure Mapping'!$R:$R,MATCH($B21,'Res Measure Mapping'!$B:$B,0))</f>
        <v>N/A</v>
      </c>
      <c r="S21" s="6">
        <f t="shared" si="21"/>
        <v>0</v>
      </c>
      <c r="T21" s="59">
        <f t="shared" si="16"/>
        <v>0</v>
      </c>
      <c r="U21" s="7">
        <v>0</v>
      </c>
      <c r="V21" s="7" t="str">
        <f>INDEX('Res Measure Mapping'!$S:$S,MATCH($B21,'Res Measure Mapping'!$B:$B,0))</f>
        <v>N/A</v>
      </c>
      <c r="W21" s="7">
        <f t="shared" si="22"/>
        <v>0</v>
      </c>
      <c r="X21" s="8">
        <f t="shared" si="5"/>
        <v>0</v>
      </c>
      <c r="Y21" s="8">
        <f t="shared" si="17"/>
        <v>0</v>
      </c>
      <c r="Z21" s="8">
        <f t="shared" si="18"/>
        <v>0</v>
      </c>
      <c r="AA21" s="5">
        <v>0</v>
      </c>
      <c r="AB21" s="5" t="str">
        <f>INDEX('Res Measure Mapping'!$T:$T,MATCH($B21,'Res Measure Mapping'!$B:$B,0))</f>
        <v>N/A</v>
      </c>
      <c r="AC21" s="5">
        <f t="shared" si="19"/>
        <v>0</v>
      </c>
      <c r="AD21" s="59">
        <f t="shared" si="6"/>
        <v>0</v>
      </c>
      <c r="AE21" s="7">
        <f t="shared" si="7"/>
        <v>0</v>
      </c>
      <c r="AF21" s="7">
        <v>250</v>
      </c>
      <c r="AG21" s="7" t="str">
        <f>INDEX('Res Measure Mapping'!$U:$U,MATCH($B21,'Res Measure Mapping'!$B:$B,0))</f>
        <v>N/A</v>
      </c>
      <c r="AH21" s="113">
        <v>250</v>
      </c>
      <c r="AI21" s="61">
        <f t="shared" si="20"/>
        <v>7500</v>
      </c>
      <c r="AJ21" s="9">
        <f t="shared" si="8"/>
        <v>0</v>
      </c>
      <c r="AK21" s="9">
        <f t="shared" si="9"/>
        <v>0</v>
      </c>
      <c r="AL21" s="10">
        <f>IFERROR(IF(D19="Original",IF($AI21=0,"-",(INDEX('APP 2885'!$G:$G,MATCH($C$2+$AA21-1,'APP 2885'!$A:$A,0))*$T21)/($AI21+$AE21)),IF($AI21=0,"-",(INDEX('APP 2885'!G:G,MATCH($C$2+$AC21-1,'APP 2885'!$A:$A,0))*$T21)/($AI21+$AE21))),"N/A")</f>
        <v>0</v>
      </c>
      <c r="AM21" s="11">
        <f t="shared" si="10"/>
        <v>0</v>
      </c>
      <c r="AN21" s="12">
        <f t="shared" si="11"/>
        <v>0</v>
      </c>
      <c r="AO21" s="10" t="str">
        <f>IFERROR(IF(D19="Original",IF($AI21=0,"-",(INDEX('APP 2885'!$G:$G,MATCH($C$2+$AA21-1,'APP 2885'!$A:$A,0))*$T21)/($Z21+$AE21)),IF($AI21=0,"-",(INDEX('APP 2885'!G:G,MATCH($C$2+$AC21-1,'APP 2885'!$A:$A,0))*$T21)/($Z21+$AE21))),"N/A")</f>
        <v>N/A</v>
      </c>
      <c r="AP21" s="45"/>
      <c r="AQ21" s="13"/>
      <c r="AR21" s="13"/>
    </row>
    <row r="22" spans="2:44" ht="15.75" thickBot="1" x14ac:dyDescent="0.3">
      <c r="B22" s="66" t="str">
        <f t="shared" si="12"/>
        <v>Bundle B_Zone 1_</v>
      </c>
      <c r="C22" s="34" t="s">
        <v>37</v>
      </c>
      <c r="D22" s="34" t="s">
        <v>27</v>
      </c>
      <c r="E22" s="34"/>
      <c r="F22" s="34"/>
      <c r="G22" s="14">
        <v>6</v>
      </c>
      <c r="H22" s="14">
        <f t="shared" si="1"/>
        <v>7</v>
      </c>
      <c r="I22" s="14">
        <f t="shared" si="13"/>
        <v>7</v>
      </c>
      <c r="J22" s="14">
        <v>6</v>
      </c>
      <c r="K22" s="86" t="str">
        <f>INDEX('Res Measure Mapping'!$X:$X,MATCH($B22,'Res Measure Mapping'!$B:$B,0))</f>
        <v>N/A</v>
      </c>
      <c r="L22" s="86" t="str">
        <f>INDEX('Res Measure Mapping'!$Y:$Y,MATCH($B22,'Res Measure Mapping'!$B:$B,0))</f>
        <v>N/A</v>
      </c>
      <c r="M22" s="90" t="str">
        <f t="shared" si="14"/>
        <v>N/A</v>
      </c>
      <c r="N22" s="14">
        <f t="shared" si="2"/>
        <v>7</v>
      </c>
      <c r="O22" s="14">
        <f t="shared" si="15"/>
        <v>7</v>
      </c>
      <c r="P22" s="15">
        <v>0</v>
      </c>
      <c r="Q22" s="87" t="str">
        <f>INDEX('Res Measure Mapping'!$Q:$Q,MATCH($B22,'Res Measure Mapping'!$B:$B,0))</f>
        <v>N/A</v>
      </c>
      <c r="R22" s="87" t="str">
        <f>INDEX('Res Measure Mapping'!$R:$R,MATCH($B22,'Res Measure Mapping'!$B:$B,0))</f>
        <v>N/A</v>
      </c>
      <c r="S22" s="88">
        <f t="shared" si="21"/>
        <v>0</v>
      </c>
      <c r="T22" s="77">
        <f t="shared" si="16"/>
        <v>0</v>
      </c>
      <c r="U22" s="16">
        <v>0</v>
      </c>
      <c r="V22" s="89" t="str">
        <f>INDEX('Res Measure Mapping'!$S:$S,MATCH($B22,'Res Measure Mapping'!$B:$B,0))</f>
        <v>N/A</v>
      </c>
      <c r="W22" s="76">
        <f t="shared" si="22"/>
        <v>0</v>
      </c>
      <c r="X22" s="17">
        <f t="shared" si="5"/>
        <v>0</v>
      </c>
      <c r="Y22" s="17">
        <f t="shared" si="17"/>
        <v>0</v>
      </c>
      <c r="Z22" s="17">
        <f t="shared" si="18"/>
        <v>0</v>
      </c>
      <c r="AA22" s="14">
        <v>0</v>
      </c>
      <c r="AB22" s="86" t="str">
        <f>INDEX('Res Measure Mapping'!$T:$T,MATCH($B22,'Res Measure Mapping'!$B:$B,0))</f>
        <v>N/A</v>
      </c>
      <c r="AC22" s="14">
        <f t="shared" si="19"/>
        <v>0</v>
      </c>
      <c r="AD22" s="60">
        <f t="shared" si="6"/>
        <v>0</v>
      </c>
      <c r="AE22" s="16">
        <f t="shared" si="7"/>
        <v>0</v>
      </c>
      <c r="AF22" s="16">
        <v>500</v>
      </c>
      <c r="AG22" s="89" t="str">
        <f>INDEX('Res Measure Mapping'!$U:$U,MATCH($B22,'Res Measure Mapping'!$B:$B,0))</f>
        <v>N/A</v>
      </c>
      <c r="AH22" s="115">
        <v>1000</v>
      </c>
      <c r="AI22" s="78">
        <f t="shared" si="20"/>
        <v>7000</v>
      </c>
      <c r="AJ22" s="18">
        <f t="shared" si="8"/>
        <v>0</v>
      </c>
      <c r="AK22" s="18">
        <f t="shared" si="9"/>
        <v>0</v>
      </c>
      <c r="AL22" s="19">
        <f>IFERROR(IF(D20="Original",IF($AI22=0,"-",(INDEX('APP 2885'!$G:$G,MATCH($C$2+$AA22-1,'APP 2885'!$A:$A,0))*$T22)/($AI22+$AE22)),IF($AI22=0,"-",(INDEX('APP 2885'!G:G,MATCH($C$2+$AC22-1,'APP 2885'!$A:$A,0))*$T22)/($AI22+$AE22))),"N/A")</f>
        <v>0</v>
      </c>
      <c r="AM22" s="20">
        <f t="shared" si="10"/>
        <v>0</v>
      </c>
      <c r="AN22" s="21">
        <f t="shared" si="11"/>
        <v>0</v>
      </c>
      <c r="AO22" s="19" t="str">
        <f>IFERROR(IF(D20="Original",IF($AI22=0,"-",(INDEX('APP 2885'!$G:$G,MATCH($C$2+$AA22-1,'APP 2885'!$A:$A,0))*$T22)/($Z22+$AE22)),IF($AI22=0,"-",(INDEX('APP 2885'!G:G,MATCH($C$2+$AC22-1,'APP 2885'!$A:$A,0))*$T22)/($Z22+$AE22))),"N/A")</f>
        <v>N/A</v>
      </c>
      <c r="AP22" s="45"/>
      <c r="AQ22" s="13"/>
      <c r="AR22" s="13"/>
    </row>
    <row r="23" spans="2:44" ht="15.75" thickBot="1" x14ac:dyDescent="0.3">
      <c r="B23" s="66" t="str">
        <f t="shared" si="12"/>
        <v>Attic Insulation_Zone 1_Post R-60+, Cavity Fill R-49+</v>
      </c>
      <c r="C23" s="33" t="s">
        <v>212</v>
      </c>
      <c r="D23" s="33" t="s">
        <v>27</v>
      </c>
      <c r="E23" s="33" t="s">
        <v>213</v>
      </c>
      <c r="F23" s="33" t="str">
        <f t="shared" ref="F23:F77" si="23">E23</f>
        <v>Post R-60+, Cavity Fill R-49+</v>
      </c>
      <c r="G23" s="5">
        <v>184</v>
      </c>
      <c r="H23" s="5">
        <f t="shared" si="1"/>
        <v>214</v>
      </c>
      <c r="I23" s="5">
        <f t="shared" si="13"/>
        <v>252</v>
      </c>
      <c r="J23" s="5">
        <v>261182</v>
      </c>
      <c r="K23" s="5">
        <f>INDEX('Res Measure Mapping'!$X:$X,MATCH($B23,'Res Measure Mapping'!$B:$B,0))</f>
        <v>98307.44648305283</v>
      </c>
      <c r="L23" s="5">
        <f>INDEX('Res Measure Mapping'!$Y:$Y,MATCH($B23,'Res Measure Mapping'!$B:$B,0))</f>
        <v>100951.06172202792</v>
      </c>
      <c r="M23" s="74">
        <f t="shared" si="14"/>
        <v>2.6891302068667043E-2</v>
      </c>
      <c r="N23" s="5">
        <f t="shared" si="2"/>
        <v>304464</v>
      </c>
      <c r="O23" s="5">
        <f t="shared" si="15"/>
        <v>358321</v>
      </c>
      <c r="P23" s="6">
        <v>0.04</v>
      </c>
      <c r="Q23" s="68">
        <f>INDEX('Res Measure Mapping'!$Q:$Q,MATCH($B23,'Res Measure Mapping'!$B:$B,0))</f>
        <v>0.15715086997503622</v>
      </c>
      <c r="R23" s="68" t="str">
        <f>INDEX('Res Measure Mapping'!$R:$R,MATCH($B23,'Res Measure Mapping'!$B:$B,0))</f>
        <v>sqft roof</v>
      </c>
      <c r="S23" s="6">
        <f>Q23</f>
        <v>0.15715086997503622</v>
      </c>
      <c r="T23" s="59">
        <f t="shared" si="16"/>
        <v>56310.456880324949</v>
      </c>
      <c r="U23" s="7">
        <v>0.67</v>
      </c>
      <c r="V23" s="7">
        <f>INDEX('Res Measure Mapping'!$S:$S,MATCH($B23,'Res Measure Mapping'!$B:$B,0))</f>
        <v>1.95</v>
      </c>
      <c r="W23" s="7">
        <f>V23</f>
        <v>1.95</v>
      </c>
      <c r="X23" s="8">
        <f t="shared" si="5"/>
        <v>0.13152094761979516</v>
      </c>
      <c r="Y23" s="8">
        <f t="shared" si="17"/>
        <v>698725.95</v>
      </c>
      <c r="Z23" s="8">
        <f t="shared" si="18"/>
        <v>698692.80672119977</v>
      </c>
      <c r="AA23" s="5">
        <v>45</v>
      </c>
      <c r="AB23" s="5">
        <f>INDEX('Res Measure Mapping'!$T:$T,MATCH($B23,'Res Measure Mapping'!$B:$B,0))</f>
        <v>45</v>
      </c>
      <c r="AC23" s="5">
        <f t="shared" si="19"/>
        <v>45</v>
      </c>
      <c r="AD23" s="59">
        <f t="shared" si="6"/>
        <v>992141.42046468682</v>
      </c>
      <c r="AE23" s="7">
        <f t="shared" si="7"/>
        <v>186357.43679044297</v>
      </c>
      <c r="AF23" s="7">
        <v>1.25</v>
      </c>
      <c r="AG23" s="7">
        <f>INDEX('Res Measure Mapping'!$U:$U,MATCH($B23,'Res Measure Mapping'!$B:$B,0))</f>
        <v>0.99998034060156249</v>
      </c>
      <c r="AH23" s="113">
        <v>2</v>
      </c>
      <c r="AI23" s="61">
        <f t="shared" si="20"/>
        <v>716642</v>
      </c>
      <c r="AJ23" s="9">
        <f t="shared" si="8"/>
        <v>0.72231839656925945</v>
      </c>
      <c r="AK23" s="9">
        <f t="shared" si="9"/>
        <v>0.91015193818589635</v>
      </c>
      <c r="AL23" s="10">
        <f>IFERROR(IF(D21="Original",IF($AI23=0,"-",(INDEX('APP 2885'!$G:$G,MATCH($C$2+$AA23-1,'APP 2885'!$A:$A,0))*$T23)/($AI23+$AE23)),IF($AI23=0,"-",(INDEX('APP 2885'!G:G,MATCH($C$2+$AC23-1,'APP 2885'!$A:$A,0))*$T23)/($AI23+$AE23))),"N/A")</f>
        <v>6.4203040373908715</v>
      </c>
      <c r="AM23" s="11">
        <f t="shared" si="10"/>
        <v>0.704227030854084</v>
      </c>
      <c r="AN23" s="12">
        <f t="shared" si="11"/>
        <v>0.89206057247072101</v>
      </c>
      <c r="AO23" s="10">
        <f>IFERROR(IF(D21="Original",IF($AI23=0,"-",(INDEX('APP 2885'!$G:$G,MATCH($C$2+$AA23-1,'APP 2885'!$A:$A,0))*$T23)/($Z23+$AE23)),IF($AI23=0,"-",(INDEX('APP 2885'!G:G,MATCH($C$2+$AC23-1,'APP 2885'!$A:$A,0))*$T23)/($Z23+$AE23))),"N/A")</f>
        <v>6.5505105187975676</v>
      </c>
      <c r="AP23" s="45"/>
      <c r="AQ23" s="13"/>
      <c r="AR23" s="13"/>
    </row>
    <row r="24" spans="2:44" ht="15.75" thickBot="1" x14ac:dyDescent="0.3">
      <c r="B24" s="66" t="str">
        <f t="shared" si="12"/>
        <v>Attic Insulation_Zone 2_Post R-60+, Cavity Fill R-49+</v>
      </c>
      <c r="C24" s="34" t="s">
        <v>212</v>
      </c>
      <c r="D24" s="34" t="s">
        <v>29</v>
      </c>
      <c r="E24" s="34" t="s">
        <v>213</v>
      </c>
      <c r="F24" s="34" t="str">
        <f t="shared" si="23"/>
        <v>Post R-60+, Cavity Fill R-49+</v>
      </c>
      <c r="G24" s="14">
        <v>13</v>
      </c>
      <c r="H24" s="14">
        <f t="shared" si="1"/>
        <v>15</v>
      </c>
      <c r="I24" s="14">
        <f t="shared" si="13"/>
        <v>18</v>
      </c>
      <c r="J24" s="14">
        <v>18421</v>
      </c>
      <c r="K24" s="86">
        <f>INDEX('Res Measure Mapping'!$X:$X,MATCH($B24,'Res Measure Mapping'!$B:$B,0))</f>
        <v>45327.182402746897</v>
      </c>
      <c r="L24" s="86">
        <f>INDEX('Res Measure Mapping'!$Y:$Y,MATCH($B24,'Res Measure Mapping'!$B:$B,0))</f>
        <v>46546.089356660748</v>
      </c>
      <c r="M24" s="90">
        <f t="shared" si="14"/>
        <v>2.6891302068667369E-2</v>
      </c>
      <c r="N24" s="14">
        <f t="shared" si="2"/>
        <v>21474</v>
      </c>
      <c r="O24" s="14">
        <f t="shared" si="15"/>
        <v>25273</v>
      </c>
      <c r="P24" s="15">
        <v>0.05</v>
      </c>
      <c r="Q24" s="87">
        <f>INDEX('Res Measure Mapping'!$Q:$Q,MATCH($B24,'Res Measure Mapping'!$B:$B,0))</f>
        <v>0.17763100522443787</v>
      </c>
      <c r="R24" s="87" t="str">
        <f>INDEX('Res Measure Mapping'!$R:$R,MATCH($B24,'Res Measure Mapping'!$B:$B,0))</f>
        <v>sqft roof</v>
      </c>
      <c r="S24" s="88">
        <f t="shared" ref="S24:S77" si="24">Q24</f>
        <v>0.17763100522443787</v>
      </c>
      <c r="T24" s="77">
        <f t="shared" si="16"/>
        <v>4489.2683950372184</v>
      </c>
      <c r="U24" s="16">
        <v>0.67</v>
      </c>
      <c r="V24" s="89">
        <f>INDEX('Res Measure Mapping'!$S:$S,MATCH($B24,'Res Measure Mapping'!$B:$B,0))</f>
        <v>1.95</v>
      </c>
      <c r="W24" s="76">
        <f t="shared" ref="W24:W77" si="25">V24</f>
        <v>1.95</v>
      </c>
      <c r="X24" s="17">
        <f t="shared" si="5"/>
        <v>0.14866095324503131</v>
      </c>
      <c r="Y24" s="17">
        <f t="shared" si="17"/>
        <v>49282.35</v>
      </c>
      <c r="Z24" s="17">
        <f t="shared" si="18"/>
        <v>49279.674102841585</v>
      </c>
      <c r="AA24" s="14">
        <v>45</v>
      </c>
      <c r="AB24" s="86">
        <f>INDEX('Res Measure Mapping'!$T:$T,MATCH($B24,'Res Measure Mapping'!$B:$B,0))</f>
        <v>45</v>
      </c>
      <c r="AC24" s="14">
        <f t="shared" si="19"/>
        <v>45</v>
      </c>
      <c r="AD24" s="60">
        <f t="shared" si="6"/>
        <v>79097.016239193195</v>
      </c>
      <c r="AE24" s="16">
        <f t="shared" si="7"/>
        <v>14857.072691516296</v>
      </c>
      <c r="AF24" s="16">
        <v>1.25</v>
      </c>
      <c r="AG24" s="89">
        <f>INDEX('Res Measure Mapping'!$U:$U,MATCH($B24,'Res Measure Mapping'!$B:$B,0))</f>
        <v>0.99998034060156249</v>
      </c>
      <c r="AH24" s="115">
        <v>2</v>
      </c>
      <c r="AI24" s="78">
        <f t="shared" si="20"/>
        <v>50546</v>
      </c>
      <c r="AJ24" s="18">
        <f t="shared" si="8"/>
        <v>0.63903801184037656</v>
      </c>
      <c r="AK24" s="18">
        <f t="shared" si="9"/>
        <v>0.82687155345701346</v>
      </c>
      <c r="AL24" s="19">
        <f>IFERROR(IF(D22="Original",IF($AI24=0,"-",(INDEX('APP 2885'!$G:$G,MATCH($C$2+$AA24-1,'APP 2885'!$A:$A,0))*$T24)/($AI24+$AE24)),IF($AI24=0,"-",(INDEX('APP 2885'!G:G,MATCH($C$2+$AC24-1,'APP 2885'!$A:$A,0))*$T24)/($AI24+$AE24))),"N/A")</f>
        <v>7.066940613621945</v>
      </c>
      <c r="AM24" s="20">
        <f t="shared" si="10"/>
        <v>0.62302823097419346</v>
      </c>
      <c r="AN24" s="21">
        <f t="shared" si="11"/>
        <v>0.81086177259083025</v>
      </c>
      <c r="AO24" s="19">
        <f>IFERROR(IF(D22="Original",IF($AI24=0,"-",(INDEX('APP 2885'!$G:$G,MATCH($C$2+$AA24-1,'APP 2885'!$A:$A,0))*$T24)/($Z24+$AE24)),IF($AI24=0,"-",(INDEX('APP 2885'!G:G,MATCH($C$2+$AC24-1,'APP 2885'!$A:$A,0))*$T24)/($Z24+$AE24))),"N/A")</f>
        <v>7.2064713874761823</v>
      </c>
      <c r="AP24" s="45"/>
      <c r="AQ24" s="13"/>
      <c r="AR24" s="13"/>
    </row>
    <row r="25" spans="2:44" ht="15.75" thickBot="1" x14ac:dyDescent="0.3">
      <c r="B25" s="66" t="str">
        <f t="shared" si="12"/>
        <v>Attic Insulation_Zone 3_Post R-60+, Cavity Fill R-49+</v>
      </c>
      <c r="C25" s="33" t="s">
        <v>212</v>
      </c>
      <c r="D25" s="33" t="s">
        <v>30</v>
      </c>
      <c r="E25" s="33" t="s">
        <v>213</v>
      </c>
      <c r="F25" s="33" t="str">
        <f t="shared" si="23"/>
        <v>Post R-60+, Cavity Fill R-49+</v>
      </c>
      <c r="G25" s="5">
        <v>917</v>
      </c>
      <c r="H25" s="5">
        <f t="shared" si="1"/>
        <v>1069</v>
      </c>
      <c r="I25" s="5">
        <f t="shared" si="13"/>
        <v>1259</v>
      </c>
      <c r="J25" s="5">
        <v>1586167</v>
      </c>
      <c r="K25" s="5">
        <f>INDEX('Res Measure Mapping'!$X:$X,MATCH($B25,'Res Measure Mapping'!$B:$B,0))</f>
        <v>86021.023995289055</v>
      </c>
      <c r="L25" s="5">
        <f>INDEX('Res Measure Mapping'!$Y:$Y,MATCH($B25,'Res Measure Mapping'!$B:$B,0))</f>
        <v>88383.197370414622</v>
      </c>
      <c r="M25" s="74">
        <f t="shared" si="14"/>
        <v>2.7460419155844174E-2</v>
      </c>
      <c r="N25" s="5">
        <f t="shared" si="2"/>
        <v>1849018</v>
      </c>
      <c r="O25" s="5">
        <f t="shared" si="15"/>
        <v>2177146</v>
      </c>
      <c r="P25" s="6">
        <v>0.03</v>
      </c>
      <c r="Q25" s="68">
        <f>INDEX('Res Measure Mapping'!$Q:$Q,MATCH($B25,'Res Measure Mapping'!$B:$B,0))</f>
        <v>0.11968715837423201</v>
      </c>
      <c r="R25" s="68" t="str">
        <f>INDEX('Res Measure Mapping'!$R:$R,MATCH($B25,'Res Measure Mapping'!$B:$B,0))</f>
        <v>sqft roof</v>
      </c>
      <c r="S25" s="6">
        <f t="shared" si="24"/>
        <v>0.11968715837423201</v>
      </c>
      <c r="T25" s="59">
        <f t="shared" si="16"/>
        <v>260576.41810582572</v>
      </c>
      <c r="U25" s="7">
        <v>0.67</v>
      </c>
      <c r="V25" s="7">
        <f>INDEX('Res Measure Mapping'!$S:$S,MATCH($B25,'Res Measure Mapping'!$B:$B,0))</f>
        <v>1.95</v>
      </c>
      <c r="W25" s="7">
        <f t="shared" si="25"/>
        <v>1.95</v>
      </c>
      <c r="X25" s="8">
        <f t="shared" si="5"/>
        <v>0.10016723731659932</v>
      </c>
      <c r="Y25" s="8">
        <f t="shared" si="17"/>
        <v>4245434.7</v>
      </c>
      <c r="Z25" s="8">
        <f t="shared" si="18"/>
        <v>4245308.5894482182</v>
      </c>
      <c r="AA25" s="5">
        <v>45</v>
      </c>
      <c r="AB25" s="5">
        <f>INDEX('Res Measure Mapping'!$T:$T,MATCH($B25,'Res Measure Mapping'!$B:$B,0))</f>
        <v>45</v>
      </c>
      <c r="AC25" s="5">
        <f t="shared" si="19"/>
        <v>45</v>
      </c>
      <c r="AD25" s="59">
        <f t="shared" si="6"/>
        <v>4591130.527471262</v>
      </c>
      <c r="AE25" s="7">
        <f t="shared" si="7"/>
        <v>862368.30699918536</v>
      </c>
      <c r="AF25" s="7">
        <v>1.25</v>
      </c>
      <c r="AG25" s="7">
        <f>INDEX('Res Measure Mapping'!$U:$U,MATCH($B25,'Res Measure Mapping'!$B:$B,0))</f>
        <v>0.99998034060156249</v>
      </c>
      <c r="AH25" s="113">
        <v>2</v>
      </c>
      <c r="AI25" s="61">
        <f t="shared" si="20"/>
        <v>4354292</v>
      </c>
      <c r="AJ25" s="9">
        <f t="shared" si="8"/>
        <v>0.94841389804665177</v>
      </c>
      <c r="AK25" s="9">
        <f t="shared" si="9"/>
        <v>1.1362474396632887</v>
      </c>
      <c r="AL25" s="10">
        <f>IFERROR(IF(D23="Original",IF($AI25=0,"-",(INDEX('APP 2885'!$G:$G,MATCH($C$2+$AA25-1,'APP 2885'!$A:$A,0))*$T25)/($AI25+$AE25)),IF($AI25=0,"-",(INDEX('APP 2885'!G:G,MATCH($C$2+$AC25-1,'APP 2885'!$A:$A,0))*$T25)/($AI25+$AE25))),"N/A")</f>
        <v>5.1427637672879287</v>
      </c>
      <c r="AM25" s="11">
        <f t="shared" si="10"/>
        <v>0.92467608229524278</v>
      </c>
      <c r="AN25" s="12">
        <f t="shared" si="11"/>
        <v>1.1125096239118797</v>
      </c>
      <c r="AO25" s="10">
        <f>IFERROR(IF(D23="Original",IF($AI25=0,"-",(INDEX('APP 2885'!$G:$G,MATCH($C$2+$AA25-1,'APP 2885'!$A:$A,0))*$T25)/($Z25+$AE25)),IF($AI25=0,"-",(INDEX('APP 2885'!G:G,MATCH($C$2+$AC25-1,'APP 2885'!$A:$A,0))*$T25)/($Z25+$AE25))),"N/A")</f>
        <v>5.2524958326444908</v>
      </c>
      <c r="AP25" s="45"/>
      <c r="AQ25" s="13"/>
      <c r="AR25" s="13"/>
    </row>
    <row r="26" spans="2:44" ht="15.75" thickBot="1" x14ac:dyDescent="0.3">
      <c r="B26" s="66" t="str">
        <f t="shared" si="12"/>
        <v>Condensing Boiler_Zone 1_95+% Annual Fuel Utilization Efficiency (AFUE)</v>
      </c>
      <c r="C26" s="34" t="s">
        <v>40</v>
      </c>
      <c r="D26" s="34" t="s">
        <v>27</v>
      </c>
      <c r="E26" s="34" t="s">
        <v>32</v>
      </c>
      <c r="F26" s="34" t="str">
        <f t="shared" si="23"/>
        <v>95+% Annual Fuel Utilization Efficiency (AFUE)</v>
      </c>
      <c r="G26" s="14">
        <v>4</v>
      </c>
      <c r="H26" s="14">
        <v>5</v>
      </c>
      <c r="I26" s="14">
        <f t="shared" si="13"/>
        <v>7</v>
      </c>
      <c r="J26" s="14">
        <v>4</v>
      </c>
      <c r="K26" s="86">
        <f>INDEX('Res Measure Mapping'!$X:$X,MATCH($B26,'Res Measure Mapping'!$B:$B,0))</f>
        <v>6.9062447938761231</v>
      </c>
      <c r="L26" s="86">
        <f>INDEX('Res Measure Mapping'!$Y:$Y,MATCH($B26,'Res Measure Mapping'!$B:$B,0))</f>
        <v>9.485084893504709</v>
      </c>
      <c r="M26" s="90">
        <f t="shared" si="14"/>
        <v>0.37340699274304384</v>
      </c>
      <c r="N26" s="14">
        <v>5</v>
      </c>
      <c r="O26" s="14">
        <f t="shared" si="15"/>
        <v>7</v>
      </c>
      <c r="P26" s="15">
        <v>108.78</v>
      </c>
      <c r="Q26" s="87">
        <f>INDEX('Res Measure Mapping'!$Q:$Q,MATCH($B26,'Res Measure Mapping'!$B:$B,0))</f>
        <v>144.02279803034281</v>
      </c>
      <c r="R26" s="87" t="str">
        <f>INDEX('Res Measure Mapping'!$R:$R,MATCH($B26,'Res Measure Mapping'!$B:$B,0))</f>
        <v>kBTU/hr</v>
      </c>
      <c r="S26" s="88">
        <f t="shared" si="24"/>
        <v>144.02279803034281</v>
      </c>
      <c r="T26" s="77">
        <f t="shared" si="16"/>
        <v>1008.1595862123997</v>
      </c>
      <c r="U26" s="16">
        <v>1747</v>
      </c>
      <c r="V26" s="89">
        <f>INDEX('Res Measure Mapping'!$S:$S,MATCH($B26,'Res Measure Mapping'!$B:$B,0))</f>
        <v>2090.0700000000002</v>
      </c>
      <c r="W26" s="76">
        <f t="shared" si="25"/>
        <v>2090.0700000000002</v>
      </c>
      <c r="X26" s="17">
        <f t="shared" si="5"/>
        <v>95.840686583040892</v>
      </c>
      <c r="Y26" s="17">
        <f t="shared" si="17"/>
        <v>14630.490000000002</v>
      </c>
      <c r="Z26" s="17">
        <f t="shared" si="18"/>
        <v>13959.605193918715</v>
      </c>
      <c r="AA26" s="14">
        <v>25</v>
      </c>
      <c r="AB26" s="86">
        <f>INDEX('Res Measure Mapping'!$T:$T,MATCH($B26,'Res Measure Mapping'!$B:$B,0))</f>
        <v>25</v>
      </c>
      <c r="AC26" s="14">
        <f t="shared" si="19"/>
        <v>25</v>
      </c>
      <c r="AD26" s="60">
        <f t="shared" si="6"/>
        <v>14123.890654342869</v>
      </c>
      <c r="AE26" s="16">
        <f t="shared" si="7"/>
        <v>3336.4679807437615</v>
      </c>
      <c r="AF26" s="16">
        <v>900</v>
      </c>
      <c r="AG26" s="89">
        <f>INDEX('Res Measure Mapping'!$U:$U,MATCH($B26,'Res Measure Mapping'!$B:$B,0))</f>
        <v>1463.0459900000001</v>
      </c>
      <c r="AH26" s="115">
        <v>1500</v>
      </c>
      <c r="AI26" s="78">
        <f t="shared" si="20"/>
        <v>10500</v>
      </c>
      <c r="AJ26" s="18">
        <f t="shared" si="8"/>
        <v>0.74342121848496601</v>
      </c>
      <c r="AK26" s="18">
        <f t="shared" si="9"/>
        <v>0.97964989388311852</v>
      </c>
      <c r="AL26" s="19" t="str">
        <f>IFERROR(IF(#REF!="Original",IF($AI26=0,"-",(INDEX('APP 2885'!$G:$G,MATCH($C$2+$AA26-1,'APP 2885'!$A:$A,0))*$T26)/($AI26+$AE26)),IF($AI26=0,"-",(INDEX('APP 2885'!G:G,MATCH($C$2+$AC26-1,'APP 2885'!$A:$A,0))*$T26)/($AI26+$AE26))),"N/A")</f>
        <v>N/A</v>
      </c>
      <c r="AM26" s="20">
        <f t="shared" si="10"/>
        <v>0.98836825741258205</v>
      </c>
      <c r="AN26" s="21">
        <f t="shared" si="11"/>
        <v>1.2245969328107347</v>
      </c>
      <c r="AO26" s="19" t="str">
        <f>IFERROR(IF(#REF!="Original",IF($AI26=0,"-",(INDEX('APP 2885'!$G:$G,MATCH($C$2+$AA26-1,'APP 2885'!$A:$A,0))*$T26)/($Z26+$AE26)),IF($AI26=0,"-",(INDEX('APP 2885'!G:G,MATCH($C$2+$AC26-1,'APP 2885'!$A:$A,0))*$T26)/($Z26+$AE26))),"N/A")</f>
        <v>N/A</v>
      </c>
      <c r="AP26" s="45"/>
      <c r="AQ26" s="13"/>
      <c r="AR26" s="13"/>
    </row>
    <row r="27" spans="2:44" ht="15.75" thickBot="1" x14ac:dyDescent="0.3">
      <c r="B27" s="66" t="str">
        <f t="shared" si="12"/>
        <v>Condensing Boiler_Zone 2_95+% Annual Fuel Utilization Efficiency (AFUE)</v>
      </c>
      <c r="C27" s="33" t="s">
        <v>40</v>
      </c>
      <c r="D27" s="33" t="s">
        <v>29</v>
      </c>
      <c r="E27" s="33" t="s">
        <v>32</v>
      </c>
      <c r="F27" s="33" t="str">
        <f t="shared" si="23"/>
        <v>95+% Annual Fuel Utilization Efficiency (AFUE)</v>
      </c>
      <c r="G27" s="5">
        <v>2</v>
      </c>
      <c r="H27" s="5">
        <v>1</v>
      </c>
      <c r="I27" s="5">
        <f t="shared" si="13"/>
        <v>1</v>
      </c>
      <c r="J27" s="5">
        <v>2</v>
      </c>
      <c r="K27" s="5">
        <f>INDEX('Res Measure Mapping'!$X:$X,MATCH($B27,'Res Measure Mapping'!$B:$B,0))</f>
        <v>0</v>
      </c>
      <c r="L27" s="5">
        <f>INDEX('Res Measure Mapping'!$Y:$Y,MATCH($B27,'Res Measure Mapping'!$B:$B,0))</f>
        <v>0</v>
      </c>
      <c r="M27" s="74" t="str">
        <f t="shared" si="14"/>
        <v>N/A</v>
      </c>
      <c r="N27" s="5">
        <v>1</v>
      </c>
      <c r="O27" s="5">
        <f t="shared" si="15"/>
        <v>1</v>
      </c>
      <c r="P27" s="6">
        <v>124.22</v>
      </c>
      <c r="Q27" s="68">
        <f>INDEX('Res Measure Mapping'!$Q:$Q,MATCH($B27,'Res Measure Mapping'!$B:$B,0))</f>
        <v>68.958479769223118</v>
      </c>
      <c r="R27" s="68" t="str">
        <f>INDEX('Res Measure Mapping'!$R:$R,MATCH($B27,'Res Measure Mapping'!$B:$B,0))</f>
        <v>kBTU/hr</v>
      </c>
      <c r="S27" s="6">
        <f t="shared" si="24"/>
        <v>68.958479769223118</v>
      </c>
      <c r="T27" s="59">
        <f t="shared" si="16"/>
        <v>68.958479769223118</v>
      </c>
      <c r="U27" s="7">
        <v>1747</v>
      </c>
      <c r="V27" s="7">
        <f>INDEX('Res Measure Mapping'!$S:$S,MATCH($B27,'Res Measure Mapping'!$B:$B,0))</f>
        <v>1194.323273549337</v>
      </c>
      <c r="W27" s="7">
        <f t="shared" si="25"/>
        <v>1194.323273549337</v>
      </c>
      <c r="X27" s="8">
        <f t="shared" si="5"/>
        <v>45.88876300967771</v>
      </c>
      <c r="Y27" s="8">
        <f t="shared" si="17"/>
        <v>1194.323273549337</v>
      </c>
      <c r="Z27" s="8">
        <f t="shared" si="18"/>
        <v>1148.4345105396594</v>
      </c>
      <c r="AA27" s="5">
        <v>25</v>
      </c>
      <c r="AB27" s="5">
        <f>INDEX('Res Measure Mapping'!$T:$T,MATCH($B27,'Res Measure Mapping'!$B:$B,0))</f>
        <v>25</v>
      </c>
      <c r="AC27" s="5">
        <f t="shared" si="19"/>
        <v>25</v>
      </c>
      <c r="AD27" s="59">
        <f t="shared" si="6"/>
        <v>966.07922125637276</v>
      </c>
      <c r="AE27" s="7">
        <f t="shared" si="7"/>
        <v>228.21561476707166</v>
      </c>
      <c r="AF27" s="7">
        <v>900</v>
      </c>
      <c r="AG27" s="7">
        <f>INDEX('Res Measure Mapping'!$U:$U,MATCH($B27,'Res Measure Mapping'!$B:$B,0))</f>
        <v>1463.0459900000001</v>
      </c>
      <c r="AH27" s="113">
        <v>1500</v>
      </c>
      <c r="AI27" s="61">
        <f t="shared" si="20"/>
        <v>1500</v>
      </c>
      <c r="AJ27" s="9">
        <f t="shared" si="8"/>
        <v>1.5526676974267914</v>
      </c>
      <c r="AK27" s="9">
        <f t="shared" si="9"/>
        <v>1.7888963728249438</v>
      </c>
      <c r="AL27" s="10" t="str">
        <f>IFERROR(IF(#REF!="Original",IF($AI27=0,"-",(INDEX('APP 2885'!$G:$G,MATCH($C$2+$AA27-1,'APP 2885'!$A:$A,0))*$T27)/($AI27+$AE27)),IF($AI27=0,"-",(INDEX('APP 2885'!G:G,MATCH($C$2+$AC27-1,'APP 2885'!$A:$A,0))*$T27)/($AI27+$AE27))),"N/A")</f>
        <v>N/A</v>
      </c>
      <c r="AM27" s="11">
        <f t="shared" si="10"/>
        <v>1.1887581114167181</v>
      </c>
      <c r="AN27" s="12">
        <f t="shared" si="11"/>
        <v>1.4249867868148707</v>
      </c>
      <c r="AO27" s="10" t="str">
        <f>IFERROR(IF(#REF!="Original",IF($AI27=0,"-",(INDEX('APP 2885'!$G:$G,MATCH($C$2+$AA27-1,'APP 2885'!$A:$A,0))*$T27)/($Z27+$AE27)),IF($AI27=0,"-",(INDEX('APP 2885'!G:G,MATCH($C$2+$AC27-1,'APP 2885'!$A:$A,0))*$T27)/($Z27+$AE27))),"N/A")</f>
        <v>N/A</v>
      </c>
      <c r="AP27" s="45"/>
      <c r="AQ27" s="13"/>
      <c r="AR27" s="13"/>
    </row>
    <row r="28" spans="2:44" ht="15.75" thickBot="1" x14ac:dyDescent="0.3">
      <c r="B28" s="66" t="str">
        <f t="shared" si="12"/>
        <v>Condensing Boiler_Zone 3_95+% Annual Fuel Utilization Efficiency (AFUE)</v>
      </c>
      <c r="C28" s="34" t="s">
        <v>40</v>
      </c>
      <c r="D28" s="34" t="s">
        <v>30</v>
      </c>
      <c r="E28" s="34" t="s">
        <v>32</v>
      </c>
      <c r="F28" s="34" t="str">
        <f t="shared" si="23"/>
        <v>95+% Annual Fuel Utilization Efficiency (AFUE)</v>
      </c>
      <c r="G28" s="14">
        <v>2</v>
      </c>
      <c r="H28" s="14">
        <v>1</v>
      </c>
      <c r="I28" s="14">
        <f t="shared" si="13"/>
        <v>1</v>
      </c>
      <c r="J28" s="14">
        <v>2</v>
      </c>
      <c r="K28" s="86">
        <f>INDEX('Res Measure Mapping'!$X:$X,MATCH($B28,'Res Measure Mapping'!$B:$B,0))</f>
        <v>0</v>
      </c>
      <c r="L28" s="86">
        <f>INDEX('Res Measure Mapping'!$Y:$Y,MATCH($B28,'Res Measure Mapping'!$B:$B,0))</f>
        <v>0</v>
      </c>
      <c r="M28" s="90" t="str">
        <f t="shared" si="14"/>
        <v>N/A</v>
      </c>
      <c r="N28" s="14">
        <v>1</v>
      </c>
      <c r="O28" s="14">
        <f t="shared" si="15"/>
        <v>1</v>
      </c>
      <c r="P28" s="15">
        <v>110.66</v>
      </c>
      <c r="Q28" s="87">
        <f>INDEX('Res Measure Mapping'!$Q:$Q,MATCH($B28,'Res Measure Mapping'!$B:$B,0))</f>
        <v>61.556117334467672</v>
      </c>
      <c r="R28" s="87" t="str">
        <f>INDEX('Res Measure Mapping'!$R:$R,MATCH($B28,'Res Measure Mapping'!$B:$B,0))</f>
        <v>kBTU/hr</v>
      </c>
      <c r="S28" s="88">
        <f t="shared" si="24"/>
        <v>61.556117334467672</v>
      </c>
      <c r="T28" s="77">
        <f t="shared" si="16"/>
        <v>61.556117334467672</v>
      </c>
      <c r="U28" s="16">
        <v>1747</v>
      </c>
      <c r="V28" s="89">
        <f>INDEX('Res Measure Mapping'!$S:$S,MATCH($B28,'Res Measure Mapping'!$B:$B,0))</f>
        <v>1194.323273549337</v>
      </c>
      <c r="W28" s="76">
        <f t="shared" si="25"/>
        <v>1194.323273549337</v>
      </c>
      <c r="X28" s="17">
        <f t="shared" si="5"/>
        <v>40.962824145929176</v>
      </c>
      <c r="Y28" s="17">
        <f t="shared" si="17"/>
        <v>1194.323273549337</v>
      </c>
      <c r="Z28" s="17">
        <f t="shared" si="18"/>
        <v>1153.360449403408</v>
      </c>
      <c r="AA28" s="14">
        <v>25</v>
      </c>
      <c r="AB28" s="86">
        <f>INDEX('Res Measure Mapping'!$T:$T,MATCH($B28,'Res Measure Mapping'!$B:$B,0))</f>
        <v>25</v>
      </c>
      <c r="AC28" s="14">
        <f t="shared" si="19"/>
        <v>25</v>
      </c>
      <c r="AD28" s="60">
        <f t="shared" si="6"/>
        <v>862.37524517745612</v>
      </c>
      <c r="AE28" s="16">
        <f t="shared" si="7"/>
        <v>203.71776186442747</v>
      </c>
      <c r="AF28" s="16">
        <v>900</v>
      </c>
      <c r="AG28" s="89">
        <f>INDEX('Res Measure Mapping'!$U:$U,MATCH($B28,'Res Measure Mapping'!$B:$B,0))</f>
        <v>1463.0459900000001</v>
      </c>
      <c r="AH28" s="115">
        <v>1500</v>
      </c>
      <c r="AI28" s="78">
        <f t="shared" si="20"/>
        <v>1500</v>
      </c>
      <c r="AJ28" s="18">
        <f t="shared" si="8"/>
        <v>1.7393820246908132</v>
      </c>
      <c r="AK28" s="18">
        <f t="shared" si="9"/>
        <v>1.9756107000889658</v>
      </c>
      <c r="AL28" s="19">
        <f>IFERROR(IF(D26="Original",IF($AI28=0,"-",(INDEX('APP 2885'!$G:$G,MATCH($C$2+$AA28-1,'APP 2885'!$A:$A,0))*$T28)/($AI28+$AE28)),IF($AI28=0,"-",(INDEX('APP 2885'!G:G,MATCH($C$2+$AC28-1,'APP 2885'!$A:$A,0))*$T28)/($AI28+$AE28))),"N/A")</f>
        <v>1.8398955506009855</v>
      </c>
      <c r="AM28" s="20">
        <f t="shared" si="10"/>
        <v>1.3374229557877373</v>
      </c>
      <c r="AN28" s="21">
        <f t="shared" si="11"/>
        <v>1.5736516311858899</v>
      </c>
      <c r="AO28" s="19">
        <f>IFERROR(IF(D26="Original",IF($AI28=0,"-",(INDEX('APP 2885'!$G:$G,MATCH($C$2+$AA28-1,'APP 2885'!$A:$A,0))*$T28)/($Z28+$AE28)),IF($AI28=0,"-",(INDEX('APP 2885'!G:G,MATCH($C$2+$AC28-1,'APP 2885'!$A:$A,0))*$T28)/($Z28+$AE28))),"N/A")</f>
        <v>2.3098615124073838</v>
      </c>
      <c r="AP28" s="45"/>
      <c r="AQ28" s="13"/>
      <c r="AR28" s="13"/>
    </row>
    <row r="29" spans="2:44" ht="15.75" thickBot="1" x14ac:dyDescent="0.3">
      <c r="B29" s="66" t="str">
        <f t="shared" si="12"/>
        <v>Duct Insulation_Zone 1_Post R ? 8, prior condition must not exceed R-0</v>
      </c>
      <c r="C29" s="33" t="s">
        <v>41</v>
      </c>
      <c r="D29" s="33" t="s">
        <v>27</v>
      </c>
      <c r="E29" s="33" t="s">
        <v>42</v>
      </c>
      <c r="F29" s="33" t="str">
        <f t="shared" si="23"/>
        <v>Post R ? 8, prior condition must not exceed R-0</v>
      </c>
      <c r="G29" s="5">
        <v>95</v>
      </c>
      <c r="H29" s="5">
        <f t="shared" ref="H29:H58" si="26">ROUND((G29/(7/12))*0.68,0)</f>
        <v>111</v>
      </c>
      <c r="I29" s="5">
        <f t="shared" si="13"/>
        <v>173</v>
      </c>
      <c r="J29" s="5">
        <v>13024</v>
      </c>
      <c r="K29" s="5">
        <f>INDEX('Res Measure Mapping'!$X:$X,MATCH($B29,'Res Measure Mapping'!$B:$B,0))</f>
        <v>12234.678678362932</v>
      </c>
      <c r="L29" s="5">
        <f>INDEX('Res Measure Mapping'!$Y:$Y,MATCH($B29,'Res Measure Mapping'!$B:$B,0))</f>
        <v>19029.434420357618</v>
      </c>
      <c r="M29" s="74">
        <f t="shared" si="14"/>
        <v>0.55536854874752317</v>
      </c>
      <c r="N29" s="5">
        <f t="shared" ref="N29:N58" si="27">ROUND((J29/(7/12))*0.68,0)</f>
        <v>15182</v>
      </c>
      <c r="O29" s="5">
        <f t="shared" si="15"/>
        <v>23614</v>
      </c>
      <c r="P29" s="6">
        <v>0.17</v>
      </c>
      <c r="Q29" s="68">
        <f>INDEX('Res Measure Mapping'!$Q:$Q,MATCH($B29,'Res Measure Mapping'!$B:$B,0))</f>
        <v>0.17361189969618615</v>
      </c>
      <c r="R29" s="68" t="str">
        <f>INDEX('Res Measure Mapping'!$R:$R,MATCH($B29,'Res Measure Mapping'!$B:$B,0))</f>
        <v>linear duct ft</v>
      </c>
      <c r="S29" s="6">
        <f t="shared" si="24"/>
        <v>0.17361189969618615</v>
      </c>
      <c r="T29" s="59">
        <f t="shared" si="16"/>
        <v>4099.6713994257398</v>
      </c>
      <c r="U29" s="7">
        <v>0.17</v>
      </c>
      <c r="V29" s="7">
        <f>INDEX('Res Measure Mapping'!$S:$S,MATCH($B29,'Res Measure Mapping'!$B:$B,0))</f>
        <v>2.46</v>
      </c>
      <c r="W29" s="7">
        <f t="shared" si="25"/>
        <v>2.46</v>
      </c>
      <c r="X29" s="8">
        <f t="shared" si="5"/>
        <v>0.14529732841913254</v>
      </c>
      <c r="Y29" s="8">
        <f t="shared" si="17"/>
        <v>58090.44</v>
      </c>
      <c r="Z29" s="8">
        <f t="shared" si="18"/>
        <v>58065.303562183493</v>
      </c>
      <c r="AA29" s="5">
        <v>45</v>
      </c>
      <c r="AB29" s="5">
        <f>INDEX('Res Measure Mapping'!$T:$T,MATCH($B29,'Res Measure Mapping'!$B:$B,0))</f>
        <v>45</v>
      </c>
      <c r="AC29" s="5">
        <f t="shared" si="19"/>
        <v>45</v>
      </c>
      <c r="AD29" s="59">
        <f t="shared" si="6"/>
        <v>72232.655016618854</v>
      </c>
      <c r="AE29" s="7">
        <f t="shared" si="7"/>
        <v>13567.715412144253</v>
      </c>
      <c r="AF29" s="7">
        <v>1</v>
      </c>
      <c r="AG29" s="7">
        <f>INDEX('Res Measure Mapping'!$U:$U,MATCH($B29,'Res Measure Mapping'!$B:$B,0))</f>
        <v>0.50000891751629639</v>
      </c>
      <c r="AH29" s="113">
        <v>2</v>
      </c>
      <c r="AI29" s="61">
        <f t="shared" si="20"/>
        <v>47228</v>
      </c>
      <c r="AJ29" s="9">
        <f t="shared" si="8"/>
        <v>0.6538317051911503</v>
      </c>
      <c r="AK29" s="9">
        <f t="shared" si="9"/>
        <v>0.84166524680778709</v>
      </c>
      <c r="AL29" s="10">
        <f>IFERROR(IF(D27="Original",IF($AI29=0,"-",(INDEX('APP 2885'!$G:$G,MATCH($C$2+$AA29-1,'APP 2885'!$A:$A,0))*$T29)/($AI29+$AE29)),IF($AI29=0,"-",(INDEX('APP 2885'!G:G,MATCH($C$2+$AC29-1,'APP 2885'!$A:$A,0))*$T29)/($AI29+$AE29))),"N/A")</f>
        <v>6.9427271537427737</v>
      </c>
      <c r="AM29" s="11">
        <f t="shared" si="10"/>
        <v>0.80386500466892952</v>
      </c>
      <c r="AN29" s="12">
        <f t="shared" si="11"/>
        <v>0.99169854628556642</v>
      </c>
      <c r="AO29" s="10">
        <f>IFERROR(IF(D27="Original",IF($AI29=0,"-",(INDEX('APP 2885'!$G:$G,MATCH($C$2+$AA29-1,'APP 2885'!$A:$A,0))*$T29)/($Z29+$AE29)),IF($AI29=0,"-",(INDEX('APP 2885'!G:G,MATCH($C$2+$AC29-1,'APP 2885'!$A:$A,0))*$T29)/($Z29+$AE29))),"N/A")</f>
        <v>5.8923673784345505</v>
      </c>
      <c r="AP29" s="45"/>
      <c r="AQ29" s="13"/>
      <c r="AR29" s="13"/>
    </row>
    <row r="30" spans="2:44" ht="15.75" thickBot="1" x14ac:dyDescent="0.3">
      <c r="B30" s="66" t="str">
        <f t="shared" si="12"/>
        <v>Duct Insulation_Zone 2_Post R ? 8, prior condition must not exceed R-0</v>
      </c>
      <c r="C30" s="34" t="s">
        <v>41</v>
      </c>
      <c r="D30" s="34" t="s">
        <v>29</v>
      </c>
      <c r="E30" s="34" t="s">
        <v>42</v>
      </c>
      <c r="F30" s="34" t="str">
        <f t="shared" si="23"/>
        <v>Post R ? 8, prior condition must not exceed R-0</v>
      </c>
      <c r="G30" s="14">
        <v>6</v>
      </c>
      <c r="H30" s="14">
        <f t="shared" si="26"/>
        <v>7</v>
      </c>
      <c r="I30" s="14">
        <f t="shared" si="13"/>
        <v>11</v>
      </c>
      <c r="J30" s="14">
        <v>874</v>
      </c>
      <c r="K30" s="86">
        <f>INDEX('Res Measure Mapping'!$X:$X,MATCH($B30,'Res Measure Mapping'!$B:$B,0))</f>
        <v>5900.0254547243112</v>
      </c>
      <c r="L30" s="86">
        <f>INDEX('Res Measure Mapping'!$Y:$Y,MATCH($B30,'Res Measure Mapping'!$B:$B,0))</f>
        <v>9176.7140290880016</v>
      </c>
      <c r="M30" s="90">
        <f t="shared" si="14"/>
        <v>0.55536854874752384</v>
      </c>
      <c r="N30" s="14">
        <f t="shared" si="27"/>
        <v>1019</v>
      </c>
      <c r="O30" s="14">
        <f t="shared" si="15"/>
        <v>1585</v>
      </c>
      <c r="P30" s="15">
        <v>0.17</v>
      </c>
      <c r="Q30" s="87">
        <f>INDEX('Res Measure Mapping'!$Q:$Q,MATCH($B30,'Res Measure Mapping'!$B:$B,0))</f>
        <v>0.17361189969618615</v>
      </c>
      <c r="R30" s="87" t="str">
        <f>INDEX('Res Measure Mapping'!$R:$R,MATCH($B30,'Res Measure Mapping'!$B:$B,0))</f>
        <v>linear duct ft</v>
      </c>
      <c r="S30" s="88">
        <f t="shared" si="24"/>
        <v>0.17361189969618615</v>
      </c>
      <c r="T30" s="77">
        <f t="shared" si="16"/>
        <v>275.17486101845503</v>
      </c>
      <c r="U30" s="16">
        <v>0.17</v>
      </c>
      <c r="V30" s="89">
        <f>INDEX('Res Measure Mapping'!$S:$S,MATCH($B30,'Res Measure Mapping'!$B:$B,0))</f>
        <v>2.46</v>
      </c>
      <c r="W30" s="76">
        <f t="shared" si="25"/>
        <v>2.46</v>
      </c>
      <c r="X30" s="17">
        <f t="shared" si="5"/>
        <v>0.14529732841913254</v>
      </c>
      <c r="Y30" s="17">
        <f t="shared" si="17"/>
        <v>3899.1</v>
      </c>
      <c r="Z30" s="17">
        <f t="shared" si="18"/>
        <v>3897.5017293873893</v>
      </c>
      <c r="AA30" s="14">
        <v>45</v>
      </c>
      <c r="AB30" s="86">
        <f>INDEX('Res Measure Mapping'!$T:$T,MATCH($B30,'Res Measure Mapping'!$B:$B,0))</f>
        <v>45</v>
      </c>
      <c r="AC30" s="14">
        <f t="shared" si="19"/>
        <v>45</v>
      </c>
      <c r="AD30" s="60">
        <f t="shared" si="6"/>
        <v>4848.3424325121059</v>
      </c>
      <c r="AE30" s="16">
        <f t="shared" si="7"/>
        <v>910.68133006896926</v>
      </c>
      <c r="AF30" s="16">
        <v>1</v>
      </c>
      <c r="AG30" s="89">
        <f>INDEX('Res Measure Mapping'!$U:$U,MATCH($B30,'Res Measure Mapping'!$B:$B,0))</f>
        <v>0.50000891751629639</v>
      </c>
      <c r="AH30" s="115">
        <v>2</v>
      </c>
      <c r="AI30" s="78">
        <f t="shared" si="20"/>
        <v>3170</v>
      </c>
      <c r="AJ30" s="18">
        <f t="shared" si="8"/>
        <v>0.6538317051911503</v>
      </c>
      <c r="AK30" s="18">
        <f t="shared" si="9"/>
        <v>0.8416652468077872</v>
      </c>
      <c r="AL30" s="19">
        <f>IFERROR(IF(D28="Original",IF($AI30=0,"-",(INDEX('APP 2885'!$G:$G,MATCH($C$2+$AA30-1,'APP 2885'!$A:$A,0))*$T30)/($AI30+$AE30)),IF($AI30=0,"-",(INDEX('APP 2885'!G:G,MATCH($C$2+$AC30-1,'APP 2885'!$A:$A,0))*$T30)/($AI30+$AE30))),"N/A")</f>
        <v>6.9427271537427737</v>
      </c>
      <c r="AM30" s="20">
        <f t="shared" si="10"/>
        <v>0.80388334438826947</v>
      </c>
      <c r="AN30" s="21">
        <f t="shared" si="11"/>
        <v>0.99171688600490648</v>
      </c>
      <c r="AO30" s="19">
        <f>IFERROR(IF(D28="Original",IF($AI30=0,"-",(INDEX('APP 2885'!$G:$G,MATCH($C$2+$AA30-1,'APP 2885'!$A:$A,0))*$T30)/($Z30+$AE30)),IF($AI30=0,"-",(INDEX('APP 2885'!G:G,MATCH($C$2+$AC30-1,'APP 2885'!$A:$A,0))*$T30)/($Z30+$AE30))),"N/A")</f>
        <v>5.8922584114849164</v>
      </c>
      <c r="AP30" s="45"/>
      <c r="AQ30" s="13"/>
      <c r="AR30" s="13"/>
    </row>
    <row r="31" spans="2:44" ht="15.75" thickBot="1" x14ac:dyDescent="0.3">
      <c r="B31" s="66" t="str">
        <f t="shared" si="12"/>
        <v>Duct Insulation_Zone 3_Post R ? 8, prior condition must not exceed R-0</v>
      </c>
      <c r="C31" s="33" t="s">
        <v>41</v>
      </c>
      <c r="D31" s="33" t="s">
        <v>30</v>
      </c>
      <c r="E31" s="33" t="s">
        <v>42</v>
      </c>
      <c r="F31" s="33" t="str">
        <f t="shared" si="23"/>
        <v>Post R ? 8, prior condition must not exceed R-0</v>
      </c>
      <c r="G31" s="5">
        <v>9</v>
      </c>
      <c r="H31" s="5">
        <f t="shared" si="26"/>
        <v>10</v>
      </c>
      <c r="I31" s="5">
        <f t="shared" si="13"/>
        <v>16</v>
      </c>
      <c r="J31" s="5">
        <v>3308</v>
      </c>
      <c r="K31" s="5">
        <f>INDEX('Res Measure Mapping'!$X:$X,MATCH($B31,'Res Measure Mapping'!$B:$B,0))</f>
        <v>9278.2936380372375</v>
      </c>
      <c r="L31" s="5">
        <f>INDEX('Res Measure Mapping'!$Y:$Y,MATCH($B31,'Res Measure Mapping'!$B:$B,0))</f>
        <v>14634.126377530678</v>
      </c>
      <c r="M31" s="74">
        <f t="shared" si="14"/>
        <v>0.57724328938423553</v>
      </c>
      <c r="N31" s="5">
        <f t="shared" si="27"/>
        <v>3856</v>
      </c>
      <c r="O31" s="5">
        <f t="shared" si="15"/>
        <v>6082</v>
      </c>
      <c r="P31" s="6">
        <v>0.17</v>
      </c>
      <c r="Q31" s="68">
        <f>INDEX('Res Measure Mapping'!$Q:$Q,MATCH($B31,'Res Measure Mapping'!$B:$B,0))</f>
        <v>0.17361189969618615</v>
      </c>
      <c r="R31" s="68" t="str">
        <f>INDEX('Res Measure Mapping'!$R:$R,MATCH($B31,'Res Measure Mapping'!$B:$B,0))</f>
        <v>linear duct ft</v>
      </c>
      <c r="S31" s="6">
        <f t="shared" si="24"/>
        <v>0.17361189969618615</v>
      </c>
      <c r="T31" s="59">
        <f t="shared" si="16"/>
        <v>1055.9075739522041</v>
      </c>
      <c r="U31" s="7">
        <v>0.17</v>
      </c>
      <c r="V31" s="7">
        <f>INDEX('Res Measure Mapping'!$S:$S,MATCH($B31,'Res Measure Mapping'!$B:$B,0))</f>
        <v>2.46</v>
      </c>
      <c r="W31" s="7">
        <f t="shared" si="25"/>
        <v>2.46</v>
      </c>
      <c r="X31" s="8">
        <f t="shared" si="5"/>
        <v>0.14529732841913254</v>
      </c>
      <c r="Y31" s="8">
        <f t="shared" si="17"/>
        <v>14961.72</v>
      </c>
      <c r="Z31" s="8">
        <f t="shared" si="18"/>
        <v>14959.395242745293</v>
      </c>
      <c r="AA31" s="5">
        <v>45</v>
      </c>
      <c r="AB31" s="5">
        <f>INDEX('Res Measure Mapping'!$T:$T,MATCH($B31,'Res Measure Mapping'!$B:$B,0))</f>
        <v>45</v>
      </c>
      <c r="AC31" s="5">
        <f t="shared" si="19"/>
        <v>45</v>
      </c>
      <c r="AD31" s="59">
        <f t="shared" si="6"/>
        <v>18604.175819898188</v>
      </c>
      <c r="AE31" s="7">
        <f t="shared" si="7"/>
        <v>3494.4882331100762</v>
      </c>
      <c r="AF31" s="7">
        <v>1</v>
      </c>
      <c r="AG31" s="7">
        <f>INDEX('Res Measure Mapping'!$U:$U,MATCH($B31,'Res Measure Mapping'!$B:$B,0))</f>
        <v>0.50000891751629639</v>
      </c>
      <c r="AH31" s="113">
        <v>2</v>
      </c>
      <c r="AI31" s="61">
        <f t="shared" si="20"/>
        <v>12164</v>
      </c>
      <c r="AJ31" s="9">
        <f t="shared" si="8"/>
        <v>0.6538317051911503</v>
      </c>
      <c r="AK31" s="9">
        <f t="shared" si="9"/>
        <v>0.8416652468077872</v>
      </c>
      <c r="AL31" s="10">
        <f>IFERROR(IF(D29="Original",IF($AI31=0,"-",(INDEX('APP 2885'!$G:$G,MATCH($C$2+$AA31-1,'APP 2885'!$A:$A,0))*$T31)/($AI31+$AE31)),IF($AI31=0,"-",(INDEX('APP 2885'!G:G,MATCH($C$2+$AC31-1,'APP 2885'!$A:$A,0))*$T31)/($AI31+$AE31))),"N/A")</f>
        <v>6.9427271537427737</v>
      </c>
      <c r="AM31" s="11">
        <f t="shared" si="10"/>
        <v>0.80408803849001464</v>
      </c>
      <c r="AN31" s="12">
        <f t="shared" si="11"/>
        <v>0.99192158010665166</v>
      </c>
      <c r="AO31" s="10">
        <f>IFERROR(IF(D29="Original",IF($AI31=0,"-",(INDEX('APP 2885'!$G:$G,MATCH($C$2+$AA31-1,'APP 2885'!$A:$A,0))*$T31)/($Z31+$AE31)),IF($AI31=0,"-",(INDEX('APP 2885'!G:G,MATCH($C$2+$AC31-1,'APP 2885'!$A:$A,0))*$T31)/($Z31+$AE31))),"N/A")</f>
        <v>5.8910424781218573</v>
      </c>
      <c r="AP31" s="45"/>
      <c r="AQ31" s="13"/>
      <c r="AR31" s="13"/>
    </row>
    <row r="32" spans="2:44" ht="26.25" thickBot="1" x14ac:dyDescent="0.3">
      <c r="B32" s="66" t="str">
        <f t="shared" si="12"/>
        <v>Duct Sealing_Zone 1_30% or more of supply ducts in unconditioned space</v>
      </c>
      <c r="C32" s="34" t="s">
        <v>43</v>
      </c>
      <c r="D32" s="34" t="s">
        <v>27</v>
      </c>
      <c r="E32" s="34" t="s">
        <v>44</v>
      </c>
      <c r="F32" s="34" t="str">
        <f t="shared" si="23"/>
        <v>30% or more of supply ducts in unconditioned space</v>
      </c>
      <c r="G32" s="14">
        <v>91</v>
      </c>
      <c r="H32" s="14">
        <f t="shared" si="26"/>
        <v>106</v>
      </c>
      <c r="I32" s="14">
        <f t="shared" si="13"/>
        <v>162</v>
      </c>
      <c r="J32" s="14">
        <v>91</v>
      </c>
      <c r="K32" s="86">
        <f>INDEX('Res Measure Mapping'!$X:$X,MATCH($B32,'Res Measure Mapping'!$B:$B,0))</f>
        <v>75.254114043739051</v>
      </c>
      <c r="L32" s="86">
        <f>INDEX('Res Measure Mapping'!$Y:$Y,MATCH($B32,'Res Measure Mapping'!$B:$B,0))</f>
        <v>114.90159114064446</v>
      </c>
      <c r="M32" s="90">
        <f t="shared" si="14"/>
        <v>0.52684796838962955</v>
      </c>
      <c r="N32" s="14">
        <f t="shared" si="27"/>
        <v>106</v>
      </c>
      <c r="O32" s="14">
        <f t="shared" si="15"/>
        <v>162</v>
      </c>
      <c r="P32" s="15">
        <v>68.64</v>
      </c>
      <c r="Q32" s="87">
        <f>INDEX('Res Measure Mapping'!$Q:$Q,MATCH($B32,'Res Measure Mapping'!$B:$B,0))</f>
        <v>74.363082234767219</v>
      </c>
      <c r="R32" s="87" t="str">
        <f>INDEX('Res Measure Mapping'!$R:$R,MATCH($B32,'Res Measure Mapping'!$B:$B,0))</f>
        <v>household</v>
      </c>
      <c r="S32" s="88">
        <f t="shared" si="24"/>
        <v>74.363082234767219</v>
      </c>
      <c r="T32" s="77">
        <f t="shared" si="16"/>
        <v>12046.81932203229</v>
      </c>
      <c r="U32" s="16">
        <v>793.95</v>
      </c>
      <c r="V32" s="89">
        <f>INDEX('Res Measure Mapping'!$S:$S,MATCH($B32,'Res Measure Mapping'!$B:$B,0))</f>
        <v>693.79999999999984</v>
      </c>
      <c r="W32" s="76">
        <f t="shared" si="25"/>
        <v>693.79999999999984</v>
      </c>
      <c r="X32" s="17">
        <f t="shared" si="5"/>
        <v>43.796510943121476</v>
      </c>
      <c r="Y32" s="17">
        <f t="shared" si="17"/>
        <v>112395.59999999998</v>
      </c>
      <c r="Z32" s="17">
        <f t="shared" si="18"/>
        <v>105300.56522721431</v>
      </c>
      <c r="AA32" s="14">
        <v>20</v>
      </c>
      <c r="AB32" s="86">
        <f>INDEX('Res Measure Mapping'!$T:$T,MATCH($B32,'Res Measure Mapping'!$B:$B,0))</f>
        <v>20</v>
      </c>
      <c r="AC32" s="14">
        <f t="shared" si="19"/>
        <v>20</v>
      </c>
      <c r="AD32" s="60">
        <f t="shared" si="6"/>
        <v>149369.15311127747</v>
      </c>
      <c r="AE32" s="16">
        <f t="shared" si="7"/>
        <v>39868.51634151693</v>
      </c>
      <c r="AF32" s="16">
        <v>150</v>
      </c>
      <c r="AG32" s="89">
        <f>INDEX('Res Measure Mapping'!$U:$U,MATCH($B32,'Res Measure Mapping'!$B:$B,0))</f>
        <v>149.99999503772216</v>
      </c>
      <c r="AH32" s="115">
        <v>500</v>
      </c>
      <c r="AI32" s="78">
        <f t="shared" si="20"/>
        <v>81000</v>
      </c>
      <c r="AJ32" s="18">
        <f t="shared" si="8"/>
        <v>0.54228064036525925</v>
      </c>
      <c r="AK32" s="18">
        <f t="shared" si="9"/>
        <v>0.80919328940341484</v>
      </c>
      <c r="AL32" s="19">
        <f>IFERROR(IF(D30="Original",IF($AI32=0,"-",(INDEX('APP 2885'!$G:$G,MATCH($C$2+$AA32-1,'APP 2885'!$A:$A,0))*$T32)/($AI32+$AE32)),IF($AI32=0,"-",(INDEX('APP 2885'!G:G,MATCH($C$2+$AC32-1,'APP 2885'!$A:$A,0))*$T32)/($AI32+$AE32))),"N/A")</f>
        <v>4.2238196927369094</v>
      </c>
      <c r="AM32" s="20">
        <f t="shared" si="10"/>
        <v>0.70496861657083365</v>
      </c>
      <c r="AN32" s="21">
        <f t="shared" si="11"/>
        <v>0.97188126560898913</v>
      </c>
      <c r="AO32" s="19">
        <f>IFERROR(IF(D30="Original",IF($AI32=0,"-",(INDEX('APP 2885'!$G:$G,MATCH($C$2+$AA32-1,'APP 2885'!$A:$A,0))*$T32)/($Z32+$AE32)),IF($AI32=0,"-",(INDEX('APP 2885'!G:G,MATCH($C$2+$AC32-1,'APP 2885'!$A:$A,0))*$T32)/($Z32+$AE32))),"N/A")</f>
        <v>3.5167737788123978</v>
      </c>
      <c r="AP32" s="45"/>
      <c r="AQ32" s="13"/>
      <c r="AR32" s="13"/>
    </row>
    <row r="33" spans="2:44" ht="26.25" thickBot="1" x14ac:dyDescent="0.3">
      <c r="B33" s="66" t="str">
        <f t="shared" si="12"/>
        <v>Duct Sealing_Zone 2_30% or more of supply ducts in unconditioned space</v>
      </c>
      <c r="C33" s="33" t="s">
        <v>43</v>
      </c>
      <c r="D33" s="33" t="s">
        <v>29</v>
      </c>
      <c r="E33" s="33" t="s">
        <v>44</v>
      </c>
      <c r="F33" s="33" t="str">
        <f t="shared" si="23"/>
        <v>30% or more of supply ducts in unconditioned space</v>
      </c>
      <c r="G33" s="5">
        <v>2</v>
      </c>
      <c r="H33" s="5">
        <f t="shared" si="26"/>
        <v>2</v>
      </c>
      <c r="I33" s="5">
        <f t="shared" si="13"/>
        <v>3</v>
      </c>
      <c r="J33" s="5">
        <v>2</v>
      </c>
      <c r="K33" s="5">
        <f>INDEX('Res Measure Mapping'!$X:$X,MATCH($B33,'Res Measure Mapping'!$B:$B,0))</f>
        <v>37.581761424526704</v>
      </c>
      <c r="L33" s="5">
        <f>INDEX('Res Measure Mapping'!$Y:$Y,MATCH($B33,'Res Measure Mapping'!$B:$B,0))</f>
        <v>57.381636079542353</v>
      </c>
      <c r="M33" s="74">
        <f t="shared" si="14"/>
        <v>0.52684796838962966</v>
      </c>
      <c r="N33" s="5">
        <f t="shared" si="27"/>
        <v>2</v>
      </c>
      <c r="O33" s="5">
        <f t="shared" si="15"/>
        <v>3</v>
      </c>
      <c r="P33" s="6">
        <v>69.209999999999994</v>
      </c>
      <c r="Q33" s="68">
        <f>INDEX('Res Measure Mapping'!$Q:$Q,MATCH($B33,'Res Measure Mapping'!$B:$B,0))</f>
        <v>74.974647427383275</v>
      </c>
      <c r="R33" s="68" t="str">
        <f>INDEX('Res Measure Mapping'!$R:$R,MATCH($B33,'Res Measure Mapping'!$B:$B,0))</f>
        <v>household</v>
      </c>
      <c r="S33" s="6">
        <f t="shared" si="24"/>
        <v>74.974647427383275</v>
      </c>
      <c r="T33" s="59">
        <f t="shared" si="16"/>
        <v>224.92394228214982</v>
      </c>
      <c r="U33" s="7">
        <v>793.95</v>
      </c>
      <c r="V33" s="7">
        <f>INDEX('Res Measure Mapping'!$S:$S,MATCH($B33,'Res Measure Mapping'!$B:$B,0))</f>
        <v>693.79999999999984</v>
      </c>
      <c r="W33" s="7">
        <f t="shared" si="25"/>
        <v>693.79999999999984</v>
      </c>
      <c r="X33" s="8">
        <f t="shared" si="5"/>
        <v>44.15669533631651</v>
      </c>
      <c r="Y33" s="8">
        <f t="shared" si="17"/>
        <v>2081.3999999999996</v>
      </c>
      <c r="Z33" s="8">
        <f t="shared" si="18"/>
        <v>1948.9299139910502</v>
      </c>
      <c r="AA33" s="5">
        <v>20</v>
      </c>
      <c r="AB33" s="5">
        <f>INDEX('Res Measure Mapping'!$T:$T,MATCH($B33,'Res Measure Mapping'!$B:$B,0))</f>
        <v>20</v>
      </c>
      <c r="AC33" s="5">
        <f t="shared" si="19"/>
        <v>20</v>
      </c>
      <c r="AD33" s="59">
        <f t="shared" si="6"/>
        <v>2788.8439159778845</v>
      </c>
      <c r="AE33" s="7">
        <f t="shared" si="7"/>
        <v>744.37771736760044</v>
      </c>
      <c r="AF33" s="7">
        <v>150</v>
      </c>
      <c r="AG33" s="7">
        <f>INDEX('Res Measure Mapping'!$U:$U,MATCH($B33,'Res Measure Mapping'!$B:$B,0))</f>
        <v>149.99999503772216</v>
      </c>
      <c r="AH33" s="113">
        <v>500</v>
      </c>
      <c r="AI33" s="61">
        <f t="shared" si="20"/>
        <v>1500</v>
      </c>
      <c r="AJ33" s="9">
        <f t="shared" si="8"/>
        <v>0.53785727892700574</v>
      </c>
      <c r="AK33" s="9">
        <f t="shared" si="9"/>
        <v>0.80476992796516122</v>
      </c>
      <c r="AL33" s="10">
        <f>IFERROR(IF(D31="Original",IF($AI33=0,"-",(INDEX('APP 2885'!$G:$G,MATCH($C$2+$AA33-1,'APP 2885'!$A:$A,0))*$T33)/($AI33+$AE33)),IF($AI33=0,"-",(INDEX('APP 2885'!G:G,MATCH($C$2+$AC33-1,'APP 2885'!$A:$A,0))*$T33)/($AI33+$AE33))),"N/A")</f>
        <v>4.2470356212920795</v>
      </c>
      <c r="AM33" s="11">
        <f t="shared" si="10"/>
        <v>0.69883076023911306</v>
      </c>
      <c r="AN33" s="12">
        <f t="shared" si="11"/>
        <v>0.96574340927726865</v>
      </c>
      <c r="AO33" s="10">
        <f>IFERROR(IF(D31="Original",IF($AI33=0,"-",(INDEX('APP 2885'!$G:$G,MATCH($C$2+$AA33-1,'APP 2885'!$A:$A,0))*$T33)/($Z33+$AE33)),IF($AI33=0,"-",(INDEX('APP 2885'!G:G,MATCH($C$2+$AC33-1,'APP 2885'!$A:$A,0))*$T33)/($Z33+$AE33))),"N/A")</f>
        <v>3.5391249043786246</v>
      </c>
      <c r="AP33" s="45"/>
      <c r="AQ33" s="13"/>
      <c r="AR33" s="13"/>
    </row>
    <row r="34" spans="2:44" ht="26.25" thickBot="1" x14ac:dyDescent="0.3">
      <c r="B34" s="66" t="str">
        <f t="shared" si="12"/>
        <v>Duct Sealing_Zone 3_30% or more of supply ducts in unconditioned space</v>
      </c>
      <c r="C34" s="34" t="s">
        <v>43</v>
      </c>
      <c r="D34" s="34" t="s">
        <v>30</v>
      </c>
      <c r="E34" s="34" t="s">
        <v>44</v>
      </c>
      <c r="F34" s="34" t="str">
        <f t="shared" si="23"/>
        <v>30% or more of supply ducts in unconditioned space</v>
      </c>
      <c r="G34" s="14">
        <v>9</v>
      </c>
      <c r="H34" s="14">
        <f t="shared" si="26"/>
        <v>10</v>
      </c>
      <c r="I34" s="14">
        <f t="shared" si="13"/>
        <v>15</v>
      </c>
      <c r="J34" s="14">
        <v>9</v>
      </c>
      <c r="K34" s="86">
        <f>INDEX('Res Measure Mapping'!$X:$X,MATCH($B34,'Res Measure Mapping'!$B:$B,0))</f>
        <v>53.615930244589357</v>
      </c>
      <c r="L34" s="86">
        <f>INDEX('Res Measure Mapping'!$Y:$Y,MATCH($B34,'Res Measure Mapping'!$B:$B,0))</f>
        <v>81.904524648627614</v>
      </c>
      <c r="M34" s="90">
        <f t="shared" si="14"/>
        <v>0.52761547314369306</v>
      </c>
      <c r="N34" s="14">
        <f t="shared" si="27"/>
        <v>10</v>
      </c>
      <c r="O34" s="14">
        <f t="shared" si="15"/>
        <v>15</v>
      </c>
      <c r="P34" s="15">
        <v>60.78</v>
      </c>
      <c r="Q34" s="87">
        <f>INDEX('Res Measure Mapping'!$Q:$Q,MATCH($B34,'Res Measure Mapping'!$B:$B,0))</f>
        <v>65.847172363713753</v>
      </c>
      <c r="R34" s="87" t="str">
        <f>INDEX('Res Measure Mapping'!$R:$R,MATCH($B34,'Res Measure Mapping'!$B:$B,0))</f>
        <v>household</v>
      </c>
      <c r="S34" s="88">
        <f t="shared" si="24"/>
        <v>65.847172363713753</v>
      </c>
      <c r="T34" s="77">
        <f t="shared" si="16"/>
        <v>987.70758545570629</v>
      </c>
      <c r="U34" s="16">
        <v>793.95</v>
      </c>
      <c r="V34" s="89">
        <f>INDEX('Res Measure Mapping'!$S:$S,MATCH($B34,'Res Measure Mapping'!$B:$B,0))</f>
        <v>693.79999999999984</v>
      </c>
      <c r="W34" s="76">
        <f t="shared" si="25"/>
        <v>693.79999999999984</v>
      </c>
      <c r="X34" s="17">
        <f t="shared" ref="X34:X62" si="28">IF($D$3="Original",PV($AR$3,$AA34,(-0.05*0.95*$P34)),PV($AR$3,$AC34,(-0.05*0.95*$S34)))</f>
        <v>38.781023033667196</v>
      </c>
      <c r="Y34" s="17">
        <f t="shared" si="17"/>
        <v>10406.999999999998</v>
      </c>
      <c r="Z34" s="17">
        <f t="shared" si="18"/>
        <v>9825.2846544949898</v>
      </c>
      <c r="AA34" s="14">
        <v>20</v>
      </c>
      <c r="AB34" s="86">
        <f>INDEX('Res Measure Mapping'!$T:$T,MATCH($B34,'Res Measure Mapping'!$B:$B,0))</f>
        <v>20</v>
      </c>
      <c r="AC34" s="14">
        <f t="shared" si="19"/>
        <v>20</v>
      </c>
      <c r="AD34" s="60">
        <f t="shared" ref="AD34:AD62" si="29">IF($D$3="Original",PV($AR$3,$AA34,-$T34),PV($AR$3,$AC34,-$T34))</f>
        <v>12246.638852737011</v>
      </c>
      <c r="AE34" s="16">
        <f t="shared" si="7"/>
        <v>3268.7828179976341</v>
      </c>
      <c r="AF34" s="16">
        <v>150</v>
      </c>
      <c r="AG34" s="89">
        <f>INDEX('Res Measure Mapping'!$U:$U,MATCH($B34,'Res Measure Mapping'!$B:$B,0))</f>
        <v>149.99999503772216</v>
      </c>
      <c r="AH34" s="115">
        <v>500</v>
      </c>
      <c r="AI34" s="78">
        <f t="shared" si="20"/>
        <v>7500</v>
      </c>
      <c r="AJ34" s="18">
        <f t="shared" si="8"/>
        <v>0.61241293143251463</v>
      </c>
      <c r="AK34" s="18">
        <f t="shared" si="9"/>
        <v>0.87932558047067022</v>
      </c>
      <c r="AL34" s="19">
        <f>IFERROR(IF(D32="Original",IF($AI34=0,"-",(INDEX('APP 2885'!$G:$G,MATCH($C$2+$AA34-1,'APP 2885'!$A:$A,0))*$T34)/($AI34+$AE34)),IF($AI34=0,"-",(INDEX('APP 2885'!G:G,MATCH($C$2+$AC34-1,'APP 2885'!$A:$A,0))*$T34)/($AI34+$AE34))),"N/A")</f>
        <v>3.8869408861996635</v>
      </c>
      <c r="AM34" s="20">
        <f t="shared" ref="AM34:AM62" si="30">IF(ISERROR(SE34/AD34),0,Z34/AD34)</f>
        <v>0.80228418365575704</v>
      </c>
      <c r="AN34" s="21">
        <f t="shared" si="11"/>
        <v>1.0691968326939127</v>
      </c>
      <c r="AO34" s="19">
        <f>IFERROR(IF(D32="Original",IF($AI34=0,"-",(INDEX('APP 2885'!$G:$G,MATCH($C$2+$AA34-1,'APP 2885'!$A:$A,0))*$T34)/($Z34+$AE34)),IF($AI34=0,"-",(INDEX('APP 2885'!G:G,MATCH($C$2+$AC34-1,'APP 2885'!$A:$A,0))*$T34)/($Z34+$AE34))),"N/A")</f>
        <v>3.196686004391827</v>
      </c>
      <c r="AP34" s="45"/>
      <c r="AQ34" s="13"/>
      <c r="AR34" s="13"/>
    </row>
    <row r="35" spans="2:44" ht="26.25" thickBot="1" x14ac:dyDescent="0.3">
      <c r="B35" s="66" t="str">
        <f t="shared" si="12"/>
        <v>ENERGY STAR Certified Homes + U.30 Window Glazing_Zone 3_Certified HERS 75</v>
      </c>
      <c r="C35" s="33" t="s">
        <v>45</v>
      </c>
      <c r="D35" s="33" t="s">
        <v>30</v>
      </c>
      <c r="E35" s="33" t="s">
        <v>46</v>
      </c>
      <c r="F35" s="33" t="str">
        <f t="shared" si="23"/>
        <v>Certified HERS 75</v>
      </c>
      <c r="G35" s="5">
        <v>32</v>
      </c>
      <c r="H35" s="5">
        <v>0</v>
      </c>
      <c r="I35" s="5">
        <f t="shared" si="13"/>
        <v>0</v>
      </c>
      <c r="J35" s="5">
        <v>32</v>
      </c>
      <c r="K35" s="5">
        <f>INDEX('Res Measure Mapping'!$X:$X,MATCH($B35,'Res Measure Mapping'!$B:$B,0))</f>
        <v>0</v>
      </c>
      <c r="L35" s="5">
        <f>INDEX('Res Measure Mapping'!$Y:$Y,MATCH($B35,'Res Measure Mapping'!$B:$B,0))</f>
        <v>0</v>
      </c>
      <c r="M35" s="74" t="str">
        <f t="shared" si="14"/>
        <v>N/A</v>
      </c>
      <c r="N35" s="5">
        <v>0</v>
      </c>
      <c r="O35" s="5">
        <f t="shared" si="15"/>
        <v>0</v>
      </c>
      <c r="P35" s="6">
        <v>48.51</v>
      </c>
      <c r="Q35" s="68">
        <f>INDEX('Res Measure Mapping'!$Q:$Q,MATCH($B35,'Res Measure Mapping'!$B:$B,0))</f>
        <v>31.280862501988175</v>
      </c>
      <c r="R35" s="68" t="str">
        <f>INDEX('Res Measure Mapping'!$R:$R,MATCH($B35,'Res Measure Mapping'!$B:$B,0))</f>
        <v>household</v>
      </c>
      <c r="S35" s="6">
        <f t="shared" si="24"/>
        <v>31.280862501988175</v>
      </c>
      <c r="T35" s="59">
        <f t="shared" si="16"/>
        <v>0</v>
      </c>
      <c r="U35" s="7">
        <v>1142</v>
      </c>
      <c r="V35" s="7">
        <f>INDEX('Res Measure Mapping'!$S:$S,MATCH($B35,'Res Measure Mapping'!$B:$B,0))</f>
        <v>2154.5300000000002</v>
      </c>
      <c r="W35" s="7">
        <f t="shared" si="25"/>
        <v>2154.5300000000002</v>
      </c>
      <c r="X35" s="8">
        <f t="shared" si="28"/>
        <v>22.685623271134045</v>
      </c>
      <c r="Y35" s="8">
        <f t="shared" si="17"/>
        <v>0</v>
      </c>
      <c r="Z35" s="8">
        <f t="shared" si="18"/>
        <v>0</v>
      </c>
      <c r="AA35" s="5">
        <v>30</v>
      </c>
      <c r="AB35" s="5">
        <f>INDEX('Res Measure Mapping'!$T:$T,MATCH($B35,'Res Measure Mapping'!$B:$B,0))</f>
        <v>30</v>
      </c>
      <c r="AC35" s="5">
        <f t="shared" si="19"/>
        <v>30</v>
      </c>
      <c r="AD35" s="59">
        <f t="shared" si="29"/>
        <v>0</v>
      </c>
      <c r="AE35" s="7">
        <f t="shared" si="7"/>
        <v>0</v>
      </c>
      <c r="AF35" s="7">
        <v>600</v>
      </c>
      <c r="AG35" s="7">
        <f>INDEX('Res Measure Mapping'!$U:$U,MATCH($B35,'Res Measure Mapping'!$B:$B,0))</f>
        <v>1098.811524</v>
      </c>
      <c r="AH35" s="113">
        <v>2000</v>
      </c>
      <c r="AI35" s="61">
        <f t="shared" si="20"/>
        <v>0</v>
      </c>
      <c r="AJ35" s="9">
        <f t="shared" si="8"/>
        <v>0</v>
      </c>
      <c r="AK35" s="9">
        <f t="shared" si="9"/>
        <v>0</v>
      </c>
      <c r="AL35" s="10" t="str">
        <f>IFERROR(IF(D33="Original",IF($AI35=0,"-",(INDEX('APP 2885'!$G:$G,MATCH($C$2+$AA35-1,'APP 2885'!$A:$A,0))*$T35)/($AI35+$AE35)),IF($AI35=0,"-",(INDEX('APP 2885'!G:G,MATCH($C$2+$AC35-1,'APP 2885'!$A:$A,0))*$T35)/($AI35+$AE35))),"N/A")</f>
        <v>-</v>
      </c>
      <c r="AM35" s="11">
        <f t="shared" si="30"/>
        <v>0</v>
      </c>
      <c r="AN35" s="12">
        <f t="shared" si="11"/>
        <v>0</v>
      </c>
      <c r="AO35" s="10" t="str">
        <f>IFERROR(IF(D33="Original",IF($AI35=0,"-",(INDEX('APP 2885'!$G:$G,MATCH($C$2+$AA35-1,'APP 2885'!$A:$A,0))*$T35)/($Z35+$AE35)),IF($AI35=0,"-",(INDEX('APP 2885'!G:G,MATCH($C$2+$AC35-1,'APP 2885'!$A:$A,0))*$T35)/($Z35+$AE35))),"N/A")</f>
        <v>-</v>
      </c>
      <c r="AP35" s="45"/>
      <c r="AQ35" s="13"/>
      <c r="AR35" s="13"/>
    </row>
    <row r="36" spans="2:44" ht="26.25" thickBot="1" x14ac:dyDescent="0.3">
      <c r="B36" s="66" t="str">
        <f t="shared" si="12"/>
        <v>ENERGY STAR Certified Homes + U.30 Window Glazing_Zone 3_Certified HERS 75</v>
      </c>
      <c r="C36" s="34" t="s">
        <v>45</v>
      </c>
      <c r="D36" s="34" t="s">
        <v>30</v>
      </c>
      <c r="E36" s="34" t="s">
        <v>46</v>
      </c>
      <c r="F36" s="34" t="str">
        <f t="shared" si="23"/>
        <v>Certified HERS 75</v>
      </c>
      <c r="G36" s="14">
        <v>1</v>
      </c>
      <c r="H36" s="14">
        <v>0</v>
      </c>
      <c r="I36" s="14">
        <f t="shared" si="13"/>
        <v>0</v>
      </c>
      <c r="J36" s="14">
        <v>1</v>
      </c>
      <c r="K36" s="86">
        <f>INDEX('Res Measure Mapping'!$X:$X,MATCH($B36,'Res Measure Mapping'!$B:$B,0))</f>
        <v>0</v>
      </c>
      <c r="L36" s="86">
        <f>INDEX('Res Measure Mapping'!$Y:$Y,MATCH($B36,'Res Measure Mapping'!$B:$B,0))</f>
        <v>0</v>
      </c>
      <c r="M36" s="90" t="str">
        <f t="shared" si="14"/>
        <v>N/A</v>
      </c>
      <c r="N36" s="14">
        <v>0</v>
      </c>
      <c r="O36" s="14">
        <f t="shared" si="15"/>
        <v>0</v>
      </c>
      <c r="P36" s="15">
        <v>205</v>
      </c>
      <c r="Q36" s="87">
        <f>INDEX('Res Measure Mapping'!$Q:$Q,MATCH($B36,'Res Measure Mapping'!$B:$B,0))</f>
        <v>31.280862501988175</v>
      </c>
      <c r="R36" s="87" t="str">
        <f>INDEX('Res Measure Mapping'!$R:$R,MATCH($B36,'Res Measure Mapping'!$B:$B,0))</f>
        <v>household</v>
      </c>
      <c r="S36" s="88">
        <f t="shared" si="24"/>
        <v>31.280862501988175</v>
      </c>
      <c r="T36" s="77">
        <f t="shared" si="16"/>
        <v>0</v>
      </c>
      <c r="U36" s="16">
        <v>1142</v>
      </c>
      <c r="V36" s="89">
        <f>INDEX('Res Measure Mapping'!$S:$S,MATCH($B36,'Res Measure Mapping'!$B:$B,0))</f>
        <v>2154.5300000000002</v>
      </c>
      <c r="W36" s="76">
        <f t="shared" si="25"/>
        <v>2154.5300000000002</v>
      </c>
      <c r="X36" s="17">
        <f t="shared" si="28"/>
        <v>22.685623271134045</v>
      </c>
      <c r="Y36" s="17">
        <f t="shared" si="17"/>
        <v>0</v>
      </c>
      <c r="Z36" s="17">
        <f t="shared" si="18"/>
        <v>0</v>
      </c>
      <c r="AA36" s="14">
        <v>30</v>
      </c>
      <c r="AB36" s="86">
        <f>INDEX('Res Measure Mapping'!$T:$T,MATCH($B36,'Res Measure Mapping'!$B:$B,0))</f>
        <v>30</v>
      </c>
      <c r="AC36" s="14">
        <f t="shared" si="19"/>
        <v>30</v>
      </c>
      <c r="AD36" s="60">
        <f t="shared" si="29"/>
        <v>0</v>
      </c>
      <c r="AE36" s="16">
        <f t="shared" si="7"/>
        <v>0</v>
      </c>
      <c r="AF36" s="16">
        <v>2000</v>
      </c>
      <c r="AG36" s="89">
        <f>INDEX('Res Measure Mapping'!$U:$U,MATCH($B36,'Res Measure Mapping'!$B:$B,0))</f>
        <v>1098.811524</v>
      </c>
      <c r="AH36" s="115">
        <v>2000</v>
      </c>
      <c r="AI36" s="78">
        <f t="shared" si="20"/>
        <v>0</v>
      </c>
      <c r="AJ36" s="18">
        <f t="shared" si="8"/>
        <v>0</v>
      </c>
      <c r="AK36" s="18">
        <f t="shared" si="9"/>
        <v>0</v>
      </c>
      <c r="AL36" s="19" t="str">
        <f>IFERROR(IF(D34="Original",IF($AI36=0,"-",(INDEX('APP 2885'!$G:$G,MATCH($C$2+$AA36-1,'APP 2885'!$A:$A,0))*$T36)/($AI36+$AE36)),IF($AI36=0,"-",(INDEX('APP 2885'!G:G,MATCH($C$2+$AC36-1,'APP 2885'!$A:$A,0))*$T36)/($AI36+$AE36))),"N/A")</f>
        <v>-</v>
      </c>
      <c r="AM36" s="20">
        <f t="shared" si="30"/>
        <v>0</v>
      </c>
      <c r="AN36" s="21">
        <f t="shared" si="11"/>
        <v>0</v>
      </c>
      <c r="AO36" s="19" t="str">
        <f>IFERROR(IF(D34="Original",IF($AI36=0,"-",(INDEX('APP 2885'!$G:$G,MATCH($C$2+$AA36-1,'APP 2885'!$A:$A,0))*$T36)/($Z36+$AE36)),IF($AI36=0,"-",(INDEX('APP 2885'!G:G,MATCH($C$2+$AC36-1,'APP 2885'!$A:$A,0))*$T36)/($Z36+$AE36))),"N/A")</f>
        <v>-</v>
      </c>
      <c r="AP36" s="45"/>
      <c r="AQ36" s="13"/>
      <c r="AR36" s="13"/>
    </row>
    <row r="37" spans="2:44" ht="15.75" thickBot="1" x14ac:dyDescent="0.3">
      <c r="B37" s="66" t="str">
        <f t="shared" si="12"/>
        <v>ENERGY STAR Clothes Washer_Zone 1_ENERGY STAR Clothes Washers</v>
      </c>
      <c r="C37" s="33" t="s">
        <v>47</v>
      </c>
      <c r="D37" s="33" t="s">
        <v>27</v>
      </c>
      <c r="E37" s="33" t="s">
        <v>48</v>
      </c>
      <c r="F37" s="33" t="str">
        <f t="shared" si="23"/>
        <v>ENERGY STAR Clothes Washers</v>
      </c>
      <c r="G37" s="5">
        <v>18</v>
      </c>
      <c r="H37" s="5">
        <f t="shared" si="26"/>
        <v>21</v>
      </c>
      <c r="I37" s="5">
        <f t="shared" si="13"/>
        <v>24</v>
      </c>
      <c r="J37" s="5">
        <v>18</v>
      </c>
      <c r="K37" s="5">
        <f>INDEX('Res Measure Mapping'!$X:$X,MATCH($B37,'Res Measure Mapping'!$B:$B,0))</f>
        <v>1107.692679212551</v>
      </c>
      <c r="L37" s="5">
        <f>INDEX('Res Measure Mapping'!$Y:$Y,MATCH($B37,'Res Measure Mapping'!$B:$B,0))</f>
        <v>1085.5388256282993</v>
      </c>
      <c r="M37" s="74">
        <f t="shared" si="14"/>
        <v>-2.0000000000000608E-2</v>
      </c>
      <c r="N37" s="5">
        <f t="shared" si="27"/>
        <v>21</v>
      </c>
      <c r="O37" s="5">
        <f t="shared" si="15"/>
        <v>24</v>
      </c>
      <c r="P37" s="6">
        <v>7.7290000000000001</v>
      </c>
      <c r="Q37" s="68">
        <f>INDEX('Res Measure Mapping'!$Q:$Q,MATCH($B37,'Res Measure Mapping'!$B:$B,0))</f>
        <v>5.327102410616229</v>
      </c>
      <c r="R37" s="68" t="str">
        <f>INDEX('Res Measure Mapping'!$R:$R,MATCH($B37,'Res Measure Mapping'!$B:$B,0))</f>
        <v>household</v>
      </c>
      <c r="S37" s="6">
        <f t="shared" si="24"/>
        <v>5.327102410616229</v>
      </c>
      <c r="T37" s="59">
        <f t="shared" si="16"/>
        <v>127.8504578547895</v>
      </c>
      <c r="U37" s="7">
        <v>61.41</v>
      </c>
      <c r="V37" s="7">
        <f>INDEX('Res Measure Mapping'!$S:$S,MATCH($B37,'Res Measure Mapping'!$B:$B,0))</f>
        <v>61.28</v>
      </c>
      <c r="W37" s="7">
        <f t="shared" si="25"/>
        <v>61.28</v>
      </c>
      <c r="X37" s="8">
        <f t="shared" si="28"/>
        <v>2.4951450763493428</v>
      </c>
      <c r="Y37" s="8">
        <f t="shared" si="17"/>
        <v>1470.72</v>
      </c>
      <c r="Z37" s="8">
        <f t="shared" si="18"/>
        <v>1410.8365181676158</v>
      </c>
      <c r="AA37" s="5">
        <v>14</v>
      </c>
      <c r="AB37" s="5">
        <f>INDEX('Res Measure Mapping'!$T:$T,MATCH($B37,'Res Measure Mapping'!$B:$B,0))</f>
        <v>14.199999999999998</v>
      </c>
      <c r="AC37" s="5">
        <f t="shared" si="19"/>
        <v>14</v>
      </c>
      <c r="AD37" s="59">
        <f t="shared" si="29"/>
        <v>1260.7048806817731</v>
      </c>
      <c r="AE37" s="7">
        <f t="shared" ref="AE37:AE68" si="31">(T37/$T$78)*$AR$4</f>
        <v>423.11650336880797</v>
      </c>
      <c r="AF37" s="7">
        <v>50</v>
      </c>
      <c r="AG37" s="7">
        <f>INDEX('Res Measure Mapping'!$U:$U,MATCH($B37,'Res Measure Mapping'!$B:$B,0))</f>
        <v>36.76896</v>
      </c>
      <c r="AH37" s="113">
        <v>50</v>
      </c>
      <c r="AI37" s="61">
        <f t="shared" si="20"/>
        <v>1200</v>
      </c>
      <c r="AJ37" s="9">
        <f t="shared" si="8"/>
        <v>0.95184846064136386</v>
      </c>
      <c r="AK37" s="9">
        <f t="shared" si="9"/>
        <v>1.2874674543109941</v>
      </c>
      <c r="AL37" s="10">
        <f>IFERROR(IF(D35="Original",IF($AI37=0,"-",(INDEX('APP 2885'!$G:$G,MATCH($C$2+$AA37-1,'APP 2885'!$A:$A,0))*$T37)/($AI37+$AE37)),IF($AI37=0,"-",(INDEX('APP 2885'!G:G,MATCH($C$2+$AC37-1,'APP 2885'!$A:$A,0))*$T37)/($AI37+$AE37))),"N/A")</f>
        <v>1.7378138536680987</v>
      </c>
      <c r="AM37" s="11">
        <f t="shared" si="30"/>
        <v>1.1190854733620554</v>
      </c>
      <c r="AN37" s="12">
        <f t="shared" si="11"/>
        <v>1.4547044670316858</v>
      </c>
      <c r="AO37" s="10">
        <f>IFERROR(IF(D35="Original",IF($AI37=0,"-",(INDEX('APP 2885'!$G:$G,MATCH($C$2+$AA37-1,'APP 2885'!$A:$A,0))*$T37)/($Z37+$AE37)),IF($AI37=0,"-",(INDEX('APP 2885'!G:G,MATCH($C$2+$AC37-1,'APP 2885'!$A:$A,0))*$T37)/($Z37+$AE37))),"N/A")</f>
        <v>1.5380297709635833</v>
      </c>
      <c r="AP37" s="45"/>
      <c r="AQ37" s="13"/>
      <c r="AR37" s="13"/>
    </row>
    <row r="38" spans="2:44" ht="15.75" thickBot="1" x14ac:dyDescent="0.3">
      <c r="B38" s="66" t="str">
        <f t="shared" si="12"/>
        <v>ENERGY STAR Clothes Washer_Zone 2_ENERGY STAR Clothes Washers</v>
      </c>
      <c r="C38" s="34" t="s">
        <v>47</v>
      </c>
      <c r="D38" s="34" t="s">
        <v>29</v>
      </c>
      <c r="E38" s="34" t="s">
        <v>48</v>
      </c>
      <c r="F38" s="34" t="str">
        <f t="shared" si="23"/>
        <v>ENERGY STAR Clothes Washers</v>
      </c>
      <c r="G38" s="14">
        <v>15</v>
      </c>
      <c r="H38" s="14">
        <f t="shared" si="26"/>
        <v>17</v>
      </c>
      <c r="I38" s="14">
        <f t="shared" si="13"/>
        <v>19</v>
      </c>
      <c r="J38" s="14">
        <v>15</v>
      </c>
      <c r="K38" s="86">
        <f>INDEX('Res Measure Mapping'!$X:$X,MATCH($B38,'Res Measure Mapping'!$B:$B,0))</f>
        <v>536.4119126460962</v>
      </c>
      <c r="L38" s="86">
        <f>INDEX('Res Measure Mapping'!$Y:$Y,MATCH($B38,'Res Measure Mapping'!$B:$B,0))</f>
        <v>525.68367439317421</v>
      </c>
      <c r="M38" s="90">
        <f t="shared" si="14"/>
        <v>-2.0000000000000111E-2</v>
      </c>
      <c r="N38" s="14">
        <f t="shared" si="27"/>
        <v>17</v>
      </c>
      <c r="O38" s="14">
        <f t="shared" si="15"/>
        <v>19</v>
      </c>
      <c r="P38" s="15">
        <v>7.7290000000000001</v>
      </c>
      <c r="Q38" s="87">
        <f>INDEX('Res Measure Mapping'!$Q:$Q,MATCH($B38,'Res Measure Mapping'!$B:$B,0))</f>
        <v>5.327102410616229</v>
      </c>
      <c r="R38" s="87" t="str">
        <f>INDEX('Res Measure Mapping'!$R:$R,MATCH($B38,'Res Measure Mapping'!$B:$B,0))</f>
        <v>household</v>
      </c>
      <c r="S38" s="88">
        <f t="shared" si="24"/>
        <v>5.327102410616229</v>
      </c>
      <c r="T38" s="77">
        <f t="shared" si="16"/>
        <v>101.21494580170835</v>
      </c>
      <c r="U38" s="16">
        <v>61.41</v>
      </c>
      <c r="V38" s="89">
        <f>INDEX('Res Measure Mapping'!$S:$S,MATCH($B38,'Res Measure Mapping'!$B:$B,0))</f>
        <v>61.28</v>
      </c>
      <c r="W38" s="76">
        <f t="shared" si="25"/>
        <v>61.28</v>
      </c>
      <c r="X38" s="17">
        <f t="shared" si="28"/>
        <v>2.4951450763493428</v>
      </c>
      <c r="Y38" s="17">
        <f t="shared" si="17"/>
        <v>1164.32</v>
      </c>
      <c r="Z38" s="17">
        <f t="shared" si="18"/>
        <v>1116.9122435493625</v>
      </c>
      <c r="AA38" s="14">
        <v>14</v>
      </c>
      <c r="AB38" s="86">
        <f>INDEX('Res Measure Mapping'!$T:$T,MATCH($B38,'Res Measure Mapping'!$B:$B,0))</f>
        <v>14.199999999999998</v>
      </c>
      <c r="AC38" s="14">
        <f t="shared" si="19"/>
        <v>14</v>
      </c>
      <c r="AD38" s="60">
        <f t="shared" si="29"/>
        <v>998.05803053973716</v>
      </c>
      <c r="AE38" s="16">
        <f t="shared" si="31"/>
        <v>334.96723183363963</v>
      </c>
      <c r="AF38" s="16">
        <v>50</v>
      </c>
      <c r="AG38" s="89">
        <f>INDEX('Res Measure Mapping'!$U:$U,MATCH($B38,'Res Measure Mapping'!$B:$B,0))</f>
        <v>36.76896</v>
      </c>
      <c r="AH38" s="115">
        <v>50</v>
      </c>
      <c r="AI38" s="78">
        <f t="shared" si="20"/>
        <v>950</v>
      </c>
      <c r="AJ38" s="18">
        <f t="shared" si="8"/>
        <v>0.95184846064136375</v>
      </c>
      <c r="AK38" s="18">
        <f t="shared" si="9"/>
        <v>1.2874674543109941</v>
      </c>
      <c r="AL38" s="19">
        <f>IFERROR(IF(D36="Original",IF($AI38=0,"-",(INDEX('APP 2885'!$G:$G,MATCH($C$2+$AA38-1,'APP 2885'!$A:$A,0))*$T38)/($AI38+$AE38)),IF($AI38=0,"-",(INDEX('APP 2885'!G:G,MATCH($C$2+$AC38-1,'APP 2885'!$A:$A,0))*$T38)/($AI38+$AE38))),"N/A")</f>
        <v>1.7378138536680985</v>
      </c>
      <c r="AM38" s="20">
        <f t="shared" si="30"/>
        <v>1.1190854733620554</v>
      </c>
      <c r="AN38" s="21">
        <f t="shared" si="11"/>
        <v>1.4547044670316855</v>
      </c>
      <c r="AO38" s="19">
        <f>IFERROR(IF(D36="Original",IF($AI38=0,"-",(INDEX('APP 2885'!$G:$G,MATCH($C$2+$AA38-1,'APP 2885'!$A:$A,0))*$T38)/($Z38+$AE38)),IF($AI38=0,"-",(INDEX('APP 2885'!G:G,MATCH($C$2+$AC38-1,'APP 2885'!$A:$A,0))*$T38)/($Z38+$AE38))),"N/A")</f>
        <v>1.5380297709635835</v>
      </c>
      <c r="AP38" s="45"/>
      <c r="AQ38" s="13"/>
      <c r="AR38" s="13"/>
    </row>
    <row r="39" spans="2:44" ht="15.75" thickBot="1" x14ac:dyDescent="0.3">
      <c r="B39" s="66" t="str">
        <f t="shared" si="12"/>
        <v>ENERGY STAR Clothes Washer_Zone 3_ENERGY STAR Clothes Washers</v>
      </c>
      <c r="C39" s="33" t="s">
        <v>47</v>
      </c>
      <c r="D39" s="33" t="s">
        <v>30</v>
      </c>
      <c r="E39" s="33" t="s">
        <v>48</v>
      </c>
      <c r="F39" s="33" t="str">
        <f t="shared" si="23"/>
        <v>ENERGY STAR Clothes Washers</v>
      </c>
      <c r="G39" s="5">
        <v>8</v>
      </c>
      <c r="H39" s="5">
        <f t="shared" si="26"/>
        <v>9</v>
      </c>
      <c r="I39" s="5">
        <f t="shared" si="13"/>
        <v>9</v>
      </c>
      <c r="J39" s="5">
        <v>8</v>
      </c>
      <c r="K39" s="5">
        <f>INDEX('Res Measure Mapping'!$X:$X,MATCH($B39,'Res Measure Mapping'!$B:$B,0))</f>
        <v>0</v>
      </c>
      <c r="L39" s="5">
        <f>INDEX('Res Measure Mapping'!$Y:$Y,MATCH($B39,'Res Measure Mapping'!$B:$B,0))</f>
        <v>0</v>
      </c>
      <c r="M39" s="74" t="str">
        <f t="shared" si="14"/>
        <v>N/A</v>
      </c>
      <c r="N39" s="5">
        <f t="shared" si="27"/>
        <v>9</v>
      </c>
      <c r="O39" s="5">
        <f t="shared" si="15"/>
        <v>9</v>
      </c>
      <c r="P39" s="6">
        <v>7.7290000000000001</v>
      </c>
      <c r="Q39" s="68">
        <f>INDEX('Res Measure Mapping'!$Q:$Q,MATCH($B39,'Res Measure Mapping'!$B:$B,0))</f>
        <v>5.327102410616229</v>
      </c>
      <c r="R39" s="68" t="str">
        <f>INDEX('Res Measure Mapping'!$R:$R,MATCH($B39,'Res Measure Mapping'!$B:$B,0))</f>
        <v>household</v>
      </c>
      <c r="S39" s="6">
        <f t="shared" si="24"/>
        <v>5.327102410616229</v>
      </c>
      <c r="T39" s="59">
        <f t="shared" si="16"/>
        <v>47.943921695546059</v>
      </c>
      <c r="U39" s="7">
        <v>61.41</v>
      </c>
      <c r="V39" s="7">
        <f>INDEX('Res Measure Mapping'!$S:$S,MATCH($B39,'Res Measure Mapping'!$B:$B,0))</f>
        <v>61.28</v>
      </c>
      <c r="W39" s="7">
        <f t="shared" si="25"/>
        <v>61.28</v>
      </c>
      <c r="X39" s="8">
        <f t="shared" si="28"/>
        <v>2.4951450763493428</v>
      </c>
      <c r="Y39" s="8">
        <f t="shared" si="17"/>
        <v>551.52</v>
      </c>
      <c r="Z39" s="8">
        <f t="shared" si="18"/>
        <v>529.06369431285589</v>
      </c>
      <c r="AA39" s="5">
        <v>14</v>
      </c>
      <c r="AB39" s="5">
        <f>INDEX('Res Measure Mapping'!$T:$T,MATCH($B39,'Res Measure Mapping'!$B:$B,0))</f>
        <v>14.199999999999998</v>
      </c>
      <c r="AC39" s="5">
        <f t="shared" si="19"/>
        <v>14</v>
      </c>
      <c r="AD39" s="59">
        <f t="shared" si="29"/>
        <v>472.76433025566496</v>
      </c>
      <c r="AE39" s="7">
        <f t="shared" si="31"/>
        <v>158.66868876330298</v>
      </c>
      <c r="AF39" s="7">
        <v>50</v>
      </c>
      <c r="AG39" s="7">
        <f>INDEX('Res Measure Mapping'!$U:$U,MATCH($B39,'Res Measure Mapping'!$B:$B,0))</f>
        <v>36.76896</v>
      </c>
      <c r="AH39" s="113">
        <v>50</v>
      </c>
      <c r="AI39" s="61">
        <f t="shared" si="20"/>
        <v>450</v>
      </c>
      <c r="AJ39" s="9">
        <f t="shared" si="8"/>
        <v>0.95184846064136375</v>
      </c>
      <c r="AK39" s="9">
        <f t="shared" si="9"/>
        <v>1.2874674543109939</v>
      </c>
      <c r="AL39" s="10">
        <f>IFERROR(IF(D37="Original",IF($AI39=0,"-",(INDEX('APP 2885'!$G:$G,MATCH($C$2+$AA39-1,'APP 2885'!$A:$A,0))*$T39)/($AI39+$AE39)),IF($AI39=0,"-",(INDEX('APP 2885'!G:G,MATCH($C$2+$AC39-1,'APP 2885'!$A:$A,0))*$T39)/($AI39+$AE39))),"N/A")</f>
        <v>1.7378138536680987</v>
      </c>
      <c r="AM39" s="11">
        <f t="shared" si="30"/>
        <v>1.1190854733620554</v>
      </c>
      <c r="AN39" s="12">
        <f t="shared" si="11"/>
        <v>1.4547044670316855</v>
      </c>
      <c r="AO39" s="10">
        <f>IFERROR(IF(D37="Original",IF($AI39=0,"-",(INDEX('APP 2885'!$G:$G,MATCH($C$2+$AA39-1,'APP 2885'!$A:$A,0))*$T39)/($Z39+$AE39)),IF($AI39=0,"-",(INDEX('APP 2885'!G:G,MATCH($C$2+$AC39-1,'APP 2885'!$A:$A,0))*$T39)/($Z39+$AE39))),"N/A")</f>
        <v>1.5380297709635835</v>
      </c>
      <c r="AP39" s="45"/>
      <c r="AQ39" s="13"/>
      <c r="AR39" s="13"/>
    </row>
    <row r="40" spans="2:44" ht="15.75" thickBot="1" x14ac:dyDescent="0.3">
      <c r="B40" s="66" t="str">
        <f t="shared" si="12"/>
        <v>Smart Thermostat_Zone 1_Smart Thermostat</v>
      </c>
      <c r="C40" s="34" t="s">
        <v>217</v>
      </c>
      <c r="D40" s="34" t="s">
        <v>27</v>
      </c>
      <c r="E40" s="34" t="s">
        <v>217</v>
      </c>
      <c r="F40" s="34" t="str">
        <f t="shared" si="23"/>
        <v>Smart Thermostat</v>
      </c>
      <c r="G40" s="14">
        <v>122</v>
      </c>
      <c r="H40" s="14">
        <f t="shared" si="26"/>
        <v>142</v>
      </c>
      <c r="I40" s="14">
        <f t="shared" si="13"/>
        <v>142</v>
      </c>
      <c r="J40" s="14">
        <v>125</v>
      </c>
      <c r="K40" s="86">
        <f>INDEX('Res Measure Mapping'!$X:$X,MATCH($B40,'Res Measure Mapping'!$B:$B,0))</f>
        <v>0</v>
      </c>
      <c r="L40" s="86">
        <f>INDEX('Res Measure Mapping'!$Y:$Y,MATCH($B40,'Res Measure Mapping'!$B:$B,0))</f>
        <v>0</v>
      </c>
      <c r="M40" s="90" t="str">
        <f t="shared" si="14"/>
        <v>N/A</v>
      </c>
      <c r="N40" s="14">
        <f t="shared" si="27"/>
        <v>146</v>
      </c>
      <c r="O40" s="14">
        <f t="shared" si="15"/>
        <v>146</v>
      </c>
      <c r="P40" s="15">
        <v>34.197000000000003</v>
      </c>
      <c r="Q40" s="87">
        <f>INDEX('Res Measure Mapping'!$Q:$Q,MATCH($B40,'Res Measure Mapping'!$B:$B,0))</f>
        <v>0</v>
      </c>
      <c r="R40" s="87" t="str">
        <f>INDEX('Res Measure Mapping'!$R:$R,MATCH($B40,'Res Measure Mapping'!$B:$B,0))</f>
        <v>household</v>
      </c>
      <c r="S40" s="88">
        <f>P40</f>
        <v>34.197000000000003</v>
      </c>
      <c r="T40" s="77">
        <f t="shared" si="16"/>
        <v>4992.7620000000006</v>
      </c>
      <c r="U40" s="16">
        <v>264.41000000000003</v>
      </c>
      <c r="V40" s="89">
        <f>INDEX('Res Measure Mapping'!$S:$S,MATCH($B40,'Res Measure Mapping'!$B:$B,0))</f>
        <v>230.61</v>
      </c>
      <c r="W40" s="76">
        <f t="shared" si="25"/>
        <v>230.61</v>
      </c>
      <c r="X40" s="17">
        <f t="shared" si="28"/>
        <v>9.3787355145520124</v>
      </c>
      <c r="Y40" s="17">
        <f t="shared" si="17"/>
        <v>33669.060000000005</v>
      </c>
      <c r="Z40" s="17">
        <f t="shared" si="18"/>
        <v>32337.279556933619</v>
      </c>
      <c r="AA40" s="14">
        <v>5</v>
      </c>
      <c r="AB40" s="86">
        <f>INDEX('Res Measure Mapping'!$T:$T,MATCH($B40,'Res Measure Mapping'!$B:$B,0))</f>
        <v>7</v>
      </c>
      <c r="AC40" s="14">
        <f t="shared" si="19"/>
        <v>7</v>
      </c>
      <c r="AD40" s="60">
        <f t="shared" si="29"/>
        <v>28827.271265780924</v>
      </c>
      <c r="AE40" s="16">
        <f t="shared" si="31"/>
        <v>16523.36671325826</v>
      </c>
      <c r="AF40" s="16">
        <v>75</v>
      </c>
      <c r="AG40" s="89">
        <f>INDEX('Res Measure Mapping'!$U:$U,MATCH($B40,'Res Measure Mapping'!$B:$B,0))</f>
        <v>25.000003543548086</v>
      </c>
      <c r="AH40" s="115">
        <v>75</v>
      </c>
      <c r="AI40" s="78">
        <f t="shared" si="20"/>
        <v>10950</v>
      </c>
      <c r="AJ40" s="18">
        <f t="shared" si="8"/>
        <v>0.37984864745065444</v>
      </c>
      <c r="AK40" s="18">
        <f t="shared" si="9"/>
        <v>0.95303389835132257</v>
      </c>
      <c r="AL40" s="19">
        <f>IFERROR(IF(D38="Original",IF($AI40=0,"-",(INDEX('APP 2885'!$G:$G,MATCH($C$2+$AA40-1,'APP 2885'!$A:$A,0))*$T40)/($AI40+$AE40)),IF($AI40=0,"-",(INDEX('APP 2885'!G:G,MATCH($C$2+$AC40-1,'APP 2885'!$A:$A,0))*$T40)/($AI40+$AE40))),"N/A")</f>
        <v>2.3031166988079486</v>
      </c>
      <c r="AM40" s="20">
        <f t="shared" si="30"/>
        <v>1.1217599910442861</v>
      </c>
      <c r="AN40" s="21">
        <f t="shared" si="11"/>
        <v>1.6949452419449544</v>
      </c>
      <c r="AO40" s="19">
        <f>IFERROR(IF(D38="Original",IF($AI40=0,"-",(INDEX('APP 2885'!$G:$G,MATCH($C$2+$AA40-1,'APP 2885'!$A:$A,0))*$T40)/($Z40+$AE40)),IF($AI40=0,"-",(INDEX('APP 2885'!G:G,MATCH($C$2+$AC40-1,'APP 2885'!$A:$A,0))*$T40)/($Z40+$AE40))),"N/A")</f>
        <v>1.2949965765880782</v>
      </c>
      <c r="AP40" s="45"/>
      <c r="AQ40" s="13"/>
      <c r="AR40" s="13"/>
    </row>
    <row r="41" spans="2:44" ht="15.75" thickBot="1" x14ac:dyDescent="0.3">
      <c r="B41" s="66" t="str">
        <f t="shared" si="12"/>
        <v>Smart Thermostat_Zone 2_Smart Thermostat</v>
      </c>
      <c r="C41" s="33" t="s">
        <v>217</v>
      </c>
      <c r="D41" s="33" t="s">
        <v>29</v>
      </c>
      <c r="E41" s="33" t="s">
        <v>217</v>
      </c>
      <c r="F41" s="33" t="str">
        <f t="shared" si="23"/>
        <v>Smart Thermostat</v>
      </c>
      <c r="G41" s="5">
        <v>56</v>
      </c>
      <c r="H41" s="5">
        <f t="shared" si="26"/>
        <v>65</v>
      </c>
      <c r="I41" s="5">
        <f t="shared" si="13"/>
        <v>65</v>
      </c>
      <c r="J41" s="5">
        <v>57</v>
      </c>
      <c r="K41" s="5">
        <f>INDEX('Res Measure Mapping'!$X:$X,MATCH($B41,'Res Measure Mapping'!$B:$B,0))</f>
        <v>0</v>
      </c>
      <c r="L41" s="5">
        <f>INDEX('Res Measure Mapping'!$Y:$Y,MATCH($B41,'Res Measure Mapping'!$B:$B,0))</f>
        <v>0</v>
      </c>
      <c r="M41" s="74" t="str">
        <f t="shared" si="14"/>
        <v>N/A</v>
      </c>
      <c r="N41" s="5">
        <f t="shared" si="27"/>
        <v>66</v>
      </c>
      <c r="O41" s="5">
        <f t="shared" si="15"/>
        <v>66</v>
      </c>
      <c r="P41" s="6">
        <v>34.506</v>
      </c>
      <c r="Q41" s="68">
        <f>INDEX('Res Measure Mapping'!$Q:$Q,MATCH($B41,'Res Measure Mapping'!$B:$B,0))</f>
        <v>0</v>
      </c>
      <c r="R41" s="68" t="str">
        <f>INDEX('Res Measure Mapping'!$R:$R,MATCH($B41,'Res Measure Mapping'!$B:$B,0))</f>
        <v>household</v>
      </c>
      <c r="S41" s="6">
        <f>P41</f>
        <v>34.506</v>
      </c>
      <c r="T41" s="59">
        <f t="shared" si="16"/>
        <v>2277.3960000000002</v>
      </c>
      <c r="U41" s="7">
        <v>264.41000000000003</v>
      </c>
      <c r="V41" s="7">
        <f>INDEX('Res Measure Mapping'!$S:$S,MATCH($B41,'Res Measure Mapping'!$B:$B,0))</f>
        <v>230.61</v>
      </c>
      <c r="W41" s="7">
        <f t="shared" si="25"/>
        <v>230.61</v>
      </c>
      <c r="X41" s="8">
        <f t="shared" si="28"/>
        <v>9.4634806464055821</v>
      </c>
      <c r="Y41" s="8">
        <f t="shared" si="17"/>
        <v>15220.26</v>
      </c>
      <c r="Z41" s="8">
        <f t="shared" si="18"/>
        <v>14605.133757983638</v>
      </c>
      <c r="AA41" s="5">
        <v>5</v>
      </c>
      <c r="AB41" s="5">
        <f>INDEX('Res Measure Mapping'!$T:$T,MATCH($B41,'Res Measure Mapping'!$B:$B,0))</f>
        <v>7</v>
      </c>
      <c r="AC41" s="5">
        <f t="shared" si="19"/>
        <v>7</v>
      </c>
      <c r="AD41" s="59">
        <f t="shared" si="29"/>
        <v>13149.257319216178</v>
      </c>
      <c r="AE41" s="7">
        <f t="shared" si="31"/>
        <v>7536.9603556723732</v>
      </c>
      <c r="AF41" s="7">
        <v>75</v>
      </c>
      <c r="AG41" s="7">
        <f>INDEX('Res Measure Mapping'!$U:$U,MATCH($B41,'Res Measure Mapping'!$B:$B,0))</f>
        <v>25.000003543548086</v>
      </c>
      <c r="AH41" s="113">
        <v>75</v>
      </c>
      <c r="AI41" s="61">
        <f t="shared" si="20"/>
        <v>4950</v>
      </c>
      <c r="AJ41" s="9">
        <f t="shared" si="8"/>
        <v>0.37644711635280914</v>
      </c>
      <c r="AK41" s="9">
        <f t="shared" si="9"/>
        <v>0.94963236725347744</v>
      </c>
      <c r="AL41" s="10">
        <f>IFERROR(IF(D39="Original",IF($AI41=0,"-",(INDEX('APP 2885'!$G:$G,MATCH($C$2+$AA41-1,'APP 2885'!$A:$A,0))*$T41)/($AI41+$AE41)),IF($AI41=0,"-",(INDEX('APP 2885'!G:G,MATCH($C$2+$AC41-1,'APP 2885'!$A:$A,0))*$T41)/($AI41+$AE41))),"N/A")</f>
        <v>2.3113663366079105</v>
      </c>
      <c r="AM41" s="11">
        <f t="shared" si="30"/>
        <v>1.1107192903313146</v>
      </c>
      <c r="AN41" s="12">
        <f t="shared" si="11"/>
        <v>1.6839045412319829</v>
      </c>
      <c r="AO41" s="10">
        <f>IFERROR(IF(D39="Original",IF($AI41=0,"-",(INDEX('APP 2885'!$G:$G,MATCH($C$2+$AA41-1,'APP 2885'!$A:$A,0))*$T41)/($Z41+$AE41)),IF($AI41=0,"-",(INDEX('APP 2885'!G:G,MATCH($C$2+$AC41-1,'APP 2885'!$A:$A,0))*$T41)/($Z41+$AE41))),"N/A")</f>
        <v>1.3034873605228798</v>
      </c>
      <c r="AP41" s="45"/>
      <c r="AQ41" s="13"/>
      <c r="AR41" s="13"/>
    </row>
    <row r="42" spans="2:44" ht="15.75" thickBot="1" x14ac:dyDescent="0.3">
      <c r="B42" s="66" t="str">
        <f t="shared" si="12"/>
        <v>Smart Thermostat_Zone 3_Smart Thermostat</v>
      </c>
      <c r="C42" s="34" t="s">
        <v>217</v>
      </c>
      <c r="D42" s="34" t="s">
        <v>30</v>
      </c>
      <c r="E42" s="34" t="s">
        <v>217</v>
      </c>
      <c r="F42" s="34" t="str">
        <f t="shared" si="23"/>
        <v>Smart Thermostat</v>
      </c>
      <c r="G42" s="14">
        <v>97</v>
      </c>
      <c r="H42" s="14">
        <f t="shared" si="26"/>
        <v>113</v>
      </c>
      <c r="I42" s="14">
        <f t="shared" si="13"/>
        <v>113</v>
      </c>
      <c r="J42" s="14">
        <v>98</v>
      </c>
      <c r="K42" s="86">
        <f>INDEX('Res Measure Mapping'!$X:$X,MATCH($B42,'Res Measure Mapping'!$B:$B,0))</f>
        <v>0</v>
      </c>
      <c r="L42" s="86">
        <f>INDEX('Res Measure Mapping'!$Y:$Y,MATCH($B42,'Res Measure Mapping'!$B:$B,0))</f>
        <v>0</v>
      </c>
      <c r="M42" s="90" t="str">
        <f t="shared" si="14"/>
        <v>N/A</v>
      </c>
      <c r="N42" s="14">
        <f t="shared" si="27"/>
        <v>114</v>
      </c>
      <c r="O42" s="14">
        <f t="shared" si="15"/>
        <v>114</v>
      </c>
      <c r="P42" s="15">
        <v>30.364999999999998</v>
      </c>
      <c r="Q42" s="87">
        <f>INDEX('Res Measure Mapping'!$Q:$Q,MATCH($B42,'Res Measure Mapping'!$B:$B,0))</f>
        <v>0</v>
      </c>
      <c r="R42" s="87" t="str">
        <f>INDEX('Res Measure Mapping'!$R:$R,MATCH($B42,'Res Measure Mapping'!$B:$B,0))</f>
        <v>household</v>
      </c>
      <c r="S42" s="88">
        <f>P42</f>
        <v>30.364999999999998</v>
      </c>
      <c r="T42" s="77">
        <f t="shared" si="16"/>
        <v>3461.6099999999997</v>
      </c>
      <c r="U42" s="16">
        <v>264.41000000000003</v>
      </c>
      <c r="V42" s="89">
        <f>INDEX('Res Measure Mapping'!$S:$S,MATCH($B42,'Res Measure Mapping'!$B:$B,0))</f>
        <v>230.61</v>
      </c>
      <c r="W42" s="76">
        <f t="shared" si="25"/>
        <v>230.61</v>
      </c>
      <c r="X42" s="17">
        <f t="shared" si="28"/>
        <v>8.3277861771316726</v>
      </c>
      <c r="Y42" s="17">
        <f t="shared" si="17"/>
        <v>26289.54</v>
      </c>
      <c r="Z42" s="17">
        <f t="shared" si="18"/>
        <v>25348.50016198412</v>
      </c>
      <c r="AA42" s="14">
        <v>5</v>
      </c>
      <c r="AB42" s="86">
        <f>INDEX('Res Measure Mapping'!$T:$T,MATCH($B42,'Res Measure Mapping'!$B:$B,0))</f>
        <v>7</v>
      </c>
      <c r="AC42" s="14">
        <f t="shared" si="19"/>
        <v>7</v>
      </c>
      <c r="AD42" s="60">
        <f t="shared" si="29"/>
        <v>19986.686825116012</v>
      </c>
      <c r="AE42" s="16">
        <f t="shared" si="31"/>
        <v>11456.074102527202</v>
      </c>
      <c r="AF42" s="16">
        <v>75</v>
      </c>
      <c r="AG42" s="89">
        <f>INDEX('Res Measure Mapping'!$U:$U,MATCH($B42,'Res Measure Mapping'!$B:$B,0))</f>
        <v>25.000003543548086</v>
      </c>
      <c r="AH42" s="115">
        <v>75</v>
      </c>
      <c r="AI42" s="78">
        <f t="shared" si="20"/>
        <v>8550</v>
      </c>
      <c r="AJ42" s="18">
        <f t="shared" si="8"/>
        <v>0.42778475866524074</v>
      </c>
      <c r="AK42" s="18">
        <f t="shared" si="9"/>
        <v>1.0009700095659089</v>
      </c>
      <c r="AL42" s="19">
        <f>IFERROR(IF(D40="Original",IF($AI42=0,"-",(INDEX('APP 2885'!$G:$G,MATCH($C$2+$AA42-1,'APP 2885'!$A:$A,0))*$T42)/($AI42+$AE42)),IF($AI42=0,"-",(INDEX('APP 2885'!G:G,MATCH($C$2+$AC42-1,'APP 2885'!$A:$A,0))*$T42)/($AI42+$AE42))),"N/A")</f>
        <v>2.1928212282552324</v>
      </c>
      <c r="AM42" s="20">
        <f t="shared" si="30"/>
        <v>1.2682692426105489</v>
      </c>
      <c r="AN42" s="21">
        <f t="shared" si="11"/>
        <v>1.8414544935112169</v>
      </c>
      <c r="AO42" s="19">
        <f>IFERROR(IF(D40="Original",IF($AI42=0,"-",(INDEX('APP 2885'!$G:$G,MATCH($C$2+$AA42-1,'APP 2885'!$A:$A,0))*$T42)/($Z42+$AE42)),IF($AI42=0,"-",(INDEX('APP 2885'!G:G,MATCH($C$2+$AC42-1,'APP 2885'!$A:$A,0))*$T42)/($Z42+$AE42))),"N/A")</f>
        <v>1.191964446342479</v>
      </c>
      <c r="AP42" s="45"/>
      <c r="AQ42" s="13"/>
      <c r="AR42" s="13"/>
    </row>
    <row r="43" spans="2:44" ht="15.75" thickBot="1" x14ac:dyDescent="0.3">
      <c r="B43" s="66" t="str">
        <f t="shared" si="12"/>
        <v>Floor Insulation_Zone 1_Post R 30+, or fill cavity</v>
      </c>
      <c r="C43" s="33" t="s">
        <v>49</v>
      </c>
      <c r="D43" s="33" t="s">
        <v>27</v>
      </c>
      <c r="E43" s="33" t="s">
        <v>214</v>
      </c>
      <c r="F43" s="33" t="str">
        <f t="shared" si="23"/>
        <v>Post R 30+, or fill cavity</v>
      </c>
      <c r="G43" s="5">
        <v>188</v>
      </c>
      <c r="H43" s="5">
        <f t="shared" si="26"/>
        <v>219</v>
      </c>
      <c r="I43" s="5">
        <f t="shared" si="13"/>
        <v>219</v>
      </c>
      <c r="J43" s="5">
        <v>246641</v>
      </c>
      <c r="K43" s="5">
        <f>INDEX('Res Measure Mapping'!$X:$X,MATCH($B43,'Res Measure Mapping'!$B:$B,0))</f>
        <v>0</v>
      </c>
      <c r="L43" s="5">
        <f>INDEX('Res Measure Mapping'!$Y:$Y,MATCH($B43,'Res Measure Mapping'!$B:$B,0))</f>
        <v>0</v>
      </c>
      <c r="M43" s="74" t="str">
        <f t="shared" si="14"/>
        <v>N/A</v>
      </c>
      <c r="N43" s="5">
        <f t="shared" si="27"/>
        <v>287513</v>
      </c>
      <c r="O43" s="5">
        <f t="shared" si="15"/>
        <v>287513</v>
      </c>
      <c r="P43" s="6">
        <v>3.9E-2</v>
      </c>
      <c r="Q43" s="68">
        <f>INDEX('Res Measure Mapping'!$Q:$Q,MATCH($B43,'Res Measure Mapping'!$B:$B,0))</f>
        <v>3.2313637612481891E-2</v>
      </c>
      <c r="R43" s="68" t="str">
        <f>INDEX('Res Measure Mapping'!$R:$R,MATCH($B43,'Res Measure Mapping'!$B:$B,0))</f>
        <v>sqft floor</v>
      </c>
      <c r="S43" s="6">
        <f t="shared" si="24"/>
        <v>3.2313637612481891E-2</v>
      </c>
      <c r="T43" s="59">
        <f t="shared" si="16"/>
        <v>9290.5908908775054</v>
      </c>
      <c r="U43" s="7">
        <v>1.08</v>
      </c>
      <c r="V43" s="7">
        <f>INDEX('Res Measure Mapping'!$S:$S,MATCH($B43,'Res Measure Mapping'!$B:$B,0))</f>
        <v>1.58</v>
      </c>
      <c r="W43" s="7">
        <f t="shared" si="25"/>
        <v>1.58</v>
      </c>
      <c r="X43" s="8">
        <f t="shared" si="28"/>
        <v>2.7043568008954605E-2</v>
      </c>
      <c r="Y43" s="8">
        <f t="shared" si="17"/>
        <v>454270.54000000004</v>
      </c>
      <c r="Z43" s="8">
        <f t="shared" si="18"/>
        <v>454264.61745860608</v>
      </c>
      <c r="AA43" s="5">
        <v>45</v>
      </c>
      <c r="AB43" s="5">
        <f>INDEX('Res Measure Mapping'!$T:$T,MATCH($B43,'Res Measure Mapping'!$B:$B,0))</f>
        <v>45</v>
      </c>
      <c r="AC43" s="5">
        <f t="shared" si="19"/>
        <v>45</v>
      </c>
      <c r="AD43" s="59">
        <f t="shared" si="29"/>
        <v>163692.15513596978</v>
      </c>
      <c r="AE43" s="7">
        <f t="shared" si="31"/>
        <v>30746.87723404916</v>
      </c>
      <c r="AF43" s="7">
        <v>1.25</v>
      </c>
      <c r="AG43" s="7">
        <f>INDEX('Res Measure Mapping'!$U:$U,MATCH($B43,'Res Measure Mapping'!$B:$B,0))</f>
        <v>0.74999758517316228</v>
      </c>
      <c r="AH43" s="113">
        <v>2</v>
      </c>
      <c r="AI43" s="61">
        <f t="shared" si="20"/>
        <v>575026</v>
      </c>
      <c r="AJ43" s="9">
        <f t="shared" si="8"/>
        <v>3.51285007838255</v>
      </c>
      <c r="AK43" s="9">
        <f t="shared" si="9"/>
        <v>3.7006836199991868</v>
      </c>
      <c r="AL43" s="10">
        <f>IFERROR(IF(D41="Original",IF($AI43=0,"-",(INDEX('APP 2885'!$G:$G,MATCH($C$2+$AA43-1,'APP 2885'!$A:$A,0))*$T43)/($AI43+$AE43)),IF($AI43=0,"-",(INDEX('APP 2885'!G:G,MATCH($C$2+$AC43-1,'APP 2885'!$A:$A,0))*$T43)/($AI43+$AE43))),"N/A")</f>
        <v>1.5790196524217655</v>
      </c>
      <c r="AM43" s="11">
        <f t="shared" si="30"/>
        <v>2.7751153809495284</v>
      </c>
      <c r="AN43" s="12">
        <f t="shared" si="11"/>
        <v>2.9629489225661652</v>
      </c>
      <c r="AO43" s="10">
        <f>IFERROR(IF(D41="Original",IF($AI43=0,"-",(INDEX('APP 2885'!$G:$G,MATCH($C$2+$AA43-1,'APP 2885'!$A:$A,0))*$T43)/($Z43+$AE43)),IF($AI43=0,"-",(INDEX('APP 2885'!G:G,MATCH($C$2+$AC43-1,'APP 2885'!$A:$A,0))*$T43)/($Z43+$AE43))),"N/A")</f>
        <v>1.9721744505514835</v>
      </c>
      <c r="AP43" s="45"/>
      <c r="AQ43" s="13"/>
      <c r="AR43" s="13"/>
    </row>
    <row r="44" spans="2:44" ht="15.75" thickBot="1" x14ac:dyDescent="0.3">
      <c r="B44" s="66" t="str">
        <f t="shared" si="12"/>
        <v>Floor Insulation_Zone 1_Post R 30+, or fill cavity</v>
      </c>
      <c r="C44" s="34" t="s">
        <v>49</v>
      </c>
      <c r="D44" s="34" t="s">
        <v>27</v>
      </c>
      <c r="E44" s="34" t="s">
        <v>214</v>
      </c>
      <c r="F44" s="34" t="str">
        <f t="shared" si="23"/>
        <v>Post R 30+, or fill cavity</v>
      </c>
      <c r="G44" s="14">
        <v>1</v>
      </c>
      <c r="H44" s="14">
        <f t="shared" si="26"/>
        <v>1</v>
      </c>
      <c r="I44" s="14">
        <f t="shared" si="13"/>
        <v>1</v>
      </c>
      <c r="J44" s="14">
        <v>844</v>
      </c>
      <c r="K44" s="86">
        <f>INDEX('Res Measure Mapping'!$X:$X,MATCH($B44,'Res Measure Mapping'!$B:$B,0))</f>
        <v>0</v>
      </c>
      <c r="L44" s="86">
        <f>INDEX('Res Measure Mapping'!$Y:$Y,MATCH($B44,'Res Measure Mapping'!$B:$B,0))</f>
        <v>0</v>
      </c>
      <c r="M44" s="90" t="str">
        <f t="shared" si="14"/>
        <v>N/A</v>
      </c>
      <c r="N44" s="14">
        <f t="shared" si="27"/>
        <v>984</v>
      </c>
      <c r="O44" s="14">
        <f t="shared" si="15"/>
        <v>984</v>
      </c>
      <c r="P44" s="15">
        <v>0.03</v>
      </c>
      <c r="Q44" s="87">
        <f>INDEX('Res Measure Mapping'!$Q:$Q,MATCH($B44,'Res Measure Mapping'!$B:$B,0))</f>
        <v>3.2313637612481891E-2</v>
      </c>
      <c r="R44" s="87" t="str">
        <f>INDEX('Res Measure Mapping'!$R:$R,MATCH($B44,'Res Measure Mapping'!$B:$B,0))</f>
        <v>sqft floor</v>
      </c>
      <c r="S44" s="88">
        <f t="shared" si="24"/>
        <v>3.2313637612481891E-2</v>
      </c>
      <c r="T44" s="77">
        <f t="shared" si="16"/>
        <v>31.79661941068218</v>
      </c>
      <c r="U44" s="16">
        <v>1.08</v>
      </c>
      <c r="V44" s="89">
        <f>INDEX('Res Measure Mapping'!$S:$S,MATCH($B44,'Res Measure Mapping'!$B:$B,0))</f>
        <v>1.58</v>
      </c>
      <c r="W44" s="76">
        <f t="shared" si="25"/>
        <v>1.58</v>
      </c>
      <c r="X44" s="17">
        <f t="shared" si="28"/>
        <v>2.7043568008954605E-2</v>
      </c>
      <c r="Y44" s="17">
        <f t="shared" si="17"/>
        <v>1554.72</v>
      </c>
      <c r="Z44" s="17">
        <f t="shared" si="18"/>
        <v>1554.692956431991</v>
      </c>
      <c r="AA44" s="14">
        <v>45</v>
      </c>
      <c r="AB44" s="86">
        <f>INDEX('Res Measure Mapping'!$T:$T,MATCH($B44,'Res Measure Mapping'!$B:$B,0))</f>
        <v>45</v>
      </c>
      <c r="AC44" s="14">
        <f t="shared" si="19"/>
        <v>45</v>
      </c>
      <c r="AD44" s="60">
        <f t="shared" si="29"/>
        <v>560.22886149076476</v>
      </c>
      <c r="AE44" s="16">
        <f t="shared" si="31"/>
        <v>105.22977116966666</v>
      </c>
      <c r="AF44" s="16">
        <v>1.25</v>
      </c>
      <c r="AG44" s="89">
        <f>INDEX('Res Measure Mapping'!$U:$U,MATCH($B44,'Res Measure Mapping'!$B:$B,0))</f>
        <v>0.74999758517316228</v>
      </c>
      <c r="AH44" s="115">
        <v>2</v>
      </c>
      <c r="AI44" s="78">
        <f t="shared" si="20"/>
        <v>1968</v>
      </c>
      <c r="AJ44" s="18">
        <f t="shared" si="8"/>
        <v>3.5128500783825505</v>
      </c>
      <c r="AK44" s="18">
        <f t="shared" si="9"/>
        <v>3.7006836199991873</v>
      </c>
      <c r="AL44" s="19">
        <f>IFERROR(IF(D42="Original",IF($AI44=0,"-",(INDEX('APP 2885'!$G:$G,MATCH($C$2+$AA44-1,'APP 2885'!$A:$A,0))*$T44)/($AI44+$AE44)),IF($AI44=0,"-",(INDEX('APP 2885'!G:G,MATCH($C$2+$AC44-1,'APP 2885'!$A:$A,0))*$T44)/($AI44+$AE44))),"N/A")</f>
        <v>1.5790196524217657</v>
      </c>
      <c r="AM44" s="20">
        <f t="shared" si="30"/>
        <v>2.7751032895644911</v>
      </c>
      <c r="AN44" s="21">
        <f t="shared" si="11"/>
        <v>2.9629368311811284</v>
      </c>
      <c r="AO44" s="19">
        <f>IFERROR(IF(D42="Original",IF($AI44=0,"-",(INDEX('APP 2885'!$G:$G,MATCH($C$2+$AA44-1,'APP 2885'!$A:$A,0))*$T44)/($Z44+$AE44)),IF($AI44=0,"-",(INDEX('APP 2885'!G:G,MATCH($C$2+$AC44-1,'APP 2885'!$A:$A,0))*$T44)/($Z44+$AE44))),"N/A")</f>
        <v>1.9721824987556813</v>
      </c>
      <c r="AP44" s="45"/>
      <c r="AQ44" s="13"/>
      <c r="AR44" s="13"/>
    </row>
    <row r="45" spans="2:44" ht="15.75" thickBot="1" x14ac:dyDescent="0.3">
      <c r="B45" s="66" t="str">
        <f t="shared" si="12"/>
        <v>Floor Insulation_Zone 2_Post R 30+, or fill cavity</v>
      </c>
      <c r="C45" s="33" t="s">
        <v>49</v>
      </c>
      <c r="D45" s="33" t="s">
        <v>29</v>
      </c>
      <c r="E45" s="33" t="s">
        <v>214</v>
      </c>
      <c r="F45" s="33" t="str">
        <f t="shared" si="23"/>
        <v>Post R 30+, or fill cavity</v>
      </c>
      <c r="G45" s="5">
        <v>14</v>
      </c>
      <c r="H45" s="5">
        <f t="shared" si="26"/>
        <v>16</v>
      </c>
      <c r="I45" s="5">
        <f t="shared" si="13"/>
        <v>16</v>
      </c>
      <c r="J45" s="5">
        <v>17705</v>
      </c>
      <c r="K45" s="5">
        <f>INDEX('Res Measure Mapping'!$X:$X,MATCH($B45,'Res Measure Mapping'!$B:$B,0))</f>
        <v>0</v>
      </c>
      <c r="L45" s="5">
        <f>INDEX('Res Measure Mapping'!$Y:$Y,MATCH($B45,'Res Measure Mapping'!$B:$B,0))</f>
        <v>0</v>
      </c>
      <c r="M45" s="74" t="str">
        <f t="shared" si="14"/>
        <v>N/A</v>
      </c>
      <c r="N45" s="5">
        <f t="shared" si="27"/>
        <v>20639</v>
      </c>
      <c r="O45" s="5">
        <f t="shared" si="15"/>
        <v>20639</v>
      </c>
      <c r="P45" s="6">
        <v>4.2999999999999997E-2</v>
      </c>
      <c r="Q45" s="68">
        <f>INDEX('Res Measure Mapping'!$Q:$Q,MATCH($B45,'Res Measure Mapping'!$B:$B,0))</f>
        <v>3.2313637612481891E-2</v>
      </c>
      <c r="R45" s="68" t="str">
        <f>INDEX('Res Measure Mapping'!$R:$R,MATCH($B45,'Res Measure Mapping'!$B:$B,0))</f>
        <v>sqft floor</v>
      </c>
      <c r="S45" s="6">
        <f t="shared" si="24"/>
        <v>3.2313637612481891E-2</v>
      </c>
      <c r="T45" s="59">
        <f t="shared" si="16"/>
        <v>666.92116668401377</v>
      </c>
      <c r="U45" s="7">
        <v>1.08</v>
      </c>
      <c r="V45" s="7">
        <f>INDEX('Res Measure Mapping'!$S:$S,MATCH($B45,'Res Measure Mapping'!$B:$B,0))</f>
        <v>1.58</v>
      </c>
      <c r="W45" s="7">
        <f t="shared" si="25"/>
        <v>1.58</v>
      </c>
      <c r="X45" s="8">
        <f t="shared" si="28"/>
        <v>2.7043568008954605E-2</v>
      </c>
      <c r="Y45" s="8">
        <f t="shared" si="17"/>
        <v>32609.620000000003</v>
      </c>
      <c r="Z45" s="8">
        <f t="shared" si="18"/>
        <v>32609.187302911858</v>
      </c>
      <c r="AA45" s="5">
        <v>45</v>
      </c>
      <c r="AB45" s="5">
        <f>INDEX('Res Measure Mapping'!$T:$T,MATCH($B45,'Res Measure Mapping'!$B:$B,0))</f>
        <v>45</v>
      </c>
      <c r="AC45" s="5">
        <f t="shared" si="19"/>
        <v>45</v>
      </c>
      <c r="AD45" s="59">
        <f t="shared" si="29"/>
        <v>11750.572634459244</v>
      </c>
      <c r="AE45" s="7">
        <f t="shared" si="31"/>
        <v>2207.1516739540148</v>
      </c>
      <c r="AF45" s="7">
        <v>1.25</v>
      </c>
      <c r="AG45" s="7">
        <f>INDEX('Res Measure Mapping'!$U:$U,MATCH($B45,'Res Measure Mapping'!$B:$B,0))</f>
        <v>0.74999758517316228</v>
      </c>
      <c r="AH45" s="113">
        <v>2</v>
      </c>
      <c r="AI45" s="61">
        <f t="shared" si="20"/>
        <v>41278</v>
      </c>
      <c r="AJ45" s="9">
        <f t="shared" si="8"/>
        <v>3.5128500783825496</v>
      </c>
      <c r="AK45" s="9">
        <f t="shared" si="9"/>
        <v>3.7006836199991868</v>
      </c>
      <c r="AL45" s="10">
        <f>IFERROR(IF(D43="Original",IF($AI45=0,"-",(INDEX('APP 2885'!$G:$G,MATCH($C$2+$AA45-1,'APP 2885'!$A:$A,0))*$T45)/($AI45+$AE45)),IF($AI45=0,"-",(INDEX('APP 2885'!G:G,MATCH($C$2+$AC45-1,'APP 2885'!$A:$A,0))*$T45)/($AI45+$AE45))),"N/A")</f>
        <v>1.5790196524217655</v>
      </c>
      <c r="AM45" s="11">
        <f t="shared" si="30"/>
        <v>2.7751147384327042</v>
      </c>
      <c r="AN45" s="12">
        <f t="shared" si="11"/>
        <v>2.9629482800493414</v>
      </c>
      <c r="AO45" s="10">
        <f>IFERROR(IF(D43="Original",IF($AI45=0,"-",(INDEX('APP 2885'!$G:$G,MATCH($C$2+$AA45-1,'APP 2885'!$A:$A,0))*$T45)/($Z45+$AE45)),IF($AI45=0,"-",(INDEX('APP 2885'!G:G,MATCH($C$2+$AC45-1,'APP 2885'!$A:$A,0))*$T45)/($Z45+$AE45))),"N/A")</f>
        <v>1.9721748782185042</v>
      </c>
      <c r="AP45" s="45"/>
      <c r="AQ45" s="13"/>
      <c r="AR45" s="13"/>
    </row>
    <row r="46" spans="2:44" ht="15.75" thickBot="1" x14ac:dyDescent="0.3">
      <c r="B46" s="66" t="str">
        <f t="shared" si="12"/>
        <v>Floor Insulation_Zone 3_Post R 30+, or fill cavity</v>
      </c>
      <c r="C46" s="34" t="s">
        <v>49</v>
      </c>
      <c r="D46" s="34" t="s">
        <v>30</v>
      </c>
      <c r="E46" s="34" t="s">
        <v>214</v>
      </c>
      <c r="F46" s="34" t="str">
        <f t="shared" si="23"/>
        <v>Post R 30+, or fill cavity</v>
      </c>
      <c r="G46" s="14">
        <v>29</v>
      </c>
      <c r="H46" s="14">
        <f t="shared" si="26"/>
        <v>34</v>
      </c>
      <c r="I46" s="14">
        <f t="shared" si="13"/>
        <v>34</v>
      </c>
      <c r="J46" s="14">
        <v>31358</v>
      </c>
      <c r="K46" s="86">
        <f>INDEX('Res Measure Mapping'!$X:$X,MATCH($B46,'Res Measure Mapping'!$B:$B,0))</f>
        <v>0</v>
      </c>
      <c r="L46" s="86">
        <f>INDEX('Res Measure Mapping'!$Y:$Y,MATCH($B46,'Res Measure Mapping'!$B:$B,0))</f>
        <v>0</v>
      </c>
      <c r="M46" s="90" t="str">
        <f t="shared" si="14"/>
        <v>N/A</v>
      </c>
      <c r="N46" s="14">
        <f t="shared" si="27"/>
        <v>36554</v>
      </c>
      <c r="O46" s="14">
        <f t="shared" si="15"/>
        <v>36554</v>
      </c>
      <c r="P46" s="15">
        <v>4.7E-2</v>
      </c>
      <c r="Q46" s="87">
        <f>INDEX('Res Measure Mapping'!$Q:$Q,MATCH($B46,'Res Measure Mapping'!$B:$B,0))</f>
        <v>3.2313637612481891E-2</v>
      </c>
      <c r="R46" s="87" t="str">
        <f>INDEX('Res Measure Mapping'!$R:$R,MATCH($B46,'Res Measure Mapping'!$B:$B,0))</f>
        <v>sqft floor</v>
      </c>
      <c r="S46" s="88">
        <f t="shared" si="24"/>
        <v>3.2313637612481891E-2</v>
      </c>
      <c r="T46" s="77">
        <f t="shared" si="16"/>
        <v>1181.1927092866631</v>
      </c>
      <c r="U46" s="16">
        <v>1.08</v>
      </c>
      <c r="V46" s="89">
        <f>INDEX('Res Measure Mapping'!$S:$S,MATCH($B46,'Res Measure Mapping'!$B:$B,0))</f>
        <v>1.58</v>
      </c>
      <c r="W46" s="76">
        <f t="shared" si="25"/>
        <v>1.58</v>
      </c>
      <c r="X46" s="17">
        <f t="shared" si="28"/>
        <v>2.7043568008954605E-2</v>
      </c>
      <c r="Y46" s="17">
        <f t="shared" si="17"/>
        <v>57755.32</v>
      </c>
      <c r="Z46" s="17">
        <f t="shared" si="18"/>
        <v>57754.400518687697</v>
      </c>
      <c r="AA46" s="14">
        <v>45</v>
      </c>
      <c r="AB46" s="86">
        <f>INDEX('Res Measure Mapping'!$T:$T,MATCH($B46,'Res Measure Mapping'!$B:$B,0))</f>
        <v>45</v>
      </c>
      <c r="AC46" s="14">
        <f t="shared" si="19"/>
        <v>45</v>
      </c>
      <c r="AD46" s="60">
        <f t="shared" si="29"/>
        <v>20811.591263143717</v>
      </c>
      <c r="AE46" s="16">
        <f t="shared" si="31"/>
        <v>3909.1148936341424</v>
      </c>
      <c r="AF46" s="16">
        <v>1.25</v>
      </c>
      <c r="AG46" s="89">
        <f>INDEX('Res Measure Mapping'!$U:$U,MATCH($B46,'Res Measure Mapping'!$B:$B,0))</f>
        <v>0.74999758517316228</v>
      </c>
      <c r="AH46" s="115">
        <v>2</v>
      </c>
      <c r="AI46" s="78">
        <f t="shared" si="20"/>
        <v>73108</v>
      </c>
      <c r="AJ46" s="18">
        <f t="shared" si="8"/>
        <v>3.51285007838255</v>
      </c>
      <c r="AK46" s="18">
        <f t="shared" si="9"/>
        <v>3.7006836199991873</v>
      </c>
      <c r="AL46" s="19">
        <f>IFERROR(IF(D44="Original",IF($AI46=0,"-",(INDEX('APP 2885'!$G:$G,MATCH($C$2+$AA46-1,'APP 2885'!$A:$A,0))*$T46)/($AI46+$AE46)),IF($AI46=0,"-",(INDEX('APP 2885'!G:G,MATCH($C$2+$AC46-1,'APP 2885'!$A:$A,0))*$T46)/($AI46+$AE46))),"N/A")</f>
        <v>1.5790196524217655</v>
      </c>
      <c r="AM46" s="20">
        <f t="shared" si="30"/>
        <v>2.7751073807108559</v>
      </c>
      <c r="AN46" s="21">
        <f t="shared" si="11"/>
        <v>2.9629409223274927</v>
      </c>
      <c r="AO46" s="19">
        <f>IFERROR(IF(D44="Original",IF($AI46=0,"-",(INDEX('APP 2885'!$G:$G,MATCH($C$2+$AA46-1,'APP 2885'!$A:$A,0))*$T46)/($Z46+$AE46)),IF($AI46=0,"-",(INDEX('APP 2885'!G:G,MATCH($C$2+$AC46-1,'APP 2885'!$A:$A,0))*$T46)/($Z46+$AE46))),"N/A")</f>
        <v>1.9721797756209742</v>
      </c>
      <c r="AP46" s="45"/>
      <c r="AQ46" s="13"/>
      <c r="AR46" s="13"/>
    </row>
    <row r="47" spans="2:44" ht="39" thickBot="1" x14ac:dyDescent="0.3">
      <c r="B47" s="66" t="str">
        <f t="shared" si="12"/>
        <v>High-Efficiency Combination Domestic Hot Water and Hydronic Space Heating System using pre-approved Tankless Water Heater_Zone 1_95+% Annual Fuel Utilization Efficiency (AFUE) Hydronic Space Heating &amp; DHW</v>
      </c>
      <c r="C47" s="33" t="s">
        <v>50</v>
      </c>
      <c r="D47" s="33" t="s">
        <v>27</v>
      </c>
      <c r="E47" s="33" t="s">
        <v>51</v>
      </c>
      <c r="F47" s="33" t="str">
        <f t="shared" si="23"/>
        <v>95+% Annual Fuel Utilization Efficiency (AFUE) Hydronic Space Heating &amp; DHW</v>
      </c>
      <c r="G47" s="5">
        <v>8</v>
      </c>
      <c r="H47" s="5">
        <f t="shared" si="26"/>
        <v>9</v>
      </c>
      <c r="I47" s="5">
        <f t="shared" si="13"/>
        <v>11</v>
      </c>
      <c r="J47" s="5">
        <v>8</v>
      </c>
      <c r="K47" s="5">
        <f>INDEX('Res Measure Mapping'!$X:$X,MATCH($B47,'Res Measure Mapping'!$B:$B,0))</f>
        <v>19.665977591327202</v>
      </c>
      <c r="L47" s="5">
        <f>INDEX('Res Measure Mapping'!$Y:$Y,MATCH($B47,'Res Measure Mapping'!$B:$B,0))</f>
        <v>24.873811944280515</v>
      </c>
      <c r="M47" s="74">
        <f t="shared" si="14"/>
        <v>0.2648144150865907</v>
      </c>
      <c r="N47" s="5">
        <f t="shared" si="27"/>
        <v>9</v>
      </c>
      <c r="O47" s="5">
        <f t="shared" si="15"/>
        <v>11</v>
      </c>
      <c r="P47" s="6">
        <v>148.97</v>
      </c>
      <c r="Q47" s="68">
        <f>INDEX('Res Measure Mapping'!$Q:$Q,MATCH($B47,'Res Measure Mapping'!$B:$B,0))</f>
        <v>148.96985837512395</v>
      </c>
      <c r="R47" s="68" t="str">
        <f>INDEX('Res Measure Mapping'!$R:$R,MATCH($B47,'Res Measure Mapping'!$B:$B,0))</f>
        <v>household</v>
      </c>
      <c r="S47" s="6">
        <f t="shared" si="24"/>
        <v>148.96985837512395</v>
      </c>
      <c r="T47" s="59">
        <f t="shared" si="16"/>
        <v>1638.6684421263635</v>
      </c>
      <c r="U47" s="7">
        <v>5190.57</v>
      </c>
      <c r="V47" s="7">
        <f>INDEX('Res Measure Mapping'!$S:$S,MATCH($B47,'Res Measure Mapping'!$B:$B,0))</f>
        <v>5190.57</v>
      </c>
      <c r="W47" s="7">
        <f t="shared" si="25"/>
        <v>5190.57</v>
      </c>
      <c r="X47" s="8">
        <f t="shared" si="28"/>
        <v>90.246159251166787</v>
      </c>
      <c r="Y47" s="8">
        <f t="shared" si="17"/>
        <v>57096.27</v>
      </c>
      <c r="Z47" s="8">
        <f t="shared" si="18"/>
        <v>56103.562248237162</v>
      </c>
      <c r="AA47" s="5">
        <v>21</v>
      </c>
      <c r="AB47" s="5">
        <f>INDEX('Res Measure Mapping'!$T:$T,MATCH($B47,'Res Measure Mapping'!$B:$B,0))</f>
        <v>21</v>
      </c>
      <c r="AC47" s="5">
        <f t="shared" si="19"/>
        <v>21</v>
      </c>
      <c r="AD47" s="59">
        <f t="shared" si="29"/>
        <v>20899.110563428101</v>
      </c>
      <c r="AE47" s="7">
        <f t="shared" si="31"/>
        <v>5423.1144185718285</v>
      </c>
      <c r="AF47" s="7">
        <v>1500</v>
      </c>
      <c r="AG47" s="7">
        <f>INDEX('Res Measure Mapping'!$U:$U,MATCH($B47,'Res Measure Mapping'!$B:$B,0))</f>
        <v>599.99999896449128</v>
      </c>
      <c r="AH47" s="113">
        <v>1500</v>
      </c>
      <c r="AI47" s="61">
        <f t="shared" si="20"/>
        <v>16500</v>
      </c>
      <c r="AJ47" s="9">
        <f t="shared" si="8"/>
        <v>0.78950728309336671</v>
      </c>
      <c r="AK47" s="9">
        <f t="shared" si="9"/>
        <v>1.0489974849425248</v>
      </c>
      <c r="AL47" s="10">
        <f>IFERROR(IF(D45="Original",IF($AI47=0,"-",(INDEX('APP 2885'!$G:$G,MATCH($C$2+$AA47-1,'APP 2885'!$A:$A,0))*$T47)/($AI47+$AE47)),IF($AI47=0,"-",(INDEX('APP 2885'!G:G,MATCH($C$2+$AC47-1,'APP 2885'!$A:$A,0))*$T47)/($AI47+$AE47))),"N/A")</f>
        <v>3.2878491083097705</v>
      </c>
      <c r="AM47" s="11">
        <f t="shared" si="30"/>
        <v>2.6844952122706243</v>
      </c>
      <c r="AN47" s="12">
        <f t="shared" si="11"/>
        <v>2.9439854141197821</v>
      </c>
      <c r="AO47" s="10">
        <f>IFERROR(IF(D45="Original",IF($AI47=0,"-",(INDEX('APP 2885'!$G:$G,MATCH($C$2+$AA47-1,'APP 2885'!$A:$A,0))*$T47)/($Z47+$AE47)),IF($AI47=0,"-",(INDEX('APP 2885'!G:G,MATCH($C$2+$AC47-1,'APP 2885'!$A:$A,0))*$T47)/($Z47+$AE47))),"N/A")</f>
        <v>1.1715225995841652</v>
      </c>
      <c r="AP47" s="45"/>
      <c r="AQ47" s="13"/>
      <c r="AR47" s="13"/>
    </row>
    <row r="48" spans="2:44" ht="39" thickBot="1" x14ac:dyDescent="0.3">
      <c r="B48" s="66" t="str">
        <f t="shared" si="12"/>
        <v>High-Efficiency Combination Domestic Hot Water and Hydronic Space Heating System using pre-approved Tankless Water Heater_Zone 1_95+% Annual Fuel Utilization Efficiency (AFUE) Hydronic Space Heating &amp; DHW</v>
      </c>
      <c r="C48" s="34" t="s">
        <v>50</v>
      </c>
      <c r="D48" s="34" t="s">
        <v>27</v>
      </c>
      <c r="E48" s="34" t="s">
        <v>51</v>
      </c>
      <c r="F48" s="34" t="str">
        <f t="shared" si="23"/>
        <v>95+% Annual Fuel Utilization Efficiency (AFUE) Hydronic Space Heating &amp; DHW</v>
      </c>
      <c r="G48" s="14">
        <v>1</v>
      </c>
      <c r="H48" s="14">
        <f t="shared" si="26"/>
        <v>1</v>
      </c>
      <c r="I48" s="14">
        <f t="shared" si="13"/>
        <v>1</v>
      </c>
      <c r="J48" s="14">
        <v>1</v>
      </c>
      <c r="K48" s="86">
        <f>INDEX('Res Measure Mapping'!$X:$X,MATCH($B48,'Res Measure Mapping'!$B:$B,0))</f>
        <v>19.665977591327202</v>
      </c>
      <c r="L48" s="86">
        <f>INDEX('Res Measure Mapping'!$Y:$Y,MATCH($B48,'Res Measure Mapping'!$B:$B,0))</f>
        <v>24.873811944280515</v>
      </c>
      <c r="M48" s="90">
        <f t="shared" si="14"/>
        <v>0.2648144150865907</v>
      </c>
      <c r="N48" s="14">
        <f t="shared" si="27"/>
        <v>1</v>
      </c>
      <c r="O48" s="14">
        <f t="shared" si="15"/>
        <v>1</v>
      </c>
      <c r="P48" s="15">
        <v>159</v>
      </c>
      <c r="Q48" s="87">
        <f>INDEX('Res Measure Mapping'!$Q:$Q,MATCH($B48,'Res Measure Mapping'!$B:$B,0))</f>
        <v>148.96985837512395</v>
      </c>
      <c r="R48" s="87" t="str">
        <f>INDEX('Res Measure Mapping'!$R:$R,MATCH($B48,'Res Measure Mapping'!$B:$B,0))</f>
        <v>household</v>
      </c>
      <c r="S48" s="88">
        <f t="shared" si="24"/>
        <v>148.96985837512395</v>
      </c>
      <c r="T48" s="77">
        <f t="shared" si="16"/>
        <v>148.96985837512395</v>
      </c>
      <c r="U48" s="16">
        <v>5190.57</v>
      </c>
      <c r="V48" s="89">
        <f>INDEX('Res Measure Mapping'!$S:$S,MATCH($B48,'Res Measure Mapping'!$B:$B,0))</f>
        <v>5190.57</v>
      </c>
      <c r="W48" s="76">
        <f t="shared" si="25"/>
        <v>5190.57</v>
      </c>
      <c r="X48" s="17">
        <f t="shared" si="28"/>
        <v>90.246159251166787</v>
      </c>
      <c r="Y48" s="17">
        <f t="shared" si="17"/>
        <v>5190.57</v>
      </c>
      <c r="Z48" s="17">
        <f t="shared" si="18"/>
        <v>5100.3238407488325</v>
      </c>
      <c r="AA48" s="14">
        <v>21</v>
      </c>
      <c r="AB48" s="86">
        <f>INDEX('Res Measure Mapping'!$T:$T,MATCH($B48,'Res Measure Mapping'!$B:$B,0))</f>
        <v>21</v>
      </c>
      <c r="AC48" s="14">
        <f t="shared" si="19"/>
        <v>21</v>
      </c>
      <c r="AD48" s="60">
        <f t="shared" si="29"/>
        <v>1899.9191421298272</v>
      </c>
      <c r="AE48" s="16">
        <f t="shared" si="31"/>
        <v>493.01040168834805</v>
      </c>
      <c r="AF48" s="16">
        <v>1500</v>
      </c>
      <c r="AG48" s="89">
        <f>INDEX('Res Measure Mapping'!$U:$U,MATCH($B48,'Res Measure Mapping'!$B:$B,0))</f>
        <v>599.99999896449128</v>
      </c>
      <c r="AH48" s="115">
        <v>1500</v>
      </c>
      <c r="AI48" s="78">
        <f t="shared" si="20"/>
        <v>1500</v>
      </c>
      <c r="AJ48" s="18">
        <f t="shared" si="8"/>
        <v>0.78950728309336682</v>
      </c>
      <c r="AK48" s="18">
        <f t="shared" si="9"/>
        <v>1.0489974849425248</v>
      </c>
      <c r="AL48" s="19">
        <f>IFERROR(IF(D46="Original",IF($AI48=0,"-",(INDEX('APP 2885'!$G:$G,MATCH($C$2+$AA48-1,'APP 2885'!$A:$A,0))*$T48)/($AI48+$AE48)),IF($AI48=0,"-",(INDEX('APP 2885'!G:G,MATCH($C$2+$AC48-1,'APP 2885'!$A:$A,0))*$T48)/($AI48+$AE48))),"N/A")</f>
        <v>3.2878491083097701</v>
      </c>
      <c r="AM48" s="20">
        <f t="shared" si="30"/>
        <v>2.6844952122706243</v>
      </c>
      <c r="AN48" s="21">
        <f t="shared" si="11"/>
        <v>2.9439854141197821</v>
      </c>
      <c r="AO48" s="19">
        <f>IFERROR(IF(D46="Original",IF($AI48=0,"-",(INDEX('APP 2885'!$G:$G,MATCH($C$2+$AA48-1,'APP 2885'!$A:$A,0))*$T48)/($Z48+$AE48)),IF($AI48=0,"-",(INDEX('APP 2885'!G:G,MATCH($C$2+$AC48-1,'APP 2885'!$A:$A,0))*$T48)/($Z48+$AE48))),"N/A")</f>
        <v>1.1715225995841652</v>
      </c>
      <c r="AP48" s="45"/>
      <c r="AQ48" s="13"/>
      <c r="AR48" s="13"/>
    </row>
    <row r="49" spans="2:44" ht="39" thickBot="1" x14ac:dyDescent="0.3">
      <c r="B49" s="66" t="str">
        <f t="shared" si="12"/>
        <v>High-Efficiency Combination Domestic Hot Water and Hydronic Space Heating System using pre-approved Tankless Water Heater_Zone 2_95+% Annual Fuel Utilization Efficiency (AFUE) Hydronic Space Heating &amp; DHW</v>
      </c>
      <c r="C49" s="33" t="s">
        <v>50</v>
      </c>
      <c r="D49" s="33" t="s">
        <v>29</v>
      </c>
      <c r="E49" s="33" t="s">
        <v>51</v>
      </c>
      <c r="F49" s="33" t="str">
        <f t="shared" si="23"/>
        <v>95+% Annual Fuel Utilization Efficiency (AFUE) Hydronic Space Heating &amp; DHW</v>
      </c>
      <c r="G49" s="5">
        <v>2</v>
      </c>
      <c r="H49" s="5">
        <f t="shared" si="26"/>
        <v>2</v>
      </c>
      <c r="I49" s="5">
        <f t="shared" si="13"/>
        <v>3</v>
      </c>
      <c r="J49" s="5">
        <v>2</v>
      </c>
      <c r="K49" s="5">
        <f>INDEX('Res Measure Mapping'!$X:$X,MATCH($B49,'Res Measure Mapping'!$B:$B,0))</f>
        <v>6.8453430082341837</v>
      </c>
      <c r="L49" s="5">
        <f>INDEX('Res Measure Mapping'!$Y:$Y,MATCH($B49,'Res Measure Mapping'!$B:$B,0))</f>
        <v>8.6580885130268026</v>
      </c>
      <c r="M49" s="74">
        <f t="shared" si="14"/>
        <v>0.26481441508659076</v>
      </c>
      <c r="N49" s="5">
        <f t="shared" si="27"/>
        <v>2</v>
      </c>
      <c r="O49" s="5">
        <f t="shared" si="15"/>
        <v>3</v>
      </c>
      <c r="P49" s="6">
        <v>146.04</v>
      </c>
      <c r="Q49" s="68">
        <f>INDEX('Res Measure Mapping'!$Q:$Q,MATCH($B49,'Res Measure Mapping'!$B:$B,0))</f>
        <v>146.03600407141286</v>
      </c>
      <c r="R49" s="68" t="str">
        <f>INDEX('Res Measure Mapping'!$R:$R,MATCH($B49,'Res Measure Mapping'!$B:$B,0))</f>
        <v>household</v>
      </c>
      <c r="S49" s="6">
        <f t="shared" si="24"/>
        <v>146.03600407141286</v>
      </c>
      <c r="T49" s="59">
        <f t="shared" si="16"/>
        <v>438.10801221423856</v>
      </c>
      <c r="U49" s="7">
        <v>5190.57</v>
      </c>
      <c r="V49" s="7">
        <f>INDEX('Res Measure Mapping'!$S:$S,MATCH($B49,'Res Measure Mapping'!$B:$B,0))</f>
        <v>5190.57</v>
      </c>
      <c r="W49" s="7">
        <f t="shared" si="25"/>
        <v>5190.57</v>
      </c>
      <c r="X49" s="8">
        <f t="shared" si="28"/>
        <v>88.46882599999519</v>
      </c>
      <c r="Y49" s="8">
        <f t="shared" si="17"/>
        <v>15571.71</v>
      </c>
      <c r="Z49" s="8">
        <f t="shared" si="18"/>
        <v>15306.303522000013</v>
      </c>
      <c r="AA49" s="5">
        <v>21</v>
      </c>
      <c r="AB49" s="5">
        <f>INDEX('Res Measure Mapping'!$T:$T,MATCH($B49,'Res Measure Mapping'!$B:$B,0))</f>
        <v>21</v>
      </c>
      <c r="AC49" s="5">
        <f t="shared" si="19"/>
        <v>21</v>
      </c>
      <c r="AD49" s="59">
        <f t="shared" si="29"/>
        <v>5587.5047999996959</v>
      </c>
      <c r="AE49" s="7">
        <f t="shared" si="31"/>
        <v>1449.9027483850605</v>
      </c>
      <c r="AF49" s="7">
        <v>1500</v>
      </c>
      <c r="AG49" s="7">
        <f>INDEX('Res Measure Mapping'!$U:$U,MATCH($B49,'Res Measure Mapping'!$B:$B,0))</f>
        <v>599.99999896449128</v>
      </c>
      <c r="AH49" s="113">
        <v>1500</v>
      </c>
      <c r="AI49" s="61">
        <f t="shared" si="20"/>
        <v>4500</v>
      </c>
      <c r="AJ49" s="9">
        <f t="shared" si="8"/>
        <v>0.8053684356566897</v>
      </c>
      <c r="AK49" s="9">
        <f t="shared" si="9"/>
        <v>1.0648586375058477</v>
      </c>
      <c r="AL49" s="10">
        <f>IFERROR(IF(D47="Original",IF($AI49=0,"-",(INDEX('APP 2885'!$G:$G,MATCH($C$2+$AA49-1,'APP 2885'!$A:$A,0))*$T49)/($AI49+$AE49)),IF($AI49=0,"-",(INDEX('APP 2885'!G:G,MATCH($C$2+$AC49-1,'APP 2885'!$A:$A,0))*$T49)/($AI49+$AE49))),"N/A")</f>
        <v>3.2388763390845221</v>
      </c>
      <c r="AM49" s="11">
        <f t="shared" si="30"/>
        <v>2.7393808273776958</v>
      </c>
      <c r="AN49" s="12">
        <f t="shared" si="11"/>
        <v>2.9988710292268541</v>
      </c>
      <c r="AO49" s="10">
        <f>IFERROR(IF(D47="Original",IF($AI49=0,"-",(INDEX('APP 2885'!$G:$G,MATCH($C$2+$AA49-1,'APP 2885'!$A:$A,0))*$T49)/($Z49+$AE49)),IF($AI49=0,"-",(INDEX('APP 2885'!G:G,MATCH($C$2+$AC49-1,'APP 2885'!$A:$A,0))*$T49)/($Z49+$AE49))),"N/A")</f>
        <v>1.1500812845481563</v>
      </c>
      <c r="AP49" s="45"/>
      <c r="AQ49" s="13"/>
      <c r="AR49" s="13"/>
    </row>
    <row r="50" spans="2:44" ht="39" thickBot="1" x14ac:dyDescent="0.3">
      <c r="B50" s="66" t="str">
        <f t="shared" si="12"/>
        <v>High-Efficiency Combination Domestic Hot Water and Hydronic Space Heating System using pre-approved Tankless Water Heater_Zone 3_95+% Annual Fuel Utilization Efficiency (AFUE) Hydronic Space Heating &amp; DHW</v>
      </c>
      <c r="C50" s="34" t="s">
        <v>50</v>
      </c>
      <c r="D50" s="34" t="s">
        <v>30</v>
      </c>
      <c r="E50" s="34" t="s">
        <v>51</v>
      </c>
      <c r="F50" s="34" t="str">
        <f t="shared" si="23"/>
        <v>95+% Annual Fuel Utilization Efficiency (AFUE) Hydronic Space Heating &amp; DHW</v>
      </c>
      <c r="G50" s="14">
        <v>2</v>
      </c>
      <c r="H50" s="14">
        <f t="shared" si="26"/>
        <v>2</v>
      </c>
      <c r="I50" s="14">
        <f t="shared" si="13"/>
        <v>3</v>
      </c>
      <c r="J50" s="14">
        <v>2</v>
      </c>
      <c r="K50" s="86">
        <f>INDEX('Res Measure Mapping'!$X:$X,MATCH($B50,'Res Measure Mapping'!$B:$B,0))</f>
        <v>3.4002809623470402</v>
      </c>
      <c r="L50" s="86">
        <f>INDEX('Res Measure Mapping'!$Y:$Y,MATCH($B50,'Res Measure Mapping'!$B:$B,0))</f>
        <v>4.4374130414826256</v>
      </c>
      <c r="M50" s="90">
        <f t="shared" si="14"/>
        <v>0.30501364170203926</v>
      </c>
      <c r="N50" s="14">
        <f t="shared" si="27"/>
        <v>2</v>
      </c>
      <c r="O50" s="14">
        <f t="shared" si="15"/>
        <v>3</v>
      </c>
      <c r="P50" s="15">
        <v>136.16999999999999</v>
      </c>
      <c r="Q50" s="87">
        <f>INDEX('Res Measure Mapping'!$Q:$Q,MATCH($B50,'Res Measure Mapping'!$B:$B,0))</f>
        <v>136.16968276177087</v>
      </c>
      <c r="R50" s="87" t="str">
        <f>INDEX('Res Measure Mapping'!$R:$R,MATCH($B50,'Res Measure Mapping'!$B:$B,0))</f>
        <v>household</v>
      </c>
      <c r="S50" s="88">
        <f t="shared" si="24"/>
        <v>136.16968276177087</v>
      </c>
      <c r="T50" s="77">
        <f t="shared" si="16"/>
        <v>408.50904828531259</v>
      </c>
      <c r="U50" s="16">
        <v>5190.57</v>
      </c>
      <c r="V50" s="89">
        <f>INDEX('Res Measure Mapping'!$S:$S,MATCH($B50,'Res Measure Mapping'!$B:$B,0))</f>
        <v>5190.57</v>
      </c>
      <c r="W50" s="76">
        <f t="shared" si="25"/>
        <v>5190.57</v>
      </c>
      <c r="X50" s="17">
        <f t="shared" si="28"/>
        <v>82.49179404302707</v>
      </c>
      <c r="Y50" s="17">
        <f t="shared" si="17"/>
        <v>15571.71</v>
      </c>
      <c r="Z50" s="17">
        <f t="shared" si="18"/>
        <v>15324.234617870918</v>
      </c>
      <c r="AA50" s="14">
        <v>21</v>
      </c>
      <c r="AB50" s="86">
        <f>INDEX('Res Measure Mapping'!$T:$T,MATCH($B50,'Res Measure Mapping'!$B:$B,0))</f>
        <v>21</v>
      </c>
      <c r="AC50" s="14">
        <f t="shared" si="19"/>
        <v>21</v>
      </c>
      <c r="AD50" s="60">
        <f t="shared" si="29"/>
        <v>5210.0080448227618</v>
      </c>
      <c r="AE50" s="16">
        <f t="shared" si="31"/>
        <v>1351.9460391867958</v>
      </c>
      <c r="AF50" s="16">
        <v>1500</v>
      </c>
      <c r="AG50" s="89">
        <f>INDEX('Res Measure Mapping'!$U:$U,MATCH($B50,'Res Measure Mapping'!$B:$B,0))</f>
        <v>599.99999896449128</v>
      </c>
      <c r="AH50" s="115">
        <v>1500</v>
      </c>
      <c r="AI50" s="78">
        <f t="shared" si="20"/>
        <v>4500</v>
      </c>
      <c r="AJ50" s="18">
        <f t="shared" si="8"/>
        <v>0.8637222747614941</v>
      </c>
      <c r="AK50" s="18">
        <f t="shared" si="9"/>
        <v>1.1232124766106522</v>
      </c>
      <c r="AL50" s="19">
        <f>IFERROR(IF(D48="Original",IF($AI50=0,"-",(INDEX('APP 2885'!$G:$G,MATCH($C$2+$AA50-1,'APP 2885'!$A:$A,0))*$T50)/($AI50+$AE50)),IF($AI50=0,"-",(INDEX('APP 2885'!G:G,MATCH($C$2+$AC50-1,'APP 2885'!$A:$A,0))*$T50)/($AI50+$AE50))),"N/A")</f>
        <v>3.0706082039747562</v>
      </c>
      <c r="AM50" s="20">
        <f t="shared" si="30"/>
        <v>2.9413072851391786</v>
      </c>
      <c r="AN50" s="21">
        <f t="shared" si="11"/>
        <v>3.2007974869883369</v>
      </c>
      <c r="AO50" s="19">
        <f>IFERROR(IF(D48="Original",IF($AI50=0,"-",(INDEX('APP 2885'!$G:$G,MATCH($C$2+$AA50-1,'APP 2885'!$A:$A,0))*$T50)/($Z50+$AE50)),IF($AI50=0,"-",(INDEX('APP 2885'!G:G,MATCH($C$2+$AC50-1,'APP 2885'!$A:$A,0))*$T50)/($Z50+$AE50))),"N/A")</f>
        <v>1.0775269161850725</v>
      </c>
      <c r="AP50" s="45"/>
      <c r="AQ50" s="13"/>
      <c r="AR50" s="13"/>
    </row>
    <row r="51" spans="2:44" ht="15.75" thickBot="1" x14ac:dyDescent="0.3">
      <c r="B51" s="66" t="str">
        <f t="shared" si="12"/>
        <v>High-Efficiency Exterior Entry (not sliding) Door_Zone 1_High-Efficiency Exterior Entry (not sliding) Door</v>
      </c>
      <c r="C51" s="33" t="s">
        <v>52</v>
      </c>
      <c r="D51" s="33" t="s">
        <v>27</v>
      </c>
      <c r="E51" s="33" t="s">
        <v>52</v>
      </c>
      <c r="F51" s="33" t="str">
        <f t="shared" si="23"/>
        <v>High-Efficiency Exterior Entry (not sliding) Door</v>
      </c>
      <c r="G51" s="5">
        <v>4</v>
      </c>
      <c r="H51" s="5">
        <f t="shared" si="26"/>
        <v>5</v>
      </c>
      <c r="I51" s="5">
        <f t="shared" si="13"/>
        <v>8</v>
      </c>
      <c r="J51" s="5">
        <v>4</v>
      </c>
      <c r="K51" s="5">
        <f>INDEX('Res Measure Mapping'!$X:$X,MATCH($B51,'Res Measure Mapping'!$B:$B,0))</f>
        <v>169.06766591245608</v>
      </c>
      <c r="L51" s="5">
        <f>INDEX('Res Measure Mapping'!$Y:$Y,MATCH($B51,'Res Measure Mapping'!$B:$B,0))</f>
        <v>262.96253017038794</v>
      </c>
      <c r="M51" s="74">
        <f t="shared" si="14"/>
        <v>0.55536854874752339</v>
      </c>
      <c r="N51" s="5">
        <f t="shared" si="27"/>
        <v>5</v>
      </c>
      <c r="O51" s="5">
        <f t="shared" si="15"/>
        <v>8</v>
      </c>
      <c r="P51" s="6">
        <v>13</v>
      </c>
      <c r="Q51" s="68">
        <f>INDEX('Res Measure Mapping'!$Q:$Q,MATCH($B51,'Res Measure Mapping'!$B:$B,0))</f>
        <v>6.4089337258906038</v>
      </c>
      <c r="R51" s="68" t="str">
        <f>INDEX('Res Measure Mapping'!$R:$R,MATCH($B51,'Res Measure Mapping'!$B:$B,0))</f>
        <v>door</v>
      </c>
      <c r="S51" s="6">
        <f t="shared" si="24"/>
        <v>6.4089337258906038</v>
      </c>
      <c r="T51" s="59">
        <f t="shared" si="16"/>
        <v>51.271469807124831</v>
      </c>
      <c r="U51" s="7">
        <v>200</v>
      </c>
      <c r="V51" s="7">
        <f>INDEX('Res Measure Mapping'!$S:$S,MATCH($B51,'Res Measure Mapping'!$B:$B,0))</f>
        <v>410.13</v>
      </c>
      <c r="W51" s="7">
        <f t="shared" si="25"/>
        <v>410.13</v>
      </c>
      <c r="X51" s="8">
        <f t="shared" si="28"/>
        <v>5.3636930994750127</v>
      </c>
      <c r="Y51" s="8">
        <f t="shared" si="17"/>
        <v>3281.04</v>
      </c>
      <c r="Z51" s="8">
        <f t="shared" si="18"/>
        <v>3238.1304552041997</v>
      </c>
      <c r="AA51" s="5">
        <v>45</v>
      </c>
      <c r="AB51" s="5">
        <f>INDEX('Res Measure Mapping'!$T:$T,MATCH($B51,'Res Measure Mapping'!$B:$B,0))</f>
        <v>45</v>
      </c>
      <c r="AC51" s="5">
        <f t="shared" si="19"/>
        <v>45</v>
      </c>
      <c r="AD51" s="59">
        <f t="shared" si="29"/>
        <v>903.35883780631787</v>
      </c>
      <c r="AE51" s="7">
        <f t="shared" si="31"/>
        <v>169.68108985584976</v>
      </c>
      <c r="AF51" s="7">
        <v>100</v>
      </c>
      <c r="AG51" s="7">
        <f>INDEX('Res Measure Mapping'!$U:$U,MATCH($B51,'Res Measure Mapping'!$B:$B,0))</f>
        <v>49.99993907512728</v>
      </c>
      <c r="AH51" s="113">
        <v>100</v>
      </c>
      <c r="AI51" s="61">
        <f t="shared" si="20"/>
        <v>800</v>
      </c>
      <c r="AJ51" s="9">
        <f t="shared" si="8"/>
        <v>0.88558385274968854</v>
      </c>
      <c r="AK51" s="9">
        <f t="shared" si="9"/>
        <v>1.0734173943663254</v>
      </c>
      <c r="AL51" s="10">
        <f>IFERROR(IF(D49="Original",IF($AI51=0,"-",(INDEX('APP 2885'!$G:$G,MATCH($C$2+$AA51-1,'APP 2885'!$A:$A,0))*$T51)/($AI51+$AE51)),IF($AI51=0,"-",(INDEX('APP 2885'!G:G,MATCH($C$2+$AC51-1,'APP 2885'!$A:$A,0))*$T51)/($AI51+$AE51))),"N/A")</f>
        <v>5.4437837453003315</v>
      </c>
      <c r="AM51" s="11">
        <f t="shared" si="30"/>
        <v>3.5845450552822977</v>
      </c>
      <c r="AN51" s="12">
        <f t="shared" si="11"/>
        <v>3.7723785968989345</v>
      </c>
      <c r="AO51" s="10">
        <f>IFERROR(IF(D49="Original",IF($AI51=0,"-",(INDEX('APP 2885'!$G:$G,MATCH($C$2+$AA51-1,'APP 2885'!$A:$A,0))*$T51)/($Z51+$AE51)),IF($AI51=0,"-",(INDEX('APP 2885'!G:G,MATCH($C$2+$AC51-1,'APP 2885'!$A:$A,0))*$T51)/($Z51+$AE51))),"N/A")</f>
        <v>1.5490099981421854</v>
      </c>
      <c r="AP51" s="45"/>
      <c r="AQ51" s="13"/>
      <c r="AR51" s="13"/>
    </row>
    <row r="52" spans="2:44" ht="15.75" thickBot="1" x14ac:dyDescent="0.3">
      <c r="B52" s="66" t="str">
        <f t="shared" si="12"/>
        <v>High-Efficiency Exterior Entry (not sliding) Door_Zone 2_High-Efficiency Exterior Entry (not sliding) Door</v>
      </c>
      <c r="C52" s="34" t="s">
        <v>52</v>
      </c>
      <c r="D52" s="34" t="s">
        <v>29</v>
      </c>
      <c r="E52" s="34" t="s">
        <v>52</v>
      </c>
      <c r="F52" s="34" t="str">
        <f t="shared" si="23"/>
        <v>High-Efficiency Exterior Entry (not sliding) Door</v>
      </c>
      <c r="G52" s="14">
        <v>16</v>
      </c>
      <c r="H52" s="14">
        <f t="shared" si="26"/>
        <v>19</v>
      </c>
      <c r="I52" s="14">
        <f t="shared" si="13"/>
        <v>30</v>
      </c>
      <c r="J52" s="14">
        <v>17</v>
      </c>
      <c r="K52" s="86">
        <f>INDEX('Res Measure Mapping'!$X:$X,MATCH($B52,'Res Measure Mapping'!$B:$B,0))</f>
        <v>83.599561248498546</v>
      </c>
      <c r="L52" s="86">
        <f>INDEX('Res Measure Mapping'!$Y:$Y,MATCH($B52,'Res Measure Mapping'!$B:$B,0))</f>
        <v>130.02812825500689</v>
      </c>
      <c r="M52" s="90">
        <f t="shared" si="14"/>
        <v>0.5553685487475235</v>
      </c>
      <c r="N52" s="14">
        <f t="shared" si="27"/>
        <v>20</v>
      </c>
      <c r="O52" s="14">
        <f t="shared" si="15"/>
        <v>31</v>
      </c>
      <c r="P52" s="15">
        <v>13</v>
      </c>
      <c r="Q52" s="87">
        <f>INDEX('Res Measure Mapping'!$Q:$Q,MATCH($B52,'Res Measure Mapping'!$B:$B,0))</f>
        <v>9.1929593665283793</v>
      </c>
      <c r="R52" s="87" t="str">
        <f>INDEX('Res Measure Mapping'!$R:$R,MATCH($B52,'Res Measure Mapping'!$B:$B,0))</f>
        <v>door</v>
      </c>
      <c r="S52" s="88">
        <f t="shared" si="24"/>
        <v>9.1929593665283793</v>
      </c>
      <c r="T52" s="77">
        <f t="shared" si="16"/>
        <v>284.98174036237975</v>
      </c>
      <c r="U52" s="16">
        <v>200</v>
      </c>
      <c r="V52" s="89">
        <f>INDEX('Res Measure Mapping'!$S:$S,MATCH($B52,'Res Measure Mapping'!$B:$B,0))</f>
        <v>410.13</v>
      </c>
      <c r="W52" s="76">
        <f t="shared" si="25"/>
        <v>410.13</v>
      </c>
      <c r="X52" s="17">
        <f t="shared" si="28"/>
        <v>7.6936686860731172</v>
      </c>
      <c r="Y52" s="17">
        <f t="shared" si="17"/>
        <v>12714.03</v>
      </c>
      <c r="Z52" s="17">
        <f t="shared" si="18"/>
        <v>12483.219939417808</v>
      </c>
      <c r="AA52" s="14">
        <v>45</v>
      </c>
      <c r="AB52" s="86">
        <f>INDEX('Res Measure Mapping'!$T:$T,MATCH($B52,'Res Measure Mapping'!$B:$B,0))</f>
        <v>45</v>
      </c>
      <c r="AC52" s="14">
        <f t="shared" si="19"/>
        <v>45</v>
      </c>
      <c r="AD52" s="60">
        <f t="shared" si="29"/>
        <v>5021.131142489824</v>
      </c>
      <c r="AE52" s="16">
        <f t="shared" si="31"/>
        <v>943.13684541545399</v>
      </c>
      <c r="AF52" s="16">
        <v>100</v>
      </c>
      <c r="AG52" s="89">
        <f>INDEX('Res Measure Mapping'!$U:$U,MATCH($B52,'Res Measure Mapping'!$B:$B,0))</f>
        <v>49.99993907512728</v>
      </c>
      <c r="AH52" s="115">
        <v>100</v>
      </c>
      <c r="AI52" s="78">
        <f t="shared" si="20"/>
        <v>3100</v>
      </c>
      <c r="AJ52" s="18">
        <f t="shared" si="8"/>
        <v>0.61739076555224282</v>
      </c>
      <c r="AK52" s="18">
        <f t="shared" si="9"/>
        <v>0.80522430716887972</v>
      </c>
      <c r="AL52" s="19">
        <f>IFERROR(IF(D51="Original",IF($AI52=0,"-",(INDEX('APP 2885'!$G:$G,MATCH($C$2+$AA52-1,'APP 2885'!$A:$A,0))*$T52)/($AI52+$AE52)),IF($AI52=0,"-",(INDEX('APP 2885'!G:G,MATCH($C$2+$AC52-1,'APP 2885'!$A:$A,0))*$T52)/($AI52+$AE52))),"N/A")</f>
        <v>7.2569246995526804</v>
      </c>
      <c r="AM52" s="20">
        <f t="shared" si="30"/>
        <v>2.48613700482393</v>
      </c>
      <c r="AN52" s="21">
        <f t="shared" si="11"/>
        <v>2.6739705464405668</v>
      </c>
      <c r="AO52" s="19">
        <f>IFERROR(IF(D51="Original",IF($AI52=0,"-",(INDEX('APP 2885'!$G:$G,MATCH($C$2+$AA52-1,'APP 2885'!$A:$A,0))*$T52)/($Z52+$AE52)),IF($AI52=0,"-",(INDEX('APP 2885'!G:G,MATCH($C$2+$AC52-1,'APP 2885'!$A:$A,0))*$T52)/($Z52+$AE52))),"N/A")</f>
        <v>2.185309098169574</v>
      </c>
      <c r="AP52" s="45"/>
      <c r="AQ52" s="13"/>
      <c r="AR52" s="13"/>
    </row>
    <row r="53" spans="2:44" ht="15.75" thickBot="1" x14ac:dyDescent="0.3">
      <c r="B53" s="66" t="str">
        <f t="shared" si="12"/>
        <v>High-Efficiency Exterior Entry (not sliding) Door_Zone 3_High-Efficiency Exterior Entry (not sliding) Door</v>
      </c>
      <c r="C53" s="33" t="s">
        <v>52</v>
      </c>
      <c r="D53" s="33" t="s">
        <v>30</v>
      </c>
      <c r="E53" s="33" t="s">
        <v>52</v>
      </c>
      <c r="F53" s="33" t="str">
        <f t="shared" si="23"/>
        <v>High-Efficiency Exterior Entry (not sliding) Door</v>
      </c>
      <c r="G53" s="5">
        <v>2</v>
      </c>
      <c r="H53" s="5">
        <f t="shared" si="26"/>
        <v>2</v>
      </c>
      <c r="I53" s="5">
        <f t="shared" si="13"/>
        <v>3</v>
      </c>
      <c r="J53" s="5">
        <v>2</v>
      </c>
      <c r="K53" s="5">
        <f>INDEX('Res Measure Mapping'!$X:$X,MATCH($B53,'Res Measure Mapping'!$B:$B,0))</f>
        <v>117.17723514714957</v>
      </c>
      <c r="L53" s="5">
        <f>INDEX('Res Measure Mapping'!$Y:$Y,MATCH($B53,'Res Measure Mapping'!$B:$B,0))</f>
        <v>184.81700780444021</v>
      </c>
      <c r="M53" s="74">
        <f t="shared" si="14"/>
        <v>0.57724328938423519</v>
      </c>
      <c r="N53" s="5">
        <f t="shared" si="27"/>
        <v>2</v>
      </c>
      <c r="O53" s="5">
        <f t="shared" si="15"/>
        <v>3</v>
      </c>
      <c r="P53" s="6">
        <v>13</v>
      </c>
      <c r="Q53" s="68">
        <f>INDEX('Res Measure Mapping'!$Q:$Q,MATCH($B53,'Res Measure Mapping'!$B:$B,0))</f>
        <v>8.8582733125943296</v>
      </c>
      <c r="R53" s="68" t="str">
        <f>INDEX('Res Measure Mapping'!$R:$R,MATCH($B53,'Res Measure Mapping'!$B:$B,0))</f>
        <v>door</v>
      </c>
      <c r="S53" s="6">
        <f t="shared" si="24"/>
        <v>8.8582733125943296</v>
      </c>
      <c r="T53" s="59">
        <f t="shared" si="16"/>
        <v>26.574819937782991</v>
      </c>
      <c r="U53" s="7">
        <v>200</v>
      </c>
      <c r="V53" s="7">
        <f>INDEX('Res Measure Mapping'!$S:$S,MATCH($B53,'Res Measure Mapping'!$B:$B,0))</f>
        <v>410.13</v>
      </c>
      <c r="W53" s="7">
        <f t="shared" si="25"/>
        <v>410.13</v>
      </c>
      <c r="X53" s="8">
        <f t="shared" si="28"/>
        <v>7.4135669788695342</v>
      </c>
      <c r="Y53" s="8">
        <f t="shared" si="17"/>
        <v>1230.3899999999999</v>
      </c>
      <c r="Z53" s="8">
        <f t="shared" si="18"/>
        <v>1208.1492990633913</v>
      </c>
      <c r="AA53" s="5">
        <v>45</v>
      </c>
      <c r="AB53" s="5">
        <f>INDEX('Res Measure Mapping'!$T:$T,MATCH($B53,'Res Measure Mapping'!$B:$B,0))</f>
        <v>45</v>
      </c>
      <c r="AC53" s="5">
        <f t="shared" si="19"/>
        <v>45</v>
      </c>
      <c r="AD53" s="59">
        <f t="shared" si="29"/>
        <v>468.22528287597061</v>
      </c>
      <c r="AE53" s="7">
        <f t="shared" si="31"/>
        <v>87.948413157045209</v>
      </c>
      <c r="AF53" s="7">
        <v>100</v>
      </c>
      <c r="AG53" s="7">
        <f>INDEX('Res Measure Mapping'!$U:$U,MATCH($B53,'Res Measure Mapping'!$B:$B,0))</f>
        <v>49.99993907512728</v>
      </c>
      <c r="AH53" s="113">
        <v>100</v>
      </c>
      <c r="AI53" s="61">
        <f t="shared" si="20"/>
        <v>300</v>
      </c>
      <c r="AJ53" s="9">
        <f t="shared" si="8"/>
        <v>0.64071721662981573</v>
      </c>
      <c r="AK53" s="9">
        <f t="shared" si="9"/>
        <v>0.82855075824645263</v>
      </c>
      <c r="AL53" s="10">
        <f>IFERROR(IF(D52="Original",IF($AI53=0,"-",(INDEX('APP 2885'!$G:$G,MATCH($C$2+$AA53-1,'APP 2885'!$A:$A,0))*$T53)/($AI53+$AE53)),IF($AI53=0,"-",(INDEX('APP 2885'!G:G,MATCH($C$2+$AC53-1,'APP 2885'!$A:$A,0))*$T53)/($AI53+$AE53))),"N/A")</f>
        <v>7.052618207412106</v>
      </c>
      <c r="AM53" s="11">
        <f t="shared" si="30"/>
        <v>2.5802735205638627</v>
      </c>
      <c r="AN53" s="12">
        <f t="shared" si="11"/>
        <v>2.7681070621805</v>
      </c>
      <c r="AO53" s="10">
        <f>IFERROR(IF(D52="Original",IF($AI53=0,"-",(INDEX('APP 2885'!$G:$G,MATCH($C$2+$AA53-1,'APP 2885'!$A:$A,0))*$T53)/($Z53+$AE53)),IF($AI53=0,"-",(INDEX('APP 2885'!G:G,MATCH($C$2+$AC53-1,'APP 2885'!$A:$A,0))*$T53)/($Z53+$AE53))),"N/A")</f>
        <v>2.1109921083655703</v>
      </c>
      <c r="AP53" s="45"/>
      <c r="AQ53" s="13"/>
      <c r="AR53" s="13"/>
    </row>
    <row r="54" spans="2:44" ht="15.75" thickBot="1" x14ac:dyDescent="0.3">
      <c r="B54" s="66" t="str">
        <f t="shared" si="12"/>
        <v>High-Efficiency Natural Gas Hearth (Fireplace)_Zone 1_Natural Gas Hearth (Fireplace) - 70% FE Hearth</v>
      </c>
      <c r="C54" s="34" t="s">
        <v>54</v>
      </c>
      <c r="D54" s="34" t="s">
        <v>27</v>
      </c>
      <c r="E54" s="34" t="s">
        <v>55</v>
      </c>
      <c r="F54" s="34" t="str">
        <f t="shared" si="23"/>
        <v>Natural Gas Hearth (Fireplace) - 70% FE Hearth</v>
      </c>
      <c r="G54" s="14">
        <v>33</v>
      </c>
      <c r="H54" s="14">
        <f t="shared" si="26"/>
        <v>38</v>
      </c>
      <c r="I54" s="14">
        <f t="shared" si="13"/>
        <v>54</v>
      </c>
      <c r="J54" s="14">
        <v>34</v>
      </c>
      <c r="K54" s="86">
        <f>INDEX('Res Measure Mapping'!$X:$X,MATCH($B54,'Res Measure Mapping'!$B:$B,0))</f>
        <v>89.972944319504904</v>
      </c>
      <c r="L54" s="86">
        <f>INDEX('Res Measure Mapping'!$Y:$Y,MATCH($B54,'Res Measure Mapping'!$B:$B,0))</f>
        <v>128.41054346415348</v>
      </c>
      <c r="M54" s="90">
        <f t="shared" si="14"/>
        <v>0.42721286310417905</v>
      </c>
      <c r="N54" s="14">
        <f t="shared" si="27"/>
        <v>40</v>
      </c>
      <c r="O54" s="14">
        <f t="shared" si="15"/>
        <v>57</v>
      </c>
      <c r="P54" s="15">
        <v>56</v>
      </c>
      <c r="Q54" s="87">
        <f>INDEX('Res Measure Mapping'!$Q:$Q,MATCH($B54,'Res Measure Mapping'!$B:$B,0))</f>
        <v>27.616424266472379</v>
      </c>
      <c r="R54" s="87" t="str">
        <f>INDEX('Res Measure Mapping'!$R:$R,MATCH($B54,'Res Measure Mapping'!$B:$B,0))</f>
        <v>unit</v>
      </c>
      <c r="S54" s="88">
        <f t="shared" si="24"/>
        <v>27.616424266472379</v>
      </c>
      <c r="T54" s="77">
        <f t="shared" si="16"/>
        <v>1574.1361831889255</v>
      </c>
      <c r="U54" s="16">
        <v>425</v>
      </c>
      <c r="V54" s="89">
        <f>INDEX('Res Measure Mapping'!$S:$S,MATCH($B54,'Res Measure Mapping'!$B:$B,0))</f>
        <v>318.2749362936579</v>
      </c>
      <c r="W54" s="76">
        <f t="shared" si="25"/>
        <v>318.2749362936579</v>
      </c>
      <c r="X54" s="17">
        <f t="shared" si="28"/>
        <v>14.156250556576067</v>
      </c>
      <c r="Y54" s="17">
        <f t="shared" si="17"/>
        <v>18141.671368738502</v>
      </c>
      <c r="Z54" s="17">
        <f t="shared" si="18"/>
        <v>17377.233838683394</v>
      </c>
      <c r="AA54" s="14">
        <v>20</v>
      </c>
      <c r="AB54" s="86">
        <f>INDEX('Res Measure Mapping'!$T:$T,MATCH($B54,'Res Measure Mapping'!$B:$B,0))</f>
        <v>16</v>
      </c>
      <c r="AC54" s="14">
        <f t="shared" si="19"/>
        <v>16</v>
      </c>
      <c r="AD54" s="60">
        <f t="shared" si="29"/>
        <v>16987.50066789128</v>
      </c>
      <c r="AE54" s="16">
        <f t="shared" si="31"/>
        <v>5209.5472228476528</v>
      </c>
      <c r="AF54" s="16">
        <v>300</v>
      </c>
      <c r="AG54" s="89">
        <f>INDEX('Res Measure Mapping'!$U:$U,MATCH($B54,'Res Measure Mapping'!$B:$B,0))</f>
        <v>222.79243</v>
      </c>
      <c r="AH54" s="115">
        <v>300</v>
      </c>
      <c r="AI54" s="78">
        <f>IF($D$3="Original",IF(ISNUMBER(AF54),AF54*J54,""),IF(ISNUMBER(AH54),AH54*O54,""))</f>
        <v>17100</v>
      </c>
      <c r="AJ54" s="18">
        <f t="shared" si="8"/>
        <v>1.0066224769792862</v>
      </c>
      <c r="AK54" s="18">
        <f t="shared" si="9"/>
        <v>1.3132919114473254</v>
      </c>
      <c r="AL54" s="19" t="str">
        <f>IFERROR(IF(#REF!="Original",IF($AI54=0,"-",(INDEX('APP 2885'!$G:$G,MATCH($C$2+$AA54-1,'APP 2885'!$A:$A,0))*$T54)/($AI54+$AE54)),IF($AI54=0,"-",(INDEX('APP 2885'!G:G,MATCH($C$2+$AC54-1,'APP 2885'!$A:$A,0))*$T54)/($AI54+$AE54))),"N/A")</f>
        <v>N/A</v>
      </c>
      <c r="AM54" s="20">
        <f t="shared" si="30"/>
        <v>1.0229423491078216</v>
      </c>
      <c r="AN54" s="21">
        <f t="shared" si="11"/>
        <v>1.3296117835758607</v>
      </c>
      <c r="AO54" s="19" t="str">
        <f>IFERROR(IF(#REF!="Original",IF($AI54=0,"-",(INDEX('APP 2885'!$G:$G,MATCH($C$2+$AA54-1,'APP 2885'!$A:$A,0))*$T54)/($Z54+$AE54)),IF($AI54=0,"-",(INDEX('APP 2885'!G:G,MATCH($C$2+$AC54-1,'APP 2885'!$A:$A,0))*$T54)/($Z54+$AE54))),"N/A")</f>
        <v>N/A</v>
      </c>
      <c r="AP54" s="45"/>
      <c r="AQ54" s="13"/>
      <c r="AR54" s="13"/>
    </row>
    <row r="55" spans="2:44" ht="15.75" thickBot="1" x14ac:dyDescent="0.3">
      <c r="B55" s="66" t="str">
        <f t="shared" si="12"/>
        <v>High-Efficiency Natural Gas Hearth (Fireplace)_Zone 2_Natural Gas Hearth (Fireplace) - 70% FE Hearth</v>
      </c>
      <c r="C55" s="33" t="s">
        <v>54</v>
      </c>
      <c r="D55" s="33" t="s">
        <v>29</v>
      </c>
      <c r="E55" s="33" t="s">
        <v>55</v>
      </c>
      <c r="F55" s="33" t="str">
        <f t="shared" si="23"/>
        <v>Natural Gas Hearth (Fireplace) - 70% FE Hearth</v>
      </c>
      <c r="G55" s="5">
        <v>10</v>
      </c>
      <c r="H55" s="5">
        <f t="shared" si="26"/>
        <v>12</v>
      </c>
      <c r="I55" s="5">
        <f t="shared" si="13"/>
        <v>17</v>
      </c>
      <c r="J55" s="5">
        <v>11</v>
      </c>
      <c r="K55" s="5">
        <f>INDEX('Res Measure Mapping'!$X:$X,MATCH($B55,'Res Measure Mapping'!$B:$B,0))</f>
        <v>42.23412296495264</v>
      </c>
      <c r="L55" s="5">
        <f>INDEX('Res Measure Mapping'!$Y:$Y,MATCH($B55,'Res Measure Mapping'!$B:$B,0))</f>
        <v>60.277083557504078</v>
      </c>
      <c r="M55" s="74">
        <f t="shared" si="14"/>
        <v>0.4272128631041805</v>
      </c>
      <c r="N55" s="5">
        <f t="shared" si="27"/>
        <v>13</v>
      </c>
      <c r="O55" s="5">
        <f t="shared" si="15"/>
        <v>19</v>
      </c>
      <c r="P55" s="6">
        <v>56</v>
      </c>
      <c r="Q55" s="68">
        <f>INDEX('Res Measure Mapping'!$Q:$Q,MATCH($B55,'Res Measure Mapping'!$B:$B,0))</f>
        <v>27.616424266472379</v>
      </c>
      <c r="R55" s="68" t="str">
        <f>INDEX('Res Measure Mapping'!$R:$R,MATCH($B55,'Res Measure Mapping'!$B:$B,0))</f>
        <v>unit</v>
      </c>
      <c r="S55" s="6">
        <f t="shared" si="24"/>
        <v>27.616424266472379</v>
      </c>
      <c r="T55" s="59">
        <f t="shared" si="16"/>
        <v>524.71206106297518</v>
      </c>
      <c r="U55" s="7">
        <v>425</v>
      </c>
      <c r="V55" s="7">
        <f>INDEX('Res Measure Mapping'!$S:$S,MATCH($B55,'Res Measure Mapping'!$B:$B,0))</f>
        <v>318.2749362936579</v>
      </c>
      <c r="W55" s="7">
        <f t="shared" si="25"/>
        <v>318.2749362936579</v>
      </c>
      <c r="X55" s="8">
        <f t="shared" si="28"/>
        <v>14.156250556576067</v>
      </c>
      <c r="Y55" s="8">
        <f t="shared" si="17"/>
        <v>6047.2237895795006</v>
      </c>
      <c r="Z55" s="8">
        <f t="shared" si="18"/>
        <v>5806.5675301177071</v>
      </c>
      <c r="AA55" s="5">
        <v>20</v>
      </c>
      <c r="AB55" s="5">
        <f>INDEX('Res Measure Mapping'!$T:$T,MATCH($B55,'Res Measure Mapping'!$B:$B,0))</f>
        <v>16</v>
      </c>
      <c r="AC55" s="5">
        <f t="shared" si="19"/>
        <v>16</v>
      </c>
      <c r="AD55" s="59">
        <f t="shared" si="29"/>
        <v>5662.5002226304268</v>
      </c>
      <c r="AE55" s="7">
        <f t="shared" si="31"/>
        <v>1736.5157409492178</v>
      </c>
      <c r="AF55" s="7">
        <v>300</v>
      </c>
      <c r="AG55" s="7">
        <f>INDEX('Res Measure Mapping'!$U:$U,MATCH($B55,'Res Measure Mapping'!$B:$B,0))</f>
        <v>222.79243</v>
      </c>
      <c r="AH55" s="113">
        <v>300</v>
      </c>
      <c r="AI55" s="61">
        <f t="shared" si="20"/>
        <v>5700</v>
      </c>
      <c r="AJ55" s="9">
        <f t="shared" si="8"/>
        <v>1.0066224769792862</v>
      </c>
      <c r="AK55" s="9">
        <f t="shared" si="9"/>
        <v>1.3132919114473252</v>
      </c>
      <c r="AL55" s="10">
        <f>IFERROR(IF(D53="Original",IF($AI55=0,"-",(INDEX('APP 2885'!$G:$G,MATCH($C$2+$AA55-1,'APP 2885'!$A:$A,0))*$T55)/($AI55+$AE55)),IF($AI55=0,"-",(INDEX('APP 2885'!G:G,MATCH($C$2+$AC55-1,'APP 2885'!$A:$A,0))*$T55)/($AI55+$AE55))),"N/A")</f>
        <v>1.7522382338070939</v>
      </c>
      <c r="AM55" s="11">
        <f t="shared" si="30"/>
        <v>1.0254423491078215</v>
      </c>
      <c r="AN55" s="12">
        <f t="shared" si="11"/>
        <v>1.3321117835758605</v>
      </c>
      <c r="AO55" s="10">
        <f>IFERROR(IF(D53="Original",IF($AI55=0,"-",(INDEX('APP 2885'!$G:$G,MATCH($C$2+$AA55-1,'APP 2885'!$A:$A,0))*$T55)/($Z55+$AE55)),IF($AI55=0,"-",(INDEX('APP 2885'!G:G,MATCH($C$2+$AC55-1,'APP 2885'!$A:$A,0))*$T55)/($Z55+$AE55))),"N/A")</f>
        <v>1.7274828792598513</v>
      </c>
      <c r="AP55" s="45"/>
      <c r="AQ55" s="13"/>
      <c r="AR55" s="13"/>
    </row>
    <row r="56" spans="2:44" ht="15.75" thickBot="1" x14ac:dyDescent="0.3">
      <c r="B56" s="66" t="str">
        <f t="shared" si="12"/>
        <v>High-Efficiency Natural Gas Hearth (Fireplace)_Zone 3_Natural Gas Hearth (Fireplace) - 70% FE Hearth</v>
      </c>
      <c r="C56" s="34" t="s">
        <v>54</v>
      </c>
      <c r="D56" s="34" t="s">
        <v>30</v>
      </c>
      <c r="E56" s="34" t="s">
        <v>55</v>
      </c>
      <c r="F56" s="34" t="str">
        <f t="shared" si="23"/>
        <v>Natural Gas Hearth (Fireplace) - 70% FE Hearth</v>
      </c>
      <c r="G56" s="14">
        <v>6</v>
      </c>
      <c r="H56" s="14">
        <f t="shared" si="26"/>
        <v>7</v>
      </c>
      <c r="I56" s="14">
        <f t="shared" si="13"/>
        <v>7</v>
      </c>
      <c r="J56" s="14">
        <v>6</v>
      </c>
      <c r="K56" s="86">
        <f>INDEX('Res Measure Mapping'!$X:$X,MATCH($B56,'Res Measure Mapping'!$B:$B,0))</f>
        <v>0</v>
      </c>
      <c r="L56" s="86">
        <f>INDEX('Res Measure Mapping'!$Y:$Y,MATCH($B56,'Res Measure Mapping'!$B:$B,0))</f>
        <v>0</v>
      </c>
      <c r="M56" s="90" t="str">
        <f t="shared" si="14"/>
        <v>N/A</v>
      </c>
      <c r="N56" s="14">
        <f t="shared" si="27"/>
        <v>7</v>
      </c>
      <c r="O56" s="14">
        <f t="shared" si="15"/>
        <v>7</v>
      </c>
      <c r="P56" s="15">
        <v>57</v>
      </c>
      <c r="Q56" s="87">
        <f>INDEX('Res Measure Mapping'!$Q:$Q,MATCH($B56,'Res Measure Mapping'!$B:$B,0))</f>
        <v>28.54136532320042</v>
      </c>
      <c r="R56" s="87" t="str">
        <f>INDEX('Res Measure Mapping'!$R:$R,MATCH($B56,'Res Measure Mapping'!$B:$B,0))</f>
        <v>unit</v>
      </c>
      <c r="S56" s="88">
        <f t="shared" si="24"/>
        <v>28.54136532320042</v>
      </c>
      <c r="T56" s="77">
        <f t="shared" si="16"/>
        <v>199.78955726240295</v>
      </c>
      <c r="U56" s="16">
        <v>425</v>
      </c>
      <c r="V56" s="89">
        <f>INDEX('Res Measure Mapping'!$S:$S,MATCH($B56,'Res Measure Mapping'!$B:$B,0))</f>
        <v>318.27</v>
      </c>
      <c r="W56" s="76">
        <f t="shared" si="25"/>
        <v>318.27</v>
      </c>
      <c r="X56" s="17">
        <f t="shared" si="28"/>
        <v>14.630377736212527</v>
      </c>
      <c r="Y56" s="17">
        <f t="shared" si="17"/>
        <v>2227.89</v>
      </c>
      <c r="Z56" s="17">
        <f t="shared" si="18"/>
        <v>2125.4773558465122</v>
      </c>
      <c r="AA56" s="14">
        <v>20</v>
      </c>
      <c r="AB56" s="86">
        <f>INDEX('Res Measure Mapping'!$T:$T,MATCH($B56,'Res Measure Mapping'!$B:$B,0))</f>
        <v>16</v>
      </c>
      <c r="AC56" s="14">
        <f t="shared" si="19"/>
        <v>16</v>
      </c>
      <c r="AD56" s="60">
        <f t="shared" si="29"/>
        <v>2156.0556663892144</v>
      </c>
      <c r="AE56" s="16">
        <f t="shared" si="31"/>
        <v>661.19637189319133</v>
      </c>
      <c r="AF56" s="16">
        <v>300</v>
      </c>
      <c r="AG56" s="89">
        <f>INDEX('Res Measure Mapping'!$U:$U,MATCH($B56,'Res Measure Mapping'!$B:$B,0))</f>
        <v>222.79243</v>
      </c>
      <c r="AH56" s="115">
        <v>300</v>
      </c>
      <c r="AI56" s="78">
        <f t="shared" si="20"/>
        <v>2100</v>
      </c>
      <c r="AJ56" s="18">
        <f t="shared" si="8"/>
        <v>0.97400082601619842</v>
      </c>
      <c r="AK56" s="18">
        <f t="shared" si="9"/>
        <v>1.2806702604842373</v>
      </c>
      <c r="AL56" s="19">
        <f>IFERROR(IF(D54="Original",IF($AI56=0,"-",(INDEX('APP 2885'!$G:$G,MATCH($C$2+$AA56-1,'APP 2885'!$A:$A,0))*$T56)/($AI56+$AE56)),IF($AI56=0,"-",(INDEX('APP 2885'!G:G,MATCH($C$2+$AC56-1,'APP 2885'!$A:$A,0))*$T56)/($AI56+$AE56))),"N/A")</f>
        <v>1.7968718181348968</v>
      </c>
      <c r="AM56" s="20">
        <f t="shared" si="30"/>
        <v>0.98581747632058492</v>
      </c>
      <c r="AN56" s="21">
        <f t="shared" si="11"/>
        <v>1.2924869107886239</v>
      </c>
      <c r="AO56" s="19">
        <f>IFERROR(IF(D54="Original",IF($AI56=0,"-",(INDEX('APP 2885'!$G:$G,MATCH($C$2+$AA56-1,'APP 2885'!$A:$A,0))*$T56)/($Z56+$AE56)),IF($AI56=0,"-",(INDEX('APP 2885'!G:G,MATCH($C$2+$AC56-1,'APP 2885'!$A:$A,0))*$T56)/($Z56+$AE56))),"N/A")</f>
        <v>1.7804437941916975</v>
      </c>
      <c r="AP56" s="45"/>
      <c r="AQ56" s="13"/>
      <c r="AR56" s="13"/>
    </row>
    <row r="57" spans="2:44" ht="26.25" thickBot="1" x14ac:dyDescent="0.3">
      <c r="B57" s="66" t="str">
        <f t="shared" si="12"/>
        <v>Prescriptive Air Sealing with Insulation Install_Zone 1_BPA Weatherization Specifications section 4.4 &amp; 6.2</v>
      </c>
      <c r="C57" s="33" t="s">
        <v>56</v>
      </c>
      <c r="D57" s="33" t="s">
        <v>27</v>
      </c>
      <c r="E57" s="33" t="s">
        <v>57</v>
      </c>
      <c r="F57" s="33" t="str">
        <f t="shared" si="23"/>
        <v>BPA Weatherization Specifications section 4.4 &amp; 6.2</v>
      </c>
      <c r="G57" s="5">
        <v>127</v>
      </c>
      <c r="H57" s="5">
        <f t="shared" si="26"/>
        <v>148</v>
      </c>
      <c r="I57" s="5">
        <f t="shared" si="13"/>
        <v>230</v>
      </c>
      <c r="J57" s="5">
        <v>127</v>
      </c>
      <c r="K57" s="5">
        <f>INDEX('Res Measure Mapping'!$X:$X,MATCH($B57,'Res Measure Mapping'!$B:$B,0))</f>
        <v>30.056473939992205</v>
      </c>
      <c r="L57" s="5">
        <f>INDEX('Res Measure Mapping'!$Y:$Y,MATCH($B57,'Res Measure Mapping'!$B:$B,0))</f>
        <v>46.748894252513423</v>
      </c>
      <c r="M57" s="74">
        <f t="shared" si="14"/>
        <v>0.55536854874752306</v>
      </c>
      <c r="N57" s="5">
        <f t="shared" si="27"/>
        <v>148</v>
      </c>
      <c r="O57" s="5">
        <f t="shared" si="15"/>
        <v>230</v>
      </c>
      <c r="P57" s="6">
        <v>63.75</v>
      </c>
      <c r="Q57" s="68">
        <f>INDEX('Res Measure Mapping'!$Q:$Q,MATCH($B57,'Res Measure Mapping'!$B:$B,0))</f>
        <v>26.912689862127035</v>
      </c>
      <c r="R57" s="68" t="str">
        <f>INDEX('Res Measure Mapping'!$R:$R,MATCH($B57,'Res Measure Mapping'!$B:$B,0))</f>
        <v>home</v>
      </c>
      <c r="S57" s="6">
        <f t="shared" si="24"/>
        <v>26.912689862127035</v>
      </c>
      <c r="T57" s="59">
        <f t="shared" si="16"/>
        <v>6189.9186682892177</v>
      </c>
      <c r="U57" s="7">
        <v>350</v>
      </c>
      <c r="V57" s="7">
        <f>INDEX('Res Measure Mapping'!$S:$S,MATCH($B57,'Res Measure Mapping'!$B:$B,0))</f>
        <v>1537.6415007297105</v>
      </c>
      <c r="W57" s="7">
        <f t="shared" si="25"/>
        <v>1537.6415007297105</v>
      </c>
      <c r="X57" s="8">
        <f t="shared" si="28"/>
        <v>13.215214743694926</v>
      </c>
      <c r="Y57" s="8">
        <f t="shared" si="17"/>
        <v>353657.54516783339</v>
      </c>
      <c r="Z57" s="8">
        <f t="shared" si="18"/>
        <v>350618.04577678355</v>
      </c>
      <c r="AA57" s="5">
        <v>15</v>
      </c>
      <c r="AB57" s="5">
        <f>INDEX('Res Measure Mapping'!$T:$T,MATCH($B57,'Res Measure Mapping'!$B:$B,0))</f>
        <v>15</v>
      </c>
      <c r="AC57" s="5">
        <f t="shared" si="19"/>
        <v>15</v>
      </c>
      <c r="AD57" s="59">
        <f t="shared" si="29"/>
        <v>63989.460864207016</v>
      </c>
      <c r="AE57" s="7">
        <f t="shared" si="31"/>
        <v>20485.313756471056</v>
      </c>
      <c r="AF57" s="7">
        <v>150</v>
      </c>
      <c r="AG57" s="7">
        <f>INDEX('Res Measure Mapping'!$U:$U,MATCH($B57,'Res Measure Mapping'!$B:$B,0))</f>
        <v>200.00743475033593</v>
      </c>
      <c r="AH57" s="113">
        <v>150</v>
      </c>
      <c r="AI57" s="61">
        <f t="shared" si="20"/>
        <v>34500</v>
      </c>
      <c r="AJ57" s="9">
        <f t="shared" si="8"/>
        <v>0.53915128419682989</v>
      </c>
      <c r="AK57" s="9">
        <f t="shared" si="9"/>
        <v>0.8592870296744054</v>
      </c>
      <c r="AL57" s="10">
        <f>IFERROR(IF(D55="Original",IF($AI57=0,"-",(INDEX('APP 2885'!$G:$G,MATCH($C$2+$AA57-1,'APP 2885'!$A:$A,0))*$T57)/($AI57+$AE57)),IF($AI57=0,"-",(INDEX('APP 2885'!G:G,MATCH($C$2+$AC57-1,'APP 2885'!$A:$A,0))*$T57)/($AI57+$AE57))),"N/A")</f>
        <v>2.6393034905474044</v>
      </c>
      <c r="AM57" s="11">
        <f t="shared" si="30"/>
        <v>5.4793092650184274</v>
      </c>
      <c r="AN57" s="12">
        <f t="shared" si="11"/>
        <v>5.7994450104960018</v>
      </c>
      <c r="AO57" s="10">
        <f>IFERROR(IF(D55="Original",IF($AI57=0,"-",(INDEX('APP 2885'!$G:$G,MATCH($C$2+$AA57-1,'APP 2885'!$A:$A,0))*$T57)/($Z57+$AE57)),IF($AI57=0,"-",(INDEX('APP 2885'!G:G,MATCH($C$2+$AC57-1,'APP 2885'!$A:$A,0))*$T57)/($Z57+$AE57))),"N/A")</f>
        <v>0.39105798101322176</v>
      </c>
      <c r="AP57" s="45"/>
      <c r="AQ57" s="13"/>
      <c r="AR57" s="13"/>
    </row>
    <row r="58" spans="2:44" ht="26.25" thickBot="1" x14ac:dyDescent="0.3">
      <c r="B58" s="66" t="str">
        <f t="shared" si="12"/>
        <v>Prescriptive Air Sealing with Insulation Install_Zone 2_BPA Weatherization Specifications section 4.4 &amp; 6.2</v>
      </c>
      <c r="C58" s="34" t="s">
        <v>56</v>
      </c>
      <c r="D58" s="34" t="s">
        <v>29</v>
      </c>
      <c r="E58" s="34" t="s">
        <v>57</v>
      </c>
      <c r="F58" s="34" t="str">
        <f t="shared" si="23"/>
        <v>BPA Weatherization Specifications section 4.4 &amp; 6.2</v>
      </c>
      <c r="G58" s="14">
        <v>6</v>
      </c>
      <c r="H58" s="14">
        <f t="shared" si="26"/>
        <v>7</v>
      </c>
      <c r="I58" s="14">
        <f t="shared" si="13"/>
        <v>7</v>
      </c>
      <c r="J58" s="14">
        <v>6</v>
      </c>
      <c r="K58" s="86">
        <f>INDEX('Res Measure Mapping'!$X:$X,MATCH($B58,'Res Measure Mapping'!$B:$B,0))</f>
        <v>0</v>
      </c>
      <c r="L58" s="86">
        <f>INDEX('Res Measure Mapping'!$Y:$Y,MATCH($B58,'Res Measure Mapping'!$B:$B,0))</f>
        <v>0</v>
      </c>
      <c r="M58" s="90" t="str">
        <f t="shared" si="14"/>
        <v>N/A</v>
      </c>
      <c r="N58" s="14">
        <f t="shared" si="27"/>
        <v>7</v>
      </c>
      <c r="O58" s="14">
        <f t="shared" si="15"/>
        <v>7</v>
      </c>
      <c r="P58" s="15">
        <v>60.35</v>
      </c>
      <c r="Q58" s="87">
        <f>INDEX('Res Measure Mapping'!$Q:$Q,MATCH($B58,'Res Measure Mapping'!$B:$B,0))</f>
        <v>25.094929130880168</v>
      </c>
      <c r="R58" s="87" t="str">
        <f>INDEX('Res Measure Mapping'!$R:$R,MATCH($B58,'Res Measure Mapping'!$B:$B,0))</f>
        <v>home</v>
      </c>
      <c r="S58" s="88">
        <f t="shared" si="24"/>
        <v>25.094929130880168</v>
      </c>
      <c r="T58" s="77">
        <f t="shared" si="16"/>
        <v>175.66450391616118</v>
      </c>
      <c r="U58" s="16">
        <v>350</v>
      </c>
      <c r="V58" s="89">
        <f>INDEX('Res Measure Mapping'!$S:$S,MATCH($B58,'Res Measure Mapping'!$B:$B,0))</f>
        <v>1433.7847568263323</v>
      </c>
      <c r="W58" s="76">
        <f t="shared" si="25"/>
        <v>1433.7847568263323</v>
      </c>
      <c r="X58" s="17">
        <f t="shared" si="28"/>
        <v>12.322621006719999</v>
      </c>
      <c r="Y58" s="17">
        <f t="shared" si="17"/>
        <v>10036.493297784327</v>
      </c>
      <c r="Z58" s="17">
        <f>IF($D$3="Original",Y58-G58*(X58),Y58-I58*(X58))</f>
        <v>9950.2349507372874</v>
      </c>
      <c r="AA58" s="14">
        <v>15</v>
      </c>
      <c r="AB58" s="86">
        <f>INDEX('Res Measure Mapping'!$T:$T,MATCH($B58,'Res Measure Mapping'!$B:$B,0))</f>
        <v>15</v>
      </c>
      <c r="AC58" s="14">
        <f t="shared" si="19"/>
        <v>15</v>
      </c>
      <c r="AD58" s="60">
        <f t="shared" si="29"/>
        <v>1815.9652009903155</v>
      </c>
      <c r="AE58" s="16">
        <f t="shared" si="31"/>
        <v>581.35537338037</v>
      </c>
      <c r="AF58" s="16">
        <v>150</v>
      </c>
      <c r="AG58" s="89">
        <f>INDEX('Res Measure Mapping'!$U:$U,MATCH($B58,'Res Measure Mapping'!$B:$B,0))</f>
        <v>200.00743475033596</v>
      </c>
      <c r="AH58" s="115">
        <v>150</v>
      </c>
      <c r="AI58" s="78">
        <f t="shared" si="20"/>
        <v>1050</v>
      </c>
      <c r="AJ58" s="18">
        <f t="shared" si="8"/>
        <v>0.57820491242199723</v>
      </c>
      <c r="AK58" s="18">
        <f t="shared" si="9"/>
        <v>0.89834065789957285</v>
      </c>
      <c r="AL58" s="19">
        <f>IFERROR(IF(D56="Original",IF($AI58=0,"-",(INDEX('APP 2885'!$G:$G,MATCH($C$2+$AA58-1,'APP 2885'!$A:$A,0))*$T58)/($AI58+$AE58)),IF($AI58=0,"-",(INDEX('APP 2885'!G:G,MATCH($C$2+$AC58-1,'APP 2885'!$A:$A,0))*$T58)/($AI58+$AE58))),"N/A")</f>
        <v>2.5245648595093471</v>
      </c>
      <c r="AM58" s="20">
        <f t="shared" si="30"/>
        <v>5.4793092650184283</v>
      </c>
      <c r="AN58" s="21">
        <f t="shared" si="11"/>
        <v>5.7994450104960036</v>
      </c>
      <c r="AO58" s="19">
        <f>IFERROR(IF(D56="Original",IF($AI58=0,"-",(INDEX('APP 2885'!$G:$G,MATCH($C$2+$AA58-1,'APP 2885'!$A:$A,0))*$T58)/($Z58+$AE58)),IF($AI58=0,"-",(INDEX('APP 2885'!G:G,MATCH($C$2+$AC58-1,'APP 2885'!$A:$A,0))*$T58)/($Z58+$AE58))),"N/A")</f>
        <v>0.39105798101322176</v>
      </c>
      <c r="AP58" s="45"/>
      <c r="AQ58" s="13"/>
      <c r="AR58" s="13"/>
    </row>
    <row r="59" spans="2:44" ht="26.25" thickBot="1" x14ac:dyDescent="0.3">
      <c r="B59" s="66" t="str">
        <f t="shared" si="12"/>
        <v>Prescriptive Air Sealing with Insulation Install_Zone 3_BPA Weatherization Specifications section 4.4 &amp; 6.2</v>
      </c>
      <c r="C59" s="33" t="s">
        <v>56</v>
      </c>
      <c r="D59" s="33" t="s">
        <v>30</v>
      </c>
      <c r="E59" s="33" t="s">
        <v>57</v>
      </c>
      <c r="F59" s="33" t="str">
        <f t="shared" si="23"/>
        <v>BPA Weatherization Specifications section 4.4 &amp; 6.2</v>
      </c>
      <c r="G59" s="5">
        <v>858</v>
      </c>
      <c r="H59" s="5">
        <f t="shared" ref="H59:H77" si="32">ROUND((G59/(7/12))*0.68,0)</f>
        <v>1000</v>
      </c>
      <c r="I59" s="5">
        <f t="shared" si="13"/>
        <v>1000</v>
      </c>
      <c r="J59" s="5">
        <v>858</v>
      </c>
      <c r="K59" s="5">
        <f>INDEX('Res Measure Mapping'!$X:$X,MATCH($B59,'Res Measure Mapping'!$B:$B,0))</f>
        <v>0</v>
      </c>
      <c r="L59" s="5">
        <f>INDEX('Res Measure Mapping'!$Y:$Y,MATCH($B59,'Res Measure Mapping'!$B:$B,0))</f>
        <v>0</v>
      </c>
      <c r="M59" s="74" t="str">
        <f t="shared" si="14"/>
        <v>N/A</v>
      </c>
      <c r="N59" s="5">
        <f t="shared" ref="N59:N77" si="33">ROUND((J59/(7/12))*0.68,0)</f>
        <v>1000</v>
      </c>
      <c r="O59" s="5">
        <f t="shared" si="15"/>
        <v>1000</v>
      </c>
      <c r="P59" s="6">
        <v>71.400000000000006</v>
      </c>
      <c r="Q59" s="68">
        <f>INDEX('Res Measure Mapping'!$Q:$Q,MATCH($B59,'Res Measure Mapping'!$B:$B,0))</f>
        <v>30.630503837253922</v>
      </c>
      <c r="R59" s="68" t="str">
        <f>INDEX('Res Measure Mapping'!$R:$R,MATCH($B59,'Res Measure Mapping'!$B:$B,0))</f>
        <v>home</v>
      </c>
      <c r="S59" s="6">
        <f t="shared" si="24"/>
        <v>30.630503837253922</v>
      </c>
      <c r="T59" s="59">
        <f t="shared" si="16"/>
        <v>30630.503837253924</v>
      </c>
      <c r="U59" s="7">
        <v>350</v>
      </c>
      <c r="V59" s="7">
        <f>INDEX('Res Measure Mapping'!$S:$S,MATCH($B59,'Res Measure Mapping'!$B:$B,0))</f>
        <v>1750.0567252737571</v>
      </c>
      <c r="W59" s="7">
        <f t="shared" si="25"/>
        <v>1750.0567252737571</v>
      </c>
      <c r="X59" s="8">
        <f t="shared" si="28"/>
        <v>15.040811156023546</v>
      </c>
      <c r="Y59" s="8">
        <f t="shared" si="17"/>
        <v>1750056.7252737572</v>
      </c>
      <c r="Z59" s="8">
        <f t="shared" si="18"/>
        <v>1735015.9141177337</v>
      </c>
      <c r="AA59" s="5">
        <v>15</v>
      </c>
      <c r="AB59" s="5">
        <f>INDEX('Res Measure Mapping'!$T:$T,MATCH($B59,'Res Measure Mapping'!$B:$B,0))</f>
        <v>15</v>
      </c>
      <c r="AC59" s="5">
        <f t="shared" si="19"/>
        <v>15</v>
      </c>
      <c r="AD59" s="59">
        <f t="shared" si="29"/>
        <v>316648.65591628518</v>
      </c>
      <c r="AE59" s="7">
        <f t="shared" si="31"/>
        <v>101370.55351623226</v>
      </c>
      <c r="AF59" s="7">
        <v>150</v>
      </c>
      <c r="AG59" s="7">
        <f>INDEX('Res Measure Mapping'!$U:$U,MATCH($B59,'Res Measure Mapping'!$B:$B,0))</f>
        <v>200.00743475033602</v>
      </c>
      <c r="AH59" s="113">
        <v>150</v>
      </c>
      <c r="AI59" s="61">
        <f t="shared" si="20"/>
        <v>150000</v>
      </c>
      <c r="AJ59" s="9">
        <f t="shared" si="8"/>
        <v>0.4737111533473764</v>
      </c>
      <c r="AK59" s="9">
        <f t="shared" si="9"/>
        <v>0.79384689882495196</v>
      </c>
      <c r="AL59" s="10">
        <f>IFERROR(IF(D57="Original",IF($AI59=0,"-",(INDEX('APP 2885'!$G:$G,MATCH($C$2+$AA59-1,'APP 2885'!$A:$A,0))*$T59)/($AI59+$AE59)),IF($AI59=0,"-",(INDEX('APP 2885'!G:G,MATCH($C$2+$AC59-1,'APP 2885'!$A:$A,0))*$T59)/($AI59+$AE59))),"N/A")</f>
        <v>2.8568723517831107</v>
      </c>
      <c r="AM59" s="11">
        <f t="shared" si="30"/>
        <v>5.4793092650184283</v>
      </c>
      <c r="AN59" s="12">
        <f t="shared" si="11"/>
        <v>5.7994450104960036</v>
      </c>
      <c r="AO59" s="10">
        <f>IFERROR(IF(D57="Original",IF($AI59=0,"-",(INDEX('APP 2885'!$G:$G,MATCH($C$2+$AA59-1,'APP 2885'!$A:$A,0))*$T59)/($Z59+$AE59)),IF($AI59=0,"-",(INDEX('APP 2885'!G:G,MATCH($C$2+$AC59-1,'APP 2885'!$A:$A,0))*$T59)/($Z59+$AE59))),"N/A")</f>
        <v>0.3910579810132217</v>
      </c>
      <c r="AP59" s="45"/>
      <c r="AQ59" s="13"/>
      <c r="AR59" s="13"/>
    </row>
    <row r="60" spans="2:44" ht="15.75" thickBot="1" x14ac:dyDescent="0.3">
      <c r="B60" s="66" t="str">
        <f t="shared" si="12"/>
        <v>Programmable Thermostat_Zone 1_5-2 Programmable</v>
      </c>
      <c r="C60" s="34" t="s">
        <v>58</v>
      </c>
      <c r="D60" s="34" t="s">
        <v>27</v>
      </c>
      <c r="E60" s="34" t="s">
        <v>59</v>
      </c>
      <c r="F60" s="34" t="str">
        <f t="shared" si="23"/>
        <v>5-2 Programmable</v>
      </c>
      <c r="G60" s="14">
        <v>118</v>
      </c>
      <c r="H60" s="14">
        <f t="shared" si="32"/>
        <v>138</v>
      </c>
      <c r="I60" s="14">
        <f t="shared" si="13"/>
        <v>172</v>
      </c>
      <c r="J60" s="14">
        <v>124</v>
      </c>
      <c r="K60" s="86">
        <f>INDEX('Res Measure Mapping'!$X:$X,MATCH($B60,'Res Measure Mapping'!$B:$B,0))</f>
        <v>77.327912230791753</v>
      </c>
      <c r="L60" s="86">
        <f>INDEX('Res Measure Mapping'!$Y:$Y,MATCH($B60,'Res Measure Mapping'!$B:$B,0))</f>
        <v>84.879156201462834</v>
      </c>
      <c r="M60" s="90">
        <f t="shared" si="14"/>
        <v>9.7652241639910681E-2</v>
      </c>
      <c r="N60" s="14">
        <f t="shared" si="33"/>
        <v>145</v>
      </c>
      <c r="O60" s="14">
        <f t="shared" si="15"/>
        <v>181</v>
      </c>
      <c r="P60" s="15">
        <v>28.5</v>
      </c>
      <c r="Q60" s="87">
        <f>INDEX('Res Measure Mapping'!$Q:$Q,MATCH($B60,'Res Measure Mapping'!$B:$B,0))</f>
        <v>28.497254076415988</v>
      </c>
      <c r="R60" s="87" t="str">
        <f>INDEX('Res Measure Mapping'!$R:$R,MATCH($B60,'Res Measure Mapping'!$B:$B,0))</f>
        <v>household</v>
      </c>
      <c r="S60" s="88">
        <f t="shared" si="24"/>
        <v>28.497254076415988</v>
      </c>
      <c r="T60" s="77">
        <f t="shared" si="16"/>
        <v>5158.0029878312935</v>
      </c>
      <c r="U60" s="16">
        <v>64.34</v>
      </c>
      <c r="V60" s="89">
        <f>INDEX('Res Measure Mapping'!$S:$S,MATCH($B60,'Res Measure Mapping'!$B:$B,0))</f>
        <v>64.34</v>
      </c>
      <c r="W60" s="76">
        <f t="shared" si="25"/>
        <v>64.34</v>
      </c>
      <c r="X60" s="17">
        <f t="shared" si="28"/>
        <v>13.993299597876343</v>
      </c>
      <c r="Y60" s="17">
        <f t="shared" si="17"/>
        <v>11645.54</v>
      </c>
      <c r="Z60" s="17">
        <f>IF($D$3="Original",Y60-G60*(X60),Y60-I60*(X60))</f>
        <v>9238.6924691652694</v>
      </c>
      <c r="AA60" s="14">
        <v>15</v>
      </c>
      <c r="AB60" s="86">
        <f>INDEX('Res Measure Mapping'!$T:$T,MATCH($B60,'Res Measure Mapping'!$B:$B,0))</f>
        <v>15</v>
      </c>
      <c r="AC60" s="14">
        <f t="shared" si="19"/>
        <v>15</v>
      </c>
      <c r="AD60" s="60">
        <f t="shared" si="29"/>
        <v>53321.836362434056</v>
      </c>
      <c r="AE60" s="16">
        <f t="shared" si="31"/>
        <v>17070.22583412112</v>
      </c>
      <c r="AF60" s="16">
        <v>25</v>
      </c>
      <c r="AG60" s="89">
        <f>INDEX('Res Measure Mapping'!$U:$U,MATCH($B60,'Res Measure Mapping'!$B:$B,0))</f>
        <v>24.999998262314779</v>
      </c>
      <c r="AH60" s="115">
        <v>50</v>
      </c>
      <c r="AI60" s="78">
        <f t="shared" si="20"/>
        <v>9050</v>
      </c>
      <c r="AJ60" s="18">
        <f t="shared" si="8"/>
        <v>0.16972408711669662</v>
      </c>
      <c r="AK60" s="18">
        <f t="shared" si="9"/>
        <v>0.48985983259427213</v>
      </c>
      <c r="AL60" s="19">
        <f>IFERROR(IF(D58="Original",IF($AI60=0,"-",(INDEX('APP 2885'!$G:$G,MATCH($C$2+$AA60-1,'APP 2885'!$A:$A,0))*$T60)/($AI60+$AE60)),IF($AI60=0,"-",(INDEX('APP 2885'!G:G,MATCH($C$2+$AC60-1,'APP 2885'!$A:$A,0))*$T60)/($AI60+$AE60))),"N/A")</f>
        <v>4.6297310085437848</v>
      </c>
      <c r="AM60" s="20">
        <f t="shared" si="30"/>
        <v>0.17326283375480389</v>
      </c>
      <c r="AN60" s="21">
        <f t="shared" si="11"/>
        <v>0.4933985792323794</v>
      </c>
      <c r="AO60" s="19">
        <f>IFERROR(IF(D58="Original",IF($AI60=0,"-",(INDEX('APP 2885'!$G:$G,MATCH($C$2+$AA60-1,'APP 2885'!$A:$A,0))*$T60)/($Z60+$AE60)),IF($AI60=0,"-",(INDEX('APP 2885'!G:G,MATCH($C$2+$AC60-1,'APP 2885'!$A:$A,0))*$T60)/($Z60+$AE60))),"N/A")</f>
        <v>4.5965257142210607</v>
      </c>
      <c r="AP60" s="45"/>
      <c r="AQ60" s="13"/>
      <c r="AR60" s="13"/>
    </row>
    <row r="61" spans="2:44" ht="15.75" thickBot="1" x14ac:dyDescent="0.3">
      <c r="B61" s="66" t="str">
        <f t="shared" si="12"/>
        <v>Programmable Thermostat_Zone 2_5-2 Programmable</v>
      </c>
      <c r="C61" s="33" t="s">
        <v>58</v>
      </c>
      <c r="D61" s="33" t="s">
        <v>29</v>
      </c>
      <c r="E61" s="33" t="s">
        <v>59</v>
      </c>
      <c r="F61" s="33" t="str">
        <f t="shared" si="23"/>
        <v>5-2 Programmable</v>
      </c>
      <c r="G61" s="5">
        <v>19</v>
      </c>
      <c r="H61" s="5">
        <f t="shared" si="32"/>
        <v>22</v>
      </c>
      <c r="I61" s="5">
        <f t="shared" si="13"/>
        <v>27</v>
      </c>
      <c r="J61" s="5">
        <v>20</v>
      </c>
      <c r="K61" s="5">
        <f>INDEX('Res Measure Mapping'!$X:$X,MATCH($B61,'Res Measure Mapping'!$B:$B,0))</f>
        <v>38.236640340820585</v>
      </c>
      <c r="L61" s="5">
        <f>INDEX('Res Measure Mapping'!$Y:$Y,MATCH($B61,'Res Measure Mapping'!$B:$B,0))</f>
        <v>41.970533982880767</v>
      </c>
      <c r="M61" s="74">
        <f t="shared" si="14"/>
        <v>9.7652241639911014E-2</v>
      </c>
      <c r="N61" s="5">
        <f t="shared" si="33"/>
        <v>23</v>
      </c>
      <c r="O61" s="5">
        <f t="shared" si="15"/>
        <v>29</v>
      </c>
      <c r="P61" s="6">
        <v>25.75</v>
      </c>
      <c r="Q61" s="68">
        <f>INDEX('Res Measure Mapping'!$Q:$Q,MATCH($B61,'Res Measure Mapping'!$B:$B,0))</f>
        <v>28.754950259934116</v>
      </c>
      <c r="R61" s="68" t="str">
        <f>INDEX('Res Measure Mapping'!$R:$R,MATCH($B61,'Res Measure Mapping'!$B:$B,0))</f>
        <v>household</v>
      </c>
      <c r="S61" s="6">
        <f t="shared" si="24"/>
        <v>28.754950259934116</v>
      </c>
      <c r="T61" s="59">
        <f t="shared" si="16"/>
        <v>833.89355753808934</v>
      </c>
      <c r="U61" s="7">
        <v>64.34</v>
      </c>
      <c r="V61" s="7">
        <f>INDEX('Res Measure Mapping'!$S:$S,MATCH($B61,'Res Measure Mapping'!$B:$B,0))</f>
        <v>64.34</v>
      </c>
      <c r="W61" s="7">
        <f t="shared" si="25"/>
        <v>64.34</v>
      </c>
      <c r="X61" s="8">
        <f t="shared" si="28"/>
        <v>14.119838803777686</v>
      </c>
      <c r="Y61" s="8">
        <f t="shared" si="17"/>
        <v>1865.8600000000001</v>
      </c>
      <c r="Z61" s="8">
        <f t="shared" si="18"/>
        <v>1484.6243522980026</v>
      </c>
      <c r="AA61" s="5">
        <v>15</v>
      </c>
      <c r="AB61" s="5">
        <f>INDEX('Res Measure Mapping'!$T:$T,MATCH($B61,'Res Measure Mapping'!$B:$B,0))</f>
        <v>15</v>
      </c>
      <c r="AC61" s="5">
        <f t="shared" si="19"/>
        <v>15</v>
      </c>
      <c r="AD61" s="59">
        <f t="shared" si="29"/>
        <v>8620.5331644116395</v>
      </c>
      <c r="AE61" s="7">
        <f t="shared" si="31"/>
        <v>2759.7408110030829</v>
      </c>
      <c r="AF61" s="7">
        <v>25</v>
      </c>
      <c r="AG61" s="7">
        <f>INDEX('Res Measure Mapping'!$U:$U,MATCH($B61,'Res Measure Mapping'!$B:$B,0))</f>
        <v>24.999998262314779</v>
      </c>
      <c r="AH61" s="113">
        <v>50</v>
      </c>
      <c r="AI61" s="61">
        <f t="shared" si="20"/>
        <v>1450</v>
      </c>
      <c r="AJ61" s="9">
        <f t="shared" si="8"/>
        <v>0.16820305337795938</v>
      </c>
      <c r="AK61" s="9">
        <f t="shared" si="9"/>
        <v>0.48833879885553483</v>
      </c>
      <c r="AL61" s="10">
        <f>IFERROR(IF(D59="Original",IF($AI61=0,"-",(INDEX('APP 2885'!$G:$G,MATCH($C$2+$AA61-1,'APP 2885'!$A:$A,0))*$T61)/($AI61+$AE61)),IF($AI61=0,"-",(INDEX('APP 2885'!G:G,MATCH($C$2+$AC61-1,'APP 2885'!$A:$A,0))*$T61)/($AI61+$AE61))),"N/A")</f>
        <v>4.644151277999697</v>
      </c>
      <c r="AM61" s="11">
        <f t="shared" si="30"/>
        <v>0.17221955115572365</v>
      </c>
      <c r="AN61" s="12">
        <f t="shared" si="11"/>
        <v>0.49235529663329908</v>
      </c>
      <c r="AO61" s="10">
        <f>IFERROR(IF(D59="Original",IF($AI61=0,"-",(INDEX('APP 2885'!$G:$G,MATCH($C$2+$AA61-1,'APP 2885'!$A:$A,0))*$T61)/($Z61+$AE61)),IF($AI61=0,"-",(INDEX('APP 2885'!G:G,MATCH($C$2+$AC61-1,'APP 2885'!$A:$A,0))*$T61)/($Z61+$AE61))),"N/A")</f>
        <v>4.6062655816027327</v>
      </c>
      <c r="AP61" s="45"/>
      <c r="AQ61" s="13"/>
      <c r="AR61" s="13"/>
    </row>
    <row r="62" spans="2:44" ht="15.75" thickBot="1" x14ac:dyDescent="0.3">
      <c r="B62" s="66" t="str">
        <f t="shared" si="12"/>
        <v>Programmable Thermostat_Zone 3_5-2 Programmable</v>
      </c>
      <c r="C62" s="34" t="s">
        <v>58</v>
      </c>
      <c r="D62" s="34" t="s">
        <v>30</v>
      </c>
      <c r="E62" s="34" t="s">
        <v>59</v>
      </c>
      <c r="F62" s="34" t="str">
        <f t="shared" si="23"/>
        <v>5-2 Programmable</v>
      </c>
      <c r="G62" s="14">
        <v>97</v>
      </c>
      <c r="H62" s="14">
        <f t="shared" si="32"/>
        <v>113</v>
      </c>
      <c r="I62" s="14">
        <f t="shared" si="13"/>
        <v>141</v>
      </c>
      <c r="J62" s="14">
        <v>99</v>
      </c>
      <c r="K62" s="86">
        <f>INDEX('Res Measure Mapping'!$X:$X,MATCH($B62,'Res Measure Mapping'!$B:$B,0))</f>
        <v>58.137111445417055</v>
      </c>
      <c r="L62" s="86">
        <f>INDEX('Res Measure Mapping'!$Y:$Y,MATCH($B62,'Res Measure Mapping'!$B:$B,0))</f>
        <v>64.026628343913131</v>
      </c>
      <c r="M62" s="90">
        <f t="shared" si="14"/>
        <v>0.10130391331921508</v>
      </c>
      <c r="N62" s="14">
        <f t="shared" si="33"/>
        <v>115</v>
      </c>
      <c r="O62" s="14">
        <f t="shared" si="15"/>
        <v>144</v>
      </c>
      <c r="P62" s="15">
        <v>25.3</v>
      </c>
      <c r="Q62" s="87">
        <f>INDEX('Res Measure Mapping'!$Q:$Q,MATCH($B62,'Res Measure Mapping'!$B:$B,0))</f>
        <v>25.304168255272938</v>
      </c>
      <c r="R62" s="87" t="str">
        <f>INDEX('Res Measure Mapping'!$R:$R,MATCH($B62,'Res Measure Mapping'!$B:$B,0))</f>
        <v>household</v>
      </c>
      <c r="S62" s="88">
        <f t="shared" si="24"/>
        <v>25.304168255272938</v>
      </c>
      <c r="T62" s="77">
        <f t="shared" si="16"/>
        <v>3643.8002287593031</v>
      </c>
      <c r="U62" s="16">
        <v>64.34</v>
      </c>
      <c r="V62" s="89">
        <f>INDEX('Res Measure Mapping'!$S:$S,MATCH($B62,'Res Measure Mapping'!$B:$B,0))</f>
        <v>64.34</v>
      </c>
      <c r="W62" s="76">
        <f t="shared" si="25"/>
        <v>64.34</v>
      </c>
      <c r="X62" s="17">
        <f t="shared" si="28"/>
        <v>12.425365844779622</v>
      </c>
      <c r="Y62" s="17">
        <f t="shared" si="17"/>
        <v>9264.9600000000009</v>
      </c>
      <c r="Z62" s="17">
        <f t="shared" si="18"/>
        <v>7512.983415886074</v>
      </c>
      <c r="AA62" s="14">
        <v>15</v>
      </c>
      <c r="AB62" s="86">
        <f>INDEX('Res Measure Mapping'!$T:$T,MATCH($B62,'Res Measure Mapping'!$B:$B,0))</f>
        <v>15</v>
      </c>
      <c r="AC62" s="14">
        <f t="shared" si="19"/>
        <v>15</v>
      </c>
      <c r="AD62" s="60">
        <f t="shared" si="29"/>
        <v>37668.477508384545</v>
      </c>
      <c r="AE62" s="16">
        <f t="shared" si="31"/>
        <v>12059.026128151972</v>
      </c>
      <c r="AF62" s="16">
        <v>25</v>
      </c>
      <c r="AG62" s="89">
        <f>INDEX('Res Measure Mapping'!$U:$U,MATCH($B62,'Res Measure Mapping'!$B:$B,0))</f>
        <v>24.999998262314779</v>
      </c>
      <c r="AH62" s="115">
        <v>50</v>
      </c>
      <c r="AI62" s="78">
        <f t="shared" si="20"/>
        <v>7200</v>
      </c>
      <c r="AJ62" s="18">
        <f t="shared" si="8"/>
        <v>0.19114125327728915</v>
      </c>
      <c r="AK62" s="18">
        <f t="shared" si="9"/>
        <v>0.51127699875486465</v>
      </c>
      <c r="AL62" s="19">
        <f>IFERROR(IF(D61="Original",IF($AI62=0,"-",(INDEX('APP 2885'!$G:$G,MATCH($C$2+$AA62-1,'APP 2885'!$A:$A,0))*$T62)/($AI62+$AE62)),IF($AI62=0,"-",(INDEX('APP 2885'!G:G,MATCH($C$2+$AC62-1,'APP 2885'!$A:$A,0))*$T62)/($AI62+$AE62))),"N/A")</f>
        <v>4.4357936350059415</v>
      </c>
      <c r="AM62" s="20">
        <f t="shared" si="30"/>
        <v>0.19945014805054903</v>
      </c>
      <c r="AN62" s="21">
        <f t="shared" si="11"/>
        <v>0.51958589352812456</v>
      </c>
      <c r="AO62" s="19">
        <f>IFERROR(IF(D61="Original",IF($AI62=0,"-",(INDEX('APP 2885'!$G:$G,MATCH($C$2+$AA62-1,'APP 2885'!$A:$A,0))*$T62)/($Z62+$AE62)),IF($AI62=0,"-",(INDEX('APP 2885'!G:G,MATCH($C$2+$AC62-1,'APP 2885'!$A:$A,0))*$T62)/($Z62+$AE62))),"N/A")</f>
        <v>4.364859179301428</v>
      </c>
      <c r="AP62" s="45"/>
      <c r="AQ62" s="13"/>
      <c r="AR62" s="13"/>
    </row>
    <row r="63" spans="2:44" ht="15.75" thickBot="1" x14ac:dyDescent="0.3">
      <c r="B63" s="66" t="str">
        <f t="shared" si="12"/>
        <v>Wall/Sloped Ceiling Insulation_Zone 1_Post R-11+, or fill cavity</v>
      </c>
      <c r="C63" s="33" t="s">
        <v>215</v>
      </c>
      <c r="D63" s="33" t="s">
        <v>27</v>
      </c>
      <c r="E63" s="33" t="s">
        <v>216</v>
      </c>
      <c r="F63" s="33" t="str">
        <f t="shared" si="23"/>
        <v>Post R-11+, or fill cavity</v>
      </c>
      <c r="G63" s="5">
        <v>28</v>
      </c>
      <c r="H63" s="5">
        <f t="shared" si="32"/>
        <v>33</v>
      </c>
      <c r="I63" s="5">
        <f t="shared" si="13"/>
        <v>39</v>
      </c>
      <c r="J63" s="5">
        <v>26751</v>
      </c>
      <c r="K63" s="5">
        <f>INDEX('Res Measure Mapping'!$X:$X,MATCH($B63,'Res Measure Mapping'!$B:$B,0))</f>
        <v>388359.81936675473</v>
      </c>
      <c r="L63" s="5">
        <f>INDEX('Res Measure Mapping'!$Y:$Y,MATCH($B63,'Res Measure Mapping'!$B:$B,0))</f>
        <v>398819.86948368477</v>
      </c>
      <c r="M63" s="74">
        <f t="shared" si="14"/>
        <v>2.6933914363194974E-2</v>
      </c>
      <c r="N63" s="5">
        <f t="shared" si="33"/>
        <v>31184</v>
      </c>
      <c r="O63" s="5">
        <f t="shared" si="15"/>
        <v>36702</v>
      </c>
      <c r="P63" s="6">
        <v>7.0000000000000007E-2</v>
      </c>
      <c r="Q63" s="68">
        <f>INDEX('Res Measure Mapping'!$Q:$Q,MATCH($B63,'Res Measure Mapping'!$B:$B,0))</f>
        <v>6.6857047222845786E-2</v>
      </c>
      <c r="R63" s="68" t="str">
        <f>INDEX('Res Measure Mapping'!$R:$R,MATCH($B63,'Res Measure Mapping'!$B:$B,0))</f>
        <v>sqft wall</v>
      </c>
      <c r="S63" s="6">
        <f t="shared" si="24"/>
        <v>6.6857047222845786E-2</v>
      </c>
      <c r="T63" s="59">
        <f t="shared" si="16"/>
        <v>2453.7873471728863</v>
      </c>
      <c r="U63" s="7">
        <v>1.18</v>
      </c>
      <c r="V63" s="7">
        <f>INDEX('Res Measure Mapping'!$S:$S,MATCH($B63,'Res Measure Mapping'!$B:$B,0))</f>
        <v>1.7299999999999998</v>
      </c>
      <c r="W63" s="7">
        <f t="shared" si="25"/>
        <v>1.7299999999999998</v>
      </c>
      <c r="X63" s="8">
        <f t="shared" ref="X63:X77" si="34">IF($D$3="Original",PV($AR$3,$AA63,(-0.05*0.95*$P63)),PV($AR$3,$AC63,(-0.05*0.95*$S63)))</f>
        <v>5.5953251847774554E-2</v>
      </c>
      <c r="Y63" s="8">
        <f t="shared" si="17"/>
        <v>63494.459999999992</v>
      </c>
      <c r="Z63" s="8">
        <f t="shared" si="18"/>
        <v>63492.27782317793</v>
      </c>
      <c r="AA63" s="5">
        <v>45</v>
      </c>
      <c r="AB63" s="5">
        <f>INDEX('Res Measure Mapping'!$T:$T,MATCH($B63,'Res Measure Mapping'!$B:$B,0))</f>
        <v>45</v>
      </c>
      <c r="AC63" s="5">
        <f t="shared" si="19"/>
        <v>45</v>
      </c>
      <c r="AD63" s="59">
        <f t="shared" ref="AD63:AD77" si="35">IF($D$3="Original",PV($AR$3,$AA63,-$T63),PV($AR$3,$AC63,-$T63))</f>
        <v>43233.6052487794</v>
      </c>
      <c r="AE63" s="7">
        <f t="shared" si="31"/>
        <v>8120.7211907338578</v>
      </c>
      <c r="AF63" s="7">
        <v>1.25</v>
      </c>
      <c r="AG63" s="7">
        <f>INDEX('Res Measure Mapping'!$U:$U,MATCH($B63,'Res Measure Mapping'!$B:$B,0))</f>
        <v>0.75000093778904475</v>
      </c>
      <c r="AH63" s="113">
        <v>2</v>
      </c>
      <c r="AI63" s="61">
        <f t="shared" si="20"/>
        <v>73404</v>
      </c>
      <c r="AJ63" s="9">
        <f t="shared" ref="AJ63:AJ78" si="36">IF(ISERROR(AI63/AD63),0,AI63/AD63)</f>
        <v>1.6978459135575419</v>
      </c>
      <c r="AK63" s="9">
        <f t="shared" ref="AK63:AK78" si="37">IF(ISERROR((AE63+AI63)/AD63),0,(AE63+AI63)/AD63)</f>
        <v>1.8856794551741789</v>
      </c>
      <c r="AL63" s="10" t="str">
        <f>IFERROR(IF(#REF!="Original",IF($AI63=0,"-",(INDEX('APP 2885'!$G:$G,MATCH($C$2+$AA63-1,'APP 2885'!$A:$A,0))*$T63)/($AI63+$AE63)),IF($AI63=0,"-",(INDEX('APP 2885'!G:G,MATCH($C$2+$AC63-1,'APP 2885'!$A:$A,0))*$T63)/($AI63+$AE63))),"N/A")</f>
        <v>N/A</v>
      </c>
      <c r="AM63" s="11">
        <f t="shared" ref="AM63:AM78" si="38">IF(ISERROR(SE63/AD63),0,Z63/AD63)</f>
        <v>1.4685862411386681</v>
      </c>
      <c r="AN63" s="12">
        <f t="shared" ref="AN63:AN78" si="39">IF(ISERROR(Z63/AD63),0,(Z63+AE63)/AD63)</f>
        <v>1.6564197827553049</v>
      </c>
      <c r="AO63" s="10" t="str">
        <f>IFERROR(IF(#REF!="Original",IF($AI63=0,"-",(INDEX('APP 2885'!$G:$G,MATCH($C$2+$AA63-1,'APP 2885'!$A:$A,0))*$T63)/($Z63+$AE63)),IF($AI63=0,"-",(INDEX('APP 2885'!G:G,MATCH($C$2+$AC63-1,'APP 2885'!$A:$A,0))*$T63)/($Z63+$AE63))),"N/A")</f>
        <v>N/A</v>
      </c>
      <c r="AP63" s="45"/>
      <c r="AQ63" s="13"/>
      <c r="AR63" s="13"/>
    </row>
    <row r="64" spans="2:44" ht="15.75" thickBot="1" x14ac:dyDescent="0.3">
      <c r="B64" s="66" t="str">
        <f t="shared" ref="B64:B77" si="40">C64&amp;"_"&amp;D64&amp;"_"&amp;E64</f>
        <v>Wall/Sloped Ceiling Insulation_Zone 2_Post R-11+, or fill cavity</v>
      </c>
      <c r="C64" s="34" t="s">
        <v>215</v>
      </c>
      <c r="D64" s="34" t="s">
        <v>29</v>
      </c>
      <c r="E64" s="34" t="s">
        <v>216</v>
      </c>
      <c r="F64" s="34" t="str">
        <f t="shared" si="23"/>
        <v>Post R-11+, or fill cavity</v>
      </c>
      <c r="G64" s="14">
        <v>4</v>
      </c>
      <c r="H64" s="14">
        <f t="shared" si="32"/>
        <v>5</v>
      </c>
      <c r="I64" s="14">
        <f t="shared" ref="I64:I77" si="41">ROUND(IFERROR(H64*IF(M64&lt;15%,(1+(M64+15%)),(1+M64)),H64),0)</f>
        <v>6</v>
      </c>
      <c r="J64" s="14">
        <v>3876</v>
      </c>
      <c r="K64" s="86">
        <f>INDEX('Res Measure Mapping'!$X:$X,MATCH($B64,'Res Measure Mapping'!$B:$B,0))</f>
        <v>186193.11402218475</v>
      </c>
      <c r="L64" s="86">
        <f>INDEX('Res Measure Mapping'!$Y:$Y,MATCH($B64,'Res Measure Mapping'!$B:$B,0))</f>
        <v>191208.02341027488</v>
      </c>
      <c r="M64" s="90">
        <f t="shared" ref="M64:M77" si="42">IFERROR((L64-K64)/K64,"N/A")</f>
        <v>2.6933914363195047E-2</v>
      </c>
      <c r="N64" s="14">
        <f t="shared" si="33"/>
        <v>4518</v>
      </c>
      <c r="O64" s="14">
        <f t="shared" ref="O64:O77" si="43">ROUND(IFERROR(N64*IF(M64&lt;15%,(1+(M64+15%)),(1+M64)),N64),0)</f>
        <v>5317</v>
      </c>
      <c r="P64" s="15">
        <v>6.7000000000000004E-2</v>
      </c>
      <c r="Q64" s="87">
        <f>INDEX('Res Measure Mapping'!$Q:$Q,MATCH($B64,'Res Measure Mapping'!$B:$B,0))</f>
        <v>7.4219681182031302E-2</v>
      </c>
      <c r="R64" s="87" t="str">
        <f>INDEX('Res Measure Mapping'!$R:$R,MATCH($B64,'Res Measure Mapping'!$B:$B,0))</f>
        <v>sqft wall</v>
      </c>
      <c r="S64" s="88">
        <f t="shared" si="24"/>
        <v>7.4219681182031302E-2</v>
      </c>
      <c r="T64" s="77">
        <f t="shared" ref="T64:T77" si="44">IF($D$3="Original",IF(ISNUMBER(J64),J64*P64,""),IF(ISNUMBER(O64),O64*S64,""))</f>
        <v>394.62604484486042</v>
      </c>
      <c r="U64" s="16">
        <v>1.18</v>
      </c>
      <c r="V64" s="89">
        <f>INDEX('Res Measure Mapping'!$S:$S,MATCH($B64,'Res Measure Mapping'!$B:$B,0))</f>
        <v>1.7299999999999998</v>
      </c>
      <c r="W64" s="76">
        <f t="shared" si="25"/>
        <v>1.7299999999999998</v>
      </c>
      <c r="X64" s="17">
        <f t="shared" si="34"/>
        <v>6.2115105074826919E-2</v>
      </c>
      <c r="Y64" s="17">
        <f t="shared" ref="Y64:Y77" si="45">IF($D$3="Original",IF(ISNUMBER(U64),U64*J64,""),IF(ISNUMBER(W64),W64*O64,""))</f>
        <v>9198.409999999998</v>
      </c>
      <c r="Z64" s="17">
        <f t="shared" ref="Z64:Z77" si="46">IF($D$3="Original",Y64-G64*(X64),Y64-I64*(X64))</f>
        <v>9198.0373093695489</v>
      </c>
      <c r="AA64" s="14">
        <v>45</v>
      </c>
      <c r="AB64" s="86">
        <f>INDEX('Res Measure Mapping'!$T:$T,MATCH($B64,'Res Measure Mapping'!$B:$B,0))</f>
        <v>45</v>
      </c>
      <c r="AC64" s="14">
        <f t="shared" si="19"/>
        <v>45</v>
      </c>
      <c r="AD64" s="60">
        <f t="shared" si="35"/>
        <v>6952.9687091127298</v>
      </c>
      <c r="AE64" s="16">
        <f t="shared" si="31"/>
        <v>1306.0007373823</v>
      </c>
      <c r="AF64" s="16">
        <v>1.25</v>
      </c>
      <c r="AG64" s="89">
        <f>INDEX('Res Measure Mapping'!$U:$U,MATCH($B64,'Res Measure Mapping'!$B:$B,0))</f>
        <v>0.75000093778904475</v>
      </c>
      <c r="AH64" s="115">
        <v>2</v>
      </c>
      <c r="AI64" s="78">
        <f t="shared" ref="AI64:AI77" si="47">IF($D$3="Original",IF(ISNUMBER(AF64),AF64*J64,""),IF(ISNUMBER(AH64),AH64*O64,""))</f>
        <v>10634</v>
      </c>
      <c r="AJ64" s="18">
        <f t="shared" si="36"/>
        <v>1.5294186476149132</v>
      </c>
      <c r="AK64" s="18">
        <f t="shared" si="37"/>
        <v>1.71725218923155</v>
      </c>
      <c r="AL64" s="19">
        <f>IFERROR(IF(D62="Original",IF($AI64=0,"-",(INDEX('APP 2885'!$G:$G,MATCH($C$2+$AA64-1,'APP 2885'!$A:$A,0))*$T64)/($AI64+$AE64)),IF($AI64=0,"-",(INDEX('APP 2885'!G:G,MATCH($C$2+$AC64-1,'APP 2885'!$A:$A,0))*$T64)/($AI64+$AE64))),"N/A")</f>
        <v>3.4027920884403784</v>
      </c>
      <c r="AM64" s="20">
        <f t="shared" si="38"/>
        <v>1.3228935285318311</v>
      </c>
      <c r="AN64" s="21">
        <f t="shared" si="39"/>
        <v>1.5107270701484676</v>
      </c>
      <c r="AO64" s="19">
        <f>IFERROR(IF(D62="Original",IF($AI64=0,"-",(INDEX('APP 2885'!$G:$G,MATCH($C$2+$AA64-1,'APP 2885'!$A:$A,0))*$T64)/($Z64+$AE64)),IF($AI64=0,"-",(INDEX('APP 2885'!G:G,MATCH($C$2+$AC64-1,'APP 2885'!$A:$A,0))*$T64)/($Z64+$AE64))),"N/A")</f>
        <v>3.8679734273906723</v>
      </c>
      <c r="AP64" s="45"/>
      <c r="AQ64" s="13"/>
      <c r="AR64" s="13"/>
    </row>
    <row r="65" spans="2:44" ht="15.75" thickBot="1" x14ac:dyDescent="0.3">
      <c r="B65" s="66" t="str">
        <f t="shared" si="40"/>
        <v>Wall/Sloped Ceiling Insulation_Zone 3_Post R-11+, or fill cavity</v>
      </c>
      <c r="C65" s="33" t="s">
        <v>215</v>
      </c>
      <c r="D65" s="33" t="s">
        <v>30</v>
      </c>
      <c r="E65" s="33" t="s">
        <v>216</v>
      </c>
      <c r="F65" s="33" t="str">
        <f t="shared" si="23"/>
        <v>Post R-11+, or fill cavity</v>
      </c>
      <c r="G65" s="5">
        <v>14</v>
      </c>
      <c r="H65" s="5">
        <f t="shared" si="32"/>
        <v>16</v>
      </c>
      <c r="I65" s="5">
        <f t="shared" si="41"/>
        <v>16</v>
      </c>
      <c r="J65" s="5">
        <v>11149</v>
      </c>
      <c r="K65" s="5">
        <f>INDEX('Res Measure Mapping'!$X:$X,MATCH($B65,'Res Measure Mapping'!$B:$B,0))</f>
        <v>0</v>
      </c>
      <c r="L65" s="5">
        <f>INDEX('Res Measure Mapping'!$Y:$Y,MATCH($B65,'Res Measure Mapping'!$B:$B,0))</f>
        <v>0</v>
      </c>
      <c r="M65" s="74" t="str">
        <f t="shared" si="42"/>
        <v>N/A</v>
      </c>
      <c r="N65" s="5">
        <f t="shared" si="33"/>
        <v>12997</v>
      </c>
      <c r="O65" s="5">
        <f t="shared" si="43"/>
        <v>12997</v>
      </c>
      <c r="P65" s="6">
        <v>7.3999999999999996E-2</v>
      </c>
      <c r="Q65" s="68">
        <f>INDEX('Res Measure Mapping'!$Q:$Q,MATCH($B65,'Res Measure Mapping'!$B:$B,0))</f>
        <v>7.4219681182031302E-2</v>
      </c>
      <c r="R65" s="68" t="str">
        <f>INDEX('Res Measure Mapping'!$R:$R,MATCH($B65,'Res Measure Mapping'!$B:$B,0))</f>
        <v>sqft wall</v>
      </c>
      <c r="S65" s="6">
        <f t="shared" si="24"/>
        <v>7.4219681182031302E-2</v>
      </c>
      <c r="T65" s="59">
        <f t="shared" si="44"/>
        <v>964.63319632286084</v>
      </c>
      <c r="U65" s="7">
        <v>1.18</v>
      </c>
      <c r="V65" s="7">
        <f>INDEX('Res Measure Mapping'!$S:$S,MATCH($B65,'Res Measure Mapping'!$B:$B,0))</f>
        <v>1.7299999999999998</v>
      </c>
      <c r="W65" s="7">
        <f t="shared" si="25"/>
        <v>1.7299999999999998</v>
      </c>
      <c r="X65" s="8">
        <f t="shared" si="34"/>
        <v>6.2115105074826919E-2</v>
      </c>
      <c r="Y65" s="8">
        <f t="shared" si="45"/>
        <v>22484.809999999998</v>
      </c>
      <c r="Z65" s="8">
        <f t="shared" si="46"/>
        <v>22483.816158318801</v>
      </c>
      <c r="AA65" s="5">
        <v>45</v>
      </c>
      <c r="AB65" s="5">
        <f>INDEX('Res Measure Mapping'!$T:$T,MATCH($B65,'Res Measure Mapping'!$B:$B,0))</f>
        <v>45</v>
      </c>
      <c r="AC65" s="5">
        <f t="shared" si="19"/>
        <v>45</v>
      </c>
      <c r="AD65" s="59">
        <f t="shared" si="35"/>
        <v>16996.000434895272</v>
      </c>
      <c r="AE65" s="7">
        <f t="shared" si="31"/>
        <v>3192.4189550042793</v>
      </c>
      <c r="AF65" s="7">
        <v>1.25</v>
      </c>
      <c r="AG65" s="7">
        <f>INDEX('Res Measure Mapping'!$U:$U,MATCH($B65,'Res Measure Mapping'!$B:$B,0))</f>
        <v>0.75000093778904464</v>
      </c>
      <c r="AH65" s="113">
        <v>2</v>
      </c>
      <c r="AI65" s="61">
        <f t="shared" si="47"/>
        <v>25994</v>
      </c>
      <c r="AJ65" s="9">
        <f t="shared" si="36"/>
        <v>1.529418647614913</v>
      </c>
      <c r="AK65" s="9">
        <f t="shared" si="37"/>
        <v>1.71725218923155</v>
      </c>
      <c r="AL65" s="10">
        <f>IFERROR(IF(D63="Original",IF($AI65=0,"-",(INDEX('APP 2885'!$G:$G,MATCH($C$2+$AA65-1,'APP 2885'!$A:$A,0))*$T65)/($AI65+$AE65)),IF($AI65=0,"-",(INDEX('APP 2885'!G:G,MATCH($C$2+$AC65-1,'APP 2885'!$A:$A,0))*$T65)/($AI65+$AE65))),"N/A")</f>
        <v>3.4027920884403779</v>
      </c>
      <c r="AM65" s="11">
        <f t="shared" si="38"/>
        <v>1.3228886551541998</v>
      </c>
      <c r="AN65" s="12">
        <f t="shared" si="39"/>
        <v>1.5107221967708366</v>
      </c>
      <c r="AO65" s="10">
        <f>IFERROR(IF(D63="Original",IF($AI65=0,"-",(INDEX('APP 2885'!$G:$G,MATCH($C$2+$AA65-1,'APP 2885'!$A:$A,0))*$T65)/($Z65+$AE65)),IF($AI65=0,"-",(INDEX('APP 2885'!G:G,MATCH($C$2+$AC65-1,'APP 2885'!$A:$A,0))*$T65)/($Z65+$AE65))),"N/A")</f>
        <v>3.8679859049297054</v>
      </c>
      <c r="AP65" s="45"/>
      <c r="AQ65" s="13"/>
      <c r="AR65" s="13"/>
    </row>
    <row r="66" spans="2:44" ht="15.75" thickBot="1" x14ac:dyDescent="0.3">
      <c r="B66" s="66" t="str">
        <f t="shared" si="40"/>
        <v>Whole House Residential Air Sealing_Zone 1_Min. 400 CFM50 reduction</v>
      </c>
      <c r="C66" s="34" t="s">
        <v>61</v>
      </c>
      <c r="D66" s="34" t="s">
        <v>27</v>
      </c>
      <c r="E66" s="34" t="s">
        <v>62</v>
      </c>
      <c r="F66" s="34" t="str">
        <f t="shared" si="23"/>
        <v>Min. 400 CFM50 reduction</v>
      </c>
      <c r="G66" s="14">
        <v>8</v>
      </c>
      <c r="H66" s="14">
        <f t="shared" si="32"/>
        <v>9</v>
      </c>
      <c r="I66" s="14">
        <f t="shared" si="41"/>
        <v>14</v>
      </c>
      <c r="J66" s="14">
        <v>8</v>
      </c>
      <c r="K66" s="86">
        <f>INDEX('Res Measure Mapping'!$X:$X,MATCH($B66,'Res Measure Mapping'!$B:$B,0))</f>
        <v>7.5141184849980514</v>
      </c>
      <c r="L66" s="86">
        <f>INDEX('Res Measure Mapping'!$Y:$Y,MATCH($B66,'Res Measure Mapping'!$B:$B,0))</f>
        <v>11.687223563128356</v>
      </c>
      <c r="M66" s="90">
        <f t="shared" si="42"/>
        <v>0.55536854874752306</v>
      </c>
      <c r="N66" s="14">
        <f t="shared" si="33"/>
        <v>9</v>
      </c>
      <c r="O66" s="14">
        <f t="shared" si="43"/>
        <v>14</v>
      </c>
      <c r="P66" s="15">
        <v>75</v>
      </c>
      <c r="Q66" s="87">
        <f>INDEX('Res Measure Mapping'!$Q:$Q,MATCH($B66,'Res Measure Mapping'!$B:$B,0))</f>
        <v>52.832940686137157</v>
      </c>
      <c r="R66" s="87" t="str">
        <f>INDEX('Res Measure Mapping'!$R:$R,MATCH($B66,'Res Measure Mapping'!$B:$B,0))</f>
        <v>home</v>
      </c>
      <c r="S66" s="88">
        <f t="shared" si="24"/>
        <v>52.832940686137157</v>
      </c>
      <c r="T66" s="77">
        <f t="shared" si="44"/>
        <v>739.66116960592024</v>
      </c>
      <c r="U66" s="16">
        <v>750</v>
      </c>
      <c r="V66" s="89">
        <f>INDEX('Res Measure Mapping'!$S:$S,MATCH($B66,'Res Measure Mapping'!$B:$B,0))</f>
        <v>1104.503049819933</v>
      </c>
      <c r="W66" s="76">
        <f t="shared" si="25"/>
        <v>1104.503049819933</v>
      </c>
      <c r="X66" s="17">
        <f t="shared" si="34"/>
        <v>31.116225893012668</v>
      </c>
      <c r="Y66" s="17">
        <f t="shared" si="45"/>
        <v>15463.042697479063</v>
      </c>
      <c r="Z66" s="17">
        <f t="shared" si="46"/>
        <v>15027.415534976884</v>
      </c>
      <c r="AA66" s="14">
        <v>15</v>
      </c>
      <c r="AB66" s="86">
        <f>INDEX('Res Measure Mapping'!$T:$T,MATCH($B66,'Res Measure Mapping'!$B:$B,0))</f>
        <v>20</v>
      </c>
      <c r="AC66" s="14">
        <f t="shared" si="19"/>
        <v>20</v>
      </c>
      <c r="AD66" s="60">
        <f t="shared" si="35"/>
        <v>9171.0981579405761</v>
      </c>
      <c r="AE66" s="16">
        <f t="shared" si="31"/>
        <v>2447.8821039248683</v>
      </c>
      <c r="AF66" s="16">
        <v>300</v>
      </c>
      <c r="AG66" s="89">
        <f>INDEX('Res Measure Mapping'!$U:$U,MATCH($B66,'Res Measure Mapping'!$B:$B,0))</f>
        <v>120.009957165</v>
      </c>
      <c r="AH66" s="115">
        <v>500</v>
      </c>
      <c r="AI66" s="78">
        <f t="shared" si="47"/>
        <v>7000</v>
      </c>
      <c r="AJ66" s="18">
        <f t="shared" si="36"/>
        <v>0.76326737315958371</v>
      </c>
      <c r="AK66" s="18">
        <f t="shared" si="37"/>
        <v>1.0301800221977393</v>
      </c>
      <c r="AL66" s="19">
        <f>IFERROR(IF(D64="Original",IF($AI66=0,"-",(INDEX('APP 2885'!$G:$G,MATCH($C$2+$AA66-1,'APP 2885'!$A:$A,0))*$T66)/($AI66+$AE66)),IF($AI66=0,"-",(INDEX('APP 2885'!G:G,MATCH($C$2+$AC66-1,'APP 2885'!$A:$A,0))*$T66)/($AI66+$AE66))),"N/A")</f>
        <v>3.3177565836708194</v>
      </c>
      <c r="AM66" s="20">
        <f t="shared" si="38"/>
        <v>1.6385622829656179</v>
      </c>
      <c r="AN66" s="21">
        <f t="shared" si="39"/>
        <v>1.9054749320037736</v>
      </c>
      <c r="AO66" s="19">
        <f>IFERROR(IF(D64="Original",IF($AI66=0,"-",(INDEX('APP 2885'!$G:$G,MATCH($C$2+$AA66-1,'APP 2885'!$A:$A,0))*$T66)/($Z66+$AE66)),IF($AI66=0,"-",(INDEX('APP 2885'!G:G,MATCH($C$2+$AC66-1,'APP 2885'!$A:$A,0))*$T66)/($Z66+$AE66))),"N/A")</f>
        <v>1.7937189797708299</v>
      </c>
      <c r="AP66" s="45"/>
      <c r="AQ66" s="13"/>
      <c r="AR66" s="13"/>
    </row>
    <row r="67" spans="2:44" ht="15.75" thickBot="1" x14ac:dyDescent="0.3">
      <c r="B67" s="66" t="str">
        <f t="shared" si="40"/>
        <v>Windows 0.22 U-factor_Zone 1_U Factor&lt;= 0.22</v>
      </c>
      <c r="C67" s="33" t="s">
        <v>63</v>
      </c>
      <c r="D67" s="33" t="s">
        <v>27</v>
      </c>
      <c r="E67" s="33" t="s">
        <v>64</v>
      </c>
      <c r="F67" s="33" t="str">
        <f t="shared" si="23"/>
        <v>U Factor&lt;= 0.22</v>
      </c>
      <c r="G67" s="5">
        <v>3</v>
      </c>
      <c r="H67" s="5">
        <f t="shared" si="32"/>
        <v>3</v>
      </c>
      <c r="I67" s="5">
        <f t="shared" si="41"/>
        <v>5</v>
      </c>
      <c r="J67" s="5">
        <v>123</v>
      </c>
      <c r="K67" s="5">
        <f>INDEX('Res Measure Mapping'!$X:$X,MATCH($B67,'Res Measure Mapping'!$B:$B,0))</f>
        <v>8011.7694399632965</v>
      </c>
      <c r="L67" s="5">
        <f>INDEX('Res Measure Mapping'!$Y:$Y,MATCH($B67,'Res Measure Mapping'!$B:$B,0))</f>
        <v>12226.565301238596</v>
      </c>
      <c r="M67" s="74">
        <f t="shared" si="42"/>
        <v>0.52607553086233194</v>
      </c>
      <c r="N67" s="5">
        <f t="shared" si="33"/>
        <v>143</v>
      </c>
      <c r="O67" s="5">
        <f t="shared" si="43"/>
        <v>218</v>
      </c>
      <c r="P67" s="6">
        <v>0.26300000000000001</v>
      </c>
      <c r="Q67" s="68">
        <f>INDEX('Res Measure Mapping'!$Q:$Q,MATCH($B67,'Res Measure Mapping'!$B:$B,0))</f>
        <v>0.20159341794283192</v>
      </c>
      <c r="R67" s="68" t="str">
        <f>INDEX('Res Measure Mapping'!$R:$R,MATCH($B67,'Res Measure Mapping'!$B:$B,0))</f>
        <v>sqft window</v>
      </c>
      <c r="S67" s="6">
        <f t="shared" si="24"/>
        <v>0.20159341794283192</v>
      </c>
      <c r="T67" s="59">
        <f t="shared" si="44"/>
        <v>43.947365111537358</v>
      </c>
      <c r="U67" s="7">
        <v>29.12</v>
      </c>
      <c r="V67" s="7">
        <f>INDEX('Res Measure Mapping'!$S:$S,MATCH($B67,'Res Measure Mapping'!$B:$B,0))</f>
        <v>25.040000000000003</v>
      </c>
      <c r="W67" s="7">
        <f t="shared" si="25"/>
        <v>25.040000000000003</v>
      </c>
      <c r="X67" s="8">
        <f t="shared" si="34"/>
        <v>0.16871530756378533</v>
      </c>
      <c r="Y67" s="8">
        <f t="shared" si="45"/>
        <v>5458.72</v>
      </c>
      <c r="Z67" s="8">
        <f t="shared" si="46"/>
        <v>5457.8764234621813</v>
      </c>
      <c r="AA67" s="5">
        <v>45</v>
      </c>
      <c r="AB67" s="5">
        <f>INDEX('Res Measure Mapping'!$T:$T,MATCH($B67,'Res Measure Mapping'!$B:$B,0))</f>
        <v>45</v>
      </c>
      <c r="AC67" s="5">
        <f t="shared" si="19"/>
        <v>45</v>
      </c>
      <c r="AD67" s="59">
        <f t="shared" si="35"/>
        <v>774.31446418747794</v>
      </c>
      <c r="AE67" s="7">
        <f t="shared" si="31"/>
        <v>145.44222813332252</v>
      </c>
      <c r="AF67" s="7">
        <v>9</v>
      </c>
      <c r="AG67" s="7">
        <f>INDEX('Res Measure Mapping'!$U:$U,MATCH($B67,'Res Measure Mapping'!$B:$B,0))</f>
        <v>2.2499965932869617</v>
      </c>
      <c r="AH67" s="113">
        <v>9</v>
      </c>
      <c r="AI67" s="61">
        <f t="shared" si="47"/>
        <v>1962</v>
      </c>
      <c r="AJ67" s="9">
        <f t="shared" si="36"/>
        <v>2.5338542552718715</v>
      </c>
      <c r="AK67" s="9">
        <f t="shared" si="37"/>
        <v>2.7216877968885083</v>
      </c>
      <c r="AL67" s="10">
        <f>IFERROR(IF(D65="Original",IF($AI67=0,"-",(INDEX('APP 2885'!$G:$G,MATCH($C$2+$AA67-1,'APP 2885'!$A:$A,0))*$T67)/($AI67+$AE67)),IF($AI67=0,"-",(INDEX('APP 2885'!G:G,MATCH($C$2+$AC67-1,'APP 2885'!$A:$A,0))*$T67)/($AI67+$AE67))),"N/A")</f>
        <v>2.1469957612531445</v>
      </c>
      <c r="AM67" s="11">
        <f t="shared" si="38"/>
        <v>7.0486561673484553</v>
      </c>
      <c r="AN67" s="12">
        <f t="shared" si="39"/>
        <v>7.2364897089650926</v>
      </c>
      <c r="AO67" s="10">
        <f>IFERROR(IF(D65="Original",IF($AI67=0,"-",(INDEX('APP 2885'!$G:$G,MATCH($C$2+$AA67-1,'APP 2885'!$A:$A,0))*$T67)/($Z67+$AE67)),IF($AI67=0,"-",(INDEX('APP 2885'!G:G,MATCH($C$2+$AC67-1,'APP 2885'!$A:$A,0))*$T67)/($Z67+$AE67))),"N/A")</f>
        <v>0.80749816532382279</v>
      </c>
      <c r="AP67" s="45"/>
      <c r="AQ67" s="13"/>
      <c r="AR67" s="13"/>
    </row>
    <row r="68" spans="2:44" ht="15.75" thickBot="1" x14ac:dyDescent="0.3">
      <c r="B68" s="66" t="str">
        <f t="shared" si="40"/>
        <v>Windows 0.22 U-factor_Zone 3_U Factor&lt;= 0.22</v>
      </c>
      <c r="C68" s="34" t="s">
        <v>63</v>
      </c>
      <c r="D68" s="34" t="s">
        <v>30</v>
      </c>
      <c r="E68" s="34" t="s">
        <v>64</v>
      </c>
      <c r="F68" s="34" t="str">
        <f t="shared" si="23"/>
        <v>U Factor&lt;= 0.22</v>
      </c>
      <c r="G68" s="14">
        <v>2</v>
      </c>
      <c r="H68" s="14">
        <f t="shared" si="32"/>
        <v>2</v>
      </c>
      <c r="I68" s="14">
        <f t="shared" si="41"/>
        <v>2</v>
      </c>
      <c r="J68" s="14">
        <v>185</v>
      </c>
      <c r="K68" s="86">
        <f>INDEX('Res Measure Mapping'!$X:$X,MATCH($B68,'Res Measure Mapping'!$B:$B,0))</f>
        <v>0</v>
      </c>
      <c r="L68" s="86">
        <f>INDEX('Res Measure Mapping'!$Y:$Y,MATCH($B68,'Res Measure Mapping'!$B:$B,0))</f>
        <v>0</v>
      </c>
      <c r="M68" s="90" t="str">
        <f t="shared" si="42"/>
        <v>N/A</v>
      </c>
      <c r="N68" s="14">
        <f t="shared" si="33"/>
        <v>216</v>
      </c>
      <c r="O68" s="14">
        <f t="shared" si="43"/>
        <v>216</v>
      </c>
      <c r="P68" s="15">
        <v>0.34899999999999998</v>
      </c>
      <c r="Q68" s="87">
        <f>INDEX('Res Measure Mapping'!$Q:$Q,MATCH($B68,'Res Measure Mapping'!$B:$B,0))</f>
        <v>0.20159341794283192</v>
      </c>
      <c r="R68" s="87" t="str">
        <f>INDEX('Res Measure Mapping'!$R:$R,MATCH($B68,'Res Measure Mapping'!$B:$B,0))</f>
        <v>sqft window</v>
      </c>
      <c r="S68" s="88">
        <f t="shared" si="24"/>
        <v>0.20159341794283192</v>
      </c>
      <c r="T68" s="77">
        <f t="shared" si="44"/>
        <v>43.544178275651696</v>
      </c>
      <c r="U68" s="16">
        <v>29.12</v>
      </c>
      <c r="V68" s="89">
        <f>INDEX('Res Measure Mapping'!$S:$S,MATCH($B68,'Res Measure Mapping'!$B:$B,0))</f>
        <v>25.040000000000003</v>
      </c>
      <c r="W68" s="76">
        <f t="shared" si="25"/>
        <v>25.040000000000003</v>
      </c>
      <c r="X68" s="17">
        <f t="shared" si="34"/>
        <v>0.16871530756378533</v>
      </c>
      <c r="Y68" s="17">
        <f t="shared" si="45"/>
        <v>5408.64</v>
      </c>
      <c r="Z68" s="17">
        <f t="shared" si="46"/>
        <v>5408.3025693848731</v>
      </c>
      <c r="AA68" s="14">
        <v>45</v>
      </c>
      <c r="AB68" s="86">
        <f>INDEX('Res Measure Mapping'!$T:$T,MATCH($B68,'Res Measure Mapping'!$B:$B,0))</f>
        <v>45</v>
      </c>
      <c r="AC68" s="14">
        <f t="shared" si="19"/>
        <v>45</v>
      </c>
      <c r="AD68" s="60">
        <f t="shared" si="35"/>
        <v>767.21066176373961</v>
      </c>
      <c r="AE68" s="16">
        <f t="shared" si="31"/>
        <v>144.1078957651269</v>
      </c>
      <c r="AF68" s="16">
        <v>9</v>
      </c>
      <c r="AG68" s="89">
        <f>INDEX('Res Measure Mapping'!$U:$U,MATCH($B68,'Res Measure Mapping'!$B:$B,0))</f>
        <v>2.2499965932869617</v>
      </c>
      <c r="AH68" s="115">
        <v>9</v>
      </c>
      <c r="AI68" s="78">
        <f t="shared" si="47"/>
        <v>1944</v>
      </c>
      <c r="AJ68" s="18">
        <f t="shared" si="36"/>
        <v>2.5338542552718715</v>
      </c>
      <c r="AK68" s="18">
        <f t="shared" si="37"/>
        <v>2.7216877968885083</v>
      </c>
      <c r="AL68" s="19">
        <f>IFERROR(IF(D66="Original",IF($AI68=0,"-",(INDEX('APP 2885'!$G:$G,MATCH($C$2+$AA68-1,'APP 2885'!$A:$A,0))*$T68)/($AI68+$AE68)),IF($AI68=0,"-",(INDEX('APP 2885'!G:G,MATCH($C$2+$AC68-1,'APP 2885'!$A:$A,0))*$T68)/($AI68+$AE68))),"N/A")</f>
        <v>2.1469957612531445</v>
      </c>
      <c r="AM68" s="20">
        <f t="shared" si="38"/>
        <v>7.049305802074926</v>
      </c>
      <c r="AN68" s="21">
        <f t="shared" si="39"/>
        <v>7.2371393436915632</v>
      </c>
      <c r="AO68" s="19">
        <f>IFERROR(IF(D66="Original",IF($AI68=0,"-",(INDEX('APP 2885'!$G:$G,MATCH($C$2+$AA68-1,'APP 2885'!$A:$A,0))*$T68)/($Z68+$AE68)),IF($AI68=0,"-",(INDEX('APP 2885'!G:G,MATCH($C$2+$AC68-1,'APP 2885'!$A:$A,0))*$T68)/($Z68+$AE68))),"N/A")</f>
        <v>0.80742568104172696</v>
      </c>
      <c r="AP68" s="45"/>
      <c r="AQ68" s="13"/>
      <c r="AR68" s="13"/>
    </row>
    <row r="69" spans="2:44" ht="15.75" thickBot="1" x14ac:dyDescent="0.3">
      <c r="B69" s="66" t="str">
        <f t="shared" si="40"/>
        <v>Windows 0.27 U-factor_Zone 1_U Factor&lt;= 0.27</v>
      </c>
      <c r="C69" s="33" t="s">
        <v>65</v>
      </c>
      <c r="D69" s="33" t="s">
        <v>27</v>
      </c>
      <c r="E69" s="33" t="s">
        <v>66</v>
      </c>
      <c r="F69" s="33" t="str">
        <f t="shared" si="23"/>
        <v>U Factor&lt;= 0.27</v>
      </c>
      <c r="G69" s="5">
        <v>6</v>
      </c>
      <c r="H69" s="5">
        <f t="shared" si="32"/>
        <v>7</v>
      </c>
      <c r="I69" s="5">
        <f t="shared" si="41"/>
        <v>11</v>
      </c>
      <c r="J69" s="5">
        <v>1545</v>
      </c>
      <c r="K69" s="5">
        <f>INDEX('Res Measure Mapping'!$X:$X,MATCH($B69,'Res Measure Mapping'!$B:$B,0))</f>
        <v>8011.7694399632965</v>
      </c>
      <c r="L69" s="5">
        <f>INDEX('Res Measure Mapping'!$Y:$Y,MATCH($B69,'Res Measure Mapping'!$B:$B,0))</f>
        <v>12226.565301238596</v>
      </c>
      <c r="M69" s="74">
        <f t="shared" si="42"/>
        <v>0.52607553086233194</v>
      </c>
      <c r="N69" s="5">
        <f t="shared" si="33"/>
        <v>1801</v>
      </c>
      <c r="O69" s="5">
        <f t="shared" si="43"/>
        <v>2748</v>
      </c>
      <c r="P69" s="6">
        <v>0.22</v>
      </c>
      <c r="Q69" s="68">
        <f>INDEX('Res Measure Mapping'!$Q:$Q,MATCH($B69,'Res Measure Mapping'!$B:$B,0))</f>
        <v>0.26345669774378105</v>
      </c>
      <c r="R69" s="68" t="str">
        <f>INDEX('Res Measure Mapping'!$R:$R,MATCH($B69,'Res Measure Mapping'!$B:$B,0))</f>
        <v>sqft window</v>
      </c>
      <c r="S69" s="6">
        <f t="shared" si="24"/>
        <v>0.26345669774378105</v>
      </c>
      <c r="T69" s="59">
        <f t="shared" si="44"/>
        <v>723.97900539991031</v>
      </c>
      <c r="U69" s="7">
        <v>23.09</v>
      </c>
      <c r="V69" s="7">
        <f>INDEX('Res Measure Mapping'!$S:$S,MATCH($B69,'Res Measure Mapping'!$B:$B,0))</f>
        <v>29.09</v>
      </c>
      <c r="W69" s="7">
        <f t="shared" si="25"/>
        <v>29.09</v>
      </c>
      <c r="X69" s="8">
        <f t="shared" si="34"/>
        <v>0.22048923145985946</v>
      </c>
      <c r="Y69" s="8">
        <f t="shared" si="45"/>
        <v>79939.319999999992</v>
      </c>
      <c r="Z69" s="8">
        <f t="shared" si="46"/>
        <v>79936.894618453938</v>
      </c>
      <c r="AA69" s="5">
        <v>45</v>
      </c>
      <c r="AB69" s="5">
        <f>INDEX('Res Measure Mapping'!$T:$T,MATCH($B69,'Res Measure Mapping'!$B:$B,0))</f>
        <v>45</v>
      </c>
      <c r="AC69" s="5">
        <f t="shared" si="19"/>
        <v>45</v>
      </c>
      <c r="AD69" s="59">
        <f t="shared" si="35"/>
        <v>12755.882274772499</v>
      </c>
      <c r="AE69" s="7">
        <f t="shared" ref="AE69:AE77" si="48">(T69/$T$78)*$AR$4</f>
        <v>2395.9825441154007</v>
      </c>
      <c r="AF69" s="7">
        <v>7</v>
      </c>
      <c r="AG69" s="7">
        <f>INDEX('Res Measure Mapping'!$U:$U,MATCH($B69,'Res Measure Mapping'!$B:$B,0))</f>
        <v>2.0000006513736381</v>
      </c>
      <c r="AH69" s="113">
        <v>7</v>
      </c>
      <c r="AI69" s="61">
        <f t="shared" si="47"/>
        <v>19236</v>
      </c>
      <c r="AJ69" s="9">
        <f t="shared" si="36"/>
        <v>1.5080101545028624</v>
      </c>
      <c r="AK69" s="9">
        <f t="shared" si="37"/>
        <v>1.6958436961194994</v>
      </c>
      <c r="AL69" s="10">
        <f>IFERROR(IF(D67="Original",IF($AI69=0,"-",(INDEX('APP 2885'!$G:$G,MATCH($C$2+$AA69-1,'APP 2885'!$A:$A,0))*$T69)/($AI69+$AE69)),IF($AI69=0,"-",(INDEX('APP 2885'!G:G,MATCH($C$2+$AC69-1,'APP 2885'!$A:$A,0))*$T69)/($AI69+$AE69))),"N/A")</f>
        <v>3.4457492614120446</v>
      </c>
      <c r="AM69" s="11">
        <f t="shared" si="38"/>
        <v>6.266669203787365</v>
      </c>
      <c r="AN69" s="12">
        <f t="shared" si="39"/>
        <v>6.4545027454040014</v>
      </c>
      <c r="AO69" s="10">
        <f>IFERROR(IF(D67="Original",IF($AI69=0,"-",(INDEX('APP 2885'!$G:$G,MATCH($C$2+$AA69-1,'APP 2885'!$A:$A,0))*$T69)/($Z69+$AE69)),IF($AI69=0,"-",(INDEX('APP 2885'!G:G,MATCH($C$2+$AC69-1,'APP 2885'!$A:$A,0))*$T69)/($Z69+$AE69))),"N/A")</f>
        <v>0.90532956509080897</v>
      </c>
      <c r="AP69" s="45"/>
      <c r="AQ69" s="13"/>
      <c r="AR69" s="13"/>
    </row>
    <row r="70" spans="2:44" ht="15.75" thickBot="1" x14ac:dyDescent="0.3">
      <c r="B70" s="66" t="str">
        <f t="shared" si="40"/>
        <v>Windows 0.27 U-factor_Zone 1_U Factor&lt;= 0.27</v>
      </c>
      <c r="C70" s="34" t="s">
        <v>65</v>
      </c>
      <c r="D70" s="34" t="s">
        <v>27</v>
      </c>
      <c r="E70" s="34" t="s">
        <v>66</v>
      </c>
      <c r="F70" s="34" t="str">
        <f t="shared" si="23"/>
        <v>U Factor&lt;= 0.27</v>
      </c>
      <c r="G70" s="14">
        <v>1</v>
      </c>
      <c r="H70" s="14">
        <f t="shared" si="32"/>
        <v>1</v>
      </c>
      <c r="I70" s="14">
        <f t="shared" si="41"/>
        <v>2</v>
      </c>
      <c r="J70" s="14">
        <v>256</v>
      </c>
      <c r="K70" s="86">
        <f>INDEX('Res Measure Mapping'!$X:$X,MATCH($B70,'Res Measure Mapping'!$B:$B,0))</f>
        <v>8011.7694399632965</v>
      </c>
      <c r="L70" s="86">
        <f>INDEX('Res Measure Mapping'!$Y:$Y,MATCH($B70,'Res Measure Mapping'!$B:$B,0))</f>
        <v>12226.565301238596</v>
      </c>
      <c r="M70" s="90">
        <f t="shared" si="42"/>
        <v>0.52607553086233194</v>
      </c>
      <c r="N70" s="14">
        <f t="shared" si="33"/>
        <v>298</v>
      </c>
      <c r="O70" s="14">
        <f t="shared" si="43"/>
        <v>455</v>
      </c>
      <c r="P70" s="15">
        <v>0.6</v>
      </c>
      <c r="Q70" s="87">
        <f>INDEX('Res Measure Mapping'!$Q:$Q,MATCH($B70,'Res Measure Mapping'!$B:$B,0))</f>
        <v>0.26345669774378105</v>
      </c>
      <c r="R70" s="87" t="str">
        <f>INDEX('Res Measure Mapping'!$R:$R,MATCH($B70,'Res Measure Mapping'!$B:$B,0))</f>
        <v>sqft window</v>
      </c>
      <c r="S70" s="88">
        <f t="shared" si="24"/>
        <v>0.26345669774378105</v>
      </c>
      <c r="T70" s="77">
        <f t="shared" si="44"/>
        <v>119.87279747342038</v>
      </c>
      <c r="U70" s="16">
        <v>24.76</v>
      </c>
      <c r="V70" s="89">
        <f>INDEX('Res Measure Mapping'!$S:$S,MATCH($B70,'Res Measure Mapping'!$B:$B,0))</f>
        <v>29.09</v>
      </c>
      <c r="W70" s="76">
        <f t="shared" si="25"/>
        <v>29.09</v>
      </c>
      <c r="X70" s="17">
        <f t="shared" si="34"/>
        <v>0.22048923145985946</v>
      </c>
      <c r="Y70" s="17">
        <f t="shared" si="45"/>
        <v>13235.95</v>
      </c>
      <c r="Z70" s="17">
        <f t="shared" si="46"/>
        <v>13235.50902153708</v>
      </c>
      <c r="AA70" s="14">
        <v>45</v>
      </c>
      <c r="AB70" s="86">
        <f>INDEX('Res Measure Mapping'!$T:$T,MATCH($B70,'Res Measure Mapping'!$B:$B,0))</f>
        <v>45</v>
      </c>
      <c r="AC70" s="14">
        <f t="shared" ref="AC70:AC77" si="49">IFERROR(ROUND(AB70,0),AA70)</f>
        <v>45</v>
      </c>
      <c r="AD70" s="60">
        <f t="shared" si="35"/>
        <v>2112.054743457601</v>
      </c>
      <c r="AE70" s="16">
        <f t="shared" si="48"/>
        <v>396.71472255185864</v>
      </c>
      <c r="AF70" s="16">
        <v>7</v>
      </c>
      <c r="AG70" s="89">
        <f>INDEX('Res Measure Mapping'!$U:$U,MATCH($B70,'Res Measure Mapping'!$B:$B,0))</f>
        <v>2.0000006513736381</v>
      </c>
      <c r="AH70" s="115">
        <v>7</v>
      </c>
      <c r="AI70" s="78">
        <f t="shared" si="47"/>
        <v>3185</v>
      </c>
      <c r="AJ70" s="18">
        <f t="shared" si="36"/>
        <v>1.5080101545028621</v>
      </c>
      <c r="AK70" s="18">
        <f t="shared" si="37"/>
        <v>1.6958436961194991</v>
      </c>
      <c r="AL70" s="19">
        <f>IFERROR(IF(D68="Original",IF($AI70=0,"-",(INDEX('APP 2885'!$G:$G,MATCH($C$2+$AA70-1,'APP 2885'!$A:$A,0))*$T70)/($AI70+$AE70)),IF($AI70=0,"-",(INDEX('APP 2885'!G:G,MATCH($C$2+$AC70-1,'APP 2885'!$A:$A,0))*$T70)/($AI70+$AE70))),"N/A")</f>
        <v>3.4457492614120451</v>
      </c>
      <c r="AM70" s="20">
        <f t="shared" si="38"/>
        <v>6.2666505508609607</v>
      </c>
      <c r="AN70" s="21">
        <f t="shared" si="39"/>
        <v>6.454484092477597</v>
      </c>
      <c r="AO70" s="19">
        <f>IFERROR(IF(D68="Original",IF($AI70=0,"-",(INDEX('APP 2885'!$G:$G,MATCH($C$2+$AA70-1,'APP 2885'!$A:$A,0))*$T70)/($Z70+$AE70)),IF($AI70=0,"-",(INDEX('APP 2885'!G:G,MATCH($C$2+$AC70-1,'APP 2885'!$A:$A,0))*$T70)/($Z70+$AE70))),"N/A")</f>
        <v>0.90533218141854443</v>
      </c>
      <c r="AP70" s="45"/>
      <c r="AQ70" s="13"/>
      <c r="AR70" s="13"/>
    </row>
    <row r="71" spans="2:44" ht="15.75" thickBot="1" x14ac:dyDescent="0.3">
      <c r="B71" s="66" t="str">
        <f t="shared" si="40"/>
        <v>Windows 0.27 U-factor_Zone 2_U Factor&lt;= 0.27</v>
      </c>
      <c r="C71" s="33" t="s">
        <v>65</v>
      </c>
      <c r="D71" s="33" t="s">
        <v>29</v>
      </c>
      <c r="E71" s="33" t="s">
        <v>66</v>
      </c>
      <c r="F71" s="33" t="str">
        <f t="shared" si="23"/>
        <v>U Factor&lt;= 0.27</v>
      </c>
      <c r="G71" s="5">
        <v>2</v>
      </c>
      <c r="H71" s="5">
        <f t="shared" si="32"/>
        <v>2</v>
      </c>
      <c r="I71" s="5">
        <f t="shared" si="41"/>
        <v>3</v>
      </c>
      <c r="J71" s="5">
        <v>210</v>
      </c>
      <c r="K71" s="5">
        <f>INDEX('Res Measure Mapping'!$X:$X,MATCH($B71,'Res Measure Mapping'!$B:$B,0))</f>
        <v>3694.0328303265715</v>
      </c>
      <c r="L71" s="5">
        <f>INDEX('Res Measure Mapping'!$Y:$Y,MATCH($B71,'Res Measure Mapping'!$B:$B,0))</f>
        <v>5637.3731125635059</v>
      </c>
      <c r="M71" s="74">
        <f t="shared" si="42"/>
        <v>0.52607553086233216</v>
      </c>
      <c r="N71" s="5">
        <f t="shared" si="33"/>
        <v>245</v>
      </c>
      <c r="O71" s="5">
        <f t="shared" si="43"/>
        <v>374</v>
      </c>
      <c r="P71" s="6">
        <v>0.28999999999999998</v>
      </c>
      <c r="Q71" s="68">
        <f>INDEX('Res Measure Mapping'!$Q:$Q,MATCH($B71,'Res Measure Mapping'!$B:$B,0))</f>
        <v>0.26345669774378105</v>
      </c>
      <c r="R71" s="68" t="str">
        <f>INDEX('Res Measure Mapping'!$R:$R,MATCH($B71,'Res Measure Mapping'!$B:$B,0))</f>
        <v>sqft window</v>
      </c>
      <c r="S71" s="6">
        <f t="shared" si="24"/>
        <v>0.26345669774378105</v>
      </c>
      <c r="T71" s="59">
        <f t="shared" si="44"/>
        <v>98.532804956174118</v>
      </c>
      <c r="U71" s="7">
        <v>23.09</v>
      </c>
      <c r="V71" s="7">
        <f>INDEX('Res Measure Mapping'!$S:$S,MATCH($B71,'Res Measure Mapping'!$B:$B,0))</f>
        <v>29.09</v>
      </c>
      <c r="W71" s="7">
        <f t="shared" si="25"/>
        <v>29.09</v>
      </c>
      <c r="X71" s="8">
        <f t="shared" si="34"/>
        <v>0.22048923145985946</v>
      </c>
      <c r="Y71" s="8">
        <f t="shared" si="45"/>
        <v>10879.66</v>
      </c>
      <c r="Z71" s="8">
        <f>IF($D$3="Original",Y71-G71*(X71),Y71-I71*(X71))</f>
        <v>10878.998532305621</v>
      </c>
      <c r="AA71" s="5">
        <v>45</v>
      </c>
      <c r="AB71" s="5">
        <f>INDEX('Res Measure Mapping'!$T:$T,MATCH($B71,'Res Measure Mapping'!$B:$B,0))</f>
        <v>45</v>
      </c>
      <c r="AC71" s="5">
        <f t="shared" si="49"/>
        <v>45</v>
      </c>
      <c r="AD71" s="59">
        <f t="shared" si="35"/>
        <v>1736.0625803365774</v>
      </c>
      <c r="AE71" s="7">
        <f t="shared" si="48"/>
        <v>326.0907829327366</v>
      </c>
      <c r="AF71" s="7">
        <v>7</v>
      </c>
      <c r="AG71" s="7">
        <f>INDEX('Res Measure Mapping'!$U:$U,MATCH($B71,'Res Measure Mapping'!$B:$B,0))</f>
        <v>2.0000006513736381</v>
      </c>
      <c r="AH71" s="113">
        <v>7</v>
      </c>
      <c r="AI71" s="61">
        <f t="shared" si="47"/>
        <v>2618</v>
      </c>
      <c r="AJ71" s="9">
        <f t="shared" si="36"/>
        <v>1.5080101545028624</v>
      </c>
      <c r="AK71" s="9">
        <f t="shared" si="37"/>
        <v>1.6958436961194994</v>
      </c>
      <c r="AL71" s="10">
        <f>IFERROR(IF(D69="Original",IF($AI71=0,"-",(INDEX('APP 2885'!$G:$G,MATCH($C$2+$AA71-1,'APP 2885'!$A:$A,0))*$T71)/($AI71+$AE71)),IF($AI71=0,"-",(INDEX('APP 2885'!G:G,MATCH($C$2+$AC71-1,'APP 2885'!$A:$A,0))*$T71)/($AI71+$AE71))),"N/A")</f>
        <v>3.4457492614120455</v>
      </c>
      <c r="AM71" s="11">
        <f t="shared" si="38"/>
        <v>6.2664783260269719</v>
      </c>
      <c r="AN71" s="12">
        <f t="shared" si="39"/>
        <v>6.4543118676436091</v>
      </c>
      <c r="AO71" s="10">
        <f>IFERROR(IF(D69="Original",IF($AI71=0,"-",(INDEX('APP 2885'!$G:$G,MATCH($C$2+$AA71-1,'APP 2885'!$A:$A,0))*$T71)/($Z71+$AE71)),IF($AI71=0,"-",(INDEX('APP 2885'!G:G,MATCH($C$2+$AC71-1,'APP 2885'!$A:$A,0))*$T71)/($Z71+$AE71))),"N/A")</f>
        <v>0.90535633901858725</v>
      </c>
      <c r="AP71" s="45"/>
      <c r="AQ71" s="13"/>
      <c r="AR71" s="13"/>
    </row>
    <row r="72" spans="2:44" ht="15.75" thickBot="1" x14ac:dyDescent="0.3">
      <c r="B72" s="66" t="str">
        <f t="shared" si="40"/>
        <v>Windows 0.27 U-factor_Zone 3_U Factor&lt;= 0.27</v>
      </c>
      <c r="C72" s="34" t="s">
        <v>65</v>
      </c>
      <c r="D72" s="34" t="s">
        <v>30</v>
      </c>
      <c r="E72" s="34" t="s">
        <v>66</v>
      </c>
      <c r="F72" s="34" t="str">
        <f t="shared" si="23"/>
        <v>U Factor&lt;= 0.27</v>
      </c>
      <c r="G72" s="14">
        <v>7</v>
      </c>
      <c r="H72" s="14">
        <f t="shared" si="32"/>
        <v>8</v>
      </c>
      <c r="I72" s="14">
        <f t="shared" si="41"/>
        <v>12</v>
      </c>
      <c r="J72" s="14">
        <v>947</v>
      </c>
      <c r="K72" s="86">
        <f>INDEX('Res Measure Mapping'!$X:$X,MATCH($B72,'Res Measure Mapping'!$B:$B,0))</f>
        <v>6219.5389808976252</v>
      </c>
      <c r="L72" s="86">
        <f>INDEX('Res Measure Mapping'!$Y:$Y,MATCH($B72,'Res Measure Mapping'!$B:$B,0))</f>
        <v>9494.9725117636044</v>
      </c>
      <c r="M72" s="90">
        <f t="shared" si="42"/>
        <v>0.52663606433306054</v>
      </c>
      <c r="N72" s="14">
        <f t="shared" si="33"/>
        <v>1104</v>
      </c>
      <c r="O72" s="14">
        <f t="shared" si="43"/>
        <v>1685</v>
      </c>
      <c r="P72" s="15">
        <v>0.28999999999999998</v>
      </c>
      <c r="Q72" s="87">
        <f>INDEX('Res Measure Mapping'!$Q:$Q,MATCH($B72,'Res Measure Mapping'!$B:$B,0))</f>
        <v>0.26345669774378105</v>
      </c>
      <c r="R72" s="87" t="str">
        <f>INDEX('Res Measure Mapping'!$R:$R,MATCH($B72,'Res Measure Mapping'!$B:$B,0))</f>
        <v>sqft window</v>
      </c>
      <c r="S72" s="88">
        <f t="shared" si="24"/>
        <v>0.26345669774378105</v>
      </c>
      <c r="T72" s="77">
        <f t="shared" si="44"/>
        <v>443.92453569827109</v>
      </c>
      <c r="U72" s="16">
        <v>23.09</v>
      </c>
      <c r="V72" s="89">
        <f>INDEX('Res Measure Mapping'!$S:$S,MATCH($B72,'Res Measure Mapping'!$B:$B,0))</f>
        <v>29.09</v>
      </c>
      <c r="W72" s="76">
        <f t="shared" si="25"/>
        <v>29.09</v>
      </c>
      <c r="X72" s="17">
        <f t="shared" si="34"/>
        <v>0.22048923145985946</v>
      </c>
      <c r="Y72" s="17">
        <f t="shared" si="45"/>
        <v>49016.65</v>
      </c>
      <c r="Z72" s="17">
        <f t="shared" si="46"/>
        <v>49014.004129222485</v>
      </c>
      <c r="AA72" s="14">
        <v>45</v>
      </c>
      <c r="AB72" s="86">
        <f>INDEX('Res Measure Mapping'!$T:$T,MATCH($B72,'Res Measure Mapping'!$B:$B,0))</f>
        <v>45</v>
      </c>
      <c r="AC72" s="14">
        <f t="shared" si="49"/>
        <v>45</v>
      </c>
      <c r="AD72" s="60">
        <f t="shared" si="35"/>
        <v>7821.5653686286978</v>
      </c>
      <c r="AE72" s="16">
        <f t="shared" si="48"/>
        <v>1469.1523241755644</v>
      </c>
      <c r="AF72" s="16">
        <v>7</v>
      </c>
      <c r="AG72" s="89">
        <f>INDEX('Res Measure Mapping'!$U:$U,MATCH($B72,'Res Measure Mapping'!$B:$B,0))</f>
        <v>2.0000006513736386</v>
      </c>
      <c r="AH72" s="115">
        <v>7</v>
      </c>
      <c r="AI72" s="78">
        <f t="shared" si="47"/>
        <v>11795</v>
      </c>
      <c r="AJ72" s="18">
        <f t="shared" si="36"/>
        <v>1.5080101545028624</v>
      </c>
      <c r="AK72" s="18">
        <f t="shared" si="37"/>
        <v>1.6958436961194991</v>
      </c>
      <c r="AL72" s="19">
        <f>IFERROR(IF(D70="Original",IF($AI72=0,"-",(INDEX('APP 2885'!$G:$G,MATCH($C$2+$AA72-1,'APP 2885'!$A:$A,0))*$T72)/($AI72+$AE72)),IF($AI72=0,"-",(INDEX('APP 2885'!G:G,MATCH($C$2+$AC72-1,'APP 2885'!$A:$A,0))*$T72)/($AI72+$AE72))),"N/A")</f>
        <v>3.445749261412046</v>
      </c>
      <c r="AM72" s="20">
        <f t="shared" si="38"/>
        <v>6.2665210631380015</v>
      </c>
      <c r="AN72" s="21">
        <f t="shared" si="39"/>
        <v>6.4543546047546387</v>
      </c>
      <c r="AO72" s="19">
        <f>IFERROR(IF(D70="Original",IF($AI72=0,"-",(INDEX('APP 2885'!$G:$G,MATCH($C$2+$AA72-1,'APP 2885'!$A:$A,0))*$T72)/($Z72+$AE72)),IF($AI72=0,"-",(INDEX('APP 2885'!G:G,MATCH($C$2+$AC72-1,'APP 2885'!$A:$A,0))*$T72)/($Z72+$AE72))),"N/A")</f>
        <v>0.90535034425741412</v>
      </c>
      <c r="AP72" s="45"/>
      <c r="AQ72" s="13"/>
      <c r="AR72" s="13"/>
    </row>
    <row r="73" spans="2:44" ht="15.75" thickBot="1" x14ac:dyDescent="0.3">
      <c r="B73" s="66" t="str">
        <f t="shared" si="40"/>
        <v>Windows 0.27 U-factor_Zone 3_U Factor&lt;= 0.27</v>
      </c>
      <c r="C73" s="33" t="s">
        <v>65</v>
      </c>
      <c r="D73" s="33" t="s">
        <v>30</v>
      </c>
      <c r="E73" s="33" t="s">
        <v>66</v>
      </c>
      <c r="F73" s="33" t="str">
        <f t="shared" si="23"/>
        <v>U Factor&lt;= 0.27</v>
      </c>
      <c r="G73" s="5">
        <v>1</v>
      </c>
      <c r="H73" s="5">
        <f t="shared" si="32"/>
        <v>1</v>
      </c>
      <c r="I73" s="5">
        <f t="shared" si="41"/>
        <v>2</v>
      </c>
      <c r="J73" s="5">
        <v>153</v>
      </c>
      <c r="K73" s="5">
        <f>INDEX('Res Measure Mapping'!$X:$X,MATCH($B73,'Res Measure Mapping'!$B:$B,0))</f>
        <v>6219.5389808976252</v>
      </c>
      <c r="L73" s="5">
        <f>INDEX('Res Measure Mapping'!$Y:$Y,MATCH($B73,'Res Measure Mapping'!$B:$B,0))</f>
        <v>9494.9725117636044</v>
      </c>
      <c r="M73" s="74">
        <f t="shared" si="42"/>
        <v>0.52663606433306054</v>
      </c>
      <c r="N73" s="5">
        <f t="shared" si="33"/>
        <v>178</v>
      </c>
      <c r="O73" s="5">
        <f t="shared" si="43"/>
        <v>272</v>
      </c>
      <c r="P73" s="6">
        <v>0.6</v>
      </c>
      <c r="Q73" s="68">
        <f>INDEX('Res Measure Mapping'!$Q:$Q,MATCH($B73,'Res Measure Mapping'!$B:$B,0))</f>
        <v>0.26345669774378105</v>
      </c>
      <c r="R73" s="68" t="str">
        <f>INDEX('Res Measure Mapping'!$R:$R,MATCH($B73,'Res Measure Mapping'!$B:$B,0))</f>
        <v>sqft window</v>
      </c>
      <c r="S73" s="6">
        <f t="shared" si="24"/>
        <v>0.26345669774378105</v>
      </c>
      <c r="T73" s="59">
        <f t="shared" si="44"/>
        <v>71.660221786308441</v>
      </c>
      <c r="U73" s="7">
        <v>24.76</v>
      </c>
      <c r="V73" s="7">
        <f>INDEX('Res Measure Mapping'!$S:$S,MATCH($B73,'Res Measure Mapping'!$B:$B,0))</f>
        <v>29.09</v>
      </c>
      <c r="W73" s="7">
        <f t="shared" si="25"/>
        <v>29.09</v>
      </c>
      <c r="X73" s="8">
        <f t="shared" si="34"/>
        <v>0.22048923145985946</v>
      </c>
      <c r="Y73" s="8">
        <f t="shared" si="45"/>
        <v>7912.48</v>
      </c>
      <c r="Z73" s="8">
        <f t="shared" si="46"/>
        <v>7912.0390215370799</v>
      </c>
      <c r="AA73" s="5">
        <v>45</v>
      </c>
      <c r="AB73" s="5">
        <f>INDEX('Res Measure Mapping'!$T:$T,MATCH($B73,'Res Measure Mapping'!$B:$B,0))</f>
        <v>45</v>
      </c>
      <c r="AC73" s="5">
        <f t="shared" si="49"/>
        <v>45</v>
      </c>
      <c r="AD73" s="59">
        <f t="shared" si="35"/>
        <v>1262.5909675175108</v>
      </c>
      <c r="AE73" s="7">
        <f t="shared" si="48"/>
        <v>237.15693304199021</v>
      </c>
      <c r="AF73" s="7">
        <v>7</v>
      </c>
      <c r="AG73" s="7">
        <f>INDEX('Res Measure Mapping'!$U:$U,MATCH($B73,'Res Measure Mapping'!$B:$B,0))</f>
        <v>2.0000006513736386</v>
      </c>
      <c r="AH73" s="113">
        <v>7</v>
      </c>
      <c r="AI73" s="61">
        <f t="shared" si="47"/>
        <v>1904</v>
      </c>
      <c r="AJ73" s="9">
        <f t="shared" si="36"/>
        <v>1.5080101545028624</v>
      </c>
      <c r="AK73" s="9">
        <f t="shared" si="37"/>
        <v>1.6958436961194994</v>
      </c>
      <c r="AL73" s="10">
        <f>IFERROR(IF(D71="Original",IF($AI73=0,"-",(INDEX('APP 2885'!$G:$G,MATCH($C$2+$AA73-1,'APP 2885'!$A:$A,0))*$T73)/($AI73+$AE73)),IF($AI73=0,"-",(INDEX('APP 2885'!G:G,MATCH($C$2+$AC73-1,'APP 2885'!$A:$A,0))*$T73)/($AI73+$AE73))),"N/A")</f>
        <v>3.4457492614120451</v>
      </c>
      <c r="AM73" s="11">
        <f t="shared" si="38"/>
        <v>6.2665100773638702</v>
      </c>
      <c r="AN73" s="12">
        <f t="shared" si="39"/>
        <v>6.4543436189805075</v>
      </c>
      <c r="AO73" s="10">
        <f>IFERROR(IF(D71="Original",IF($AI73=0,"-",(INDEX('APP 2885'!$G:$G,MATCH($C$2+$AA73-1,'APP 2885'!$A:$A,0))*$T73)/($Z73+$AE73)),IF($AI73=0,"-",(INDEX('APP 2885'!G:G,MATCH($C$2+$AC73-1,'APP 2885'!$A:$A,0))*$T73)/($Z73+$AE73))),"N/A")</f>
        <v>0.90535188523121068</v>
      </c>
      <c r="AP73" s="45"/>
      <c r="AQ73" s="13"/>
      <c r="AR73" s="13"/>
    </row>
    <row r="74" spans="2:44" ht="15.75" thickBot="1" x14ac:dyDescent="0.3">
      <c r="B74" s="66" t="str">
        <f t="shared" si="40"/>
        <v>Windows 0.30 U-factor_Zone 1_U Factor&lt;= 0.30</v>
      </c>
      <c r="C74" s="34" t="s">
        <v>67</v>
      </c>
      <c r="D74" s="34" t="s">
        <v>27</v>
      </c>
      <c r="E74" s="34" t="s">
        <v>68</v>
      </c>
      <c r="F74" s="34" t="str">
        <f t="shared" si="23"/>
        <v>U Factor&lt;= 0.30</v>
      </c>
      <c r="G74" s="14">
        <v>14</v>
      </c>
      <c r="H74" s="14">
        <f t="shared" si="32"/>
        <v>16</v>
      </c>
      <c r="I74" s="14">
        <f t="shared" si="41"/>
        <v>24</v>
      </c>
      <c r="J74" s="14">
        <v>1864</v>
      </c>
      <c r="K74" s="86">
        <f>INDEX('Res Measure Mapping'!$X:$X,MATCH($B74,'Res Measure Mapping'!$B:$B,0))</f>
        <v>8011.7694399632965</v>
      </c>
      <c r="L74" s="86">
        <f>INDEX('Res Measure Mapping'!$Y:$Y,MATCH($B74,'Res Measure Mapping'!$B:$B,0))</f>
        <v>12226.565301238596</v>
      </c>
      <c r="M74" s="90">
        <f t="shared" si="42"/>
        <v>0.52607553086233194</v>
      </c>
      <c r="N74" s="14">
        <f t="shared" si="33"/>
        <v>2173</v>
      </c>
      <c r="O74" s="14">
        <f t="shared" si="43"/>
        <v>3316</v>
      </c>
      <c r="P74" s="15">
        <v>0.22</v>
      </c>
      <c r="Q74" s="87">
        <f>INDEX('Res Measure Mapping'!$Q:$Q,MATCH($B74,'Res Measure Mapping'!$B:$B,0))</f>
        <v>0.26345669774378105</v>
      </c>
      <c r="R74" s="87" t="str">
        <f>INDEX('Res Measure Mapping'!$R:$R,MATCH($B74,'Res Measure Mapping'!$B:$B,0))</f>
        <v>sqft window</v>
      </c>
      <c r="S74" s="88">
        <f t="shared" si="24"/>
        <v>0.26345669774378105</v>
      </c>
      <c r="T74" s="77">
        <f t="shared" si="44"/>
        <v>873.62240971837798</v>
      </c>
      <c r="U74" s="16">
        <v>23.09</v>
      </c>
      <c r="V74" s="89">
        <f>INDEX('Res Measure Mapping'!$S:$S,MATCH($B74,'Res Measure Mapping'!$B:$B,0))</f>
        <v>29.09</v>
      </c>
      <c r="W74" s="76">
        <f t="shared" si="25"/>
        <v>29.09</v>
      </c>
      <c r="X74" s="17">
        <f t="shared" si="34"/>
        <v>0.22048923145985946</v>
      </c>
      <c r="Y74" s="17">
        <f t="shared" si="45"/>
        <v>96462.44</v>
      </c>
      <c r="Z74" s="17">
        <f t="shared" si="46"/>
        <v>96457.14825844497</v>
      </c>
      <c r="AA74" s="14">
        <v>45</v>
      </c>
      <c r="AB74" s="86">
        <f>INDEX('Res Measure Mapping'!$T:$T,MATCH($B74,'Res Measure Mapping'!$B:$B,0))</f>
        <v>45</v>
      </c>
      <c r="AC74" s="14">
        <f t="shared" si="49"/>
        <v>45</v>
      </c>
      <c r="AD74" s="60">
        <f t="shared" si="35"/>
        <v>15392.469295176714</v>
      </c>
      <c r="AE74" s="16">
        <f t="shared" si="48"/>
        <v>2891.2220219383807</v>
      </c>
      <c r="AF74" s="16">
        <v>5</v>
      </c>
      <c r="AG74" s="89">
        <f>INDEX('Res Measure Mapping'!$U:$U,MATCH($B74,'Res Measure Mapping'!$B:$B,0))</f>
        <v>2.0000006513736381</v>
      </c>
      <c r="AH74" s="115">
        <v>5</v>
      </c>
      <c r="AI74" s="78">
        <f t="shared" si="47"/>
        <v>16580</v>
      </c>
      <c r="AJ74" s="18">
        <f t="shared" si="36"/>
        <v>1.0771501103591874</v>
      </c>
      <c r="AK74" s="18">
        <f t="shared" si="37"/>
        <v>1.2649836519758244</v>
      </c>
      <c r="AL74" s="19">
        <f>IFERROR(IF(D72="Original",IF($AI74=0,"-",(INDEX('APP 2885'!$G:$G,MATCH($C$2+$AA74-1,'APP 2885'!$A:$A,0))*$T74)/($AI74+$AE74)),IF($AI74=0,"-",(INDEX('APP 2885'!G:G,MATCH($C$2+$AC74-1,'APP 2885'!$A:$A,0))*$T74)/($AI74+$AE74))),"N/A")</f>
        <v>4.619389471355567</v>
      </c>
      <c r="AM74" s="20">
        <f t="shared" si="38"/>
        <v>6.2665155543737328</v>
      </c>
      <c r="AN74" s="21">
        <f t="shared" si="39"/>
        <v>6.45434909599037</v>
      </c>
      <c r="AO74" s="19">
        <f>IFERROR(IF(D72="Original",IF($AI74=0,"-",(INDEX('APP 2885'!$G:$G,MATCH($C$2+$AA74-1,'APP 2885'!$A:$A,0))*$T74)/($Z74+$AE74)),IF($AI74=0,"-",(INDEX('APP 2885'!G:G,MATCH($C$2+$AC74-1,'APP 2885'!$A:$A,0))*$T74)/($Z74+$AE74))),"N/A")</f>
        <v>0.90535111697075088</v>
      </c>
      <c r="AP74" s="45"/>
      <c r="AQ74" s="13"/>
      <c r="AR74" s="13"/>
    </row>
    <row r="75" spans="2:44" ht="15.75" thickBot="1" x14ac:dyDescent="0.3">
      <c r="B75" s="66" t="str">
        <f t="shared" si="40"/>
        <v>Windows 0.30 U-factor_Zone 2_U Factor&lt;= 0.30</v>
      </c>
      <c r="C75" s="33" t="s">
        <v>67</v>
      </c>
      <c r="D75" s="33" t="s">
        <v>29</v>
      </c>
      <c r="E75" s="33" t="s">
        <v>68</v>
      </c>
      <c r="F75" s="33" t="str">
        <f t="shared" si="23"/>
        <v>U Factor&lt;= 0.30</v>
      </c>
      <c r="G75" s="5">
        <v>15</v>
      </c>
      <c r="H75" s="5">
        <f t="shared" si="32"/>
        <v>17</v>
      </c>
      <c r="I75" s="5">
        <f t="shared" si="41"/>
        <v>26</v>
      </c>
      <c r="J75" s="5">
        <v>2984</v>
      </c>
      <c r="K75" s="5">
        <f>INDEX('Res Measure Mapping'!$X:$X,MATCH($B75,'Res Measure Mapping'!$B:$B,0))</f>
        <v>3694.0328303265715</v>
      </c>
      <c r="L75" s="5">
        <f>INDEX('Res Measure Mapping'!$Y:$Y,MATCH($B75,'Res Measure Mapping'!$B:$B,0))</f>
        <v>5637.3731125635059</v>
      </c>
      <c r="M75" s="74">
        <f t="shared" si="42"/>
        <v>0.52607553086233216</v>
      </c>
      <c r="N75" s="5">
        <f t="shared" si="33"/>
        <v>3478</v>
      </c>
      <c r="O75" s="5">
        <f t="shared" si="43"/>
        <v>5308</v>
      </c>
      <c r="P75" s="6">
        <v>0.28999999999999998</v>
      </c>
      <c r="Q75" s="68">
        <f>INDEX('Res Measure Mapping'!$Q:$Q,MATCH($B75,'Res Measure Mapping'!$B:$B,0))</f>
        <v>0.26345669774378105</v>
      </c>
      <c r="R75" s="68" t="str">
        <f>INDEX('Res Measure Mapping'!$R:$R,MATCH($B75,'Res Measure Mapping'!$B:$B,0))</f>
        <v>sqft window</v>
      </c>
      <c r="S75" s="6">
        <f t="shared" si="24"/>
        <v>0.26345669774378105</v>
      </c>
      <c r="T75" s="59">
        <f t="shared" si="44"/>
        <v>1398.4281516239898</v>
      </c>
      <c r="U75" s="7">
        <v>23.09</v>
      </c>
      <c r="V75" s="7">
        <f>INDEX('Res Measure Mapping'!$S:$S,MATCH($B75,'Res Measure Mapping'!$B:$B,0))</f>
        <v>29.09</v>
      </c>
      <c r="W75" s="7">
        <f t="shared" si="25"/>
        <v>29.09</v>
      </c>
      <c r="X75" s="8">
        <f t="shared" si="34"/>
        <v>0.22048923145985946</v>
      </c>
      <c r="Y75" s="8">
        <f t="shared" si="45"/>
        <v>154409.72</v>
      </c>
      <c r="Z75" s="8">
        <f t="shared" si="46"/>
        <v>154403.98727998204</v>
      </c>
      <c r="AA75" s="5">
        <v>45</v>
      </c>
      <c r="AB75" s="5">
        <f>INDEX('Res Measure Mapping'!$T:$T,MATCH($B75,'Res Measure Mapping'!$B:$B,0))</f>
        <v>45</v>
      </c>
      <c r="AC75" s="5">
        <f t="shared" si="49"/>
        <v>45</v>
      </c>
      <c r="AD75" s="59">
        <f t="shared" si="35"/>
        <v>24639.09138081966</v>
      </c>
      <c r="AE75" s="7">
        <f t="shared" si="48"/>
        <v>4628.0477962753084</v>
      </c>
      <c r="AF75" s="7">
        <v>5</v>
      </c>
      <c r="AG75" s="7">
        <f>INDEX('Res Measure Mapping'!$U:$U,MATCH($B75,'Res Measure Mapping'!$B:$B,0))</f>
        <v>2.0000006513736381</v>
      </c>
      <c r="AH75" s="113">
        <v>5</v>
      </c>
      <c r="AI75" s="61">
        <f t="shared" si="47"/>
        <v>26540</v>
      </c>
      <c r="AJ75" s="9">
        <f t="shared" si="36"/>
        <v>1.0771501103591874</v>
      </c>
      <c r="AK75" s="9">
        <f t="shared" si="37"/>
        <v>1.2649836519758242</v>
      </c>
      <c r="AL75" s="10">
        <f>IFERROR(IF(D73="Original",IF($AI75=0,"-",(INDEX('APP 2885'!$G:$G,MATCH($C$2+$AA75-1,'APP 2885'!$A:$A,0))*$T75)/($AI75+$AE75)),IF($AI75=0,"-",(INDEX('APP 2885'!G:G,MATCH($C$2+$AC75-1,'APP 2885'!$A:$A,0))*$T75)/($AI75+$AE75))),"N/A")</f>
        <v>4.619389471355567</v>
      </c>
      <c r="AM75" s="11">
        <f t="shared" si="38"/>
        <v>6.2666266743983128</v>
      </c>
      <c r="AN75" s="12">
        <f t="shared" si="39"/>
        <v>6.45446021601495</v>
      </c>
      <c r="AO75" s="10">
        <f>IFERROR(IF(D73="Original",IF($AI75=0,"-",(INDEX('APP 2885'!$G:$G,MATCH($C$2+$AA75-1,'APP 2885'!$A:$A,0))*$T75)/($Z75+$AE75)),IF($AI75=0,"-",(INDEX('APP 2885'!G:G,MATCH($C$2+$AC75-1,'APP 2885'!$A:$A,0))*$T75)/($Z75+$AE75))),"N/A")</f>
        <v>0.90533553044066084</v>
      </c>
      <c r="AP75" s="45"/>
      <c r="AQ75" s="13"/>
      <c r="AR75" s="13"/>
    </row>
    <row r="76" spans="2:44" ht="15.75" thickBot="1" x14ac:dyDescent="0.3">
      <c r="B76" s="66" t="str">
        <f t="shared" si="40"/>
        <v>Windows 0.30 U-factor_Zone 3_U Factor&lt;= 0.30</v>
      </c>
      <c r="C76" s="34" t="s">
        <v>67</v>
      </c>
      <c r="D76" s="34" t="s">
        <v>30</v>
      </c>
      <c r="E76" s="34" t="s">
        <v>68</v>
      </c>
      <c r="F76" s="34" t="str">
        <f t="shared" si="23"/>
        <v>U Factor&lt;= 0.30</v>
      </c>
      <c r="G76" s="14">
        <v>14</v>
      </c>
      <c r="H76" s="14">
        <f t="shared" si="32"/>
        <v>16</v>
      </c>
      <c r="I76" s="14">
        <f t="shared" si="41"/>
        <v>24</v>
      </c>
      <c r="J76" s="14">
        <v>2054</v>
      </c>
      <c r="K76" s="86">
        <f>INDEX('Res Measure Mapping'!$X:$X,MATCH($B76,'Res Measure Mapping'!$B:$B,0))</f>
        <v>6219.5389808976252</v>
      </c>
      <c r="L76" s="86">
        <f>INDEX('Res Measure Mapping'!$Y:$Y,MATCH($B76,'Res Measure Mapping'!$B:$B,0))</f>
        <v>9494.9725117636044</v>
      </c>
      <c r="M76" s="90">
        <f t="shared" si="42"/>
        <v>0.52663606433306054</v>
      </c>
      <c r="N76" s="14">
        <f t="shared" si="33"/>
        <v>2394</v>
      </c>
      <c r="O76" s="14">
        <f t="shared" si="43"/>
        <v>3655</v>
      </c>
      <c r="P76" s="15">
        <v>0.28999999999999998</v>
      </c>
      <c r="Q76" s="87">
        <f>INDEX('Res Measure Mapping'!$Q:$Q,MATCH($B76,'Res Measure Mapping'!$B:$B,0))</f>
        <v>0.26345669774378105</v>
      </c>
      <c r="R76" s="87" t="str">
        <f>INDEX('Res Measure Mapping'!$R:$R,MATCH($B76,'Res Measure Mapping'!$B:$B,0))</f>
        <v>sqft window</v>
      </c>
      <c r="S76" s="88">
        <f t="shared" si="24"/>
        <v>0.26345669774378105</v>
      </c>
      <c r="T76" s="77">
        <f t="shared" si="44"/>
        <v>962.93423025351979</v>
      </c>
      <c r="U76" s="16">
        <v>23.09</v>
      </c>
      <c r="V76" s="89">
        <f>INDEX('Res Measure Mapping'!$S:$S,MATCH($B76,'Res Measure Mapping'!$B:$B,0))</f>
        <v>29.09</v>
      </c>
      <c r="W76" s="76">
        <f t="shared" si="25"/>
        <v>29.09</v>
      </c>
      <c r="X76" s="17">
        <f t="shared" si="34"/>
        <v>0.22048923145985946</v>
      </c>
      <c r="Y76" s="17">
        <f t="shared" si="45"/>
        <v>106323.95</v>
      </c>
      <c r="Z76" s="17">
        <f t="shared" si="46"/>
        <v>106318.65825844496</v>
      </c>
      <c r="AA76" s="14">
        <v>45</v>
      </c>
      <c r="AB76" s="86">
        <f>INDEX('Res Measure Mapping'!$T:$T,MATCH($B76,'Res Measure Mapping'!$B:$B,0))</f>
        <v>45</v>
      </c>
      <c r="AC76" s="14">
        <f t="shared" si="49"/>
        <v>45</v>
      </c>
      <c r="AD76" s="60">
        <f t="shared" si="35"/>
        <v>16966.066126016551</v>
      </c>
      <c r="AE76" s="16">
        <f t="shared" si="48"/>
        <v>3186.7962877517439</v>
      </c>
      <c r="AF76" s="16">
        <v>5</v>
      </c>
      <c r="AG76" s="89">
        <f>INDEX('Res Measure Mapping'!$U:$U,MATCH($B76,'Res Measure Mapping'!$B:$B,0))</f>
        <v>2.0000006513736386</v>
      </c>
      <c r="AH76" s="115">
        <v>5</v>
      </c>
      <c r="AI76" s="78">
        <f t="shared" si="47"/>
        <v>18275</v>
      </c>
      <c r="AJ76" s="18">
        <f t="shared" si="36"/>
        <v>1.0771501103591874</v>
      </c>
      <c r="AK76" s="18">
        <f t="shared" si="37"/>
        <v>1.2649836519758244</v>
      </c>
      <c r="AL76" s="19">
        <f>IFERROR(IF(D74="Original",IF($AI76=0,"-",(INDEX('APP 2885'!$G:$G,MATCH($C$2+$AA76-1,'APP 2885'!$A:$A,0))*$T76)/($AI76+$AE76)),IF($AI76=0,"-",(INDEX('APP 2885'!G:G,MATCH($C$2+$AC76-1,'APP 2885'!$A:$A,0))*$T76)/($AI76+$AE76))),"N/A")</f>
        <v>4.619389471355567</v>
      </c>
      <c r="AM76" s="20">
        <f t="shared" si="38"/>
        <v>6.266547440564965</v>
      </c>
      <c r="AN76" s="21">
        <f t="shared" si="39"/>
        <v>6.4543809821816014</v>
      </c>
      <c r="AO76" s="19">
        <f>IFERROR(IF(D74="Original",IF($AI76=0,"-",(INDEX('APP 2885'!$G:$G,MATCH($C$2+$AA76-1,'APP 2885'!$A:$A,0))*$T76)/($Z76+$AE76)),IF($AI76=0,"-",(INDEX('APP 2885'!G:G,MATCH($C$2+$AC76-1,'APP 2885'!$A:$A,0))*$T76)/($Z76+$AE76))),"N/A")</f>
        <v>0.90534664431893086</v>
      </c>
      <c r="AP76" s="45"/>
      <c r="AQ76" s="13"/>
      <c r="AR76" s="13"/>
    </row>
    <row r="77" spans="2:44" ht="15.75" thickBot="1" x14ac:dyDescent="0.3">
      <c r="B77" s="66" t="str">
        <f t="shared" si="40"/>
        <v>Windows 0.30 U-factor_Zone 3_U Factor&lt;= 0.30</v>
      </c>
      <c r="C77" s="33" t="s">
        <v>67</v>
      </c>
      <c r="D77" s="33" t="s">
        <v>30</v>
      </c>
      <c r="E77" s="33" t="s">
        <v>68</v>
      </c>
      <c r="F77" s="33" t="str">
        <f t="shared" si="23"/>
        <v>U Factor&lt;= 0.30</v>
      </c>
      <c r="G77" s="5">
        <v>1</v>
      </c>
      <c r="H77" s="5">
        <f t="shared" si="32"/>
        <v>1</v>
      </c>
      <c r="I77" s="5">
        <f t="shared" si="41"/>
        <v>2</v>
      </c>
      <c r="J77" s="5">
        <v>9</v>
      </c>
      <c r="K77" s="5">
        <f>INDEX('Res Measure Mapping'!$X:$X,MATCH($B77,'Res Measure Mapping'!$B:$B,0))</f>
        <v>6219.5389808976252</v>
      </c>
      <c r="L77" s="5">
        <f>INDEX('Res Measure Mapping'!$Y:$Y,MATCH($B77,'Res Measure Mapping'!$B:$B,0))</f>
        <v>9494.9725117636044</v>
      </c>
      <c r="M77" s="74">
        <f t="shared" si="42"/>
        <v>0.52663606433306054</v>
      </c>
      <c r="N77" s="5">
        <f t="shared" si="33"/>
        <v>10</v>
      </c>
      <c r="O77" s="5">
        <f t="shared" si="43"/>
        <v>15</v>
      </c>
      <c r="P77" s="6">
        <v>0.2</v>
      </c>
      <c r="Q77" s="68">
        <f>INDEX('Res Measure Mapping'!$Q:$Q,MATCH($B77,'Res Measure Mapping'!$B:$B,0))</f>
        <v>0.26345669774378105</v>
      </c>
      <c r="R77" s="68" t="str">
        <f>INDEX('Res Measure Mapping'!$R:$R,MATCH($B77,'Res Measure Mapping'!$B:$B,0))</f>
        <v>sqft window</v>
      </c>
      <c r="S77" s="6">
        <f t="shared" si="24"/>
        <v>0.26345669774378105</v>
      </c>
      <c r="T77" s="59">
        <f t="shared" si="44"/>
        <v>3.9518504661567158</v>
      </c>
      <c r="U77" s="7">
        <v>24.76</v>
      </c>
      <c r="V77" s="7">
        <f>INDEX('Res Measure Mapping'!$S:$S,MATCH($B77,'Res Measure Mapping'!$B:$B,0))</f>
        <v>29.09</v>
      </c>
      <c r="W77" s="7">
        <f t="shared" si="25"/>
        <v>29.09</v>
      </c>
      <c r="X77" s="8">
        <f t="shared" si="34"/>
        <v>0.22048923145985946</v>
      </c>
      <c r="Y77" s="8">
        <f t="shared" si="45"/>
        <v>436.35</v>
      </c>
      <c r="Z77" s="8">
        <f t="shared" si="46"/>
        <v>435.90902153708032</v>
      </c>
      <c r="AA77" s="5">
        <v>45</v>
      </c>
      <c r="AB77" s="5">
        <f>INDEX('Res Measure Mapping'!$T:$T,MATCH($B77,'Res Measure Mapping'!$B:$B,0))</f>
        <v>45</v>
      </c>
      <c r="AC77" s="5">
        <f t="shared" si="49"/>
        <v>45</v>
      </c>
      <c r="AD77" s="59">
        <f t="shared" si="35"/>
        <v>69.628178355745092</v>
      </c>
      <c r="AE77" s="7">
        <f t="shared" si="48"/>
        <v>13.078507336874461</v>
      </c>
      <c r="AF77" s="7">
        <v>5</v>
      </c>
      <c r="AG77" s="7">
        <f>INDEX('Res Measure Mapping'!$U:$U,MATCH($B77,'Res Measure Mapping'!$B:$B,0))</f>
        <v>2.0000006513736386</v>
      </c>
      <c r="AH77" s="113">
        <v>5</v>
      </c>
      <c r="AI77" s="61">
        <f t="shared" si="47"/>
        <v>75</v>
      </c>
      <c r="AJ77" s="9">
        <f t="shared" si="36"/>
        <v>1.0771501103591872</v>
      </c>
      <c r="AK77" s="9">
        <f t="shared" si="37"/>
        <v>1.2649836519758242</v>
      </c>
      <c r="AL77" s="10">
        <f>IFERROR(IF(D75="Original",IF($AI77=0,"-",(INDEX('APP 2885'!$G:$G,MATCH($C$2+$AA77-1,'APP 2885'!$A:$A,0))*$T77)/($AI77+$AE77)),IF($AI77=0,"-",(INDEX('APP 2885'!G:G,MATCH($C$2+$AC77-1,'APP 2885'!$A:$A,0))*$T77)/($AI77+$AE77))),"N/A")</f>
        <v>4.619389471355567</v>
      </c>
      <c r="AM77" s="11">
        <f t="shared" si="38"/>
        <v>6.2605260087364183</v>
      </c>
      <c r="AN77" s="12">
        <f t="shared" si="39"/>
        <v>6.4483595503530555</v>
      </c>
      <c r="AO77" s="10">
        <f>IFERROR(IF(D75="Original",IF($AI77=0,"-",(INDEX('APP 2885'!$G:$G,MATCH($C$2+$AA77-1,'APP 2885'!$A:$A,0))*$T77)/($Z77+$AE77)),IF($AI77=0,"-",(INDEX('APP 2885'!G:G,MATCH($C$2+$AC77-1,'APP 2885'!$A:$A,0))*$T77)/($Z77+$AE77))),"N/A")</f>
        <v>0.90619205051214935</v>
      </c>
      <c r="AP77" s="45"/>
      <c r="AQ77" s="13"/>
      <c r="AR77" s="13"/>
    </row>
    <row r="78" spans="2:44" ht="15.75" thickBot="1" x14ac:dyDescent="0.3">
      <c r="C78" s="22" t="s">
        <v>69</v>
      </c>
      <c r="D78" s="23" t="s">
        <v>70</v>
      </c>
      <c r="E78" s="23" t="s">
        <v>70</v>
      </c>
      <c r="F78" s="23"/>
      <c r="G78" s="24">
        <v>2536</v>
      </c>
      <c r="H78" s="25"/>
      <c r="I78" s="25"/>
      <c r="J78" s="67">
        <f>SUM(J5:J77)</f>
        <v>2234444</v>
      </c>
      <c r="K78" s="67">
        <f>SUM(K5:K77)</f>
        <v>900803.92585972883</v>
      </c>
      <c r="L78" s="67"/>
      <c r="M78" s="67"/>
      <c r="N78" s="25"/>
      <c r="O78" s="25"/>
      <c r="P78" s="23" t="s">
        <v>70</v>
      </c>
      <c r="Q78" s="23"/>
      <c r="R78" s="23"/>
      <c r="S78" s="23"/>
      <c r="T78" s="26">
        <f>SUM(T5:T77)</f>
        <v>526493.39448489121</v>
      </c>
      <c r="U78" s="27">
        <f>SUM(U5:U77)</f>
        <v>53591.389999999978</v>
      </c>
      <c r="V78" s="27"/>
      <c r="W78" s="27"/>
      <c r="X78" s="27">
        <f>SUM(X5:X77)</f>
        <v>1617.5424998394813</v>
      </c>
      <c r="Y78" s="27">
        <f>SUM(Y5:Y77)</f>
        <v>9941077.9642799292</v>
      </c>
      <c r="Z78" s="27">
        <f>SUM(Z5:Z77)</f>
        <v>9840448.8806789406</v>
      </c>
      <c r="AA78" s="104">
        <f>ROUND(SUMPRODUCT(AA5:AA77,T5:T77)/SUM(T5:T77),0)</f>
        <v>36</v>
      </c>
      <c r="AB78" s="25">
        <f>ROUND(SUMPRODUCT(AB5:AB77,T5:T77)/SUM(T5:T77),0)</f>
        <v>36</v>
      </c>
      <c r="AC78" s="104">
        <f>ROUND(SUMPRODUCT(AC5:AC77,T5:T77)/SUM(T5:T77),0)</f>
        <v>36</v>
      </c>
      <c r="AD78" s="26">
        <f>SUM(AD5:AD77)</f>
        <v>8233619.5493541444</v>
      </c>
      <c r="AE78" s="58">
        <f>AR4</f>
        <v>1742411</v>
      </c>
      <c r="AF78" s="23" t="s">
        <v>70</v>
      </c>
      <c r="AG78" s="23"/>
      <c r="AH78" s="114"/>
      <c r="AI78" s="63">
        <f>SUM(AI5:AI77)</f>
        <v>7522268</v>
      </c>
      <c r="AJ78" s="27">
        <f t="shared" si="36"/>
        <v>0.91360402978421029</v>
      </c>
      <c r="AK78" s="27">
        <f t="shared" si="37"/>
        <v>1.1252255395656134</v>
      </c>
      <c r="AL78" s="28">
        <f>IF(VALUE(LEFT($AI78,11))=0,"-",IF(D3="Original",(INDEX('APP 2885'!G:G,MATCH(C2+AA78-1,'APP 2885'!A:A,0))*VALUE(LEFT($T78,7)))/(VALUE(LEFT($AI78,11))+$AE78),(INDEX('APP 2885'!G:G,MATCH(C2+AC78-1,'APP 2885'!A:A,0))*VALUE(LEFT($T78,7)))/(VALUE(LEFT($AI78,11))+$AE78)))</f>
        <v>4.2838780431232077</v>
      </c>
      <c r="AM78" s="27">
        <f t="shared" si="38"/>
        <v>1.1951546730685216</v>
      </c>
      <c r="AN78" s="27">
        <f t="shared" si="39"/>
        <v>1.4067761828499248</v>
      </c>
      <c r="AO78" s="28">
        <f>IF($AI78=0,"-",IF(C2="Original",(INDEX('APP 2885'!G:G,MATCH(C2+AA78-1,'APP 2885'!A:A,0))*$T78)/($Z78+$AE78),(INDEX('APP 2885'!G:G,MATCH(C2+AC78-1,'APP 2885'!A:A,0))*$T78)/($Z78+$AE78)))</f>
        <v>3.4265099544580329</v>
      </c>
      <c r="AQ78" s="13"/>
      <c r="AR78" s="13"/>
    </row>
  </sheetData>
  <autoFilter ref="B4:AO4" xr:uid="{00000000-0001-0000-0000-000000000000}"/>
  <mergeCells count="3">
    <mergeCell ref="D1:AO1"/>
    <mergeCell ref="D2:AO2"/>
    <mergeCell ref="D3:E3"/>
  </mergeCells>
  <dataValidations disablePrompts="1" count="1">
    <dataValidation type="list" allowBlank="1" showInputMessage="1" showErrorMessage="1" sqref="D3:E3" xr:uid="{D31E32EA-2F8E-44B1-9A32-FEA27828C078}">
      <formula1>$AS$1:$AS$2</formula1>
    </dataValidation>
  </dataValidations>
  <pageMargins left="0" right="0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7838B-D60A-476E-8845-BF210C0DB546}">
  <sheetPr>
    <tabColor theme="4"/>
  </sheetPr>
  <dimension ref="B2:I25"/>
  <sheetViews>
    <sheetView showGridLines="0" workbookViewId="0">
      <selection activeCell="E8" sqref="E8"/>
    </sheetView>
  </sheetViews>
  <sheetFormatPr defaultRowHeight="15" x14ac:dyDescent="0.25"/>
  <cols>
    <col min="2" max="2" width="42.85546875" bestFit="1" customWidth="1"/>
    <col min="3" max="3" width="48" customWidth="1"/>
    <col min="4" max="8" width="20.5703125" customWidth="1"/>
    <col min="9" max="9" width="20" customWidth="1"/>
  </cols>
  <sheetData>
    <row r="2" spans="2:9" ht="30.75" thickBot="1" x14ac:dyDescent="0.3">
      <c r="B2" s="92" t="s">
        <v>203</v>
      </c>
      <c r="C2" s="92" t="s">
        <v>194</v>
      </c>
      <c r="D2" s="93" t="s">
        <v>218</v>
      </c>
      <c r="E2" s="94" t="s">
        <v>219</v>
      </c>
      <c r="F2" s="93" t="s">
        <v>220</v>
      </c>
      <c r="G2" s="93" t="s">
        <v>221</v>
      </c>
      <c r="H2" s="93" t="s">
        <v>222</v>
      </c>
      <c r="I2" s="93" t="s">
        <v>223</v>
      </c>
    </row>
    <row r="3" spans="2:9" ht="15.75" thickTop="1" x14ac:dyDescent="0.25">
      <c r="B3" s="91" t="s">
        <v>26</v>
      </c>
      <c r="C3" s="91" t="s">
        <v>28</v>
      </c>
      <c r="D3" s="96">
        <f>IFERROR(AVERAGEIFS('2024'!AF:AF,'2024'!$C:$C,$B3,'2024'!$F:$F,$C3),"N/A")</f>
        <v>350</v>
      </c>
      <c r="E3" s="96">
        <f>IFERROR(AVERAGEIFS('2024'!AH:AH,'2024'!$C:$C,$B3,'2024'!$F:$F,$C3),"N/A")</f>
        <v>700</v>
      </c>
      <c r="F3" s="97">
        <v>1.8679975330679959</v>
      </c>
      <c r="G3" s="97">
        <f>IFERROR(AVERAGEIFS('2024'!AL:AL,'2024'!$C:$C,$B3,'2024'!$F:$F,$C3),"N/A")</f>
        <v>2.7464132321204096</v>
      </c>
      <c r="H3" s="97">
        <v>0.50794702362964539</v>
      </c>
      <c r="I3" s="97">
        <f>IFERROR(AVERAGEIFS('2024'!AO:AO,'2024'!$C:$C,$B3,'2024'!$F:$F,$C3),"N/A")</f>
        <v>1.6408567271313921</v>
      </c>
    </row>
    <row r="4" spans="2:9" x14ac:dyDescent="0.25">
      <c r="B4" s="72" t="s">
        <v>31</v>
      </c>
      <c r="C4" s="73" t="s">
        <v>32</v>
      </c>
      <c r="D4" s="96">
        <f>IFERROR(AVERAGEIFS('2024'!AF:AF,'2024'!$C:$C,$B4,'2024'!$F:$F,$C4),"N/A")</f>
        <v>650</v>
      </c>
      <c r="E4" s="96">
        <f>IFERROR(AVERAGEIFS('2024'!AH:AH,'2024'!$C:$C,$B4,'2024'!$F:$F,$C4),"N/A")</f>
        <v>800</v>
      </c>
      <c r="F4" s="97">
        <v>2.3863069040662097</v>
      </c>
      <c r="G4" s="97">
        <f>IFERROR(AVERAGEIFS('2024'!AL:AL,'2024'!$C:$C,$B4,'2024'!$F:$F,$C4),"N/A")</f>
        <v>2.8363997635404963</v>
      </c>
      <c r="H4" s="97">
        <v>1.6183078269291371</v>
      </c>
      <c r="I4" s="97">
        <f>IFERROR(AVERAGEIFS('2024'!AO:AO,'2024'!$C:$C,$B4,'2024'!$F:$F,$C4),"N/A")</f>
        <v>2.821254222112199</v>
      </c>
    </row>
    <row r="5" spans="2:9" x14ac:dyDescent="0.25">
      <c r="B5" s="72" t="s">
        <v>34</v>
      </c>
      <c r="C5" s="72" t="s">
        <v>35</v>
      </c>
      <c r="D5" s="96">
        <f>IFERROR(AVERAGEIFS('2024'!AF:AF,'2024'!$C:$C,$B5,'2024'!$F:$F,$C5),"N/A")</f>
        <v>900</v>
      </c>
      <c r="E5" s="96">
        <f>IFERROR(AVERAGEIFS('2024'!AH:AH,'2024'!$C:$C,$B5,'2024'!$F:$F,$C5),"N/A")</f>
        <v>1200</v>
      </c>
      <c r="F5" s="97">
        <v>2.1490408095713303</v>
      </c>
      <c r="G5" s="97">
        <f>IFERROR(AVERAGEIFS('2024'!AL:AL,'2024'!$C:$C,$B5,'2024'!$F:$F,$C5),"N/A")</f>
        <v>3.4612695050364906</v>
      </c>
      <c r="H5" s="97">
        <v>1.883395757448211</v>
      </c>
      <c r="I5" s="97">
        <f>IFERROR(AVERAGEIFS('2024'!AO:AO,'2024'!$C:$C,$B5,'2024'!$F:$F,$C5),"N/A")</f>
        <v>3.2925236605527224</v>
      </c>
    </row>
    <row r="6" spans="2:9" x14ac:dyDescent="0.25">
      <c r="B6" s="72" t="s">
        <v>36</v>
      </c>
      <c r="C6" s="72" t="s">
        <v>210</v>
      </c>
      <c r="D6" s="96">
        <f>IFERROR(AVERAGEIFS('2024'!AF:AF,'2024'!$C:$C,$B6,'2024'!$F:$F,$C6),"N/A")</f>
        <v>250</v>
      </c>
      <c r="E6" s="96">
        <f>IFERROR(AVERAGEIFS('2024'!AH:AH,'2024'!$C:$C,$B6,'2024'!$F:$F,$C6),"N/A")</f>
        <v>250</v>
      </c>
      <c r="F6" s="97" t="s">
        <v>88</v>
      </c>
      <c r="G6" s="97">
        <f>IFERROR(AVERAGEIFS('2024'!AL:AL,'2024'!$C:$C,$B6,'2024'!$F:$F,$C6),"N/A")</f>
        <v>0</v>
      </c>
      <c r="H6" s="97" t="s">
        <v>88</v>
      </c>
      <c r="I6" s="97" t="str">
        <f>IFERROR(AVERAGEIFS('2024'!AO:AO,'2024'!$C:$C,$B6,'2024'!$F:$F,$C6),"N/A")</f>
        <v>N/A</v>
      </c>
    </row>
    <row r="7" spans="2:9" x14ac:dyDescent="0.25">
      <c r="B7" s="72" t="s">
        <v>37</v>
      </c>
      <c r="C7" s="72" t="s">
        <v>211</v>
      </c>
      <c r="D7" s="96">
        <f>IFERROR(AVERAGEIFS('2024'!AF:AF,'2024'!$C:$C,$B7,'2024'!$F:$F,$C7),"N/A")</f>
        <v>500</v>
      </c>
      <c r="E7" s="96">
        <f>IFERROR(AVERAGEIFS('2024'!AH:AH,'2024'!$C:$C,$B7,'2024'!$F:$F,$C7),"N/A")</f>
        <v>1000</v>
      </c>
      <c r="F7" s="97" t="s">
        <v>88</v>
      </c>
      <c r="G7" s="97">
        <f>IFERROR(AVERAGEIFS('2024'!AL:AL,'2024'!$C:$C,$B7,'2024'!$F:$F,$C7),"N/A")</f>
        <v>0</v>
      </c>
      <c r="H7" s="97" t="s">
        <v>88</v>
      </c>
      <c r="I7" s="97" t="str">
        <f>IFERROR(AVERAGEIFS('2024'!AO:AO,'2024'!$C:$C,$B7,'2024'!$F:$F,$C7),"N/A")</f>
        <v>N/A</v>
      </c>
    </row>
    <row r="8" spans="2:9" x14ac:dyDescent="0.25">
      <c r="B8" s="72" t="s">
        <v>212</v>
      </c>
      <c r="C8" s="72" t="s">
        <v>213</v>
      </c>
      <c r="D8" s="96">
        <f>IFERROR(AVERAGEIFS('2024'!AF:AF,'2024'!$C:$C,$B8,'2024'!$F:$F,$C8),"N/A")</f>
        <v>1.25</v>
      </c>
      <c r="E8" s="96">
        <f>IFERROR(AVERAGEIFS('2024'!AH:AH,'2024'!$C:$C,$B8,'2024'!$F:$F,$C8),"N/A")</f>
        <v>2</v>
      </c>
      <c r="F8" s="97">
        <v>1.7938915798916855</v>
      </c>
      <c r="G8" s="97">
        <f>IFERROR(AVERAGEIFS('2024'!AL:AL,'2024'!$C:$C,$B8,'2024'!$F:$F,$C8),"N/A")</f>
        <v>5.8246045568406641</v>
      </c>
      <c r="H8" s="97">
        <v>2.8351234745649019</v>
      </c>
      <c r="I8" s="97">
        <f>IFERROR(AVERAGEIFS('2024'!AO:AO,'2024'!$C:$C,$B8,'2024'!$F:$F,$C8),"N/A")</f>
        <v>5.9395277643646471</v>
      </c>
    </row>
    <row r="9" spans="2:9" x14ac:dyDescent="0.25">
      <c r="B9" s="72" t="s">
        <v>40</v>
      </c>
      <c r="C9" s="72" t="s">
        <v>32</v>
      </c>
      <c r="D9" s="96">
        <f>IFERROR(AVERAGEIFS('2024'!AF:AF,'2024'!$C:$C,$B9,'2024'!$F:$F,$C9),"N/A")</f>
        <v>900</v>
      </c>
      <c r="E9" s="96">
        <f>IFERROR(AVERAGEIFS('2024'!AH:AH,'2024'!$C:$C,$B9,'2024'!$F:$F,$C9),"N/A")</f>
        <v>1500</v>
      </c>
      <c r="F9" s="97">
        <v>2.594802316379881</v>
      </c>
      <c r="G9" s="97">
        <f>IFERROR(AVERAGEIFS('2024'!AL:AL,'2024'!$C:$C,$B9,'2024'!$F:$F,$C9),"N/A")</f>
        <v>1.741495732918775</v>
      </c>
      <c r="H9" s="97">
        <v>1.4558782423556087</v>
      </c>
      <c r="I9" s="97">
        <f>IFERROR(AVERAGEIFS('2024'!AO:AO,'2024'!$C:$C,$B9,'2024'!$F:$F,$C9),"N/A")</f>
        <v>2.1760552472787675</v>
      </c>
    </row>
    <row r="10" spans="2:9" x14ac:dyDescent="0.25">
      <c r="B10" s="95" t="s">
        <v>41</v>
      </c>
      <c r="C10" s="95" t="s">
        <v>42</v>
      </c>
      <c r="D10" s="96">
        <f>IFERROR(AVERAGEIFS('2024'!AF:AF,'2024'!$C:$C,$B10,'2024'!$F:$F,$C10),"N/A")</f>
        <v>1</v>
      </c>
      <c r="E10" s="96">
        <f>IFERROR(AVERAGEIFS('2024'!AH:AH,'2024'!$C:$C,$B10,'2024'!$F:$F,$C10),"N/A")</f>
        <v>2</v>
      </c>
      <c r="F10" s="97">
        <v>7.0600194182980474</v>
      </c>
      <c r="G10" s="97">
        <f>IFERROR(AVERAGEIFS('2024'!AL:AL,'2024'!$C:$C,$B10,'2024'!$F:$F,$C10),"N/A")</f>
        <v>6.4917081433803299</v>
      </c>
      <c r="H10" s="97">
        <v>14.697224053150093</v>
      </c>
      <c r="I10" s="97">
        <f>IFERROR(AVERAGEIFS('2024'!AO:AO,'2024'!$C:$C,$B10,'2024'!$F:$F,$C10),"N/A")</f>
        <v>5.5375794440432271</v>
      </c>
    </row>
    <row r="11" spans="2:9" x14ac:dyDescent="0.25">
      <c r="B11" s="95" t="s">
        <v>43</v>
      </c>
      <c r="C11" s="95" t="s">
        <v>44</v>
      </c>
      <c r="D11" s="96">
        <f>IFERROR(AVERAGEIFS('2024'!AF:AF,'2024'!$C:$C,$B11,'2024'!$F:$F,$C11),"N/A")</f>
        <v>150</v>
      </c>
      <c r="E11" s="96">
        <f>IFERROR(AVERAGEIFS('2024'!AH:AH,'2024'!$C:$C,$B11,'2024'!$F:$F,$C11),"N/A")</f>
        <v>500</v>
      </c>
      <c r="F11" s="97">
        <v>4.1733682747016934</v>
      </c>
      <c r="G11" s="97">
        <f>IFERROR(AVERAGEIFS('2024'!AL:AL,'2024'!$C:$C,$B11,'2024'!$F:$F,$C11),"N/A")</f>
        <v>3.7756526046843351</v>
      </c>
      <c r="H11" s="97">
        <v>1.3611349711819496</v>
      </c>
      <c r="I11" s="97">
        <f>IFERROR(AVERAGEIFS('2024'!AO:AO,'2024'!$C:$C,$B11,'2024'!$F:$F,$C11),"N/A")</f>
        <v>3.1583672187622476</v>
      </c>
    </row>
    <row r="12" spans="2:9" x14ac:dyDescent="0.25">
      <c r="B12" s="95" t="s">
        <v>47</v>
      </c>
      <c r="C12" s="95" t="s">
        <v>48</v>
      </c>
      <c r="D12" s="96">
        <f>IFERROR(AVERAGEIFS('2024'!AF:AF,'2024'!$C:$C,$B12,'2024'!$F:$F,$C12),"N/A")</f>
        <v>50</v>
      </c>
      <c r="E12" s="96">
        <f>IFERROR(AVERAGEIFS('2024'!AH:AH,'2024'!$C:$C,$B12,'2024'!$F:$F,$C12),"N/A")</f>
        <v>50</v>
      </c>
      <c r="F12" s="97">
        <v>1.5210947140773252</v>
      </c>
      <c r="G12" s="97">
        <f>IFERROR(AVERAGEIFS('2024'!AL:AL,'2024'!$C:$C,$B12,'2024'!$F:$F,$C12),"N/A")</f>
        <v>1.5650080226770482</v>
      </c>
      <c r="H12" s="97">
        <v>1.2531984634077713</v>
      </c>
      <c r="I12" s="97">
        <f>IFERROR(AVERAGEIFS('2024'!AO:AO,'2024'!$C:$C,$B12,'2024'!$F:$F,$C12),"N/A")</f>
        <v>1.3913973624504949</v>
      </c>
    </row>
    <row r="13" spans="2:9" x14ac:dyDescent="0.25">
      <c r="B13" s="95" t="s">
        <v>217</v>
      </c>
      <c r="C13" s="95" t="s">
        <v>217</v>
      </c>
      <c r="D13" s="96">
        <f>IFERROR(AVERAGEIFS('2024'!AF:AF,'2024'!$C:$C,$B13,'2024'!$F:$F,$C13),"N/A")</f>
        <v>75</v>
      </c>
      <c r="E13" s="96">
        <f>IFERROR(AVERAGEIFS('2024'!AH:AH,'2024'!$C:$C,$B13,'2024'!$F:$F,$C13),"N/A")</f>
        <v>75</v>
      </c>
      <c r="F13" s="97">
        <v>0.92379006257720819</v>
      </c>
      <c r="G13" s="97">
        <f>IFERROR(AVERAGEIFS('2024'!AL:AL,'2024'!$C:$C,$B13,'2024'!$F:$F,$C13),"N/A")</f>
        <v>1.8759190676407567</v>
      </c>
      <c r="H13" s="97">
        <v>0.40181866129309601</v>
      </c>
      <c r="I13" s="97">
        <f>IFERROR(AVERAGEIFS('2024'!AO:AO,'2024'!$C:$C,$B13,'2024'!$F:$F,$C13),"N/A")</f>
        <v>1.0855770280007331</v>
      </c>
    </row>
    <row r="14" spans="2:9" x14ac:dyDescent="0.25">
      <c r="B14" s="95" t="s">
        <v>49</v>
      </c>
      <c r="C14" s="95" t="s">
        <v>214</v>
      </c>
      <c r="D14" s="96">
        <f>IFERROR(AVERAGEIFS('2024'!AF:AF,'2024'!$C:$C,$B14,'2024'!$F:$F,$C14),"N/A")</f>
        <v>1.25</v>
      </c>
      <c r="E14" s="96">
        <f>IFERROR(AVERAGEIFS('2024'!AH:AH,'2024'!$C:$C,$B14,'2024'!$F:$F,$C14),"N/A")</f>
        <v>2</v>
      </c>
      <c r="F14" s="97">
        <v>1.9923827968697987</v>
      </c>
      <c r="G14" s="97">
        <f>IFERROR(AVERAGEIFS('2024'!AL:AL,'2024'!$C:$C,$B14,'2024'!$F:$F,$C14),"N/A")</f>
        <v>1.5162083092386123</v>
      </c>
      <c r="H14" s="97">
        <v>1.8547853267717882</v>
      </c>
      <c r="I14" s="97">
        <f>IFERROR(AVERAGEIFS('2024'!AO:AO,'2024'!$C:$C,$B14,'2024'!$F:$F,$C14),"N/A")</f>
        <v>1.8899959294364825</v>
      </c>
    </row>
    <row r="15" spans="2:9" x14ac:dyDescent="0.25">
      <c r="B15" s="95" t="s">
        <v>50</v>
      </c>
      <c r="C15" s="95" t="s">
        <v>51</v>
      </c>
      <c r="D15" s="96">
        <f>IFERROR(AVERAGEIFS('2024'!AF:AF,'2024'!$C:$C,$B15,'2024'!$F:$F,$C15),"N/A")</f>
        <v>1500</v>
      </c>
      <c r="E15" s="96">
        <f>IFERROR(AVERAGEIFS('2024'!AH:AH,'2024'!$C:$C,$B15,'2024'!$F:$F,$C15),"N/A")</f>
        <v>1500</v>
      </c>
      <c r="F15" s="97">
        <v>1.7942200609834429</v>
      </c>
      <c r="G15" s="97">
        <f>IFERROR(AVERAGEIFS('2024'!AL:AL,'2024'!$C:$C,$B15,'2024'!$F:$F,$C15),"N/A")</f>
        <v>2.9893448861232437</v>
      </c>
      <c r="H15" s="97">
        <v>0.54599560861580532</v>
      </c>
      <c r="I15" s="97">
        <f>IFERROR(AVERAGEIFS('2024'!AO:AO,'2024'!$C:$C,$B15,'2024'!$F:$F,$C15),"N/A")</f>
        <v>1.0861631294545044</v>
      </c>
    </row>
    <row r="16" spans="2:9" x14ac:dyDescent="0.25">
      <c r="B16" s="95" t="s">
        <v>52</v>
      </c>
      <c r="C16" s="95" t="s">
        <v>52</v>
      </c>
      <c r="D16" s="96">
        <f>IFERROR(AVERAGEIFS('2024'!AF:AF,'2024'!$C:$C,$B16,'2024'!$F:$F,$C16),"N/A")</f>
        <v>100</v>
      </c>
      <c r="E16" s="96">
        <f>IFERROR(AVERAGEIFS('2024'!AH:AH,'2024'!$C:$C,$B16,'2024'!$F:$F,$C16),"N/A")</f>
        <v>100</v>
      </c>
      <c r="F16" s="97">
        <v>5.8416357108540993</v>
      </c>
      <c r="G16" s="97">
        <f>IFERROR(AVERAGEIFS('2024'!AL:AL,'2024'!$C:$C,$B16,'2024'!$F:$F,$C16),"N/A")</f>
        <v>6.1645761273359243</v>
      </c>
      <c r="H16" s="97">
        <v>3.2542220912333324</v>
      </c>
      <c r="I16" s="97">
        <f>IFERROR(AVERAGEIFS('2024'!AO:AO,'2024'!$C:$C,$B16,'2024'!$F:$F,$C16),"N/A")</f>
        <v>1.866865062979002</v>
      </c>
    </row>
    <row r="17" spans="2:9" x14ac:dyDescent="0.25">
      <c r="B17" s="95" t="s">
        <v>54</v>
      </c>
      <c r="C17" s="95" t="s">
        <v>55</v>
      </c>
      <c r="D17" s="96">
        <f>IFERROR(AVERAGEIFS('2024'!AF:AF,'2024'!$C:$C,$B17,'2024'!$F:$F,$C17),"N/A")</f>
        <v>300</v>
      </c>
      <c r="E17" s="96">
        <f>IFERROR(AVERAGEIFS('2024'!AH:AH,'2024'!$C:$C,$B17,'2024'!$F:$F,$C17),"N/A")</f>
        <v>300</v>
      </c>
      <c r="F17" s="97">
        <v>2.6030729870043778</v>
      </c>
      <c r="G17" s="97">
        <f>IFERROR(AVERAGEIFS('2024'!AL:AL,'2024'!$C:$C,$B17,'2024'!$F:$F,$C17),"N/A")</f>
        <v>1.6151690044990317</v>
      </c>
      <c r="H17" s="97">
        <v>1.9827005021382715</v>
      </c>
      <c r="I17" s="97">
        <f>IFERROR(AVERAGEIFS('2024'!AO:AO,'2024'!$C:$C,$B17,'2024'!$F:$F,$C17),"N/A")</f>
        <v>1.5978565715952731</v>
      </c>
    </row>
    <row r="18" spans="2:9" x14ac:dyDescent="0.25">
      <c r="B18" s="95" t="s">
        <v>56</v>
      </c>
      <c r="C18" s="95" t="s">
        <v>57</v>
      </c>
      <c r="D18" s="96">
        <f>IFERROR(AVERAGEIFS('2024'!AF:AF,'2024'!$C:$C,$B18,'2024'!$F:$F,$C18),"N/A")</f>
        <v>150</v>
      </c>
      <c r="E18" s="96">
        <f>IFERROR(AVERAGEIFS('2024'!AH:AH,'2024'!$C:$C,$B18,'2024'!$F:$F,$C18),"N/A")</f>
        <v>150</v>
      </c>
      <c r="F18" s="97">
        <v>2.9809799404675297</v>
      </c>
      <c r="G18" s="97">
        <f>IFERROR(AVERAGEIFS('2024'!AL:AL,'2024'!$C:$C,$B18,'2024'!$F:$F,$C18),"N/A")</f>
        <v>2.37443666188268</v>
      </c>
      <c r="H18" s="97">
        <v>1.8131512588480045</v>
      </c>
      <c r="I18" s="97">
        <f>IFERROR(AVERAGEIFS('2024'!AO:AO,'2024'!$C:$C,$B18,'2024'!$F:$F,$C18),"N/A")</f>
        <v>0.36482283934687421</v>
      </c>
    </row>
    <row r="19" spans="2:9" x14ac:dyDescent="0.25">
      <c r="B19" s="95" t="s">
        <v>58</v>
      </c>
      <c r="C19" s="95" t="s">
        <v>59</v>
      </c>
      <c r="D19" s="96">
        <f>IFERROR(AVERAGEIFS('2024'!AF:AF,'2024'!$C:$C,$B19,'2024'!$F:$F,$C19),"N/A")</f>
        <v>25</v>
      </c>
      <c r="E19" s="96">
        <f>IFERROR(AVERAGEIFS('2024'!AH:AH,'2024'!$C:$C,$B19,'2024'!$F:$F,$C19),"N/A")</f>
        <v>50</v>
      </c>
      <c r="F19" s="97">
        <v>4.0674855443108298</v>
      </c>
      <c r="G19" s="97">
        <f>IFERROR(AVERAGEIFS('2024'!AL:AL,'2024'!$C:$C,$B19,'2024'!$F:$F,$C19),"N/A")</f>
        <v>3.9036835183801095</v>
      </c>
      <c r="H19" s="97">
        <v>2.9416081017135443</v>
      </c>
      <c r="I19" s="97">
        <f>IFERROR(AVERAGEIFS('2024'!AO:AO,'2024'!$C:$C,$B19,'2024'!$F:$F,$C19),"N/A")</f>
        <v>3.870335206700942</v>
      </c>
    </row>
    <row r="20" spans="2:9" x14ac:dyDescent="0.25">
      <c r="B20" s="95" t="s">
        <v>215</v>
      </c>
      <c r="C20" s="95" t="s">
        <v>216</v>
      </c>
      <c r="D20" s="96">
        <f>IFERROR(AVERAGEIFS('2024'!AF:AF,'2024'!$C:$C,$B20,'2024'!$F:$F,$C20),"N/A")</f>
        <v>1.25</v>
      </c>
      <c r="E20" s="96">
        <f>IFERROR(AVERAGEIFS('2024'!AH:AH,'2024'!$C:$C,$B20,'2024'!$F:$F,$C20),"N/A")</f>
        <v>2</v>
      </c>
      <c r="F20" s="97">
        <v>2.9781359693179446</v>
      </c>
      <c r="G20" s="97">
        <f>IFERROR(AVERAGEIFS('2024'!AL:AL,'2024'!$C:$C,$B20,'2024'!$F:$F,$C20),"N/A")</f>
        <v>3.2377816754093667</v>
      </c>
      <c r="H20" s="97">
        <v>2.8452144592758954</v>
      </c>
      <c r="I20" s="97">
        <f>IFERROR(AVERAGEIFS('2024'!AO:AO,'2024'!$C:$C,$B20,'2024'!$F:$F,$C20),"N/A")</f>
        <v>3.6719103349494531</v>
      </c>
    </row>
    <row r="21" spans="2:9" x14ac:dyDescent="0.25">
      <c r="B21" s="95" t="s">
        <v>61</v>
      </c>
      <c r="C21" s="95" t="s">
        <v>62</v>
      </c>
      <c r="D21" s="96">
        <f>IFERROR(AVERAGEIFS('2024'!AF:AF,'2024'!$C:$C,$B21,'2024'!$F:$F,$C21),"N/A")</f>
        <v>300</v>
      </c>
      <c r="E21" s="96">
        <f>IFERROR(AVERAGEIFS('2024'!AH:AH,'2024'!$C:$C,$B21,'2024'!$F:$F,$C21),"N/A")</f>
        <v>500</v>
      </c>
      <c r="F21" s="97">
        <v>2.2387869092063544</v>
      </c>
      <c r="G21" s="97">
        <f>IFERROR(AVERAGEIFS('2024'!AL:AL,'2024'!$C:$C,$B21,'2024'!$F:$F,$C21),"N/A")</f>
        <v>3.0700251760459931</v>
      </c>
      <c r="H21" s="97">
        <v>1.1291121026744473</v>
      </c>
      <c r="I21" s="97">
        <f>IFERROR(AVERAGEIFS('2024'!AO:AO,'2024'!$C:$C,$B21,'2024'!$F:$F,$C21),"N/A")</f>
        <v>1.6902197086947319</v>
      </c>
    </row>
    <row r="22" spans="2:9" x14ac:dyDescent="0.25">
      <c r="B22" s="95" t="s">
        <v>63</v>
      </c>
      <c r="C22" s="95" t="s">
        <v>64</v>
      </c>
      <c r="D22" s="96">
        <f>IFERROR(AVERAGEIFS('2024'!AF:AF,'2024'!$C:$C,$B22,'2024'!$F:$F,$C22),"N/A")</f>
        <v>9</v>
      </c>
      <c r="E22" s="96">
        <f>IFERROR(AVERAGEIFS('2024'!AH:AH,'2024'!$C:$C,$B22,'2024'!$F:$F,$C22),"N/A")</f>
        <v>9</v>
      </c>
      <c r="F22" s="97">
        <v>1.899276434966011</v>
      </c>
      <c r="G22" s="97">
        <f>IFERROR(AVERAGEIFS('2024'!AL:AL,'2024'!$C:$C,$B22,'2024'!$F:$F,$C22),"N/A")</f>
        <v>2.0557279558493979</v>
      </c>
      <c r="H22" s="97">
        <v>0.56836187204582844</v>
      </c>
      <c r="I22" s="97">
        <f>IFERROR(AVERAGEIFS('2024'!AO:AO,'2024'!$C:$C,$B22,'2024'!$F:$F,$C22),"N/A")</f>
        <v>0.7783528074359678</v>
      </c>
    </row>
    <row r="23" spans="2:9" x14ac:dyDescent="0.25">
      <c r="B23" s="95" t="s">
        <v>65</v>
      </c>
      <c r="C23" s="95" t="s">
        <v>66</v>
      </c>
      <c r="D23" s="96">
        <f>IFERROR(AVERAGEIFS('2024'!AF:AF,'2024'!$C:$C,$B23,'2024'!$F:$F,$C23),"N/A")</f>
        <v>7</v>
      </c>
      <c r="E23" s="96">
        <f>IFERROR(AVERAGEIFS('2024'!AH:AH,'2024'!$C:$C,$B23,'2024'!$F:$F,$C23),"N/A")</f>
        <v>7</v>
      </c>
      <c r="F23" s="97">
        <v>2.958416153116981</v>
      </c>
      <c r="G23" s="97">
        <f>IFERROR(AVERAGEIFS('2024'!AL:AL,'2024'!$C:$C,$B23,'2024'!$F:$F,$C23),"N/A")</f>
        <v>3.2779550734959519</v>
      </c>
      <c r="H23" s="97">
        <v>0.87941902659001003</v>
      </c>
      <c r="I23" s="97">
        <f>IFERROR(AVERAGEIFS('2024'!AO:AO,'2024'!$C:$C,$B23,'2024'!$F:$F,$C23),"N/A")</f>
        <v>0.87227810403728634</v>
      </c>
    </row>
    <row r="24" spans="2:9" ht="15.75" thickBot="1" x14ac:dyDescent="0.3">
      <c r="B24" s="107" t="s">
        <v>67</v>
      </c>
      <c r="C24" s="107" t="s">
        <v>68</v>
      </c>
      <c r="D24" s="108">
        <f>IFERROR(AVERAGEIFS('2024'!AF:AF,'2024'!$C:$C,$B24,'2024'!$F:$F,$C24),"N/A")</f>
        <v>5</v>
      </c>
      <c r="E24" s="108">
        <f>IFERROR(AVERAGEIFS('2024'!AH:AH,'2024'!$C:$C,$B24,'2024'!$F:$F,$C24),"N/A")</f>
        <v>5</v>
      </c>
      <c r="F24" s="109">
        <v>2.67999815341493</v>
      </c>
      <c r="G24" s="109">
        <f>IFERROR(AVERAGEIFS('2024'!AL:AL,'2024'!$C:$C,$B24,'2024'!$F:$F,$C24),"N/A")</f>
        <v>4.3689348431725383</v>
      </c>
      <c r="H24" s="109">
        <v>0.57725524021757768</v>
      </c>
      <c r="I24" s="109">
        <f>IFERROR(AVERAGEIFS('2024'!AO:AO,'2024'!$C:$C,$B24,'2024'!$F:$F,$C24),"N/A")</f>
        <v>0.87243207827262026</v>
      </c>
    </row>
    <row r="25" spans="2:9" ht="15.75" thickTop="1" x14ac:dyDescent="0.25">
      <c r="B25" s="120" t="s">
        <v>204</v>
      </c>
      <c r="C25" s="120"/>
      <c r="D25" s="105"/>
      <c r="E25" s="105"/>
      <c r="F25" s="106">
        <v>2.2585151372945007</v>
      </c>
      <c r="G25" s="106">
        <f>'2024'!AL78</f>
        <v>3.9816528521276555</v>
      </c>
      <c r="H25" s="106">
        <v>2.2179999239032524</v>
      </c>
      <c r="I25" s="106">
        <f>'2024'!AO78</f>
        <v>3.1943955375983619</v>
      </c>
    </row>
  </sheetData>
  <autoFilter ref="B2:I2" xr:uid="{7B37838B-D60A-476E-8845-BF210C0DB546}"/>
  <mergeCells count="1">
    <mergeCell ref="B25:C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G65"/>
  <sheetViews>
    <sheetView workbookViewId="0">
      <pane ySplit="4" topLeftCell="A44" activePane="bottomLeft" state="frozen"/>
      <selection pane="bottomLeft" activeCell="K16" sqref="K16"/>
    </sheetView>
  </sheetViews>
  <sheetFormatPr defaultRowHeight="15" x14ac:dyDescent="0.25"/>
  <cols>
    <col min="1" max="7" width="13.28515625" customWidth="1"/>
  </cols>
  <sheetData>
    <row r="1" spans="1:7" ht="15" customHeight="1" x14ac:dyDescent="0.25">
      <c r="A1" s="125" t="s">
        <v>71</v>
      </c>
      <c r="B1" s="125"/>
      <c r="C1" s="125"/>
      <c r="D1" s="125"/>
      <c r="E1" s="125"/>
      <c r="F1" s="125"/>
      <c r="G1" s="125"/>
    </row>
    <row r="2" spans="1:7" ht="15" customHeight="1" x14ac:dyDescent="0.25">
      <c r="A2" s="125" t="s">
        <v>72</v>
      </c>
      <c r="B2" s="125"/>
      <c r="C2" s="125"/>
      <c r="D2" s="125"/>
      <c r="E2" s="125"/>
      <c r="F2" s="125"/>
      <c r="G2" s="125"/>
    </row>
    <row r="3" spans="1:7" ht="15" customHeight="1" x14ac:dyDescent="0.25">
      <c r="A3" s="125" t="s">
        <v>73</v>
      </c>
      <c r="B3" s="125"/>
      <c r="C3" s="125"/>
      <c r="D3" s="125"/>
      <c r="E3" s="125"/>
      <c r="F3" s="125"/>
      <c r="G3" s="125"/>
    </row>
    <row r="4" spans="1:7" ht="15" customHeight="1" x14ac:dyDescent="0.25">
      <c r="A4" s="125" t="s">
        <v>74</v>
      </c>
      <c r="B4" s="125"/>
      <c r="C4" s="125"/>
      <c r="D4" s="125"/>
      <c r="E4" s="125"/>
      <c r="F4" s="125"/>
      <c r="G4" s="125"/>
    </row>
    <row r="5" spans="1:7" ht="15" customHeight="1" x14ac:dyDescent="0.25">
      <c r="A5" s="126"/>
      <c r="B5" s="126"/>
      <c r="C5" s="126"/>
      <c r="D5" s="126"/>
      <c r="E5" s="126"/>
      <c r="F5" s="126"/>
      <c r="G5" s="126"/>
    </row>
    <row r="6" spans="1:7" ht="60" customHeight="1" x14ac:dyDescent="0.25">
      <c r="A6" s="29"/>
      <c r="B6" s="30" t="s">
        <v>75</v>
      </c>
      <c r="C6" s="30" t="s">
        <v>76</v>
      </c>
      <c r="D6" s="30" t="s">
        <v>77</v>
      </c>
      <c r="E6" s="30" t="s">
        <v>78</v>
      </c>
      <c r="F6" s="30" t="s">
        <v>79</v>
      </c>
      <c r="G6" s="30" t="s">
        <v>80</v>
      </c>
    </row>
    <row r="7" spans="1:7" ht="15" customHeight="1" x14ac:dyDescent="0.25">
      <c r="A7" s="29"/>
      <c r="B7" s="30"/>
      <c r="C7" s="30"/>
      <c r="D7" s="30"/>
      <c r="E7" s="30"/>
      <c r="F7" s="30"/>
      <c r="G7" s="30"/>
    </row>
    <row r="8" spans="1:7" ht="15" customHeight="1" x14ac:dyDescent="0.25">
      <c r="A8" s="29"/>
      <c r="B8" s="30"/>
      <c r="C8" s="30"/>
      <c r="D8" s="30"/>
      <c r="E8" s="30"/>
      <c r="F8" s="30"/>
      <c r="G8" s="30"/>
    </row>
    <row r="9" spans="1:7" ht="15" customHeight="1" x14ac:dyDescent="0.25">
      <c r="A9" s="29"/>
      <c r="B9" s="30"/>
      <c r="C9" s="30"/>
      <c r="D9" s="30"/>
      <c r="E9" s="30"/>
      <c r="F9" s="30"/>
      <c r="G9" s="30"/>
    </row>
    <row r="10" spans="1:7" ht="15" customHeight="1" x14ac:dyDescent="0.25">
      <c r="A10" s="101">
        <v>2023</v>
      </c>
      <c r="B10" s="101">
        <v>1</v>
      </c>
      <c r="C10" s="102">
        <v>1.3148844530405923</v>
      </c>
      <c r="D10" s="102">
        <v>1.3148844530405923</v>
      </c>
      <c r="E10" s="102">
        <f>D10</f>
        <v>1.3148844530405923</v>
      </c>
      <c r="F10" s="101" t="s">
        <v>81</v>
      </c>
      <c r="G10" s="103">
        <f>E10*(1+F10)</f>
        <v>1.4463728983446518</v>
      </c>
    </row>
    <row r="11" spans="1:7" ht="15" customHeight="1" x14ac:dyDescent="0.25">
      <c r="A11" s="101">
        <v>2024</v>
      </c>
      <c r="B11" s="101">
        <v>2</v>
      </c>
      <c r="C11" s="102">
        <v>1.189830583020383</v>
      </c>
      <c r="D11" s="102">
        <v>1.2500360105212143</v>
      </c>
      <c r="E11" s="102">
        <f>D11+E10</f>
        <v>2.5649204635618066</v>
      </c>
      <c r="F11" s="101" t="s">
        <v>81</v>
      </c>
      <c r="G11" s="103">
        <f>E11*(1+F11)</f>
        <v>2.8214125099179874</v>
      </c>
    </row>
    <row r="12" spans="1:7" ht="15" customHeight="1" x14ac:dyDescent="0.25">
      <c r="A12" s="101">
        <v>2025</v>
      </c>
      <c r="B12" s="101">
        <v>3</v>
      </c>
      <c r="C12" s="102">
        <v>0.97767861798107436</v>
      </c>
      <c r="D12" s="102">
        <v>1.079122903347093</v>
      </c>
      <c r="E12" s="102">
        <f>D12+E11</f>
        <v>3.6440433669088996</v>
      </c>
      <c r="F12" s="101" t="s">
        <v>81</v>
      </c>
      <c r="G12" s="103">
        <f t="shared" ref="G12:G59" si="0">E12*(1+F12)</f>
        <v>4.0084477035997903</v>
      </c>
    </row>
    <row r="13" spans="1:7" ht="15" customHeight="1" x14ac:dyDescent="0.25">
      <c r="A13" s="101">
        <v>2026</v>
      </c>
      <c r="B13" s="101">
        <v>4</v>
      </c>
      <c r="C13" s="102">
        <v>0.82156059710277241</v>
      </c>
      <c r="D13" s="102">
        <v>0.95269040505322133</v>
      </c>
      <c r="E13" s="102">
        <f t="shared" ref="E13:E59" si="1">D13+E12</f>
        <v>4.5967337719621213</v>
      </c>
      <c r="F13" s="101" t="s">
        <v>81</v>
      </c>
      <c r="G13" s="103">
        <f t="shared" si="0"/>
        <v>5.0564071491583338</v>
      </c>
    </row>
    <row r="14" spans="1:7" ht="15" customHeight="1" x14ac:dyDescent="0.25">
      <c r="A14" s="101">
        <v>2027</v>
      </c>
      <c r="B14" s="101">
        <v>5</v>
      </c>
      <c r="C14" s="102">
        <v>0.84508639888784032</v>
      </c>
      <c r="D14" s="102">
        <v>1.029557716435715</v>
      </c>
      <c r="E14" s="102">
        <f t="shared" si="1"/>
        <v>5.6262914883978361</v>
      </c>
      <c r="F14" s="101" t="s">
        <v>81</v>
      </c>
      <c r="G14" s="103">
        <f t="shared" si="0"/>
        <v>6.1889206372376204</v>
      </c>
    </row>
    <row r="15" spans="1:7" ht="15" customHeight="1" x14ac:dyDescent="0.25">
      <c r="A15" s="101">
        <v>2028</v>
      </c>
      <c r="B15" s="101">
        <v>6</v>
      </c>
      <c r="C15" s="102">
        <v>0.79116461791015147</v>
      </c>
      <c r="D15" s="102">
        <v>1.0126371103782339</v>
      </c>
      <c r="E15" s="102">
        <f t="shared" si="1"/>
        <v>6.6389285987760704</v>
      </c>
      <c r="F15" s="101" t="s">
        <v>81</v>
      </c>
      <c r="G15" s="103">
        <f t="shared" si="0"/>
        <v>7.3028214586536784</v>
      </c>
    </row>
    <row r="16" spans="1:7" ht="15" customHeight="1" x14ac:dyDescent="0.25">
      <c r="A16" s="101">
        <v>2029</v>
      </c>
      <c r="B16" s="101">
        <v>7</v>
      </c>
      <c r="C16" s="102">
        <v>0.80689086376693353</v>
      </c>
      <c r="D16" s="102">
        <v>1.0850235810044973</v>
      </c>
      <c r="E16" s="102">
        <f t="shared" si="1"/>
        <v>7.7239521797805679</v>
      </c>
      <c r="F16" s="101" t="s">
        <v>81</v>
      </c>
      <c r="G16" s="103">
        <f t="shared" si="0"/>
        <v>8.4963473977586261</v>
      </c>
    </row>
    <row r="17" spans="1:7" ht="15" customHeight="1" x14ac:dyDescent="0.25">
      <c r="A17" s="101">
        <v>2030</v>
      </c>
      <c r="B17" s="101">
        <v>8</v>
      </c>
      <c r="C17" s="102">
        <v>1.9041029935858143</v>
      </c>
      <c r="D17" s="102">
        <v>2.6899995731679596</v>
      </c>
      <c r="E17" s="102">
        <f t="shared" si="1"/>
        <v>10.413951752948527</v>
      </c>
      <c r="F17" s="101" t="s">
        <v>81</v>
      </c>
      <c r="G17" s="103">
        <f t="shared" si="0"/>
        <v>11.455346928243381</v>
      </c>
    </row>
    <row r="18" spans="1:7" ht="15" customHeight="1" x14ac:dyDescent="0.25">
      <c r="A18" s="101">
        <v>2031</v>
      </c>
      <c r="B18" s="101">
        <v>9</v>
      </c>
      <c r="C18" s="102">
        <v>0.74595058336619113</v>
      </c>
      <c r="D18" s="102">
        <v>1.1071570495684548</v>
      </c>
      <c r="E18" s="102">
        <f t="shared" si="1"/>
        <v>11.521108802516983</v>
      </c>
      <c r="F18" s="101" t="s">
        <v>81</v>
      </c>
      <c r="G18" s="103">
        <f t="shared" si="0"/>
        <v>12.673219682768682</v>
      </c>
    </row>
    <row r="19" spans="1:7" ht="15" customHeight="1" x14ac:dyDescent="0.25">
      <c r="A19" s="101">
        <v>2032</v>
      </c>
      <c r="B19" s="101">
        <v>10</v>
      </c>
      <c r="C19" s="102">
        <v>0.66646118148211464</v>
      </c>
      <c r="D19" s="102">
        <v>1.0392294056902363</v>
      </c>
      <c r="E19" s="102">
        <f t="shared" si="1"/>
        <v>12.560338208207218</v>
      </c>
      <c r="F19" s="101" t="s">
        <v>81</v>
      </c>
      <c r="G19" s="103">
        <f t="shared" si="0"/>
        <v>13.816372029027942</v>
      </c>
    </row>
    <row r="20" spans="1:7" ht="15" customHeight="1" x14ac:dyDescent="0.25">
      <c r="A20" s="101">
        <v>2033</v>
      </c>
      <c r="B20" s="101">
        <v>11</v>
      </c>
      <c r="C20" s="102">
        <v>0.73054120823914637</v>
      </c>
      <c r="D20" s="102">
        <v>1.1967920158886738</v>
      </c>
      <c r="E20" s="102">
        <f t="shared" si="1"/>
        <v>13.757130224095892</v>
      </c>
      <c r="F20" s="101" t="s">
        <v>81</v>
      </c>
      <c r="G20" s="103">
        <f t="shared" si="0"/>
        <v>15.132843246505482</v>
      </c>
    </row>
    <row r="21" spans="1:7" ht="15" customHeight="1" x14ac:dyDescent="0.25">
      <c r="A21" s="101">
        <v>2034</v>
      </c>
      <c r="B21" s="101">
        <v>12</v>
      </c>
      <c r="C21" s="102">
        <v>0.674413834862158</v>
      </c>
      <c r="D21" s="102">
        <v>1.1607477003466722</v>
      </c>
      <c r="E21" s="102">
        <f t="shared" si="1"/>
        <v>14.917877924442564</v>
      </c>
      <c r="F21" s="101" t="s">
        <v>81</v>
      </c>
      <c r="G21" s="103">
        <f t="shared" si="0"/>
        <v>16.409665716886821</v>
      </c>
    </row>
    <row r="22" spans="1:7" ht="15" customHeight="1" x14ac:dyDescent="0.25">
      <c r="A22" s="101">
        <v>2035</v>
      </c>
      <c r="B22" s="101">
        <v>13</v>
      </c>
      <c r="C22" s="102">
        <v>0.65188416892664935</v>
      </c>
      <c r="D22" s="102">
        <v>1.1787431769770484</v>
      </c>
      <c r="E22" s="102">
        <f t="shared" si="1"/>
        <v>16.096621101419611</v>
      </c>
      <c r="F22" s="101" t="s">
        <v>81</v>
      </c>
      <c r="G22" s="103">
        <f t="shared" si="0"/>
        <v>17.706283211561573</v>
      </c>
    </row>
    <row r="23" spans="1:7" ht="15" customHeight="1" x14ac:dyDescent="0.25">
      <c r="A23" s="101">
        <v>2036</v>
      </c>
      <c r="B23" s="101">
        <v>14</v>
      </c>
      <c r="C23" s="102">
        <v>0.8299141812502816</v>
      </c>
      <c r="D23" s="102">
        <v>1.5765920771721413</v>
      </c>
      <c r="E23" s="102">
        <f t="shared" si="1"/>
        <v>17.673213178591752</v>
      </c>
      <c r="F23" s="101" t="s">
        <v>81</v>
      </c>
      <c r="G23" s="103">
        <f t="shared" si="0"/>
        <v>19.44053449645093</v>
      </c>
    </row>
    <row r="24" spans="1:7" ht="15" customHeight="1" x14ac:dyDescent="0.25">
      <c r="A24" s="101">
        <v>2037</v>
      </c>
      <c r="B24" s="101">
        <v>15</v>
      </c>
      <c r="C24" s="102">
        <v>0.56640063014363862</v>
      </c>
      <c r="D24" s="102">
        <v>1.1304393805194215</v>
      </c>
      <c r="E24" s="102">
        <f t="shared" si="1"/>
        <v>18.803652559111175</v>
      </c>
      <c r="F24" s="101" t="s">
        <v>81</v>
      </c>
      <c r="G24" s="103">
        <f t="shared" si="0"/>
        <v>20.684017815022294</v>
      </c>
    </row>
    <row r="25" spans="1:7" ht="15" customHeight="1" x14ac:dyDescent="0.25">
      <c r="A25" s="101">
        <v>2038</v>
      </c>
      <c r="B25" s="101">
        <v>16</v>
      </c>
      <c r="C25" s="102">
        <v>0.59756136768796009</v>
      </c>
      <c r="D25" s="102">
        <v>1.2529780402760189</v>
      </c>
      <c r="E25" s="102">
        <f t="shared" si="1"/>
        <v>20.056630599387194</v>
      </c>
      <c r="F25" s="101" t="s">
        <v>81</v>
      </c>
      <c r="G25" s="103">
        <f t="shared" si="0"/>
        <v>22.062293659325917</v>
      </c>
    </row>
    <row r="26" spans="1:7" ht="15" customHeight="1" x14ac:dyDescent="0.25">
      <c r="A26" s="101">
        <v>2039</v>
      </c>
      <c r="B26" s="101">
        <v>17</v>
      </c>
      <c r="C26" s="102">
        <v>0.57062856245426519</v>
      </c>
      <c r="D26" s="102">
        <v>1.2570479660457825</v>
      </c>
      <c r="E26" s="102">
        <f t="shared" si="1"/>
        <v>21.313678565432976</v>
      </c>
      <c r="F26" s="101" t="s">
        <v>81</v>
      </c>
      <c r="G26" s="103">
        <f t="shared" si="0"/>
        <v>23.445046421976276</v>
      </c>
    </row>
    <row r="27" spans="1:7" ht="15" customHeight="1" x14ac:dyDescent="0.25">
      <c r="A27" s="101">
        <v>2040</v>
      </c>
      <c r="B27" s="101">
        <v>18</v>
      </c>
      <c r="C27" s="102">
        <v>0.54546721092887562</v>
      </c>
      <c r="D27" s="102">
        <v>1.2624215206043277</v>
      </c>
      <c r="E27" s="102">
        <f t="shared" si="1"/>
        <v>22.576100086037304</v>
      </c>
      <c r="F27" s="101" t="s">
        <v>81</v>
      </c>
      <c r="G27" s="103">
        <f t="shared" si="0"/>
        <v>24.833710094641035</v>
      </c>
    </row>
    <row r="28" spans="1:7" ht="15" customHeight="1" x14ac:dyDescent="0.25">
      <c r="A28" s="101">
        <v>2041</v>
      </c>
      <c r="B28" s="101">
        <v>19</v>
      </c>
      <c r="C28" s="102">
        <v>4.849040160222029</v>
      </c>
      <c r="D28" s="102">
        <v>11.790410268301173</v>
      </c>
      <c r="E28" s="102">
        <f t="shared" si="1"/>
        <v>34.366510354338473</v>
      </c>
      <c r="F28" s="101" t="s">
        <v>81</v>
      </c>
      <c r="G28" s="103">
        <f t="shared" si="0"/>
        <v>37.80316138977232</v>
      </c>
    </row>
    <row r="29" spans="1:7" ht="15" customHeight="1" x14ac:dyDescent="0.25">
      <c r="A29" s="101">
        <v>2042</v>
      </c>
      <c r="B29" s="101">
        <v>20</v>
      </c>
      <c r="C29" s="102">
        <v>0.52913764252848172</v>
      </c>
      <c r="D29" s="102">
        <v>1.3516965052603898</v>
      </c>
      <c r="E29" s="102">
        <f t="shared" si="1"/>
        <v>35.718206859598865</v>
      </c>
      <c r="F29" s="101" t="s">
        <v>81</v>
      </c>
      <c r="G29" s="103">
        <f t="shared" si="0"/>
        <v>39.290027545558758</v>
      </c>
    </row>
    <row r="30" spans="1:7" ht="15" customHeight="1" x14ac:dyDescent="0.25">
      <c r="A30" s="101">
        <v>2043</v>
      </c>
      <c r="B30" s="101">
        <v>21</v>
      </c>
      <c r="C30" s="102">
        <v>0.51625387367435427</v>
      </c>
      <c r="D30" s="102">
        <v>1.3855150662638094</v>
      </c>
      <c r="E30" s="102">
        <f t="shared" si="1"/>
        <v>37.103721925862672</v>
      </c>
      <c r="F30" s="101" t="s">
        <v>81</v>
      </c>
      <c r="G30" s="103">
        <f t="shared" si="0"/>
        <v>40.814094118448942</v>
      </c>
    </row>
    <row r="31" spans="1:7" ht="15" customHeight="1" x14ac:dyDescent="0.25">
      <c r="A31" s="101">
        <v>2044</v>
      </c>
      <c r="B31" s="101">
        <v>22</v>
      </c>
      <c r="C31" s="102">
        <v>0.50441414677563146</v>
      </c>
      <c r="D31" s="102">
        <v>1.4222390019238802</v>
      </c>
      <c r="E31" s="102">
        <f t="shared" si="1"/>
        <v>38.525960927786549</v>
      </c>
      <c r="F31" s="101" t="s">
        <v>81</v>
      </c>
      <c r="G31" s="103">
        <f t="shared" si="0"/>
        <v>42.378557020565211</v>
      </c>
    </row>
    <row r="32" spans="1:7" ht="15" customHeight="1" x14ac:dyDescent="0.25">
      <c r="A32" s="101">
        <v>2045</v>
      </c>
      <c r="B32" s="101">
        <v>23</v>
      </c>
      <c r="C32" s="102">
        <v>0.49357661508766254</v>
      </c>
      <c r="D32" s="102">
        <v>1.4621007422131342</v>
      </c>
      <c r="E32" s="102">
        <f t="shared" si="1"/>
        <v>39.988061669999681</v>
      </c>
      <c r="F32" s="101" t="s">
        <v>81</v>
      </c>
      <c r="G32" s="103">
        <f t="shared" si="0"/>
        <v>43.98686783699965</v>
      </c>
    </row>
    <row r="33" spans="1:7" ht="15" customHeight="1" x14ac:dyDescent="0.25">
      <c r="A33" s="101">
        <v>2046</v>
      </c>
      <c r="B33" s="101">
        <v>24</v>
      </c>
      <c r="C33" s="102">
        <v>0.48358384596315634</v>
      </c>
      <c r="D33" s="102">
        <v>1.5049840721453056</v>
      </c>
      <c r="E33" s="102">
        <f t="shared" si="1"/>
        <v>41.493045742144986</v>
      </c>
      <c r="F33" s="101" t="s">
        <v>81</v>
      </c>
      <c r="G33" s="103">
        <f t="shared" si="0"/>
        <v>45.64235031635949</v>
      </c>
    </row>
    <row r="34" spans="1:7" ht="15" customHeight="1" x14ac:dyDescent="0.25">
      <c r="A34" s="101">
        <v>2047</v>
      </c>
      <c r="B34" s="101">
        <v>25</v>
      </c>
      <c r="C34" s="102">
        <v>0.47433284487395849</v>
      </c>
      <c r="D34" s="102">
        <v>1.5508889917203941</v>
      </c>
      <c r="E34" s="102">
        <f t="shared" si="1"/>
        <v>43.043934733865377</v>
      </c>
      <c r="F34" s="101" t="s">
        <v>81</v>
      </c>
      <c r="G34" s="103">
        <f t="shared" si="0"/>
        <v>47.348328207251917</v>
      </c>
    </row>
    <row r="35" spans="1:7" ht="15" customHeight="1" x14ac:dyDescent="0.25">
      <c r="A35" s="101">
        <v>2048</v>
      </c>
      <c r="B35" s="101">
        <v>26</v>
      </c>
      <c r="C35" s="102">
        <v>0.46562933504002751</v>
      </c>
      <c r="D35" s="102">
        <v>1.5994668559796017</v>
      </c>
      <c r="E35" s="102">
        <f t="shared" si="1"/>
        <v>44.643401589844977</v>
      </c>
      <c r="F35" s="101" t="s">
        <v>81</v>
      </c>
      <c r="G35" s="103">
        <f t="shared" si="0"/>
        <v>49.107741748829476</v>
      </c>
    </row>
    <row r="36" spans="1:7" ht="15" customHeight="1" x14ac:dyDescent="0.25">
      <c r="A36" s="101">
        <v>2049</v>
      </c>
      <c r="B36" s="101">
        <v>27</v>
      </c>
      <c r="C36" s="102">
        <v>0.4574367633675559</v>
      </c>
      <c r="D36" s="102">
        <v>1.6508338799091946</v>
      </c>
      <c r="E36" s="102">
        <f t="shared" si="1"/>
        <v>46.29423546975417</v>
      </c>
      <c r="F36" s="101" t="s">
        <v>81</v>
      </c>
      <c r="G36" s="103">
        <f t="shared" si="0"/>
        <v>50.923659016729594</v>
      </c>
    </row>
    <row r="37" spans="1:7" ht="15" customHeight="1" x14ac:dyDescent="0.25">
      <c r="A37" s="101">
        <v>2050</v>
      </c>
      <c r="B37" s="101">
        <v>28</v>
      </c>
      <c r="C37" s="102">
        <v>0.44965822775527636</v>
      </c>
      <c r="D37" s="102">
        <v>1.704873848522906</v>
      </c>
      <c r="E37" s="102">
        <f t="shared" si="1"/>
        <v>47.999109318277078</v>
      </c>
      <c r="F37" s="101" t="s">
        <v>81</v>
      </c>
      <c r="G37" s="103">
        <f t="shared" si="0"/>
        <v>52.799020250104789</v>
      </c>
    </row>
    <row r="38" spans="1:7" ht="15" customHeight="1" x14ac:dyDescent="0.25">
      <c r="A38" s="101">
        <v>2051</v>
      </c>
      <c r="B38" s="101">
        <v>29</v>
      </c>
      <c r="C38" s="102">
        <v>0.44212219455623558</v>
      </c>
      <c r="D38" s="102">
        <v>1.7611219018756725</v>
      </c>
      <c r="E38" s="102">
        <f t="shared" si="1"/>
        <v>49.760231220152754</v>
      </c>
      <c r="F38" s="101" t="s">
        <v>81</v>
      </c>
      <c r="G38" s="103">
        <f t="shared" si="0"/>
        <v>54.736254342168031</v>
      </c>
    </row>
    <row r="39" spans="1:7" ht="15" customHeight="1" x14ac:dyDescent="0.25">
      <c r="A39" s="101">
        <v>2052</v>
      </c>
      <c r="B39" s="101">
        <v>30</v>
      </c>
      <c r="C39" s="102">
        <v>0.43482442006853489</v>
      </c>
      <c r="D39" s="102">
        <v>1.8196942549537602</v>
      </c>
      <c r="E39" s="102">
        <f t="shared" si="1"/>
        <v>51.579925475106513</v>
      </c>
      <c r="F39" s="101" t="s">
        <v>81</v>
      </c>
      <c r="G39" s="103">
        <f t="shared" si="0"/>
        <v>56.737918022617173</v>
      </c>
    </row>
    <row r="40" spans="1:7" ht="15" customHeight="1" x14ac:dyDescent="0.25">
      <c r="A40" s="101">
        <v>2053</v>
      </c>
      <c r="B40" s="101">
        <v>31</v>
      </c>
      <c r="C40" s="102">
        <v>0.42773268510355383</v>
      </c>
      <c r="D40" s="102">
        <v>1.8805909077571683</v>
      </c>
      <c r="E40" s="102">
        <f t="shared" si="1"/>
        <v>53.46051638286368</v>
      </c>
      <c r="F40" s="101" t="s">
        <v>81</v>
      </c>
      <c r="G40" s="103">
        <f t="shared" si="0"/>
        <v>58.806568021150056</v>
      </c>
    </row>
    <row r="41" spans="1:7" ht="15" customHeight="1" x14ac:dyDescent="0.25">
      <c r="A41" s="101">
        <v>2054</v>
      </c>
      <c r="B41" s="101">
        <v>32</v>
      </c>
      <c r="C41" s="102">
        <v>0.42081860968371099</v>
      </c>
      <c r="D41" s="102">
        <v>1.9438118602858978</v>
      </c>
      <c r="E41" s="102">
        <f t="shared" si="1"/>
        <v>55.404328243149578</v>
      </c>
      <c r="F41" s="101" t="s">
        <v>81</v>
      </c>
      <c r="G41" s="103">
        <f t="shared" si="0"/>
        <v>60.94476106746454</v>
      </c>
    </row>
    <row r="42" spans="1:7" ht="15" customHeight="1" x14ac:dyDescent="0.25">
      <c r="A42" s="101">
        <v>2055</v>
      </c>
      <c r="B42" s="101">
        <v>33</v>
      </c>
      <c r="C42" s="102">
        <v>0.41405729591411639</v>
      </c>
      <c r="D42" s="102">
        <v>2.0093571125399481</v>
      </c>
      <c r="E42" s="102">
        <f t="shared" si="1"/>
        <v>57.413685355689523</v>
      </c>
      <c r="F42" s="101" t="s">
        <v>81</v>
      </c>
      <c r="G42" s="103">
        <f t="shared" si="0"/>
        <v>63.155053891258483</v>
      </c>
    </row>
    <row r="43" spans="1:7" ht="15" customHeight="1" x14ac:dyDescent="0.25">
      <c r="A43" s="101">
        <v>2056</v>
      </c>
      <c r="B43" s="101">
        <v>34</v>
      </c>
      <c r="C43" s="102">
        <v>0.40742699933778326</v>
      </c>
      <c r="D43" s="102">
        <v>2.0772266645193196</v>
      </c>
      <c r="E43" s="102">
        <f t="shared" si="1"/>
        <v>59.490912020208846</v>
      </c>
      <c r="F43" s="101" t="s">
        <v>81</v>
      </c>
      <c r="G43" s="103">
        <f t="shared" si="0"/>
        <v>65.440003222229734</v>
      </c>
    </row>
    <row r="44" spans="1:7" ht="15" customHeight="1" x14ac:dyDescent="0.25">
      <c r="A44" s="101">
        <v>2057</v>
      </c>
      <c r="B44" s="101">
        <v>35</v>
      </c>
      <c r="C44" s="102">
        <v>0.40097391636124552</v>
      </c>
      <c r="D44" s="102">
        <v>2.1477691611828096</v>
      </c>
      <c r="E44" s="102">
        <f t="shared" si="1"/>
        <v>61.638681181391654</v>
      </c>
      <c r="F44" s="101" t="s">
        <v>81</v>
      </c>
      <c r="G44" s="103">
        <f t="shared" si="0"/>
        <v>67.802549299530824</v>
      </c>
    </row>
    <row r="45" spans="1:7" ht="15" customHeight="1" x14ac:dyDescent="0.25">
      <c r="A45" s="101">
        <v>2058</v>
      </c>
      <c r="B45" s="101">
        <v>36</v>
      </c>
      <c r="C45" s="102">
        <v>0.39463101935969092</v>
      </c>
      <c r="D45" s="102">
        <v>2.2207521725578871</v>
      </c>
      <c r="E45" s="102">
        <f t="shared" si="1"/>
        <v>63.859433353949541</v>
      </c>
      <c r="F45" s="101" t="s">
        <v>81</v>
      </c>
      <c r="G45" s="103">
        <f t="shared" si="0"/>
        <v>70.245376689344496</v>
      </c>
    </row>
    <row r="46" spans="1:7" ht="15" customHeight="1" x14ac:dyDescent="0.25">
      <c r="A46" s="101">
        <v>2059</v>
      </c>
      <c r="B46" s="101">
        <v>37</v>
      </c>
      <c r="C46" s="102">
        <v>0.38840143306880714</v>
      </c>
      <c r="D46" s="102">
        <v>2.2962919136308177</v>
      </c>
      <c r="E46" s="102">
        <f t="shared" si="1"/>
        <v>66.155725267580365</v>
      </c>
      <c r="F46" s="101" t="s">
        <v>81</v>
      </c>
      <c r="G46" s="103">
        <f t="shared" si="0"/>
        <v>72.771297794338409</v>
      </c>
    </row>
    <row r="47" spans="1:7" ht="15" customHeight="1" x14ac:dyDescent="0.25">
      <c r="A47" s="101">
        <v>2060</v>
      </c>
      <c r="B47" s="101">
        <v>38</v>
      </c>
      <c r="C47" s="102">
        <v>0.38228683816564263</v>
      </c>
      <c r="D47" s="102">
        <v>2.3745045993878673</v>
      </c>
      <c r="E47" s="102">
        <f t="shared" si="1"/>
        <v>68.530229866968227</v>
      </c>
      <c r="F47" s="101" t="s">
        <v>81</v>
      </c>
      <c r="G47" s="103">
        <f t="shared" si="0"/>
        <v>75.383252853665056</v>
      </c>
    </row>
    <row r="48" spans="1:7" ht="15" customHeight="1" x14ac:dyDescent="0.25">
      <c r="A48" s="101">
        <v>2061</v>
      </c>
      <c r="B48" s="101">
        <v>39</v>
      </c>
      <c r="C48" s="102">
        <v>0.37630550052429435</v>
      </c>
      <c r="D48" s="102">
        <v>2.455622659801568</v>
      </c>
      <c r="E48" s="102">
        <f t="shared" si="1"/>
        <v>70.98585252676979</v>
      </c>
      <c r="F48" s="101" t="s">
        <v>81</v>
      </c>
      <c r="G48" s="103">
        <f t="shared" si="0"/>
        <v>78.084437779446773</v>
      </c>
    </row>
    <row r="49" spans="1:7" ht="15" customHeight="1" x14ac:dyDescent="0.25">
      <c r="A49" s="101">
        <v>2062</v>
      </c>
      <c r="B49" s="101">
        <v>40</v>
      </c>
      <c r="C49" s="102">
        <v>0.37040342178239011</v>
      </c>
      <c r="D49" s="102">
        <v>2.5394136648993872</v>
      </c>
      <c r="E49" s="102">
        <f t="shared" si="1"/>
        <v>73.525266191669175</v>
      </c>
      <c r="F49" s="101" t="s">
        <v>81</v>
      </c>
      <c r="G49" s="103">
        <f t="shared" si="0"/>
        <v>80.877792810836098</v>
      </c>
    </row>
    <row r="50" spans="1:7" ht="15" customHeight="1" x14ac:dyDescent="0.25">
      <c r="A50" s="101">
        <v>2063</v>
      </c>
      <c r="B50" s="101">
        <v>41</v>
      </c>
      <c r="C50" s="102">
        <v>0.36463260378821105</v>
      </c>
      <c r="D50" s="102">
        <v>2.6263424746263908</v>
      </c>
      <c r="E50" s="102">
        <f t="shared" si="1"/>
        <v>76.151608666295573</v>
      </c>
      <c r="F50" s="101" t="s">
        <v>81</v>
      </c>
      <c r="G50" s="103">
        <f t="shared" si="0"/>
        <v>83.766769532925139</v>
      </c>
    </row>
    <row r="51" spans="1:7" ht="15" customHeight="1" x14ac:dyDescent="0.25">
      <c r="A51" s="101">
        <v>2064</v>
      </c>
      <c r="B51" s="101">
        <v>42</v>
      </c>
      <c r="C51" s="102">
        <v>0.35894239619583207</v>
      </c>
      <c r="D51" s="102">
        <v>2.7161766590100447</v>
      </c>
      <c r="E51" s="102">
        <f t="shared" si="1"/>
        <v>78.867785325305618</v>
      </c>
      <c r="F51" s="101" t="s">
        <v>81</v>
      </c>
      <c r="G51" s="103">
        <f t="shared" si="0"/>
        <v>86.754563857836189</v>
      </c>
    </row>
    <row r="52" spans="1:7" ht="15" customHeight="1" x14ac:dyDescent="0.25">
      <c r="A52" s="101">
        <v>2065</v>
      </c>
      <c r="B52" s="101">
        <v>43</v>
      </c>
      <c r="C52" s="102">
        <v>0.35334916484671014</v>
      </c>
      <c r="D52" s="102">
        <v>2.809148648022882</v>
      </c>
      <c r="E52" s="102">
        <f t="shared" si="1"/>
        <v>81.676933973328502</v>
      </c>
      <c r="F52" s="101" t="s">
        <v>81</v>
      </c>
      <c r="G52" s="103">
        <f t="shared" si="0"/>
        <v>89.844627370661357</v>
      </c>
    </row>
    <row r="53" spans="1:7" ht="15" customHeight="1" x14ac:dyDescent="0.25">
      <c r="A53" s="101">
        <v>2066</v>
      </c>
      <c r="B53" s="101">
        <v>44</v>
      </c>
      <c r="C53" s="102">
        <v>0.34785167248966942</v>
      </c>
      <c r="D53" s="102">
        <v>2.9053746566511687</v>
      </c>
      <c r="E53" s="102">
        <f t="shared" si="1"/>
        <v>84.582308629979664</v>
      </c>
      <c r="F53" s="101" t="s">
        <v>81</v>
      </c>
      <c r="G53" s="103">
        <f t="shared" si="0"/>
        <v>93.040539492977643</v>
      </c>
    </row>
    <row r="54" spans="1:7" ht="15" customHeight="1" x14ac:dyDescent="0.25">
      <c r="A54" s="101">
        <v>2067</v>
      </c>
      <c r="B54" s="101">
        <v>45</v>
      </c>
      <c r="C54" s="102">
        <v>0.34243490743928773</v>
      </c>
      <c r="D54" s="102">
        <v>3.0048546848949047</v>
      </c>
      <c r="E54" s="102">
        <f t="shared" si="1"/>
        <v>87.587163314874573</v>
      </c>
      <c r="F54" s="101" t="s">
        <v>81</v>
      </c>
      <c r="G54" s="103">
        <f t="shared" si="0"/>
        <v>96.345879646362036</v>
      </c>
    </row>
    <row r="55" spans="1:7" ht="15" customHeight="1" x14ac:dyDescent="0.25">
      <c r="A55" s="101">
        <v>2068</v>
      </c>
      <c r="B55" s="101">
        <v>46</v>
      </c>
      <c r="C55" s="102">
        <f>C54</f>
        <v>0.34243490743928773</v>
      </c>
      <c r="D55" s="102">
        <f>D54</f>
        <v>3.0048546848949047</v>
      </c>
      <c r="E55" s="102">
        <f t="shared" si="1"/>
        <v>90.592017999769482</v>
      </c>
      <c r="F55" s="101" t="s">
        <v>81</v>
      </c>
      <c r="G55" s="103">
        <f t="shared" si="0"/>
        <v>99.651219799746443</v>
      </c>
    </row>
    <row r="56" spans="1:7" ht="15" customHeight="1" x14ac:dyDescent="0.25">
      <c r="A56" s="101">
        <v>2069</v>
      </c>
      <c r="B56" s="101">
        <v>47</v>
      </c>
      <c r="C56" s="102">
        <f t="shared" ref="C56:C59" si="2">C55</f>
        <v>0.34243490743928773</v>
      </c>
      <c r="D56" s="102">
        <f t="shared" ref="D56:D59" si="3">D55</f>
        <v>3.0048546848949047</v>
      </c>
      <c r="E56" s="102">
        <f t="shared" si="1"/>
        <v>93.59687268466439</v>
      </c>
      <c r="F56" s="101" t="s">
        <v>81</v>
      </c>
      <c r="G56" s="103">
        <f t="shared" si="0"/>
        <v>102.95655995313084</v>
      </c>
    </row>
    <row r="57" spans="1:7" ht="15" customHeight="1" x14ac:dyDescent="0.25">
      <c r="A57" s="101">
        <v>2070</v>
      </c>
      <c r="B57" s="101">
        <v>48</v>
      </c>
      <c r="C57" s="102">
        <f t="shared" si="2"/>
        <v>0.34243490743928773</v>
      </c>
      <c r="D57" s="102">
        <f t="shared" si="3"/>
        <v>3.0048546848949047</v>
      </c>
      <c r="E57" s="102">
        <f t="shared" si="1"/>
        <v>96.601727369559299</v>
      </c>
      <c r="F57" s="101" t="s">
        <v>81</v>
      </c>
      <c r="G57" s="103">
        <f t="shared" si="0"/>
        <v>106.26190010651524</v>
      </c>
    </row>
    <row r="58" spans="1:7" ht="15" customHeight="1" x14ac:dyDescent="0.25">
      <c r="A58" s="101">
        <v>2071</v>
      </c>
      <c r="B58" s="101">
        <v>49</v>
      </c>
      <c r="C58" s="102">
        <f t="shared" si="2"/>
        <v>0.34243490743928773</v>
      </c>
      <c r="D58" s="102">
        <f t="shared" si="3"/>
        <v>3.0048546848949047</v>
      </c>
      <c r="E58" s="102">
        <f t="shared" si="1"/>
        <v>99.606582054454208</v>
      </c>
      <c r="F58" s="101" t="s">
        <v>81</v>
      </c>
      <c r="G58" s="103">
        <f t="shared" si="0"/>
        <v>109.56724025989963</v>
      </c>
    </row>
    <row r="59" spans="1:7" ht="15" customHeight="1" x14ac:dyDescent="0.25">
      <c r="A59" s="101">
        <v>2072</v>
      </c>
      <c r="B59" s="101">
        <v>50</v>
      </c>
      <c r="C59" s="102">
        <f t="shared" si="2"/>
        <v>0.34243490743928773</v>
      </c>
      <c r="D59" s="102">
        <f t="shared" si="3"/>
        <v>3.0048546848949047</v>
      </c>
      <c r="E59" s="102">
        <f t="shared" si="1"/>
        <v>102.61143673934912</v>
      </c>
      <c r="F59" s="101" t="s">
        <v>81</v>
      </c>
      <c r="G59" s="103">
        <f t="shared" si="0"/>
        <v>112.87258041328404</v>
      </c>
    </row>
    <row r="60" spans="1:7" ht="15" customHeight="1" x14ac:dyDescent="0.25">
      <c r="A60" s="98"/>
      <c r="B60" s="98"/>
      <c r="C60" s="99"/>
      <c r="D60" s="99"/>
      <c r="E60" s="99"/>
      <c r="F60" s="98"/>
      <c r="G60" s="100"/>
    </row>
    <row r="61" spans="1:7" ht="15" customHeight="1" x14ac:dyDescent="0.25">
      <c r="A61" s="124"/>
      <c r="B61" s="124"/>
      <c r="C61" s="124"/>
      <c r="D61" s="124"/>
      <c r="E61" s="124"/>
      <c r="F61" s="124"/>
      <c r="G61" s="124"/>
    </row>
    <row r="62" spans="1:7" ht="15" customHeight="1" x14ac:dyDescent="0.25">
      <c r="A62" s="31"/>
      <c r="B62" s="121" t="s">
        <v>82</v>
      </c>
      <c r="C62" s="121"/>
      <c r="D62" s="121"/>
      <c r="E62" s="32">
        <v>5.0599999999999999E-2</v>
      </c>
      <c r="F62" s="122"/>
      <c r="G62" s="122"/>
    </row>
    <row r="63" spans="1:7" ht="15" customHeight="1" x14ac:dyDescent="0.25">
      <c r="A63" s="31"/>
      <c r="B63" s="121" t="s">
        <v>83</v>
      </c>
      <c r="C63" s="121"/>
      <c r="D63" s="121"/>
      <c r="E63" s="32">
        <v>5.0599999999999999E-2</v>
      </c>
      <c r="F63" s="122"/>
      <c r="G63" s="122"/>
    </row>
    <row r="64" spans="1:7" ht="15" customHeight="1" x14ac:dyDescent="0.25">
      <c r="A64" s="31"/>
      <c r="B64" s="121" t="s">
        <v>84</v>
      </c>
      <c r="C64" s="121"/>
      <c r="D64" s="121"/>
      <c r="E64" s="32">
        <v>4.1700000000000001E-2</v>
      </c>
      <c r="F64" s="122"/>
      <c r="G64" s="122"/>
    </row>
    <row r="65" spans="1:7" ht="15" customHeight="1" x14ac:dyDescent="0.25">
      <c r="A65" s="31"/>
      <c r="B65" s="121" t="s">
        <v>85</v>
      </c>
      <c r="C65" s="121"/>
      <c r="D65" s="121"/>
      <c r="E65" s="32">
        <v>0.02</v>
      </c>
      <c r="F65" s="123" t="s">
        <v>86</v>
      </c>
      <c r="G65" s="123"/>
    </row>
  </sheetData>
  <mergeCells count="14">
    <mergeCell ref="A1:G1"/>
    <mergeCell ref="A2:G2"/>
    <mergeCell ref="A3:G3"/>
    <mergeCell ref="A4:G4"/>
    <mergeCell ref="A5:G5"/>
    <mergeCell ref="B64:D64"/>
    <mergeCell ref="F64:G64"/>
    <mergeCell ref="B65:D65"/>
    <mergeCell ref="F65:G65"/>
    <mergeCell ref="A61:G61"/>
    <mergeCell ref="B62:D62"/>
    <mergeCell ref="F62:G62"/>
    <mergeCell ref="B63:D63"/>
    <mergeCell ref="F63:G63"/>
  </mergeCells>
  <pageMargins left="0" right="0" top="0" bottom="0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3B96F-2EA1-4ED8-89F3-0042B6AB7C22}">
  <dimension ref="B1:AC74"/>
  <sheetViews>
    <sheetView showGridLines="0" zoomScale="70" zoomScaleNormal="70" workbookViewId="0">
      <pane xSplit="7" ySplit="3" topLeftCell="H15" activePane="bottomRight" state="frozen"/>
      <selection pane="topRight" activeCell="G1" sqref="G1"/>
      <selection pane="bottomLeft" activeCell="A4" sqref="A4"/>
      <selection pane="bottomRight" activeCell="E31" sqref="E31"/>
    </sheetView>
  </sheetViews>
  <sheetFormatPr defaultRowHeight="15" x14ac:dyDescent="0.25"/>
  <cols>
    <col min="2" max="2" width="3.28515625" hidden="1" customWidth="1"/>
    <col min="3" max="3" width="7.28515625" customWidth="1"/>
    <col min="4" max="4" width="12.140625" customWidth="1"/>
    <col min="5" max="5" width="49.28515625" customWidth="1"/>
    <col min="6" max="6" width="10.140625" bestFit="1" customWidth="1"/>
    <col min="7" max="7" width="44.5703125" bestFit="1" customWidth="1"/>
    <col min="8" max="8" width="35.28515625" customWidth="1"/>
    <col min="9" max="9" width="21.7109375" customWidth="1"/>
    <col min="10" max="10" width="12" bestFit="1" customWidth="1"/>
    <col min="11" max="11" width="31.28515625" customWidth="1"/>
    <col min="12" max="12" width="40.28515625" customWidth="1"/>
    <col min="13" max="13" width="17.5703125" customWidth="1"/>
    <col min="14" max="14" width="14.28515625" customWidth="1"/>
    <col min="15" max="15" width="14.5703125" customWidth="1"/>
    <col min="16" max="16" width="13.85546875" customWidth="1"/>
    <col min="17" max="17" width="16.5703125" customWidth="1"/>
    <col min="18" max="18" width="13.42578125" customWidth="1"/>
    <col min="19" max="19" width="22.7109375" customWidth="1"/>
    <col min="20" max="20" width="18.42578125" customWidth="1"/>
    <col min="21" max="21" width="21.7109375" customWidth="1"/>
    <col min="22" max="23" width="13.7109375" customWidth="1"/>
    <col min="24" max="29" width="21.7109375" customWidth="1"/>
  </cols>
  <sheetData>
    <row r="1" spans="2:29" ht="15.75" thickBot="1" x14ac:dyDescent="0.3"/>
    <row r="2" spans="2:29" ht="18.600000000000001" customHeight="1" thickTop="1" thickBot="1" x14ac:dyDescent="0.3">
      <c r="C2" s="129" t="s">
        <v>89</v>
      </c>
      <c r="D2" s="130"/>
      <c r="E2" s="130"/>
      <c r="F2" s="130"/>
      <c r="G2" s="131"/>
      <c r="H2" s="132" t="s">
        <v>90</v>
      </c>
      <c r="I2" s="133"/>
      <c r="J2" s="133"/>
      <c r="K2" s="133"/>
      <c r="L2" s="133"/>
      <c r="M2" s="129" t="s">
        <v>91</v>
      </c>
      <c r="N2" s="130"/>
      <c r="O2" s="130"/>
      <c r="P2" s="131"/>
      <c r="Q2" s="134" t="s">
        <v>92</v>
      </c>
      <c r="R2" s="135"/>
      <c r="S2" s="135"/>
      <c r="T2" s="135"/>
      <c r="U2" s="135"/>
      <c r="V2" s="135"/>
      <c r="W2" s="136"/>
      <c r="X2" s="127" t="s">
        <v>191</v>
      </c>
      <c r="Y2" s="128"/>
      <c r="Z2" s="127" t="s">
        <v>193</v>
      </c>
      <c r="AA2" s="128"/>
      <c r="AB2" s="127" t="s">
        <v>192</v>
      </c>
      <c r="AC2" s="128"/>
    </row>
    <row r="3" spans="2:29" ht="27" thickTop="1" thickBot="1" x14ac:dyDescent="0.3">
      <c r="B3" t="s">
        <v>188</v>
      </c>
      <c r="C3" s="35" t="s">
        <v>93</v>
      </c>
      <c r="D3" s="36" t="s">
        <v>94</v>
      </c>
      <c r="E3" s="37" t="s">
        <v>6</v>
      </c>
      <c r="F3" s="37" t="s">
        <v>95</v>
      </c>
      <c r="G3" s="37" t="s">
        <v>8</v>
      </c>
      <c r="H3" s="38" t="s">
        <v>96</v>
      </c>
      <c r="I3" s="38" t="s">
        <v>97</v>
      </c>
      <c r="J3" s="38" t="s">
        <v>98</v>
      </c>
      <c r="K3" s="38" t="s">
        <v>99</v>
      </c>
      <c r="L3" s="38" t="s">
        <v>100</v>
      </c>
      <c r="M3" s="39" t="s">
        <v>101</v>
      </c>
      <c r="N3" s="39" t="s">
        <v>102</v>
      </c>
      <c r="O3" s="39" t="s">
        <v>103</v>
      </c>
      <c r="P3" s="39" t="s">
        <v>104</v>
      </c>
      <c r="Q3" s="38" t="s">
        <v>105</v>
      </c>
      <c r="R3" s="38" t="s">
        <v>106</v>
      </c>
      <c r="S3" s="38" t="s">
        <v>107</v>
      </c>
      <c r="T3" s="38" t="s">
        <v>87</v>
      </c>
      <c r="U3" s="40" t="s">
        <v>108</v>
      </c>
      <c r="V3" s="40" t="s">
        <v>189</v>
      </c>
      <c r="W3" s="40" t="s">
        <v>190</v>
      </c>
      <c r="X3" s="71">
        <v>2024</v>
      </c>
      <c r="Y3" s="71">
        <v>2025</v>
      </c>
      <c r="Z3" s="71">
        <v>2024</v>
      </c>
      <c r="AA3" s="71">
        <v>2025</v>
      </c>
      <c r="AB3" s="71">
        <v>2024</v>
      </c>
      <c r="AC3" s="71">
        <v>2025</v>
      </c>
    </row>
    <row r="4" spans="2:29" ht="26.25" thickBot="1" x14ac:dyDescent="0.3">
      <c r="B4" s="66" t="str">
        <f>E4&amp;"_"&amp;F4&amp;"_"&amp;G4</f>
        <v>0.91 UEF Tankless Water Heater_Zone 1_0.91+ UEF</v>
      </c>
      <c r="C4" s="41">
        <v>1</v>
      </c>
      <c r="D4" s="41" t="s">
        <v>109</v>
      </c>
      <c r="E4" s="42" t="s">
        <v>26</v>
      </c>
      <c r="F4" s="42" t="s">
        <v>27</v>
      </c>
      <c r="G4" s="42" t="s">
        <v>28</v>
      </c>
      <c r="H4" s="42" t="s">
        <v>110</v>
      </c>
      <c r="I4" s="42" t="s">
        <v>111</v>
      </c>
      <c r="J4" s="42" t="s">
        <v>112</v>
      </c>
      <c r="K4" s="42" t="s">
        <v>113</v>
      </c>
      <c r="L4" s="42" t="s">
        <v>114</v>
      </c>
      <c r="M4" s="43">
        <v>64.58</v>
      </c>
      <c r="N4" s="44">
        <v>1171</v>
      </c>
      <c r="O4" s="43">
        <v>13</v>
      </c>
      <c r="P4" s="44">
        <v>350</v>
      </c>
      <c r="Q4" s="79">
        <v>64.799975134263008</v>
      </c>
      <c r="R4" s="79" t="s">
        <v>115</v>
      </c>
      <c r="S4" s="80">
        <v>1372.8834736842109</v>
      </c>
      <c r="T4" s="81">
        <v>20</v>
      </c>
      <c r="U4" s="80">
        <v>661.94804201166164</v>
      </c>
      <c r="V4" s="82">
        <v>1.6120036133922577</v>
      </c>
      <c r="W4" s="82">
        <v>0.96454951203139239</v>
      </c>
      <c r="X4" s="75">
        <v>277.55282274129382</v>
      </c>
      <c r="Y4" s="75">
        <v>382.34164728935735</v>
      </c>
      <c r="Z4" s="79">
        <v>14.499188665560919</v>
      </c>
      <c r="AA4" s="79">
        <v>20.161705030275332</v>
      </c>
      <c r="AB4" s="79">
        <v>14.499188665560919</v>
      </c>
      <c r="AC4" s="79">
        <v>20.161705030275332</v>
      </c>
    </row>
    <row r="5" spans="2:29" ht="26.25" thickBot="1" x14ac:dyDescent="0.3">
      <c r="B5" s="66" t="str">
        <f t="shared" ref="B5:B68" si="0">E5&amp;"_"&amp;F5&amp;"_"&amp;G5</f>
        <v>0.91 UEF Tankless Water Heater_Zone 2_0.91+ UEF</v>
      </c>
      <c r="C5" s="46">
        <v>2</v>
      </c>
      <c r="D5" s="46" t="s">
        <v>109</v>
      </c>
      <c r="E5" s="47" t="s">
        <v>26</v>
      </c>
      <c r="F5" s="47" t="s">
        <v>29</v>
      </c>
      <c r="G5" s="47" t="s">
        <v>28</v>
      </c>
      <c r="H5" s="48" t="s">
        <v>110</v>
      </c>
      <c r="I5" s="48" t="s">
        <v>116</v>
      </c>
      <c r="J5" s="48" t="s">
        <v>112</v>
      </c>
      <c r="K5" s="48" t="s">
        <v>113</v>
      </c>
      <c r="L5" s="48" t="s">
        <v>114</v>
      </c>
      <c r="M5" s="46">
        <v>64.22</v>
      </c>
      <c r="N5" s="49">
        <v>1171</v>
      </c>
      <c r="O5" s="46">
        <v>13</v>
      </c>
      <c r="P5" s="49">
        <v>350</v>
      </c>
      <c r="Q5" s="50">
        <v>64.440972501940209</v>
      </c>
      <c r="R5" s="50" t="s">
        <v>115</v>
      </c>
      <c r="S5" s="53">
        <v>1372.8834736842109</v>
      </c>
      <c r="T5" s="51">
        <v>20</v>
      </c>
      <c r="U5" s="53">
        <v>661.94804201166164</v>
      </c>
      <c r="V5" s="70">
        <v>1.2163635599210407</v>
      </c>
      <c r="W5" s="70">
        <v>0.72781653119602252</v>
      </c>
      <c r="X5" s="52">
        <v>134.40789426614219</v>
      </c>
      <c r="Y5" s="52">
        <v>185.15299248212216</v>
      </c>
      <c r="Z5" s="50">
        <v>6.9919585042182772</v>
      </c>
      <c r="AA5" s="50">
        <v>9.7281959896828401</v>
      </c>
      <c r="AB5" s="50">
        <v>0</v>
      </c>
      <c r="AC5" s="50">
        <v>0</v>
      </c>
    </row>
    <row r="6" spans="2:29" ht="26.25" thickBot="1" x14ac:dyDescent="0.3">
      <c r="B6" s="66" t="str">
        <f t="shared" si="0"/>
        <v>0.91 UEF Tankless Water Heater_Zone 3_0.91+ UEF</v>
      </c>
      <c r="C6" s="41">
        <v>4</v>
      </c>
      <c r="D6" s="41" t="s">
        <v>109</v>
      </c>
      <c r="E6" s="42" t="s">
        <v>26</v>
      </c>
      <c r="F6" s="42" t="s">
        <v>30</v>
      </c>
      <c r="G6" s="42" t="s">
        <v>28</v>
      </c>
      <c r="H6" s="42" t="s">
        <v>110</v>
      </c>
      <c r="I6" s="42" t="s">
        <v>117</v>
      </c>
      <c r="J6" s="42" t="s">
        <v>112</v>
      </c>
      <c r="K6" s="42" t="s">
        <v>113</v>
      </c>
      <c r="L6" s="42" t="s">
        <v>114</v>
      </c>
      <c r="M6" s="43">
        <v>63.68</v>
      </c>
      <c r="N6" s="44">
        <v>1171</v>
      </c>
      <c r="O6" s="43">
        <v>13</v>
      </c>
      <c r="P6" s="44">
        <v>350</v>
      </c>
      <c r="Q6" s="79">
        <v>61.831578947368456</v>
      </c>
      <c r="R6" s="79" t="s">
        <v>115</v>
      </c>
      <c r="S6" s="80">
        <v>1372.8804578479323</v>
      </c>
      <c r="T6" s="81">
        <v>20</v>
      </c>
      <c r="U6" s="80">
        <v>661.94804201166164</v>
      </c>
      <c r="V6" s="82">
        <v>1.1228175859932246</v>
      </c>
      <c r="W6" s="82">
        <v>0.67184288277801485</v>
      </c>
      <c r="X6" s="75">
        <v>159.79924914328984</v>
      </c>
      <c r="Y6" s="75">
        <v>226.89765682055514</v>
      </c>
      <c r="Z6" s="79">
        <v>7.482649131318337</v>
      </c>
      <c r="AA6" s="79">
        <v>10.784900949020399</v>
      </c>
      <c r="AB6" s="79">
        <v>0</v>
      </c>
      <c r="AC6" s="79">
        <v>0</v>
      </c>
    </row>
    <row r="7" spans="2:29" ht="15.75" thickBot="1" x14ac:dyDescent="0.3">
      <c r="B7" s="66" t="str">
        <f t="shared" si="0"/>
        <v>95% AFUE New Gas Furnace (New &amp; Existing)_Zone 1_95+% Annual Fuel Utilization Efficiency (AFUE)</v>
      </c>
      <c r="C7" s="46">
        <v>6</v>
      </c>
      <c r="D7" s="46" t="s">
        <v>109</v>
      </c>
      <c r="E7" s="47" t="s">
        <v>31</v>
      </c>
      <c r="F7" s="47" t="s">
        <v>27</v>
      </c>
      <c r="G7" s="47" t="s">
        <v>32</v>
      </c>
      <c r="H7" s="48" t="s">
        <v>118</v>
      </c>
      <c r="I7" s="48" t="s">
        <v>111</v>
      </c>
      <c r="J7" s="48" t="s">
        <v>112</v>
      </c>
      <c r="K7" s="48" t="s">
        <v>119</v>
      </c>
      <c r="L7" s="48" t="s">
        <v>120</v>
      </c>
      <c r="M7" s="46">
        <v>94.58</v>
      </c>
      <c r="N7" s="49">
        <v>1024</v>
      </c>
      <c r="O7" s="46">
        <v>22</v>
      </c>
      <c r="P7" s="49">
        <v>650</v>
      </c>
      <c r="Q7" s="50">
        <v>87.144236993867992</v>
      </c>
      <c r="R7" s="50" t="s">
        <v>121</v>
      </c>
      <c r="S7" s="53">
        <v>810.48534881323485</v>
      </c>
      <c r="T7" s="51">
        <v>21.5</v>
      </c>
      <c r="U7" s="53">
        <v>686.16827933505942</v>
      </c>
      <c r="V7" s="70">
        <v>2.1406777710858367</v>
      </c>
      <c r="W7" s="70">
        <v>1.3282670782194801</v>
      </c>
      <c r="X7" s="52">
        <v>277.80661333497426</v>
      </c>
      <c r="Y7" s="52">
        <v>329.97240111952357</v>
      </c>
      <c r="Z7" s="50">
        <v>41.626033573483078</v>
      </c>
      <c r="AA7" s="50">
        <v>49.699876757983425</v>
      </c>
      <c r="AB7" s="50">
        <v>41.626033573483078</v>
      </c>
      <c r="AC7" s="50">
        <v>49.699876757983425</v>
      </c>
    </row>
    <row r="8" spans="2:29" ht="15.75" thickBot="1" x14ac:dyDescent="0.3">
      <c r="B8" s="66" t="str">
        <f t="shared" si="0"/>
        <v>95% AFUE New Gas Furnace (New &amp; Existing)_Zone 1_High-Efficiency Natural Gas Furnace</v>
      </c>
      <c r="C8" s="41">
        <v>7</v>
      </c>
      <c r="D8" s="41" t="s">
        <v>109</v>
      </c>
      <c r="E8" s="42" t="s">
        <v>31</v>
      </c>
      <c r="F8" s="42" t="s">
        <v>27</v>
      </c>
      <c r="G8" s="42" t="s">
        <v>33</v>
      </c>
      <c r="H8" s="42" t="s">
        <v>118</v>
      </c>
      <c r="I8" s="42" t="s">
        <v>111</v>
      </c>
      <c r="J8" s="42" t="s">
        <v>122</v>
      </c>
      <c r="K8" s="42" t="s">
        <v>119</v>
      </c>
      <c r="L8" s="42" t="s">
        <v>120</v>
      </c>
      <c r="M8" s="43">
        <v>89</v>
      </c>
      <c r="N8" s="44">
        <v>1024</v>
      </c>
      <c r="O8" s="43">
        <v>22</v>
      </c>
      <c r="P8" s="44">
        <v>400</v>
      </c>
      <c r="Q8" s="79">
        <v>58.269754736620598</v>
      </c>
      <c r="R8" s="79" t="s">
        <v>121</v>
      </c>
      <c r="S8" s="80">
        <v>810.48534881323485</v>
      </c>
      <c r="T8" s="81">
        <v>21.5</v>
      </c>
      <c r="U8" s="80">
        <v>695.48372644903623</v>
      </c>
      <c r="V8" s="82">
        <v>0.9</v>
      </c>
      <c r="W8" s="82">
        <v>0.9</v>
      </c>
      <c r="X8" s="75">
        <v>42.458464661815327</v>
      </c>
      <c r="Y8" s="75">
        <v>50.886643536057981</v>
      </c>
      <c r="Z8" s="79">
        <v>2.3361199587202357</v>
      </c>
      <c r="AA8" s="79">
        <v>2.813630581975918</v>
      </c>
      <c r="AB8" s="79">
        <v>2.3361199587202357</v>
      </c>
      <c r="AC8" s="79">
        <v>2.813630581975918</v>
      </c>
    </row>
    <row r="9" spans="2:29" ht="15.75" thickBot="1" x14ac:dyDescent="0.3">
      <c r="B9" s="66" t="str">
        <f t="shared" si="0"/>
        <v>95% AFUE New Gas Furnace (New &amp; Existing)_Zone 2_95+% Annual Fuel Utilization Efficiency (AFUE)</v>
      </c>
      <c r="C9" s="46">
        <v>8</v>
      </c>
      <c r="D9" s="46" t="s">
        <v>109</v>
      </c>
      <c r="E9" s="47" t="s">
        <v>31</v>
      </c>
      <c r="F9" s="47" t="s">
        <v>29</v>
      </c>
      <c r="G9" s="47" t="s">
        <v>32</v>
      </c>
      <c r="H9" s="48" t="s">
        <v>118</v>
      </c>
      <c r="I9" s="48" t="s">
        <v>116</v>
      </c>
      <c r="J9" s="48" t="s">
        <v>112</v>
      </c>
      <c r="K9" s="48" t="s">
        <v>119</v>
      </c>
      <c r="L9" s="48" t="s">
        <v>120</v>
      </c>
      <c r="M9" s="46">
        <v>95.62</v>
      </c>
      <c r="N9" s="49">
        <v>1024</v>
      </c>
      <c r="O9" s="46">
        <v>22</v>
      </c>
      <c r="P9" s="49">
        <v>650</v>
      </c>
      <c r="Q9" s="50">
        <v>87.616857480618364</v>
      </c>
      <c r="R9" s="50" t="s">
        <v>121</v>
      </c>
      <c r="S9" s="53">
        <v>810.48534881323485</v>
      </c>
      <c r="T9" s="51">
        <v>21.5</v>
      </c>
      <c r="U9" s="53">
        <v>686.16827933505942</v>
      </c>
      <c r="V9" s="70">
        <v>1.3688709045526648</v>
      </c>
      <c r="W9" s="70">
        <v>0.84936938263601858</v>
      </c>
      <c r="X9" s="52">
        <v>138.8530524619712</v>
      </c>
      <c r="Y9" s="52">
        <v>164.97715084908032</v>
      </c>
      <c r="Z9" s="50">
        <v>20.942946942149813</v>
      </c>
      <c r="AA9" s="50">
        <v>25.016722603973296</v>
      </c>
      <c r="AB9" s="50">
        <v>20.322948474639556</v>
      </c>
      <c r="AC9" s="50">
        <v>24.212263457109366</v>
      </c>
    </row>
    <row r="10" spans="2:29" ht="15.75" thickBot="1" x14ac:dyDescent="0.3">
      <c r="B10" s="66" t="str">
        <f t="shared" si="0"/>
        <v>95% AFUE New Gas Furnace (New &amp; Existing)_Zone 2_High-Efficiency Natural Gas Furnace</v>
      </c>
      <c r="C10" s="41">
        <v>9</v>
      </c>
      <c r="D10" s="41" t="s">
        <v>109</v>
      </c>
      <c r="E10" s="42" t="s">
        <v>31</v>
      </c>
      <c r="F10" s="42" t="s">
        <v>29</v>
      </c>
      <c r="G10" s="42" t="s">
        <v>33</v>
      </c>
      <c r="H10" s="42" t="s">
        <v>118</v>
      </c>
      <c r="I10" s="42" t="s">
        <v>116</v>
      </c>
      <c r="J10" s="42" t="s">
        <v>122</v>
      </c>
      <c r="K10" s="42" t="s">
        <v>119</v>
      </c>
      <c r="L10" s="42" t="s">
        <v>120</v>
      </c>
      <c r="M10" s="43">
        <v>90</v>
      </c>
      <c r="N10" s="44">
        <v>1024</v>
      </c>
      <c r="O10" s="43">
        <v>22</v>
      </c>
      <c r="P10" s="44">
        <v>400</v>
      </c>
      <c r="Q10" s="79">
        <v>57.297972088595486</v>
      </c>
      <c r="R10" s="79" t="s">
        <v>121</v>
      </c>
      <c r="S10" s="80">
        <v>810.48534881323485</v>
      </c>
      <c r="T10" s="81">
        <v>21.5</v>
      </c>
      <c r="U10" s="80">
        <v>695.48372644903623</v>
      </c>
      <c r="V10" s="82">
        <v>0.9</v>
      </c>
      <c r="W10" s="82">
        <v>0.9</v>
      </c>
      <c r="X10" s="75">
        <v>28.861189569299516</v>
      </c>
      <c r="Y10" s="75">
        <v>34.821590994419559</v>
      </c>
      <c r="Z10" s="79">
        <v>1.6228635609744746</v>
      </c>
      <c r="AA10" s="79">
        <v>1.9667890298881427</v>
      </c>
      <c r="AB10" s="79">
        <v>1.6228635609744746</v>
      </c>
      <c r="AC10" s="79">
        <v>1.9667890298881427</v>
      </c>
    </row>
    <row r="11" spans="2:29" ht="15.75" thickBot="1" x14ac:dyDescent="0.3">
      <c r="B11" s="66" t="str">
        <f t="shared" si="0"/>
        <v>95% AFUE New Gas Furnace (New &amp; Existing)_Zone 3_95+% Annual Fuel Utilization Efficiency (AFUE)</v>
      </c>
      <c r="C11" s="46">
        <v>10</v>
      </c>
      <c r="D11" s="46" t="s">
        <v>109</v>
      </c>
      <c r="E11" s="47" t="s">
        <v>31</v>
      </c>
      <c r="F11" s="47" t="s">
        <v>30</v>
      </c>
      <c r="G11" s="47" t="s">
        <v>32</v>
      </c>
      <c r="H11" s="48" t="s">
        <v>118</v>
      </c>
      <c r="I11" s="48" t="s">
        <v>117</v>
      </c>
      <c r="J11" s="48" t="s">
        <v>112</v>
      </c>
      <c r="K11" s="48" t="s">
        <v>119</v>
      </c>
      <c r="L11" s="48" t="s">
        <v>120</v>
      </c>
      <c r="M11" s="46">
        <v>83.8</v>
      </c>
      <c r="N11" s="49">
        <v>1024</v>
      </c>
      <c r="O11" s="46">
        <v>22</v>
      </c>
      <c r="P11" s="49">
        <v>650</v>
      </c>
      <c r="Q11" s="50">
        <v>74.801440676811836</v>
      </c>
      <c r="R11" s="50" t="s">
        <v>121</v>
      </c>
      <c r="S11" s="53">
        <v>1080.6500000000001</v>
      </c>
      <c r="T11" s="51">
        <v>21.5</v>
      </c>
      <c r="U11" s="53">
        <v>686.16827933505954</v>
      </c>
      <c r="V11" s="70">
        <v>1.080487642778279</v>
      </c>
      <c r="W11" s="70">
        <v>0.67043073166372913</v>
      </c>
      <c r="X11" s="52">
        <v>211.26697706240412</v>
      </c>
      <c r="Y11" s="52">
        <v>253.66780410800828</v>
      </c>
      <c r="Z11" s="50">
        <v>27.321791359380594</v>
      </c>
      <c r="AA11" s="50">
        <v>32.902280748817404</v>
      </c>
      <c r="AB11" s="50">
        <v>0</v>
      </c>
      <c r="AC11" s="50">
        <v>0</v>
      </c>
    </row>
    <row r="12" spans="2:29" ht="15.75" thickBot="1" x14ac:dyDescent="0.3">
      <c r="B12" s="66" t="str">
        <f t="shared" si="0"/>
        <v>95% AFUE New Gas Furnace (New &amp; Existing)_Zone 3_High-Efficiency Natural Gas Furnace</v>
      </c>
      <c r="C12" s="41">
        <v>11</v>
      </c>
      <c r="D12" s="41" t="s">
        <v>109</v>
      </c>
      <c r="E12" s="42" t="s">
        <v>31</v>
      </c>
      <c r="F12" s="42" t="s">
        <v>30</v>
      </c>
      <c r="G12" s="42" t="s">
        <v>33</v>
      </c>
      <c r="H12" s="42" t="s">
        <v>118</v>
      </c>
      <c r="I12" s="42" t="s">
        <v>117</v>
      </c>
      <c r="J12" s="42" t="s">
        <v>122</v>
      </c>
      <c r="K12" s="42" t="s">
        <v>119</v>
      </c>
      <c r="L12" s="42" t="s">
        <v>120</v>
      </c>
      <c r="M12" s="43">
        <v>78</v>
      </c>
      <c r="N12" s="44">
        <v>1024</v>
      </c>
      <c r="O12" s="43">
        <v>22</v>
      </c>
      <c r="P12" s="44">
        <v>400</v>
      </c>
      <c r="Q12" s="79">
        <v>50.569791554646372</v>
      </c>
      <c r="R12" s="79" t="s">
        <v>121</v>
      </c>
      <c r="S12" s="80">
        <v>810.48534881323485</v>
      </c>
      <c r="T12" s="81">
        <v>21.5</v>
      </c>
      <c r="U12" s="80">
        <v>518.60420070970497</v>
      </c>
      <c r="V12" s="82">
        <v>0.9</v>
      </c>
      <c r="W12" s="82">
        <v>0.9</v>
      </c>
      <c r="X12" s="75">
        <v>95.538417416115919</v>
      </c>
      <c r="Y12" s="75">
        <v>116.27766542724044</v>
      </c>
      <c r="Z12" s="79">
        <v>5.0182656520531168</v>
      </c>
      <c r="AA12" s="79">
        <v>6.1424356781307381</v>
      </c>
      <c r="AB12" s="79">
        <v>5.0182656520531168</v>
      </c>
      <c r="AC12" s="79">
        <v>6.1424356781307381</v>
      </c>
    </row>
    <row r="13" spans="2:29" ht="15.75" thickBot="1" x14ac:dyDescent="0.3">
      <c r="B13" s="66" t="str">
        <f t="shared" si="0"/>
        <v>98% AFUE New Gas Furnace (New &amp; Existing)_Zone 1_98+% Annual Fuel Utilization Efficiency (AFUE)</v>
      </c>
      <c r="C13" s="46">
        <v>12</v>
      </c>
      <c r="D13" s="46" t="s">
        <v>109</v>
      </c>
      <c r="E13" s="47" t="s">
        <v>34</v>
      </c>
      <c r="F13" s="47" t="s">
        <v>27</v>
      </c>
      <c r="G13" s="47" t="s">
        <v>35</v>
      </c>
      <c r="H13" s="48" t="s">
        <v>118</v>
      </c>
      <c r="I13" s="48" t="s">
        <v>111</v>
      </c>
      <c r="J13" s="48" t="s">
        <v>112</v>
      </c>
      <c r="K13" s="48" t="s">
        <v>119</v>
      </c>
      <c r="L13" s="48" t="s">
        <v>123</v>
      </c>
      <c r="M13" s="46">
        <v>113.5</v>
      </c>
      <c r="N13" s="49">
        <v>1024</v>
      </c>
      <c r="O13" s="46">
        <v>22</v>
      </c>
      <c r="P13" s="49">
        <v>900</v>
      </c>
      <c r="Q13" s="50">
        <v>134.26646957884776</v>
      </c>
      <c r="R13" s="50" t="s">
        <v>121</v>
      </c>
      <c r="S13" s="53">
        <v>1372.094693877551</v>
      </c>
      <c r="T13" s="51">
        <v>21.5</v>
      </c>
      <c r="U13" s="53">
        <v>693.46480561370299</v>
      </c>
      <c r="V13" s="70">
        <v>2.1406777710858367</v>
      </c>
      <c r="W13" s="70">
        <v>1.3282670782194801</v>
      </c>
      <c r="X13" s="52">
        <v>277.80661333497426</v>
      </c>
      <c r="Y13" s="52">
        <v>329.97240111952357</v>
      </c>
      <c r="Z13" s="50">
        <v>41.626033573483078</v>
      </c>
      <c r="AA13" s="50">
        <v>49.699876757983425</v>
      </c>
      <c r="AB13" s="50">
        <v>41.626033573483078</v>
      </c>
      <c r="AC13" s="50">
        <v>49.699876757983425</v>
      </c>
    </row>
    <row r="14" spans="2:29" ht="15.75" thickBot="1" x14ac:dyDescent="0.3">
      <c r="B14" s="66" t="str">
        <f t="shared" si="0"/>
        <v>98% AFUE New Gas Furnace (New &amp; Existing)_Zone 2_98+% Annual Fuel Utilization Efficiency (AFUE)</v>
      </c>
      <c r="C14" s="41">
        <v>13</v>
      </c>
      <c r="D14" s="41" t="s">
        <v>109</v>
      </c>
      <c r="E14" s="42" t="s">
        <v>34</v>
      </c>
      <c r="F14" s="42" t="s">
        <v>29</v>
      </c>
      <c r="G14" s="42" t="s">
        <v>35</v>
      </c>
      <c r="H14" s="42" t="s">
        <v>118</v>
      </c>
      <c r="I14" s="42" t="s">
        <v>116</v>
      </c>
      <c r="J14" s="42" t="s">
        <v>112</v>
      </c>
      <c r="K14" s="42" t="s">
        <v>119</v>
      </c>
      <c r="L14" s="42" t="s">
        <v>123</v>
      </c>
      <c r="M14" s="43">
        <v>114.74</v>
      </c>
      <c r="N14" s="44">
        <v>1024</v>
      </c>
      <c r="O14" s="43">
        <v>22</v>
      </c>
      <c r="P14" s="44">
        <v>900</v>
      </c>
      <c r="Q14" s="79">
        <v>135.09854011054688</v>
      </c>
      <c r="R14" s="79" t="s">
        <v>121</v>
      </c>
      <c r="S14" s="80">
        <v>1372.094693877551</v>
      </c>
      <c r="T14" s="81">
        <v>21.5</v>
      </c>
      <c r="U14" s="80">
        <v>693.46480561370299</v>
      </c>
      <c r="V14" s="82">
        <v>1.3688709045526648</v>
      </c>
      <c r="W14" s="82">
        <v>0.84936938263601858</v>
      </c>
      <c r="X14" s="75">
        <v>138.8530524619712</v>
      </c>
      <c r="Y14" s="75">
        <v>164.97715084908032</v>
      </c>
      <c r="Z14" s="79">
        <v>20.942946942149813</v>
      </c>
      <c r="AA14" s="79">
        <v>25.016722603973296</v>
      </c>
      <c r="AB14" s="79">
        <v>20.322948474639556</v>
      </c>
      <c r="AC14" s="79">
        <v>24.212263457109366</v>
      </c>
    </row>
    <row r="15" spans="2:29" ht="15.75" thickBot="1" x14ac:dyDescent="0.3">
      <c r="B15" s="66" t="str">
        <f t="shared" si="0"/>
        <v>98% AFUE New Gas Furnace (New &amp; Existing)_Zone 3_98+% Annual Fuel Utilization Efficiency (AFUE)</v>
      </c>
      <c r="C15" s="46">
        <v>14</v>
      </c>
      <c r="D15" s="46" t="s">
        <v>109</v>
      </c>
      <c r="E15" s="47" t="s">
        <v>34</v>
      </c>
      <c r="F15" s="47" t="s">
        <v>30</v>
      </c>
      <c r="G15" s="47" t="s">
        <v>35</v>
      </c>
      <c r="H15" s="48" t="s">
        <v>118</v>
      </c>
      <c r="I15" s="48" t="s">
        <v>117</v>
      </c>
      <c r="J15" s="48" t="s">
        <v>112</v>
      </c>
      <c r="K15" s="48" t="s">
        <v>119</v>
      </c>
      <c r="L15" s="48" t="s">
        <v>123</v>
      </c>
      <c r="M15" s="46">
        <v>100.56</v>
      </c>
      <c r="N15" s="49">
        <v>1024</v>
      </c>
      <c r="O15" s="46">
        <v>22</v>
      </c>
      <c r="P15" s="49">
        <v>900</v>
      </c>
      <c r="Q15" s="50">
        <v>136.14878414094053</v>
      </c>
      <c r="R15" s="50" t="s">
        <v>121</v>
      </c>
      <c r="S15" s="53">
        <v>1372.094693877551</v>
      </c>
      <c r="T15" s="51">
        <v>21.5</v>
      </c>
      <c r="U15" s="53">
        <v>693.46480561370311</v>
      </c>
      <c r="V15" s="70">
        <v>1.080487642778279</v>
      </c>
      <c r="W15" s="70">
        <v>0.67043073166372913</v>
      </c>
      <c r="X15" s="52">
        <v>211.26697706240412</v>
      </c>
      <c r="Y15" s="52">
        <v>253.66780410800828</v>
      </c>
      <c r="Z15" s="50">
        <v>27.321791359380594</v>
      </c>
      <c r="AA15" s="50">
        <v>32.902280748817404</v>
      </c>
      <c r="AB15" s="50">
        <v>0</v>
      </c>
      <c r="AC15" s="50">
        <v>0</v>
      </c>
    </row>
    <row r="16" spans="2:29" ht="15.75" thickBot="1" x14ac:dyDescent="0.3">
      <c r="B16" s="66" t="str">
        <f t="shared" si="0"/>
        <v>Bundle A_Zone 1_</v>
      </c>
      <c r="C16" s="41">
        <v>15</v>
      </c>
      <c r="D16" s="41" t="s">
        <v>109</v>
      </c>
      <c r="E16" s="42" t="s">
        <v>36</v>
      </c>
      <c r="F16" s="42" t="s">
        <v>27</v>
      </c>
      <c r="G16" s="42"/>
      <c r="H16" s="42" t="s">
        <v>88</v>
      </c>
      <c r="I16" s="42" t="s">
        <v>88</v>
      </c>
      <c r="J16" s="42" t="s">
        <v>88</v>
      </c>
      <c r="K16" s="42" t="s">
        <v>88</v>
      </c>
      <c r="L16" s="42" t="s">
        <v>88</v>
      </c>
      <c r="M16" s="43">
        <v>0</v>
      </c>
      <c r="N16" s="44">
        <v>0</v>
      </c>
      <c r="O16" s="43">
        <v>0</v>
      </c>
      <c r="P16" s="44">
        <v>250</v>
      </c>
      <c r="Q16" s="79" t="s">
        <v>88</v>
      </c>
      <c r="R16" s="79" t="s">
        <v>88</v>
      </c>
      <c r="S16" s="80" t="s">
        <v>88</v>
      </c>
      <c r="T16" s="81" t="s">
        <v>88</v>
      </c>
      <c r="U16" s="80" t="s">
        <v>88</v>
      </c>
      <c r="V16" s="82" t="s">
        <v>88</v>
      </c>
      <c r="W16" s="82" t="s">
        <v>88</v>
      </c>
      <c r="X16" s="75" t="s">
        <v>88</v>
      </c>
      <c r="Y16" s="75" t="s">
        <v>88</v>
      </c>
      <c r="Z16" s="79" t="s">
        <v>88</v>
      </c>
      <c r="AA16" s="79" t="s">
        <v>88</v>
      </c>
      <c r="AB16" s="79" t="s">
        <v>88</v>
      </c>
      <c r="AC16" s="79" t="s">
        <v>88</v>
      </c>
    </row>
    <row r="17" spans="2:29" ht="15.75" thickBot="1" x14ac:dyDescent="0.3">
      <c r="B17" s="66" t="str">
        <f t="shared" si="0"/>
        <v>Bundle A_Zone 2_</v>
      </c>
      <c r="C17" s="46">
        <v>16</v>
      </c>
      <c r="D17" s="46" t="s">
        <v>109</v>
      </c>
      <c r="E17" s="47" t="s">
        <v>36</v>
      </c>
      <c r="F17" s="47" t="s">
        <v>29</v>
      </c>
      <c r="G17" s="47"/>
      <c r="H17" s="48" t="s">
        <v>88</v>
      </c>
      <c r="I17" s="48" t="s">
        <v>88</v>
      </c>
      <c r="J17" s="48" t="s">
        <v>88</v>
      </c>
      <c r="K17" s="48" t="s">
        <v>88</v>
      </c>
      <c r="L17" s="48" t="s">
        <v>88</v>
      </c>
      <c r="M17" s="46">
        <v>0</v>
      </c>
      <c r="N17" s="49">
        <v>0</v>
      </c>
      <c r="O17" s="46">
        <v>0</v>
      </c>
      <c r="P17" s="49">
        <v>250</v>
      </c>
      <c r="Q17" s="50" t="s">
        <v>88</v>
      </c>
      <c r="R17" s="50" t="s">
        <v>88</v>
      </c>
      <c r="S17" s="53" t="s">
        <v>88</v>
      </c>
      <c r="T17" s="51" t="s">
        <v>88</v>
      </c>
      <c r="U17" s="53" t="s">
        <v>88</v>
      </c>
      <c r="V17" s="70" t="s">
        <v>88</v>
      </c>
      <c r="W17" s="70" t="s">
        <v>88</v>
      </c>
      <c r="X17" s="52" t="s">
        <v>88</v>
      </c>
      <c r="Y17" s="52" t="s">
        <v>88</v>
      </c>
      <c r="Z17" s="50" t="s">
        <v>88</v>
      </c>
      <c r="AA17" s="50" t="s">
        <v>88</v>
      </c>
      <c r="AB17" s="50" t="s">
        <v>88</v>
      </c>
      <c r="AC17" s="50" t="s">
        <v>88</v>
      </c>
    </row>
    <row r="18" spans="2:29" ht="15.75" thickBot="1" x14ac:dyDescent="0.3">
      <c r="B18" s="66" t="str">
        <f t="shared" si="0"/>
        <v>Bundle A_Zone 3_</v>
      </c>
      <c r="C18" s="41">
        <v>17</v>
      </c>
      <c r="D18" s="41" t="s">
        <v>109</v>
      </c>
      <c r="E18" s="42" t="s">
        <v>36</v>
      </c>
      <c r="F18" s="42" t="s">
        <v>30</v>
      </c>
      <c r="G18" s="42"/>
      <c r="H18" s="42" t="s">
        <v>88</v>
      </c>
      <c r="I18" s="42" t="s">
        <v>88</v>
      </c>
      <c r="J18" s="42" t="s">
        <v>88</v>
      </c>
      <c r="K18" s="42" t="s">
        <v>88</v>
      </c>
      <c r="L18" s="42" t="s">
        <v>88</v>
      </c>
      <c r="M18" s="43">
        <v>0</v>
      </c>
      <c r="N18" s="44">
        <v>0</v>
      </c>
      <c r="O18" s="43">
        <v>0</v>
      </c>
      <c r="P18" s="44">
        <v>250</v>
      </c>
      <c r="Q18" s="79" t="s">
        <v>88</v>
      </c>
      <c r="R18" s="79" t="s">
        <v>88</v>
      </c>
      <c r="S18" s="80" t="s">
        <v>88</v>
      </c>
      <c r="T18" s="81" t="s">
        <v>88</v>
      </c>
      <c r="U18" s="80" t="s">
        <v>88</v>
      </c>
      <c r="V18" s="82" t="s">
        <v>88</v>
      </c>
      <c r="W18" s="82" t="s">
        <v>88</v>
      </c>
      <c r="X18" s="75" t="s">
        <v>88</v>
      </c>
      <c r="Y18" s="75" t="s">
        <v>88</v>
      </c>
      <c r="Z18" s="79" t="s">
        <v>88</v>
      </c>
      <c r="AA18" s="79" t="s">
        <v>88</v>
      </c>
      <c r="AB18" s="79" t="s">
        <v>88</v>
      </c>
      <c r="AC18" s="79" t="s">
        <v>88</v>
      </c>
    </row>
    <row r="19" spans="2:29" ht="15.75" thickBot="1" x14ac:dyDescent="0.3">
      <c r="B19" s="66" t="str">
        <f t="shared" si="0"/>
        <v>Bundle B_Zone 1_</v>
      </c>
      <c r="C19" s="46">
        <v>18</v>
      </c>
      <c r="D19" s="46" t="s">
        <v>109</v>
      </c>
      <c r="E19" s="47" t="s">
        <v>37</v>
      </c>
      <c r="F19" s="47" t="s">
        <v>27</v>
      </c>
      <c r="G19" s="47"/>
      <c r="H19" s="48" t="s">
        <v>88</v>
      </c>
      <c r="I19" s="48" t="s">
        <v>88</v>
      </c>
      <c r="J19" s="48" t="s">
        <v>88</v>
      </c>
      <c r="K19" s="48" t="s">
        <v>88</v>
      </c>
      <c r="L19" s="48" t="s">
        <v>88</v>
      </c>
      <c r="M19" s="46">
        <v>0</v>
      </c>
      <c r="N19" s="49">
        <v>0</v>
      </c>
      <c r="O19" s="46">
        <v>0</v>
      </c>
      <c r="P19" s="49">
        <v>500</v>
      </c>
      <c r="Q19" s="50" t="s">
        <v>88</v>
      </c>
      <c r="R19" s="50" t="s">
        <v>88</v>
      </c>
      <c r="S19" s="53" t="s">
        <v>88</v>
      </c>
      <c r="T19" s="51" t="s">
        <v>88</v>
      </c>
      <c r="U19" s="53" t="s">
        <v>88</v>
      </c>
      <c r="V19" s="70" t="s">
        <v>88</v>
      </c>
      <c r="W19" s="70" t="s">
        <v>88</v>
      </c>
      <c r="X19" s="52" t="s">
        <v>88</v>
      </c>
      <c r="Y19" s="52" t="s">
        <v>88</v>
      </c>
      <c r="Z19" s="50" t="s">
        <v>88</v>
      </c>
      <c r="AA19" s="50" t="s">
        <v>88</v>
      </c>
      <c r="AB19" s="50" t="s">
        <v>88</v>
      </c>
      <c r="AC19" s="50" t="s">
        <v>88</v>
      </c>
    </row>
    <row r="20" spans="2:29" ht="15.75" thickBot="1" x14ac:dyDescent="0.3">
      <c r="B20" s="66" t="str">
        <f t="shared" si="0"/>
        <v>Attic Insulation_Zone 1_Post R-60+, Cavity Fill R-49+</v>
      </c>
      <c r="C20" s="41">
        <v>19</v>
      </c>
      <c r="D20" s="41" t="s">
        <v>109</v>
      </c>
      <c r="E20" s="42" t="s">
        <v>212</v>
      </c>
      <c r="F20" s="42" t="s">
        <v>27</v>
      </c>
      <c r="G20" s="42" t="s">
        <v>213</v>
      </c>
      <c r="H20" s="42" t="s">
        <v>208</v>
      </c>
      <c r="I20" s="42" t="s">
        <v>111</v>
      </c>
      <c r="J20" s="42" t="s">
        <v>112</v>
      </c>
      <c r="K20" s="42" t="s">
        <v>145</v>
      </c>
      <c r="L20" s="42" t="s">
        <v>209</v>
      </c>
      <c r="M20" s="54">
        <v>0.04</v>
      </c>
      <c r="N20" s="44">
        <v>0.67</v>
      </c>
      <c r="O20" s="43">
        <v>45</v>
      </c>
      <c r="P20" s="44">
        <v>1.25</v>
      </c>
      <c r="Q20" s="79">
        <v>0.15715086997503622</v>
      </c>
      <c r="R20" s="79" t="s">
        <v>124</v>
      </c>
      <c r="S20" s="80">
        <v>1.95</v>
      </c>
      <c r="T20" s="81">
        <v>45</v>
      </c>
      <c r="U20" s="80">
        <v>0.99998034060156249</v>
      </c>
      <c r="V20" s="82">
        <v>3.2113561556943462</v>
      </c>
      <c r="W20" s="82">
        <v>2.6919507466942569</v>
      </c>
      <c r="X20" s="75">
        <v>98307.44648305283</v>
      </c>
      <c r="Y20" s="75">
        <v>100951.06172202792</v>
      </c>
      <c r="Z20" s="79">
        <v>18.90344631128346</v>
      </c>
      <c r="AA20" s="79">
        <v>19.311277356592164</v>
      </c>
      <c r="AB20" s="79">
        <v>18.904819145917727</v>
      </c>
      <c r="AC20" s="79">
        <v>19.314429437859907</v>
      </c>
    </row>
    <row r="21" spans="2:29" ht="15.75" thickBot="1" x14ac:dyDescent="0.3">
      <c r="B21" s="66" t="str">
        <f t="shared" si="0"/>
        <v>Attic Insulation_Zone 2_Post R-60+, Cavity Fill R-49+</v>
      </c>
      <c r="C21" s="46">
        <v>20</v>
      </c>
      <c r="D21" s="46" t="s">
        <v>109</v>
      </c>
      <c r="E21" s="47" t="s">
        <v>212</v>
      </c>
      <c r="F21" s="47" t="s">
        <v>29</v>
      </c>
      <c r="G21" s="47" t="s">
        <v>213</v>
      </c>
      <c r="H21" s="48" t="s">
        <v>208</v>
      </c>
      <c r="I21" s="48" t="s">
        <v>116</v>
      </c>
      <c r="J21" s="48" t="s">
        <v>112</v>
      </c>
      <c r="K21" s="48" t="s">
        <v>145</v>
      </c>
      <c r="L21" s="48" t="s">
        <v>209</v>
      </c>
      <c r="M21" s="55">
        <v>0.05</v>
      </c>
      <c r="N21" s="49">
        <v>0.67</v>
      </c>
      <c r="O21" s="46">
        <v>45</v>
      </c>
      <c r="P21" s="49">
        <v>1.25</v>
      </c>
      <c r="Q21" s="50">
        <v>0.17763100522443787</v>
      </c>
      <c r="R21" s="50" t="s">
        <v>124</v>
      </c>
      <c r="S21" s="53">
        <v>1.95</v>
      </c>
      <c r="T21" s="51">
        <v>45</v>
      </c>
      <c r="U21" s="53">
        <v>0.99998034060156249</v>
      </c>
      <c r="V21" s="70">
        <v>2.0700002290842314</v>
      </c>
      <c r="W21" s="70">
        <v>1.7857043308840981</v>
      </c>
      <c r="X21" s="52">
        <v>45327.182402746897</v>
      </c>
      <c r="Y21" s="52">
        <v>46546.089356660748</v>
      </c>
      <c r="Z21" s="50">
        <v>9.8478859049950636</v>
      </c>
      <c r="AA21" s="50">
        <v>10.063950867252654</v>
      </c>
      <c r="AB21" s="50">
        <v>9.3986520809322371</v>
      </c>
      <c r="AC21" s="50">
        <v>9.6033841633526826</v>
      </c>
    </row>
    <row r="22" spans="2:29" ht="15.75" thickBot="1" x14ac:dyDescent="0.3">
      <c r="B22" s="66" t="str">
        <f t="shared" si="0"/>
        <v>Attic Insulation_Zone 3_Post R-60+, Cavity Fill R-49+</v>
      </c>
      <c r="C22" s="41">
        <v>21</v>
      </c>
      <c r="D22" s="41" t="s">
        <v>109</v>
      </c>
      <c r="E22" s="42" t="s">
        <v>212</v>
      </c>
      <c r="F22" s="42" t="s">
        <v>30</v>
      </c>
      <c r="G22" s="42" t="s">
        <v>213</v>
      </c>
      <c r="H22" s="42" t="s">
        <v>208</v>
      </c>
      <c r="I22" s="42" t="s">
        <v>117</v>
      </c>
      <c r="J22" s="42" t="s">
        <v>112</v>
      </c>
      <c r="K22" s="42" t="s">
        <v>145</v>
      </c>
      <c r="L22" s="42" t="s">
        <v>209</v>
      </c>
      <c r="M22" s="54">
        <v>0.03</v>
      </c>
      <c r="N22" s="44">
        <v>0.67</v>
      </c>
      <c r="O22" s="43">
        <v>45</v>
      </c>
      <c r="P22" s="44">
        <v>1.25</v>
      </c>
      <c r="Q22" s="79">
        <v>0.11968715837423201</v>
      </c>
      <c r="R22" s="79" t="s">
        <v>124</v>
      </c>
      <c r="S22" s="80">
        <v>1.95</v>
      </c>
      <c r="T22" s="81">
        <v>45</v>
      </c>
      <c r="U22" s="80">
        <v>0.99998034060156249</v>
      </c>
      <c r="V22" s="82">
        <v>1.2341392269973668</v>
      </c>
      <c r="W22" s="82">
        <v>1.160404012980349</v>
      </c>
      <c r="X22" s="75">
        <v>86021.023995289055</v>
      </c>
      <c r="Y22" s="75">
        <v>88383.197370414622</v>
      </c>
      <c r="Z22" s="79">
        <v>12.102283971040599</v>
      </c>
      <c r="AA22" s="79">
        <v>12.369805112107787</v>
      </c>
      <c r="AB22" s="79">
        <v>0</v>
      </c>
      <c r="AC22" s="79">
        <v>0</v>
      </c>
    </row>
    <row r="23" spans="2:29" ht="15.75" thickBot="1" x14ac:dyDescent="0.3">
      <c r="B23" s="66" t="str">
        <f t="shared" si="0"/>
        <v>Ceiling Tier II_Zone 1_Tier 2: Post R-49+</v>
      </c>
      <c r="C23" s="46">
        <v>22</v>
      </c>
      <c r="D23" s="46" t="s">
        <v>109</v>
      </c>
      <c r="E23" s="47" t="s">
        <v>38</v>
      </c>
      <c r="F23" s="47" t="s">
        <v>27</v>
      </c>
      <c r="G23" s="47" t="s">
        <v>39</v>
      </c>
      <c r="H23" s="48" t="s">
        <v>208</v>
      </c>
      <c r="I23" s="48" t="s">
        <v>111</v>
      </c>
      <c r="J23" s="48" t="s">
        <v>112</v>
      </c>
      <c r="K23" s="48" t="s">
        <v>145</v>
      </c>
      <c r="L23" s="48" t="s">
        <v>209</v>
      </c>
      <c r="M23" s="55">
        <v>0.05</v>
      </c>
      <c r="N23" s="49">
        <v>0.67</v>
      </c>
      <c r="O23" s="46">
        <v>45</v>
      </c>
      <c r="P23" s="49">
        <v>1.25</v>
      </c>
      <c r="Q23" s="50">
        <v>0.15715086997503622</v>
      </c>
      <c r="R23" s="50" t="s">
        <v>124</v>
      </c>
      <c r="S23" s="53">
        <v>1.95</v>
      </c>
      <c r="T23" s="51">
        <v>45</v>
      </c>
      <c r="U23" s="53">
        <v>0.99998034060156249</v>
      </c>
      <c r="V23" s="70">
        <v>3.2113561556943462</v>
      </c>
      <c r="W23" s="70">
        <v>2.6919507466942569</v>
      </c>
      <c r="X23" s="52">
        <v>98307.44648305283</v>
      </c>
      <c r="Y23" s="52">
        <v>100951.06172202792</v>
      </c>
      <c r="Z23" s="50">
        <v>18.90344631128346</v>
      </c>
      <c r="AA23" s="50">
        <v>19.311277356592164</v>
      </c>
      <c r="AB23" s="50">
        <v>18.904819145917727</v>
      </c>
      <c r="AC23" s="50">
        <v>19.314429437859907</v>
      </c>
    </row>
    <row r="24" spans="2:29" ht="15.75" thickBot="1" x14ac:dyDescent="0.3">
      <c r="B24" s="66" t="str">
        <f t="shared" si="0"/>
        <v>Ceiling Tier II_Zone 2_Tier 2: Post R-49+</v>
      </c>
      <c r="C24" s="41">
        <v>23</v>
      </c>
      <c r="D24" s="41" t="s">
        <v>109</v>
      </c>
      <c r="E24" s="42" t="s">
        <v>38</v>
      </c>
      <c r="F24" s="42" t="s">
        <v>29</v>
      </c>
      <c r="G24" s="42" t="s">
        <v>39</v>
      </c>
      <c r="H24" s="42" t="s">
        <v>208</v>
      </c>
      <c r="I24" s="42" t="s">
        <v>116</v>
      </c>
      <c r="J24" s="42" t="s">
        <v>112</v>
      </c>
      <c r="K24" s="42" t="s">
        <v>145</v>
      </c>
      <c r="L24" s="42" t="s">
        <v>209</v>
      </c>
      <c r="M24" s="54">
        <v>5.6000000000000001E-2</v>
      </c>
      <c r="N24" s="44">
        <v>0.67</v>
      </c>
      <c r="O24" s="43">
        <v>45</v>
      </c>
      <c r="P24" s="44">
        <v>1.25</v>
      </c>
      <c r="Q24" s="79">
        <v>0.17763100522443787</v>
      </c>
      <c r="R24" s="79" t="s">
        <v>124</v>
      </c>
      <c r="S24" s="80">
        <v>1.95</v>
      </c>
      <c r="T24" s="81">
        <v>45</v>
      </c>
      <c r="U24" s="80">
        <v>0.99998034060156249</v>
      </c>
      <c r="V24" s="82">
        <v>2.0700002290842314</v>
      </c>
      <c r="W24" s="82">
        <v>1.7857043308840981</v>
      </c>
      <c r="X24" s="75">
        <v>45327.182402746897</v>
      </c>
      <c r="Y24" s="75">
        <v>46546.089356660748</v>
      </c>
      <c r="Z24" s="79">
        <v>9.8478859049950636</v>
      </c>
      <c r="AA24" s="79">
        <v>10.063950867252654</v>
      </c>
      <c r="AB24" s="79">
        <v>9.3986520809322371</v>
      </c>
      <c r="AC24" s="79">
        <v>9.6033841633526826</v>
      </c>
    </row>
    <row r="25" spans="2:29" ht="15.75" thickBot="1" x14ac:dyDescent="0.3">
      <c r="B25" s="66" t="str">
        <f t="shared" si="0"/>
        <v>Ceiling Tier II_Zone 3_Tier 2: Post R-49+</v>
      </c>
      <c r="C25" s="46">
        <v>24</v>
      </c>
      <c r="D25" s="46" t="s">
        <v>109</v>
      </c>
      <c r="E25" s="47" t="s">
        <v>38</v>
      </c>
      <c r="F25" s="47" t="s">
        <v>30</v>
      </c>
      <c r="G25" s="47" t="s">
        <v>39</v>
      </c>
      <c r="H25" s="48" t="s">
        <v>208</v>
      </c>
      <c r="I25" s="48" t="s">
        <v>117</v>
      </c>
      <c r="J25" s="48" t="s">
        <v>112</v>
      </c>
      <c r="K25" s="48" t="s">
        <v>145</v>
      </c>
      <c r="L25" s="48" t="s">
        <v>209</v>
      </c>
      <c r="M25" s="55">
        <v>5.8999999999999997E-2</v>
      </c>
      <c r="N25" s="49">
        <v>0.67</v>
      </c>
      <c r="O25" s="46">
        <v>45</v>
      </c>
      <c r="P25" s="49">
        <v>1.25</v>
      </c>
      <c r="Q25" s="50">
        <v>0.11968715837423201</v>
      </c>
      <c r="R25" s="50" t="s">
        <v>124</v>
      </c>
      <c r="S25" s="53">
        <v>1.95</v>
      </c>
      <c r="T25" s="51">
        <v>45</v>
      </c>
      <c r="U25" s="53">
        <v>0.99998034060156249</v>
      </c>
      <c r="V25" s="70">
        <v>1.2341392269973668</v>
      </c>
      <c r="W25" s="70">
        <v>1.160404012980349</v>
      </c>
      <c r="X25" s="52">
        <v>86021.023995289055</v>
      </c>
      <c r="Y25" s="52">
        <v>88383.197370414622</v>
      </c>
      <c r="Z25" s="50">
        <v>12.102283971040599</v>
      </c>
      <c r="AA25" s="50">
        <v>12.369805112107787</v>
      </c>
      <c r="AB25" s="50">
        <v>0</v>
      </c>
      <c r="AC25" s="50">
        <v>0</v>
      </c>
    </row>
    <row r="26" spans="2:29" ht="15.75" thickBot="1" x14ac:dyDescent="0.3">
      <c r="B26" s="66" t="str">
        <f t="shared" si="0"/>
        <v>Condensing Boiler_Zone 1_95+% Annual Fuel Utilization Efficiency (AFUE)</v>
      </c>
      <c r="C26" s="41">
        <v>25</v>
      </c>
      <c r="D26" s="41" t="s">
        <v>109</v>
      </c>
      <c r="E26" s="42" t="s">
        <v>40</v>
      </c>
      <c r="F26" s="42" t="s">
        <v>27</v>
      </c>
      <c r="G26" s="42" t="s">
        <v>32</v>
      </c>
      <c r="H26" s="42" t="s">
        <v>125</v>
      </c>
      <c r="I26" s="42" t="s">
        <v>111</v>
      </c>
      <c r="J26" s="42" t="s">
        <v>112</v>
      </c>
      <c r="K26" s="42" t="s">
        <v>126</v>
      </c>
      <c r="L26" s="42" t="s">
        <v>127</v>
      </c>
      <c r="M26" s="43">
        <v>108.78</v>
      </c>
      <c r="N26" s="44">
        <v>1747</v>
      </c>
      <c r="O26" s="43">
        <v>25</v>
      </c>
      <c r="P26" s="44">
        <v>900</v>
      </c>
      <c r="Q26" s="79">
        <v>144.02279803034281</v>
      </c>
      <c r="R26" s="79" t="s">
        <v>121</v>
      </c>
      <c r="S26" s="80">
        <v>2090.0700000000002</v>
      </c>
      <c r="T26" s="81">
        <v>25</v>
      </c>
      <c r="U26" s="80">
        <v>1463.0459900000001</v>
      </c>
      <c r="V26" s="82">
        <v>0.88999750868774907</v>
      </c>
      <c r="W26" s="82">
        <v>0.70196986600723876</v>
      </c>
      <c r="X26" s="75">
        <v>6.9062447938761231</v>
      </c>
      <c r="Y26" s="75">
        <v>9.485084893504709</v>
      </c>
      <c r="Z26" s="79">
        <v>0.77971046820141732</v>
      </c>
      <c r="AA26" s="79">
        <v>1.0795631098906617</v>
      </c>
      <c r="AB26" s="79">
        <v>0.77971046820141732</v>
      </c>
      <c r="AC26" s="79">
        <v>1.0795631098906617</v>
      </c>
    </row>
    <row r="27" spans="2:29" ht="15.75" thickBot="1" x14ac:dyDescent="0.3">
      <c r="B27" s="66" t="str">
        <f t="shared" si="0"/>
        <v>Condensing Boiler_Zone 2_95+% Annual Fuel Utilization Efficiency (AFUE)</v>
      </c>
      <c r="C27" s="46">
        <v>26</v>
      </c>
      <c r="D27" s="46" t="s">
        <v>109</v>
      </c>
      <c r="E27" s="47" t="s">
        <v>40</v>
      </c>
      <c r="F27" s="47" t="s">
        <v>29</v>
      </c>
      <c r="G27" s="47" t="s">
        <v>32</v>
      </c>
      <c r="H27" s="48" t="s">
        <v>125</v>
      </c>
      <c r="I27" s="48" t="s">
        <v>116</v>
      </c>
      <c r="J27" s="48" t="s">
        <v>112</v>
      </c>
      <c r="K27" s="48" t="s">
        <v>126</v>
      </c>
      <c r="L27" s="48" t="s">
        <v>127</v>
      </c>
      <c r="M27" s="46">
        <v>124.22</v>
      </c>
      <c r="N27" s="49">
        <v>1747</v>
      </c>
      <c r="O27" s="46">
        <v>25</v>
      </c>
      <c r="P27" s="49">
        <v>900</v>
      </c>
      <c r="Q27" s="50">
        <v>68.958479769223118</v>
      </c>
      <c r="R27" s="50" t="s">
        <v>121</v>
      </c>
      <c r="S27" s="53">
        <v>1194.323273549337</v>
      </c>
      <c r="T27" s="51">
        <v>25</v>
      </c>
      <c r="U27" s="53">
        <v>1463.0459900000001</v>
      </c>
      <c r="V27" s="70">
        <v>0.14870339726788398</v>
      </c>
      <c r="W27" s="70">
        <v>0.11728718657748594</v>
      </c>
      <c r="X27" s="52">
        <v>0</v>
      </c>
      <c r="Y27" s="52">
        <v>0</v>
      </c>
      <c r="Z27" s="50">
        <v>0</v>
      </c>
      <c r="AA27" s="50">
        <v>0</v>
      </c>
      <c r="AB27" s="50">
        <v>0</v>
      </c>
      <c r="AC27" s="50">
        <v>0</v>
      </c>
    </row>
    <row r="28" spans="2:29" ht="15.75" thickBot="1" x14ac:dyDescent="0.3">
      <c r="B28" s="66" t="str">
        <f t="shared" si="0"/>
        <v>Condensing Boiler_Zone 3_95+% Annual Fuel Utilization Efficiency (AFUE)</v>
      </c>
      <c r="C28" s="41">
        <v>27</v>
      </c>
      <c r="D28" s="41" t="s">
        <v>109</v>
      </c>
      <c r="E28" s="42" t="s">
        <v>40</v>
      </c>
      <c r="F28" s="42" t="s">
        <v>30</v>
      </c>
      <c r="G28" s="42" t="s">
        <v>32</v>
      </c>
      <c r="H28" s="42" t="s">
        <v>125</v>
      </c>
      <c r="I28" s="42" t="s">
        <v>117</v>
      </c>
      <c r="J28" s="42" t="s">
        <v>112</v>
      </c>
      <c r="K28" s="42" t="s">
        <v>126</v>
      </c>
      <c r="L28" s="42" t="s">
        <v>127</v>
      </c>
      <c r="M28" s="43">
        <v>110.66</v>
      </c>
      <c r="N28" s="44">
        <v>1747</v>
      </c>
      <c r="O28" s="43">
        <v>25</v>
      </c>
      <c r="P28" s="44">
        <v>900</v>
      </c>
      <c r="Q28" s="79">
        <v>61.556117334467672</v>
      </c>
      <c r="R28" s="79" t="s">
        <v>121</v>
      </c>
      <c r="S28" s="80">
        <v>1194.323273549337</v>
      </c>
      <c r="T28" s="81">
        <v>25</v>
      </c>
      <c r="U28" s="80">
        <v>1463.0459900000001</v>
      </c>
      <c r="V28" s="82">
        <v>0.1193345296487129</v>
      </c>
      <c r="W28" s="82">
        <v>9.4123009300393259E-2</v>
      </c>
      <c r="X28" s="75">
        <v>0</v>
      </c>
      <c r="Y28" s="75">
        <v>0</v>
      </c>
      <c r="Z28" s="79">
        <v>0</v>
      </c>
      <c r="AA28" s="79">
        <v>0</v>
      </c>
      <c r="AB28" s="79">
        <v>0</v>
      </c>
      <c r="AC28" s="79">
        <v>0</v>
      </c>
    </row>
    <row r="29" spans="2:29" ht="15.75" thickBot="1" x14ac:dyDescent="0.3">
      <c r="B29" s="66" t="str">
        <f t="shared" si="0"/>
        <v>Duct Insulation_Zone 1_Post R ? 8, prior condition must not exceed R-0</v>
      </c>
      <c r="C29" s="46">
        <v>28</v>
      </c>
      <c r="D29" s="46" t="s">
        <v>109</v>
      </c>
      <c r="E29" s="47" t="s">
        <v>41</v>
      </c>
      <c r="F29" s="47" t="s">
        <v>27</v>
      </c>
      <c r="G29" s="47" t="s">
        <v>42</v>
      </c>
      <c r="H29" s="48" t="s">
        <v>128</v>
      </c>
      <c r="I29" s="48" t="s">
        <v>111</v>
      </c>
      <c r="J29" s="48" t="s">
        <v>112</v>
      </c>
      <c r="K29" s="48" t="s">
        <v>129</v>
      </c>
      <c r="L29" s="48" t="s">
        <v>130</v>
      </c>
      <c r="M29" s="46">
        <v>0.17</v>
      </c>
      <c r="N29" s="49">
        <v>0.17</v>
      </c>
      <c r="O29" s="46">
        <v>45</v>
      </c>
      <c r="P29" s="49">
        <v>1</v>
      </c>
      <c r="Q29" s="50">
        <v>0.17361189969618615</v>
      </c>
      <c r="R29" s="50" t="s">
        <v>131</v>
      </c>
      <c r="S29" s="53">
        <v>2.46</v>
      </c>
      <c r="T29" s="51">
        <v>45</v>
      </c>
      <c r="U29" s="53">
        <v>0.50000891751629639</v>
      </c>
      <c r="V29" s="70">
        <v>5.7380775054285502</v>
      </c>
      <c r="W29" s="70">
        <v>1.7944386201824809</v>
      </c>
      <c r="X29" s="52">
        <v>12234.678678362932</v>
      </c>
      <c r="Y29" s="52">
        <v>19029.434420357618</v>
      </c>
      <c r="Z29" s="50">
        <v>2.2226746461995397</v>
      </c>
      <c r="AA29" s="50">
        <v>3.4637050194495265</v>
      </c>
      <c r="AB29" s="50">
        <v>2.2226746461995397</v>
      </c>
      <c r="AC29" s="50">
        <v>3.4637050194495265</v>
      </c>
    </row>
    <row r="30" spans="2:29" ht="15.75" thickBot="1" x14ac:dyDescent="0.3">
      <c r="B30" s="66" t="str">
        <f t="shared" si="0"/>
        <v>Duct Insulation_Zone 2_Post R ? 8, prior condition must not exceed R-0</v>
      </c>
      <c r="C30" s="41">
        <v>29</v>
      </c>
      <c r="D30" s="41" t="s">
        <v>109</v>
      </c>
      <c r="E30" s="42" t="s">
        <v>41</v>
      </c>
      <c r="F30" s="42" t="s">
        <v>29</v>
      </c>
      <c r="G30" s="42" t="s">
        <v>42</v>
      </c>
      <c r="H30" s="42" t="s">
        <v>128</v>
      </c>
      <c r="I30" s="42" t="s">
        <v>116</v>
      </c>
      <c r="J30" s="42" t="s">
        <v>112</v>
      </c>
      <c r="K30" s="42" t="s">
        <v>129</v>
      </c>
      <c r="L30" s="42" t="s">
        <v>130</v>
      </c>
      <c r="M30" s="43">
        <v>0.17</v>
      </c>
      <c r="N30" s="44">
        <v>0.17</v>
      </c>
      <c r="O30" s="43">
        <v>45</v>
      </c>
      <c r="P30" s="44">
        <v>1</v>
      </c>
      <c r="Q30" s="79">
        <v>0.17361189969618615</v>
      </c>
      <c r="R30" s="79" t="s">
        <v>131</v>
      </c>
      <c r="S30" s="80">
        <v>2.46</v>
      </c>
      <c r="T30" s="81">
        <v>45</v>
      </c>
      <c r="U30" s="80">
        <v>0.50000891751629639</v>
      </c>
      <c r="V30" s="82">
        <v>3.2985811665211902</v>
      </c>
      <c r="W30" s="82">
        <v>1.0617369723919354</v>
      </c>
      <c r="X30" s="75">
        <v>5900.0254547243112</v>
      </c>
      <c r="Y30" s="75">
        <v>9176.7140290880016</v>
      </c>
      <c r="Z30" s="79">
        <v>1.0717772527712222</v>
      </c>
      <c r="AA30" s="79">
        <v>1.670233473810838</v>
      </c>
      <c r="AB30" s="79">
        <v>1.0718172210086756</v>
      </c>
      <c r="AC30" s="79">
        <v>1.6704004191923851</v>
      </c>
    </row>
    <row r="31" spans="2:29" ht="15.75" thickBot="1" x14ac:dyDescent="0.3">
      <c r="B31" s="66" t="str">
        <f t="shared" si="0"/>
        <v>Duct Insulation_Zone 3_Post R ? 8, prior condition must not exceed R-0</v>
      </c>
      <c r="C31" s="46">
        <v>30</v>
      </c>
      <c r="D31" s="46" t="s">
        <v>109</v>
      </c>
      <c r="E31" s="47" t="s">
        <v>41</v>
      </c>
      <c r="F31" s="47" t="s">
        <v>30</v>
      </c>
      <c r="G31" s="47" t="s">
        <v>42</v>
      </c>
      <c r="H31" s="48" t="s">
        <v>128</v>
      </c>
      <c r="I31" s="48" t="s">
        <v>117</v>
      </c>
      <c r="J31" s="48" t="s">
        <v>112</v>
      </c>
      <c r="K31" s="48" t="s">
        <v>129</v>
      </c>
      <c r="L31" s="48" t="s">
        <v>130</v>
      </c>
      <c r="M31" s="46">
        <v>0.17</v>
      </c>
      <c r="N31" s="49">
        <v>0.17</v>
      </c>
      <c r="O31" s="46">
        <v>45</v>
      </c>
      <c r="P31" s="49">
        <v>1</v>
      </c>
      <c r="Q31" s="50">
        <v>0.17361189969618615</v>
      </c>
      <c r="R31" s="50" t="s">
        <v>131</v>
      </c>
      <c r="S31" s="53">
        <v>2.46</v>
      </c>
      <c r="T31" s="51">
        <v>45</v>
      </c>
      <c r="U31" s="53">
        <v>0.50000891751629639</v>
      </c>
      <c r="V31" s="70">
        <v>2.9011317261079888</v>
      </c>
      <c r="W31" s="70">
        <v>1.0217231497155508</v>
      </c>
      <c r="X31" s="52">
        <v>9278.2936380372375</v>
      </c>
      <c r="Y31" s="52">
        <v>14634.126377530678</v>
      </c>
      <c r="Z31" s="50">
        <v>1.7114984761321057</v>
      </c>
      <c r="AA31" s="50">
        <v>2.7136890110987637</v>
      </c>
      <c r="AB31" s="50">
        <v>1.7139881269323398</v>
      </c>
      <c r="AC31" s="50">
        <v>2.7221232979239138</v>
      </c>
    </row>
    <row r="32" spans="2:29" ht="26.25" thickBot="1" x14ac:dyDescent="0.3">
      <c r="B32" s="66" t="str">
        <f t="shared" si="0"/>
        <v>Duct Sealing_Zone 1_30% or more of supply ducts in unconditioned space</v>
      </c>
      <c r="C32" s="41">
        <v>31</v>
      </c>
      <c r="D32" s="41" t="s">
        <v>109</v>
      </c>
      <c r="E32" s="42" t="s">
        <v>43</v>
      </c>
      <c r="F32" s="42" t="s">
        <v>27</v>
      </c>
      <c r="G32" s="42" t="s">
        <v>44</v>
      </c>
      <c r="H32" s="42" t="s">
        <v>132</v>
      </c>
      <c r="I32" s="42" t="s">
        <v>111</v>
      </c>
      <c r="J32" s="42" t="s">
        <v>112</v>
      </c>
      <c r="K32" s="42" t="s">
        <v>133</v>
      </c>
      <c r="L32" s="42" t="s">
        <v>134</v>
      </c>
      <c r="M32" s="43">
        <v>68.64</v>
      </c>
      <c r="N32" s="44">
        <v>793.95</v>
      </c>
      <c r="O32" s="43">
        <v>20</v>
      </c>
      <c r="P32" s="44">
        <v>150</v>
      </c>
      <c r="Q32" s="79">
        <v>74.363082234767219</v>
      </c>
      <c r="R32" s="79" t="s">
        <v>135</v>
      </c>
      <c r="S32" s="80">
        <v>693.79999999999984</v>
      </c>
      <c r="T32" s="81">
        <v>20</v>
      </c>
      <c r="U32" s="80">
        <v>149.99999503772216</v>
      </c>
      <c r="V32" s="82">
        <v>5.9931356641625904</v>
      </c>
      <c r="W32" s="82">
        <v>1.9761458307555462</v>
      </c>
      <c r="X32" s="75">
        <v>75.254114043739051</v>
      </c>
      <c r="Y32" s="75">
        <v>114.90159114064446</v>
      </c>
      <c r="Z32" s="79">
        <v>6.4770571724436135</v>
      </c>
      <c r="AA32" s="79">
        <v>9.8605990684625358</v>
      </c>
      <c r="AB32" s="79">
        <v>6.4770571724436135</v>
      </c>
      <c r="AC32" s="79">
        <v>9.8605990684625358</v>
      </c>
    </row>
    <row r="33" spans="2:29" ht="26.25" thickBot="1" x14ac:dyDescent="0.3">
      <c r="B33" s="66" t="str">
        <f t="shared" si="0"/>
        <v>Duct Sealing_Zone 2_30% or more of supply ducts in unconditioned space</v>
      </c>
      <c r="C33" s="46">
        <v>32</v>
      </c>
      <c r="D33" s="46" t="s">
        <v>109</v>
      </c>
      <c r="E33" s="47" t="s">
        <v>43</v>
      </c>
      <c r="F33" s="47" t="s">
        <v>29</v>
      </c>
      <c r="G33" s="47" t="s">
        <v>44</v>
      </c>
      <c r="H33" s="48" t="s">
        <v>132</v>
      </c>
      <c r="I33" s="48" t="s">
        <v>116</v>
      </c>
      <c r="J33" s="48" t="s">
        <v>112</v>
      </c>
      <c r="K33" s="48" t="s">
        <v>133</v>
      </c>
      <c r="L33" s="48" t="s">
        <v>134</v>
      </c>
      <c r="M33" s="46">
        <v>69.209999999999994</v>
      </c>
      <c r="N33" s="49">
        <v>793.95</v>
      </c>
      <c r="O33" s="46">
        <v>20</v>
      </c>
      <c r="P33" s="49">
        <v>150</v>
      </c>
      <c r="Q33" s="50">
        <v>74.974647427383275</v>
      </c>
      <c r="R33" s="50" t="s">
        <v>135</v>
      </c>
      <c r="S33" s="53">
        <v>693.79999999999984</v>
      </c>
      <c r="T33" s="51">
        <v>20</v>
      </c>
      <c r="U33" s="53">
        <v>149.99999503772216</v>
      </c>
      <c r="V33" s="70">
        <v>3.904064103644346</v>
      </c>
      <c r="W33" s="70">
        <v>1.3093499603303675</v>
      </c>
      <c r="X33" s="52">
        <v>37.581761424526704</v>
      </c>
      <c r="Y33" s="52">
        <v>57.381636079542353</v>
      </c>
      <c r="Z33" s="50">
        <v>3.2619825588204416</v>
      </c>
      <c r="AA33" s="50">
        <v>4.966093608265945</v>
      </c>
      <c r="AB33" s="50">
        <v>3.2620197036385186</v>
      </c>
      <c r="AC33" s="50">
        <v>4.9662277556760515</v>
      </c>
    </row>
    <row r="34" spans="2:29" ht="26.25" thickBot="1" x14ac:dyDescent="0.3">
      <c r="B34" s="66" t="str">
        <f t="shared" si="0"/>
        <v>Duct Sealing_Zone 3_30% or more of supply ducts in unconditioned space</v>
      </c>
      <c r="C34" s="41">
        <v>33</v>
      </c>
      <c r="D34" s="41" t="s">
        <v>109</v>
      </c>
      <c r="E34" s="42" t="s">
        <v>43</v>
      </c>
      <c r="F34" s="42" t="s">
        <v>30</v>
      </c>
      <c r="G34" s="42" t="s">
        <v>44</v>
      </c>
      <c r="H34" s="42" t="s">
        <v>132</v>
      </c>
      <c r="I34" s="42" t="s">
        <v>117</v>
      </c>
      <c r="J34" s="42" t="s">
        <v>112</v>
      </c>
      <c r="K34" s="42" t="s">
        <v>133</v>
      </c>
      <c r="L34" s="42" t="s">
        <v>134</v>
      </c>
      <c r="M34" s="43">
        <v>60.78</v>
      </c>
      <c r="N34" s="44">
        <v>793.95</v>
      </c>
      <c r="O34" s="43">
        <v>20</v>
      </c>
      <c r="P34" s="44">
        <v>150</v>
      </c>
      <c r="Q34" s="79">
        <v>65.847172363713753</v>
      </c>
      <c r="R34" s="79" t="s">
        <v>135</v>
      </c>
      <c r="S34" s="80">
        <v>693.79999999999984</v>
      </c>
      <c r="T34" s="81">
        <v>20</v>
      </c>
      <c r="U34" s="80">
        <v>149.99999503772216</v>
      </c>
      <c r="V34" s="82">
        <v>3.0416480559615313</v>
      </c>
      <c r="W34" s="82">
        <v>1.0983491370865341</v>
      </c>
      <c r="X34" s="75">
        <v>53.615930244589357</v>
      </c>
      <c r="Y34" s="75">
        <v>81.904524648627614</v>
      </c>
      <c r="Z34" s="79">
        <v>4.1431772840053549</v>
      </c>
      <c r="AA34" s="79">
        <v>6.3118301536467802</v>
      </c>
      <c r="AB34" s="79">
        <v>4.050192853252029</v>
      </c>
      <c r="AC34" s="79">
        <v>6.1796132279020792</v>
      </c>
    </row>
    <row r="35" spans="2:29" ht="26.25" thickBot="1" x14ac:dyDescent="0.3">
      <c r="B35" s="66" t="str">
        <f t="shared" si="0"/>
        <v>ENERGY STAR Certified Homes + U.30 Window Glazing_Zone 3_Certified HERS 75</v>
      </c>
      <c r="C35" s="46">
        <v>34</v>
      </c>
      <c r="D35" s="46" t="s">
        <v>109</v>
      </c>
      <c r="E35" s="47" t="s">
        <v>45</v>
      </c>
      <c r="F35" s="47" t="s">
        <v>30</v>
      </c>
      <c r="G35" s="47" t="s">
        <v>46</v>
      </c>
      <c r="H35" s="48" t="s">
        <v>136</v>
      </c>
      <c r="I35" s="48" t="s">
        <v>117</v>
      </c>
      <c r="J35" s="48" t="s">
        <v>122</v>
      </c>
      <c r="K35" s="48" t="s">
        <v>137</v>
      </c>
      <c r="L35" s="48" t="s">
        <v>138</v>
      </c>
      <c r="M35" s="46">
        <v>48.51</v>
      </c>
      <c r="N35" s="49">
        <v>1142</v>
      </c>
      <c r="O35" s="46">
        <v>30</v>
      </c>
      <c r="P35" s="49">
        <v>600</v>
      </c>
      <c r="Q35" s="50">
        <v>31.280862501988175</v>
      </c>
      <c r="R35" s="50" t="s">
        <v>135</v>
      </c>
      <c r="S35" s="53">
        <v>2154.5300000000002</v>
      </c>
      <c r="T35" s="51">
        <v>30</v>
      </c>
      <c r="U35" s="53">
        <v>1098.811524</v>
      </c>
      <c r="V35" s="70">
        <v>0.11658541295295945</v>
      </c>
      <c r="W35" s="70">
        <v>7.2843565826657672E-2</v>
      </c>
      <c r="X35" s="52">
        <v>0</v>
      </c>
      <c r="Y35" s="52">
        <v>0</v>
      </c>
      <c r="Z35" s="50">
        <v>0</v>
      </c>
      <c r="AA35" s="50">
        <v>0</v>
      </c>
      <c r="AB35" s="50">
        <v>0</v>
      </c>
      <c r="AC35" s="50">
        <v>0</v>
      </c>
    </row>
    <row r="36" spans="2:29" ht="15.75" thickBot="1" x14ac:dyDescent="0.3">
      <c r="B36" s="66" t="str">
        <f t="shared" si="0"/>
        <v>ENERGY STAR Clothes Washer_Zone 1_ENERGY STAR Clothes Washers</v>
      </c>
      <c r="C36" s="41">
        <v>36</v>
      </c>
      <c r="D36" s="41" t="s">
        <v>109</v>
      </c>
      <c r="E36" s="42" t="s">
        <v>47</v>
      </c>
      <c r="F36" s="42" t="s">
        <v>27</v>
      </c>
      <c r="G36" s="42" t="s">
        <v>48</v>
      </c>
      <c r="H36" s="42" t="s">
        <v>48</v>
      </c>
      <c r="I36" s="42" t="s">
        <v>111</v>
      </c>
      <c r="J36" s="42" t="s">
        <v>112</v>
      </c>
      <c r="K36" s="42" t="s">
        <v>139</v>
      </c>
      <c r="L36" s="42" t="s">
        <v>140</v>
      </c>
      <c r="M36" s="43">
        <v>7.7290000000000001</v>
      </c>
      <c r="N36" s="44">
        <v>61.41</v>
      </c>
      <c r="O36" s="43">
        <v>14</v>
      </c>
      <c r="P36" s="44">
        <v>50</v>
      </c>
      <c r="Q36" s="79">
        <v>5.327102410616229</v>
      </c>
      <c r="R36" s="79" t="s">
        <v>135</v>
      </c>
      <c r="S36" s="80">
        <v>61.28</v>
      </c>
      <c r="T36" s="81">
        <v>14.199999999999998</v>
      </c>
      <c r="U36" s="80">
        <v>36.76896</v>
      </c>
      <c r="V36" s="82">
        <v>1.3446019122323527</v>
      </c>
      <c r="W36" s="82">
        <v>0.94913076157577836</v>
      </c>
      <c r="X36" s="75">
        <v>1107.692679212551</v>
      </c>
      <c r="Y36" s="75">
        <v>1085.5388256282993</v>
      </c>
      <c r="Z36" s="79">
        <v>6.1943529716841379</v>
      </c>
      <c r="AA36" s="79">
        <v>6.0103542037593254</v>
      </c>
      <c r="AB36" s="79">
        <v>6.1944753790907736</v>
      </c>
      <c r="AC36" s="79">
        <v>6.0107089470387614</v>
      </c>
    </row>
    <row r="37" spans="2:29" ht="15.75" thickBot="1" x14ac:dyDescent="0.3">
      <c r="B37" s="66" t="str">
        <f t="shared" si="0"/>
        <v>ENERGY STAR Clothes Washer_Zone 2_ENERGY STAR Clothes Washers</v>
      </c>
      <c r="C37" s="46">
        <v>37</v>
      </c>
      <c r="D37" s="46" t="s">
        <v>109</v>
      </c>
      <c r="E37" s="47" t="s">
        <v>47</v>
      </c>
      <c r="F37" s="47" t="s">
        <v>29</v>
      </c>
      <c r="G37" s="47" t="s">
        <v>48</v>
      </c>
      <c r="H37" s="48" t="s">
        <v>48</v>
      </c>
      <c r="I37" s="48" t="s">
        <v>116</v>
      </c>
      <c r="J37" s="48" t="s">
        <v>112</v>
      </c>
      <c r="K37" s="48" t="s">
        <v>139</v>
      </c>
      <c r="L37" s="48" t="s">
        <v>140</v>
      </c>
      <c r="M37" s="46">
        <v>7.7290000000000001</v>
      </c>
      <c r="N37" s="49">
        <v>61.41</v>
      </c>
      <c r="O37" s="46">
        <v>14</v>
      </c>
      <c r="P37" s="49">
        <v>50</v>
      </c>
      <c r="Q37" s="50">
        <v>5.327102410616229</v>
      </c>
      <c r="R37" s="50" t="s">
        <v>135</v>
      </c>
      <c r="S37" s="53">
        <v>61.28</v>
      </c>
      <c r="T37" s="51">
        <v>14.199999999999998</v>
      </c>
      <c r="U37" s="53">
        <v>36.76896</v>
      </c>
      <c r="V37" s="70">
        <v>0.93825460189512688</v>
      </c>
      <c r="W37" s="70">
        <v>0.662297366043619</v>
      </c>
      <c r="X37" s="52">
        <v>536.4119126460962</v>
      </c>
      <c r="Y37" s="52">
        <v>525.68367439317421</v>
      </c>
      <c r="Z37" s="50">
        <v>2.9998809255849475</v>
      </c>
      <c r="AA37" s="50">
        <v>2.9109499945382193</v>
      </c>
      <c r="AB37" s="50">
        <v>0</v>
      </c>
      <c r="AC37" s="50">
        <v>0</v>
      </c>
    </row>
    <row r="38" spans="2:29" ht="15.75" thickBot="1" x14ac:dyDescent="0.3">
      <c r="B38" s="66" t="str">
        <f t="shared" si="0"/>
        <v>ENERGY STAR Clothes Washer_Zone 3_ENERGY STAR Clothes Washers</v>
      </c>
      <c r="C38" s="41">
        <v>38</v>
      </c>
      <c r="D38" s="41" t="s">
        <v>109</v>
      </c>
      <c r="E38" s="42" t="s">
        <v>47</v>
      </c>
      <c r="F38" s="42" t="s">
        <v>30</v>
      </c>
      <c r="G38" s="42" t="s">
        <v>48</v>
      </c>
      <c r="H38" s="42" t="s">
        <v>48</v>
      </c>
      <c r="I38" s="42" t="s">
        <v>117</v>
      </c>
      <c r="J38" s="42" t="s">
        <v>112</v>
      </c>
      <c r="K38" s="42" t="s">
        <v>139</v>
      </c>
      <c r="L38" s="42" t="s">
        <v>140</v>
      </c>
      <c r="M38" s="43">
        <v>7.7290000000000001</v>
      </c>
      <c r="N38" s="44">
        <v>61.41</v>
      </c>
      <c r="O38" s="43">
        <v>14</v>
      </c>
      <c r="P38" s="44">
        <v>50</v>
      </c>
      <c r="Q38" s="79">
        <v>5.327102410616229</v>
      </c>
      <c r="R38" s="79" t="s">
        <v>135</v>
      </c>
      <c r="S38" s="80">
        <v>61.28</v>
      </c>
      <c r="T38" s="81">
        <v>14.199999999999998</v>
      </c>
      <c r="U38" s="80">
        <v>36.76896</v>
      </c>
      <c r="V38" s="82">
        <v>0.7583367640722144</v>
      </c>
      <c r="W38" s="82">
        <v>0.53529653934509269</v>
      </c>
      <c r="X38" s="75">
        <v>0</v>
      </c>
      <c r="Y38" s="75">
        <v>0</v>
      </c>
      <c r="Z38" s="79">
        <v>0</v>
      </c>
      <c r="AA38" s="79">
        <v>0</v>
      </c>
      <c r="AB38" s="79">
        <v>0</v>
      </c>
      <c r="AC38" s="79">
        <v>0</v>
      </c>
    </row>
    <row r="39" spans="2:29" ht="15.75" thickBot="1" x14ac:dyDescent="0.3">
      <c r="B39" s="66" t="str">
        <f t="shared" si="0"/>
        <v>Smart Thermostat_Zone 1_Smart Thermostat</v>
      </c>
      <c r="C39" s="46">
        <v>39</v>
      </c>
      <c r="D39" s="46" t="s">
        <v>109</v>
      </c>
      <c r="E39" s="47" t="s">
        <v>217</v>
      </c>
      <c r="F39" s="47" t="s">
        <v>27</v>
      </c>
      <c r="G39" s="47" t="s">
        <v>217</v>
      </c>
      <c r="H39" s="48" t="s">
        <v>141</v>
      </c>
      <c r="I39" s="48" t="s">
        <v>111</v>
      </c>
      <c r="J39" s="48" t="s">
        <v>112</v>
      </c>
      <c r="K39" s="48" t="s">
        <v>142</v>
      </c>
      <c r="L39" s="48" t="s">
        <v>143</v>
      </c>
      <c r="M39" s="46">
        <v>34.197000000000003</v>
      </c>
      <c r="N39" s="49">
        <v>264.41000000000003</v>
      </c>
      <c r="O39" s="46">
        <v>5</v>
      </c>
      <c r="P39" s="49">
        <v>75</v>
      </c>
      <c r="Q39" s="50">
        <v>0</v>
      </c>
      <c r="R39" s="50" t="s">
        <v>135</v>
      </c>
      <c r="S39" s="53">
        <v>230.61</v>
      </c>
      <c r="T39" s="51">
        <v>7</v>
      </c>
      <c r="U39" s="53">
        <v>25.000003543548086</v>
      </c>
      <c r="V39" s="70">
        <v>0</v>
      </c>
      <c r="W39" s="70">
        <v>0</v>
      </c>
      <c r="X39" s="52">
        <v>0</v>
      </c>
      <c r="Y39" s="52">
        <v>0</v>
      </c>
      <c r="Z39" s="50">
        <v>0</v>
      </c>
      <c r="AA39" s="50">
        <v>0</v>
      </c>
      <c r="AB39" s="50">
        <v>0</v>
      </c>
      <c r="AC39" s="50">
        <v>0</v>
      </c>
    </row>
    <row r="40" spans="2:29" ht="15.75" thickBot="1" x14ac:dyDescent="0.3">
      <c r="B40" s="66" t="str">
        <f t="shared" si="0"/>
        <v>Smart Thermostat_Zone 2_Smart Thermostat</v>
      </c>
      <c r="C40" s="41">
        <v>40</v>
      </c>
      <c r="D40" s="41" t="s">
        <v>109</v>
      </c>
      <c r="E40" s="42" t="s">
        <v>217</v>
      </c>
      <c r="F40" s="42" t="s">
        <v>29</v>
      </c>
      <c r="G40" s="42" t="s">
        <v>217</v>
      </c>
      <c r="H40" s="42" t="s">
        <v>141</v>
      </c>
      <c r="I40" s="42" t="s">
        <v>116</v>
      </c>
      <c r="J40" s="42" t="s">
        <v>112</v>
      </c>
      <c r="K40" s="42" t="s">
        <v>142</v>
      </c>
      <c r="L40" s="42" t="s">
        <v>143</v>
      </c>
      <c r="M40" s="43">
        <v>34.506</v>
      </c>
      <c r="N40" s="44">
        <v>264.41000000000003</v>
      </c>
      <c r="O40" s="43">
        <v>5</v>
      </c>
      <c r="P40" s="44">
        <v>75</v>
      </c>
      <c r="Q40" s="79">
        <v>0</v>
      </c>
      <c r="R40" s="79" t="s">
        <v>135</v>
      </c>
      <c r="S40" s="80">
        <v>230.61</v>
      </c>
      <c r="T40" s="81">
        <v>7</v>
      </c>
      <c r="U40" s="80">
        <v>25.000003543548086</v>
      </c>
      <c r="V40" s="82">
        <v>0</v>
      </c>
      <c r="W40" s="82">
        <v>0</v>
      </c>
      <c r="X40" s="75">
        <v>0</v>
      </c>
      <c r="Y40" s="75">
        <v>0</v>
      </c>
      <c r="Z40" s="79">
        <v>0</v>
      </c>
      <c r="AA40" s="79">
        <v>0</v>
      </c>
      <c r="AB40" s="79">
        <v>0</v>
      </c>
      <c r="AC40" s="79">
        <v>0</v>
      </c>
    </row>
    <row r="41" spans="2:29" ht="15.75" thickBot="1" x14ac:dyDescent="0.3">
      <c r="B41" s="66" t="str">
        <f t="shared" si="0"/>
        <v>Smart Thermostat_Zone 3_Smart Thermostat</v>
      </c>
      <c r="C41" s="46">
        <v>41</v>
      </c>
      <c r="D41" s="46" t="s">
        <v>109</v>
      </c>
      <c r="E41" s="47" t="s">
        <v>217</v>
      </c>
      <c r="F41" s="47" t="s">
        <v>30</v>
      </c>
      <c r="G41" s="47" t="s">
        <v>217</v>
      </c>
      <c r="H41" s="48" t="s">
        <v>141</v>
      </c>
      <c r="I41" s="48" t="s">
        <v>117</v>
      </c>
      <c r="J41" s="48" t="s">
        <v>112</v>
      </c>
      <c r="K41" s="48" t="s">
        <v>142</v>
      </c>
      <c r="L41" s="48" t="s">
        <v>143</v>
      </c>
      <c r="M41" s="46">
        <v>30.364999999999998</v>
      </c>
      <c r="N41" s="49">
        <v>264.41000000000003</v>
      </c>
      <c r="O41" s="46">
        <v>5</v>
      </c>
      <c r="P41" s="49">
        <v>75</v>
      </c>
      <c r="Q41" s="50">
        <v>0</v>
      </c>
      <c r="R41" s="50" t="s">
        <v>135</v>
      </c>
      <c r="S41" s="53">
        <v>230.61</v>
      </c>
      <c r="T41" s="51">
        <v>7</v>
      </c>
      <c r="U41" s="53">
        <v>25.000003543548086</v>
      </c>
      <c r="V41" s="70">
        <v>0</v>
      </c>
      <c r="W41" s="70">
        <v>0</v>
      </c>
      <c r="X41" s="52">
        <v>0</v>
      </c>
      <c r="Y41" s="52">
        <v>0</v>
      </c>
      <c r="Z41" s="50">
        <v>0</v>
      </c>
      <c r="AA41" s="50">
        <v>0</v>
      </c>
      <c r="AB41" s="50">
        <v>0</v>
      </c>
      <c r="AC41" s="50">
        <v>0</v>
      </c>
    </row>
    <row r="42" spans="2:29" ht="15.75" thickBot="1" x14ac:dyDescent="0.3">
      <c r="B42" s="66" t="str">
        <f t="shared" si="0"/>
        <v>Floor Insulation_Zone 1_Post R 30+, or fill cavity</v>
      </c>
      <c r="C42" s="41">
        <v>42</v>
      </c>
      <c r="D42" s="41" t="s">
        <v>109</v>
      </c>
      <c r="E42" s="42" t="s">
        <v>49</v>
      </c>
      <c r="F42" s="42" t="s">
        <v>27</v>
      </c>
      <c r="G42" s="42" t="s">
        <v>214</v>
      </c>
      <c r="H42" s="42" t="s">
        <v>144</v>
      </c>
      <c r="I42" s="42" t="s">
        <v>111</v>
      </c>
      <c r="J42" s="42" t="s">
        <v>112</v>
      </c>
      <c r="K42" s="42" t="s">
        <v>145</v>
      </c>
      <c r="L42" s="42" t="s">
        <v>146</v>
      </c>
      <c r="M42" s="43">
        <v>3.9E-2</v>
      </c>
      <c r="N42" s="44">
        <v>1.08</v>
      </c>
      <c r="O42" s="43">
        <v>45</v>
      </c>
      <c r="P42" s="44">
        <v>1.25</v>
      </c>
      <c r="Q42" s="79">
        <v>3.2313637612481891E-2</v>
      </c>
      <c r="R42" s="79" t="s">
        <v>147</v>
      </c>
      <c r="S42" s="80">
        <v>1.58</v>
      </c>
      <c r="T42" s="81">
        <v>45</v>
      </c>
      <c r="U42" s="80">
        <v>0.74999758517316228</v>
      </c>
      <c r="V42" s="82">
        <v>0.71091260791001132</v>
      </c>
      <c r="W42" s="82">
        <v>0.45496316832158135</v>
      </c>
      <c r="X42" s="75">
        <v>0</v>
      </c>
      <c r="Y42" s="75">
        <v>0</v>
      </c>
      <c r="Z42" s="79">
        <v>0</v>
      </c>
      <c r="AA42" s="79">
        <v>0</v>
      </c>
      <c r="AB42" s="79">
        <v>0</v>
      </c>
      <c r="AC42" s="79">
        <v>0</v>
      </c>
    </row>
    <row r="43" spans="2:29" ht="15.75" thickBot="1" x14ac:dyDescent="0.3">
      <c r="B43" s="66" t="str">
        <f t="shared" si="0"/>
        <v>Floor Insulation_Zone 2_Post R 30+, or fill cavity</v>
      </c>
      <c r="C43" s="46">
        <v>44</v>
      </c>
      <c r="D43" s="46" t="s">
        <v>109</v>
      </c>
      <c r="E43" s="47" t="s">
        <v>49</v>
      </c>
      <c r="F43" s="47" t="s">
        <v>29</v>
      </c>
      <c r="G43" s="47" t="s">
        <v>214</v>
      </c>
      <c r="H43" s="48" t="s">
        <v>144</v>
      </c>
      <c r="I43" s="48" t="s">
        <v>116</v>
      </c>
      <c r="J43" s="48" t="s">
        <v>112</v>
      </c>
      <c r="K43" s="48" t="s">
        <v>145</v>
      </c>
      <c r="L43" s="48" t="s">
        <v>146</v>
      </c>
      <c r="M43" s="46">
        <v>4.2999999999999997E-2</v>
      </c>
      <c r="N43" s="49">
        <v>1.08</v>
      </c>
      <c r="O43" s="46">
        <v>45</v>
      </c>
      <c r="P43" s="49">
        <v>1.25</v>
      </c>
      <c r="Q43" s="50">
        <v>3.2313637612481891E-2</v>
      </c>
      <c r="R43" s="50" t="s">
        <v>147</v>
      </c>
      <c r="S43" s="53">
        <v>1.58</v>
      </c>
      <c r="T43" s="51">
        <v>45</v>
      </c>
      <c r="U43" s="53">
        <v>0.74999758517316228</v>
      </c>
      <c r="V43" s="70">
        <v>0.40891025698038957</v>
      </c>
      <c r="W43" s="70">
        <v>0.26934555948287614</v>
      </c>
      <c r="X43" s="52">
        <v>0</v>
      </c>
      <c r="Y43" s="52">
        <v>0</v>
      </c>
      <c r="Z43" s="50">
        <v>0</v>
      </c>
      <c r="AA43" s="50">
        <v>0</v>
      </c>
      <c r="AB43" s="50">
        <v>0</v>
      </c>
      <c r="AC43" s="50">
        <v>0</v>
      </c>
    </row>
    <row r="44" spans="2:29" ht="15.75" thickBot="1" x14ac:dyDescent="0.3">
      <c r="B44" s="66" t="str">
        <f t="shared" si="0"/>
        <v>Floor Insulation_Zone 3_Post R 30+, or fill cavity</v>
      </c>
      <c r="C44" s="41">
        <v>45</v>
      </c>
      <c r="D44" s="41" t="s">
        <v>109</v>
      </c>
      <c r="E44" s="42" t="s">
        <v>49</v>
      </c>
      <c r="F44" s="42" t="s">
        <v>30</v>
      </c>
      <c r="G44" s="42" t="s">
        <v>214</v>
      </c>
      <c r="H44" s="42" t="s">
        <v>144</v>
      </c>
      <c r="I44" s="42" t="s">
        <v>117</v>
      </c>
      <c r="J44" s="42" t="s">
        <v>112</v>
      </c>
      <c r="K44" s="42" t="s">
        <v>145</v>
      </c>
      <c r="L44" s="42" t="s">
        <v>146</v>
      </c>
      <c r="M44" s="43">
        <v>4.7E-2</v>
      </c>
      <c r="N44" s="44">
        <v>1.08</v>
      </c>
      <c r="O44" s="43">
        <v>45</v>
      </c>
      <c r="P44" s="44">
        <v>1.25</v>
      </c>
      <c r="Q44" s="79">
        <v>3.2313637612481891E-2</v>
      </c>
      <c r="R44" s="79" t="s">
        <v>147</v>
      </c>
      <c r="S44" s="80">
        <v>1.58</v>
      </c>
      <c r="T44" s="81">
        <v>45</v>
      </c>
      <c r="U44" s="80">
        <v>0.74999758517316228</v>
      </c>
      <c r="V44" s="82">
        <v>0.35986380667704987</v>
      </c>
      <c r="W44" s="82">
        <v>0.25935912670399724</v>
      </c>
      <c r="X44" s="75">
        <v>0</v>
      </c>
      <c r="Y44" s="75">
        <v>0</v>
      </c>
      <c r="Z44" s="79">
        <v>0</v>
      </c>
      <c r="AA44" s="79">
        <v>0</v>
      </c>
      <c r="AB44" s="79">
        <v>0</v>
      </c>
      <c r="AC44" s="79">
        <v>0</v>
      </c>
    </row>
    <row r="45" spans="2:29" ht="39" thickBot="1" x14ac:dyDescent="0.3">
      <c r="B45" s="66" t="str">
        <f t="shared" si="0"/>
        <v>High-Efficiency Combination Domestic Hot Water and Hydronic Space Heating System using pre-approved Tankless Water Heater_Zone 1_95+% Annual Fuel Utilization Efficiency (AFUE) Hydronic Space Heating &amp; DHW</v>
      </c>
      <c r="C45" s="46">
        <v>46</v>
      </c>
      <c r="D45" s="46" t="s">
        <v>109</v>
      </c>
      <c r="E45" s="47" t="s">
        <v>50</v>
      </c>
      <c r="F45" s="47" t="s">
        <v>27</v>
      </c>
      <c r="G45" s="47" t="s">
        <v>51</v>
      </c>
      <c r="H45" s="48" t="s">
        <v>148</v>
      </c>
      <c r="I45" s="48" t="s">
        <v>111</v>
      </c>
      <c r="J45" s="48" t="s">
        <v>112</v>
      </c>
      <c r="K45" s="48" t="s">
        <v>149</v>
      </c>
      <c r="L45" s="48" t="s">
        <v>150</v>
      </c>
      <c r="M45" s="46">
        <v>148.97</v>
      </c>
      <c r="N45" s="49">
        <v>5190.57</v>
      </c>
      <c r="O45" s="46">
        <v>21</v>
      </c>
      <c r="P45" s="49">
        <v>1500</v>
      </c>
      <c r="Q45" s="50">
        <v>148.96985837512395</v>
      </c>
      <c r="R45" s="50" t="s">
        <v>135</v>
      </c>
      <c r="S45" s="53">
        <v>5190.57</v>
      </c>
      <c r="T45" s="51">
        <v>21</v>
      </c>
      <c r="U45" s="53">
        <v>599.99999896449128</v>
      </c>
      <c r="V45" s="70">
        <v>2.9427140358434749</v>
      </c>
      <c r="W45" s="70">
        <v>0.50895749399731727</v>
      </c>
      <c r="X45" s="52">
        <v>19.665977591327202</v>
      </c>
      <c r="Y45" s="52">
        <v>24.873811944280515</v>
      </c>
      <c r="Z45" s="50">
        <v>1.5232320864524538</v>
      </c>
      <c r="AA45" s="50">
        <v>1.9306796998632618</v>
      </c>
      <c r="AB45" s="50">
        <v>0</v>
      </c>
      <c r="AC45" s="50">
        <v>0</v>
      </c>
    </row>
    <row r="46" spans="2:29" ht="39" thickBot="1" x14ac:dyDescent="0.3">
      <c r="B46" s="66" t="str">
        <f t="shared" si="0"/>
        <v>High-Efficiency Combination Domestic Hot Water and Hydronic Space Heating System using pre-approved Tankless Water Heater_Zone 2_95+% Annual Fuel Utilization Efficiency (AFUE) Hydronic Space Heating &amp; DHW</v>
      </c>
      <c r="C46" s="41">
        <v>48</v>
      </c>
      <c r="D46" s="41" t="s">
        <v>109</v>
      </c>
      <c r="E46" s="42" t="s">
        <v>50</v>
      </c>
      <c r="F46" s="42" t="s">
        <v>29</v>
      </c>
      <c r="G46" s="42" t="s">
        <v>51</v>
      </c>
      <c r="H46" s="42" t="s">
        <v>148</v>
      </c>
      <c r="I46" s="42" t="s">
        <v>116</v>
      </c>
      <c r="J46" s="42" t="s">
        <v>112</v>
      </c>
      <c r="K46" s="42" t="s">
        <v>149</v>
      </c>
      <c r="L46" s="42" t="s">
        <v>150</v>
      </c>
      <c r="M46" s="43">
        <v>146.04</v>
      </c>
      <c r="N46" s="44">
        <v>5190.57</v>
      </c>
      <c r="O46" s="43">
        <v>21</v>
      </c>
      <c r="P46" s="44">
        <v>1500</v>
      </c>
      <c r="Q46" s="79">
        <v>146.03600407141286</v>
      </c>
      <c r="R46" s="79" t="s">
        <v>135</v>
      </c>
      <c r="S46" s="80">
        <v>5190.57</v>
      </c>
      <c r="T46" s="81">
        <v>21</v>
      </c>
      <c r="U46" s="80">
        <v>599.99999896449128</v>
      </c>
      <c r="V46" s="82">
        <v>1.8465301333707587</v>
      </c>
      <c r="W46" s="82">
        <v>0.31936686263894315</v>
      </c>
      <c r="X46" s="75">
        <v>6.8453430082341837</v>
      </c>
      <c r="Y46" s="75">
        <v>8.6580885130268026</v>
      </c>
      <c r="Z46" s="79">
        <v>0.51973692685421224</v>
      </c>
      <c r="AA46" s="79">
        <v>0.65875994559206763</v>
      </c>
      <c r="AB46" s="79">
        <v>0</v>
      </c>
      <c r="AC46" s="79">
        <v>0</v>
      </c>
    </row>
    <row r="47" spans="2:29" ht="39" thickBot="1" x14ac:dyDescent="0.3">
      <c r="B47" s="66" t="str">
        <f t="shared" si="0"/>
        <v>High-Efficiency Combination Domestic Hot Water and Hydronic Space Heating System using pre-approved Tankless Water Heater_Zone 3_95+% Annual Fuel Utilization Efficiency (AFUE) Hydronic Space Heating &amp; DHW</v>
      </c>
      <c r="C47" s="46">
        <v>49</v>
      </c>
      <c r="D47" s="46" t="s">
        <v>109</v>
      </c>
      <c r="E47" s="47" t="s">
        <v>50</v>
      </c>
      <c r="F47" s="47" t="s">
        <v>30</v>
      </c>
      <c r="G47" s="47" t="s">
        <v>51</v>
      </c>
      <c r="H47" s="48" t="s">
        <v>148</v>
      </c>
      <c r="I47" s="48" t="s">
        <v>117</v>
      </c>
      <c r="J47" s="48" t="s">
        <v>112</v>
      </c>
      <c r="K47" s="48" t="s">
        <v>149</v>
      </c>
      <c r="L47" s="48" t="s">
        <v>150</v>
      </c>
      <c r="M47" s="46">
        <v>136.16999999999999</v>
      </c>
      <c r="N47" s="49">
        <v>5190.57</v>
      </c>
      <c r="O47" s="46">
        <v>21</v>
      </c>
      <c r="P47" s="49">
        <v>1500</v>
      </c>
      <c r="Q47" s="50">
        <v>136.16968276177087</v>
      </c>
      <c r="R47" s="50" t="s">
        <v>135</v>
      </c>
      <c r="S47" s="53">
        <v>5190.57</v>
      </c>
      <c r="T47" s="51">
        <v>21</v>
      </c>
      <c r="U47" s="53">
        <v>599.99999896449128</v>
      </c>
      <c r="V47" s="70">
        <v>1.5239249131348138</v>
      </c>
      <c r="W47" s="70">
        <v>0.26357063424508348</v>
      </c>
      <c r="X47" s="52">
        <v>3.4002809623470402</v>
      </c>
      <c r="Y47" s="52">
        <v>4.4374130414826256</v>
      </c>
      <c r="Z47" s="50">
        <v>0.24704929985259769</v>
      </c>
      <c r="AA47" s="50">
        <v>0.32510675738924932</v>
      </c>
      <c r="AB47" s="50">
        <v>0</v>
      </c>
      <c r="AC47" s="50">
        <v>0</v>
      </c>
    </row>
    <row r="48" spans="2:29" ht="15.75" thickBot="1" x14ac:dyDescent="0.3">
      <c r="B48" s="66" t="str">
        <f t="shared" si="0"/>
        <v>High-Efficiency Exterior Entry (not sliding) Door_Zone 1_High-Efficiency Exterior Entry (not sliding) Door</v>
      </c>
      <c r="C48" s="41">
        <v>50</v>
      </c>
      <c r="D48" s="41" t="s">
        <v>109</v>
      </c>
      <c r="E48" s="42" t="s">
        <v>52</v>
      </c>
      <c r="F48" s="42" t="s">
        <v>27</v>
      </c>
      <c r="G48" s="42" t="s">
        <v>52</v>
      </c>
      <c r="H48" s="42" t="s">
        <v>151</v>
      </c>
      <c r="I48" s="42" t="s">
        <v>111</v>
      </c>
      <c r="J48" s="42" t="s">
        <v>112</v>
      </c>
      <c r="K48" s="42" t="s">
        <v>152</v>
      </c>
      <c r="L48" s="42" t="s">
        <v>153</v>
      </c>
      <c r="M48" s="43">
        <v>13</v>
      </c>
      <c r="N48" s="44">
        <v>200</v>
      </c>
      <c r="O48" s="43">
        <v>45</v>
      </c>
      <c r="P48" s="44">
        <v>100</v>
      </c>
      <c r="Q48" s="79">
        <v>6.4089337258906038</v>
      </c>
      <c r="R48" s="79" t="s">
        <v>154</v>
      </c>
      <c r="S48" s="80">
        <v>410.13</v>
      </c>
      <c r="T48" s="81">
        <v>45</v>
      </c>
      <c r="U48" s="80">
        <v>49.99993907512728</v>
      </c>
      <c r="V48" s="82">
        <v>2.1149853681941329</v>
      </c>
      <c r="W48" s="82">
        <v>0.41533921471729474</v>
      </c>
      <c r="X48" s="75">
        <v>169.06766591245608</v>
      </c>
      <c r="Y48" s="75">
        <v>262.96253017038794</v>
      </c>
      <c r="Z48" s="79">
        <v>1.1246320732986683</v>
      </c>
      <c r="AA48" s="79">
        <v>1.7464204183335961</v>
      </c>
      <c r="AB48" s="79">
        <v>0</v>
      </c>
      <c r="AC48" s="79">
        <v>0</v>
      </c>
    </row>
    <row r="49" spans="2:29" ht="15.75" thickBot="1" x14ac:dyDescent="0.3">
      <c r="B49" s="66" t="str">
        <f t="shared" si="0"/>
        <v>High-Efficiency Exterior Entry (not sliding) Door_Zone 1_U-Factor &lt;0.21, Energy Star Door</v>
      </c>
      <c r="C49" s="46">
        <v>51</v>
      </c>
      <c r="D49" s="46" t="s">
        <v>109</v>
      </c>
      <c r="E49" s="47" t="s">
        <v>52</v>
      </c>
      <c r="F49" s="47" t="s">
        <v>27</v>
      </c>
      <c r="G49" s="47" t="s">
        <v>53</v>
      </c>
      <c r="H49" s="48" t="s">
        <v>151</v>
      </c>
      <c r="I49" s="48" t="s">
        <v>111</v>
      </c>
      <c r="J49" s="48" t="s">
        <v>112</v>
      </c>
      <c r="K49" s="48" t="s">
        <v>152</v>
      </c>
      <c r="L49" s="48" t="s">
        <v>153</v>
      </c>
      <c r="M49" s="46">
        <v>13</v>
      </c>
      <c r="N49" s="49">
        <v>200</v>
      </c>
      <c r="O49" s="46">
        <v>25</v>
      </c>
      <c r="P49" s="49">
        <v>100</v>
      </c>
      <c r="Q49" s="50">
        <v>6.4089337258906038</v>
      </c>
      <c r="R49" s="50" t="s">
        <v>154</v>
      </c>
      <c r="S49" s="53">
        <v>410.13</v>
      </c>
      <c r="T49" s="51">
        <v>45</v>
      </c>
      <c r="U49" s="53">
        <v>49.99993907512728</v>
      </c>
      <c r="V49" s="70">
        <v>2.1149853681941329</v>
      </c>
      <c r="W49" s="70">
        <v>0.41533921471729474</v>
      </c>
      <c r="X49" s="52">
        <v>169.06766591245608</v>
      </c>
      <c r="Y49" s="52">
        <v>262.96253017038794</v>
      </c>
      <c r="Z49" s="50">
        <v>1.1246320732986683</v>
      </c>
      <c r="AA49" s="50">
        <v>1.7464204183335961</v>
      </c>
      <c r="AB49" s="50">
        <v>0</v>
      </c>
      <c r="AC49" s="50">
        <v>0</v>
      </c>
    </row>
    <row r="50" spans="2:29" ht="15.75" thickBot="1" x14ac:dyDescent="0.3">
      <c r="B50" s="66" t="str">
        <f t="shared" si="0"/>
        <v>High-Efficiency Exterior Entry (not sliding) Door_Zone 2_High-Efficiency Exterior Entry (not sliding) Door</v>
      </c>
      <c r="C50" s="41">
        <v>52</v>
      </c>
      <c r="D50" s="41" t="s">
        <v>109</v>
      </c>
      <c r="E50" s="42" t="s">
        <v>52</v>
      </c>
      <c r="F50" s="42" t="s">
        <v>29</v>
      </c>
      <c r="G50" s="42" t="s">
        <v>52</v>
      </c>
      <c r="H50" s="42" t="s">
        <v>151</v>
      </c>
      <c r="I50" s="42" t="s">
        <v>116</v>
      </c>
      <c r="J50" s="42" t="s">
        <v>112</v>
      </c>
      <c r="K50" s="42" t="s">
        <v>152</v>
      </c>
      <c r="L50" s="42" t="s">
        <v>153</v>
      </c>
      <c r="M50" s="43">
        <v>13</v>
      </c>
      <c r="N50" s="44">
        <v>200</v>
      </c>
      <c r="O50" s="43">
        <v>45</v>
      </c>
      <c r="P50" s="44">
        <v>100</v>
      </c>
      <c r="Q50" s="79">
        <v>9.1929593665283793</v>
      </c>
      <c r="R50" s="79" t="s">
        <v>154</v>
      </c>
      <c r="S50" s="80">
        <v>410.13</v>
      </c>
      <c r="T50" s="81">
        <v>45</v>
      </c>
      <c r="U50" s="80">
        <v>49.99993907512728</v>
      </c>
      <c r="V50" s="82">
        <v>1.7449733696736212</v>
      </c>
      <c r="W50" s="82">
        <v>0.35270897434776805</v>
      </c>
      <c r="X50" s="75">
        <v>83.599561248498546</v>
      </c>
      <c r="Y50" s="75">
        <v>130.02812825500689</v>
      </c>
      <c r="Z50" s="79">
        <v>0.79508005813942073</v>
      </c>
      <c r="AA50" s="79">
        <v>1.2347487307037592</v>
      </c>
      <c r="AB50" s="79">
        <v>0</v>
      </c>
      <c r="AC50" s="79">
        <v>0</v>
      </c>
    </row>
    <row r="51" spans="2:29" ht="15.75" thickBot="1" x14ac:dyDescent="0.3">
      <c r="B51" s="66" t="str">
        <f t="shared" si="0"/>
        <v>High-Efficiency Exterior Entry (not sliding) Door_Zone 2_U-Factor &lt;0.21, Energy Star Door</v>
      </c>
      <c r="C51" s="46">
        <v>53</v>
      </c>
      <c r="D51" s="46" t="s">
        <v>109</v>
      </c>
      <c r="E51" s="47" t="s">
        <v>52</v>
      </c>
      <c r="F51" s="47" t="s">
        <v>29</v>
      </c>
      <c r="G51" s="47" t="s">
        <v>53</v>
      </c>
      <c r="H51" s="48" t="s">
        <v>151</v>
      </c>
      <c r="I51" s="48" t="s">
        <v>116</v>
      </c>
      <c r="J51" s="48" t="s">
        <v>112</v>
      </c>
      <c r="K51" s="48" t="s">
        <v>152</v>
      </c>
      <c r="L51" s="48" t="s">
        <v>153</v>
      </c>
      <c r="M51" s="46">
        <v>13</v>
      </c>
      <c r="N51" s="49">
        <v>200</v>
      </c>
      <c r="O51" s="46">
        <v>25</v>
      </c>
      <c r="P51" s="49">
        <v>100</v>
      </c>
      <c r="Q51" s="50">
        <v>9.1929593665283793</v>
      </c>
      <c r="R51" s="50" t="s">
        <v>154</v>
      </c>
      <c r="S51" s="53">
        <v>410.13</v>
      </c>
      <c r="T51" s="51">
        <v>45</v>
      </c>
      <c r="U51" s="53">
        <v>49.99993907512728</v>
      </c>
      <c r="V51" s="70">
        <v>1.7449733696736212</v>
      </c>
      <c r="W51" s="70">
        <v>0.35270897434776805</v>
      </c>
      <c r="X51" s="52">
        <v>83.599561248498546</v>
      </c>
      <c r="Y51" s="52">
        <v>130.02812825500689</v>
      </c>
      <c r="Z51" s="50">
        <v>0.79508005813942073</v>
      </c>
      <c r="AA51" s="50">
        <v>1.2347487307037592</v>
      </c>
      <c r="AB51" s="50">
        <v>0</v>
      </c>
      <c r="AC51" s="50">
        <v>0</v>
      </c>
    </row>
    <row r="52" spans="2:29" ht="15.75" thickBot="1" x14ac:dyDescent="0.3">
      <c r="B52" s="66" t="str">
        <f t="shared" si="0"/>
        <v>High-Efficiency Exterior Entry (not sliding) Door_Zone 3_High-Efficiency Exterior Entry (not sliding) Door</v>
      </c>
      <c r="C52" s="41">
        <v>54</v>
      </c>
      <c r="D52" s="41" t="s">
        <v>109</v>
      </c>
      <c r="E52" s="42" t="s">
        <v>52</v>
      </c>
      <c r="F52" s="42" t="s">
        <v>30</v>
      </c>
      <c r="G52" s="42" t="s">
        <v>52</v>
      </c>
      <c r="H52" s="42" t="s">
        <v>151</v>
      </c>
      <c r="I52" s="42" t="s">
        <v>117</v>
      </c>
      <c r="J52" s="42" t="s">
        <v>112</v>
      </c>
      <c r="K52" s="42" t="s">
        <v>152</v>
      </c>
      <c r="L52" s="42" t="s">
        <v>153</v>
      </c>
      <c r="M52" s="43">
        <v>13</v>
      </c>
      <c r="N52" s="44">
        <v>200</v>
      </c>
      <c r="O52" s="43">
        <v>45</v>
      </c>
      <c r="P52" s="44">
        <v>100</v>
      </c>
      <c r="Q52" s="79">
        <v>8.8582733125943296</v>
      </c>
      <c r="R52" s="79" t="s">
        <v>154</v>
      </c>
      <c r="S52" s="80">
        <v>410.13</v>
      </c>
      <c r="T52" s="81">
        <v>45</v>
      </c>
      <c r="U52" s="80">
        <v>49.99993907512728</v>
      </c>
      <c r="V52" s="82">
        <v>1.4797646420093857</v>
      </c>
      <c r="W52" s="82">
        <v>0.32727439846180367</v>
      </c>
      <c r="X52" s="75">
        <v>117.17723514714957</v>
      </c>
      <c r="Y52" s="75">
        <v>184.81700780444021</v>
      </c>
      <c r="Z52" s="79">
        <v>1.0993930589850451</v>
      </c>
      <c r="AA52" s="79">
        <v>1.7423988182711168</v>
      </c>
      <c r="AB52" s="79">
        <v>0</v>
      </c>
      <c r="AC52" s="79">
        <v>0</v>
      </c>
    </row>
    <row r="53" spans="2:29" ht="15.75" thickBot="1" x14ac:dyDescent="0.3">
      <c r="B53" s="66" t="str">
        <f t="shared" si="0"/>
        <v>High-Efficiency Natural Gas Hearth (Fireplace)_Zone 1_Natural Gas Hearth (Fireplace) - 70% FE Hearth</v>
      </c>
      <c r="C53" s="46">
        <v>55</v>
      </c>
      <c r="D53" s="46" t="s">
        <v>109</v>
      </c>
      <c r="E53" s="47" t="s">
        <v>54</v>
      </c>
      <c r="F53" s="47" t="s">
        <v>27</v>
      </c>
      <c r="G53" s="47" t="s">
        <v>55</v>
      </c>
      <c r="H53" s="48" t="s">
        <v>155</v>
      </c>
      <c r="I53" s="48" t="s">
        <v>111</v>
      </c>
      <c r="J53" s="48" t="s">
        <v>112</v>
      </c>
      <c r="K53" s="48" t="s">
        <v>156</v>
      </c>
      <c r="L53" s="48" t="s">
        <v>157</v>
      </c>
      <c r="M53" s="46">
        <v>56</v>
      </c>
      <c r="N53" s="49">
        <v>425</v>
      </c>
      <c r="O53" s="46">
        <v>20</v>
      </c>
      <c r="P53" s="49">
        <v>300</v>
      </c>
      <c r="Q53" s="50">
        <v>27.616424266472379</v>
      </c>
      <c r="R53" s="50" t="s">
        <v>115</v>
      </c>
      <c r="S53" s="53">
        <v>318.2749362936579</v>
      </c>
      <c r="T53" s="51">
        <v>16</v>
      </c>
      <c r="U53" s="53">
        <v>222.79243</v>
      </c>
      <c r="V53" s="70">
        <v>1.4080920737969722</v>
      </c>
      <c r="W53" s="70">
        <v>1.1106078328539497</v>
      </c>
      <c r="X53" s="52">
        <v>89.972944319504904</v>
      </c>
      <c r="Y53" s="52">
        <v>128.41054346415348</v>
      </c>
      <c r="Z53" s="50">
        <v>3.488767451496523</v>
      </c>
      <c r="AA53" s="50">
        <v>5.0039971638436045</v>
      </c>
      <c r="AB53" s="50">
        <v>3.488767451496523</v>
      </c>
      <c r="AC53" s="50">
        <v>5.0039971638436045</v>
      </c>
    </row>
    <row r="54" spans="2:29" ht="15.75" thickBot="1" x14ac:dyDescent="0.3">
      <c r="B54" s="66" t="str">
        <f t="shared" si="0"/>
        <v>High-Efficiency Natural Gas Hearth (Fireplace)_Zone 2_Natural Gas Hearth (Fireplace) - 70% FE Hearth</v>
      </c>
      <c r="C54" s="41">
        <v>56</v>
      </c>
      <c r="D54" s="41" t="s">
        <v>109</v>
      </c>
      <c r="E54" s="42" t="s">
        <v>54</v>
      </c>
      <c r="F54" s="42" t="s">
        <v>29</v>
      </c>
      <c r="G54" s="42" t="s">
        <v>55</v>
      </c>
      <c r="H54" s="42" t="s">
        <v>155</v>
      </c>
      <c r="I54" s="42" t="s">
        <v>116</v>
      </c>
      <c r="J54" s="42" t="s">
        <v>112</v>
      </c>
      <c r="K54" s="42" t="s">
        <v>156</v>
      </c>
      <c r="L54" s="42" t="s">
        <v>157</v>
      </c>
      <c r="M54" s="43">
        <v>56</v>
      </c>
      <c r="N54" s="44">
        <v>425</v>
      </c>
      <c r="O54" s="43">
        <v>20</v>
      </c>
      <c r="P54" s="44">
        <v>300</v>
      </c>
      <c r="Q54" s="79">
        <v>27.616424266472379</v>
      </c>
      <c r="R54" s="79" t="s">
        <v>115</v>
      </c>
      <c r="S54" s="80">
        <v>318.2749362936579</v>
      </c>
      <c r="T54" s="81">
        <v>16</v>
      </c>
      <c r="U54" s="80">
        <v>222.79243</v>
      </c>
      <c r="V54" s="82">
        <v>0.94063280353314704</v>
      </c>
      <c r="W54" s="82">
        <v>0.74190756335008778</v>
      </c>
      <c r="X54" s="75">
        <v>42.23412296495264</v>
      </c>
      <c r="Y54" s="75">
        <v>60.277083557504078</v>
      </c>
      <c r="Z54" s="79">
        <v>1.6376593503419024</v>
      </c>
      <c r="AA54" s="79">
        <v>2.3489220357572504</v>
      </c>
      <c r="AB54" s="79">
        <v>0</v>
      </c>
      <c r="AC54" s="79">
        <v>0</v>
      </c>
    </row>
    <row r="55" spans="2:29" ht="15.75" customHeight="1" thickBot="1" x14ac:dyDescent="0.3">
      <c r="B55" s="66" t="str">
        <f t="shared" si="0"/>
        <v>High-Efficiency Natural Gas Hearth (Fireplace)_Zone 3_Natural Gas Hearth (Fireplace) - 70% FE Hearth</v>
      </c>
      <c r="C55" s="46">
        <v>57</v>
      </c>
      <c r="D55" s="46" t="s">
        <v>109</v>
      </c>
      <c r="E55" s="47" t="s">
        <v>54</v>
      </c>
      <c r="F55" s="47" t="s">
        <v>30</v>
      </c>
      <c r="G55" s="47" t="s">
        <v>55</v>
      </c>
      <c r="H55" s="48" t="s">
        <v>155</v>
      </c>
      <c r="I55" s="48" t="s">
        <v>117</v>
      </c>
      <c r="J55" s="48" t="s">
        <v>112</v>
      </c>
      <c r="K55" s="48" t="s">
        <v>156</v>
      </c>
      <c r="L55" s="48" t="s">
        <v>157</v>
      </c>
      <c r="M55" s="46">
        <v>57</v>
      </c>
      <c r="N55" s="49">
        <v>425</v>
      </c>
      <c r="O55" s="46">
        <v>20</v>
      </c>
      <c r="P55" s="49">
        <v>300</v>
      </c>
      <c r="Q55" s="50">
        <v>28.54136532320042</v>
      </c>
      <c r="R55" s="50" t="s">
        <v>115</v>
      </c>
      <c r="S55" s="53">
        <v>318.27</v>
      </c>
      <c r="T55" s="51">
        <v>16</v>
      </c>
      <c r="U55" s="53">
        <v>222.79243</v>
      </c>
      <c r="V55" s="70">
        <v>0.72998254432795573</v>
      </c>
      <c r="W55" s="70">
        <v>0.57576088003331716</v>
      </c>
      <c r="X55" s="52">
        <v>0</v>
      </c>
      <c r="Y55" s="52">
        <v>0</v>
      </c>
      <c r="Z55" s="50">
        <v>0</v>
      </c>
      <c r="AA55" s="50">
        <v>0</v>
      </c>
      <c r="AB55" s="50">
        <v>0</v>
      </c>
      <c r="AC55" s="50">
        <v>0</v>
      </c>
    </row>
    <row r="56" spans="2:29" ht="26.25" thickBot="1" x14ac:dyDescent="0.3">
      <c r="B56" s="66" t="str">
        <f t="shared" si="0"/>
        <v>Prescriptive Air Sealing with Insulation Install_Zone 1_BPA Weatherization Specifications section 4.4 &amp; 6.2</v>
      </c>
      <c r="C56" s="41">
        <v>58</v>
      </c>
      <c r="D56" s="41" t="s">
        <v>109</v>
      </c>
      <c r="E56" s="42" t="s">
        <v>56</v>
      </c>
      <c r="F56" s="42" t="s">
        <v>27</v>
      </c>
      <c r="G56" s="42" t="s">
        <v>57</v>
      </c>
      <c r="H56" s="42" t="s">
        <v>158</v>
      </c>
      <c r="I56" s="42" t="s">
        <v>111</v>
      </c>
      <c r="J56" s="42" t="s">
        <v>112</v>
      </c>
      <c r="K56" s="42" t="s">
        <v>159</v>
      </c>
      <c r="L56" s="42" t="s">
        <v>160</v>
      </c>
      <c r="M56" s="43">
        <v>63.75</v>
      </c>
      <c r="N56" s="44">
        <v>350</v>
      </c>
      <c r="O56" s="43">
        <v>15</v>
      </c>
      <c r="P56" s="44">
        <v>150</v>
      </c>
      <c r="Q56" s="79">
        <v>26.912689862127035</v>
      </c>
      <c r="R56" s="79" t="s">
        <v>161</v>
      </c>
      <c r="S56" s="80">
        <v>1537.6415007297105</v>
      </c>
      <c r="T56" s="81">
        <v>15</v>
      </c>
      <c r="U56" s="80">
        <v>200.00743475033593</v>
      </c>
      <c r="V56" s="82">
        <v>1.3803570768176714</v>
      </c>
      <c r="W56" s="82">
        <v>0.28828869579448174</v>
      </c>
      <c r="X56" s="75">
        <v>30.056473939992205</v>
      </c>
      <c r="Y56" s="75">
        <v>46.748894252513423</v>
      </c>
      <c r="Z56" s="79">
        <v>0.84360434110740323</v>
      </c>
      <c r="AA56" s="79">
        <v>1.3102575854410485</v>
      </c>
      <c r="AB56" s="79">
        <v>0</v>
      </c>
      <c r="AC56" s="79">
        <v>0</v>
      </c>
    </row>
    <row r="57" spans="2:29" ht="26.25" thickBot="1" x14ac:dyDescent="0.3">
      <c r="B57" s="66" t="str">
        <f t="shared" si="0"/>
        <v>Prescriptive Air Sealing with Insulation Install_Zone 2_BPA Weatherization Specifications section 4.4 &amp; 6.2</v>
      </c>
      <c r="C57" s="46">
        <v>59</v>
      </c>
      <c r="D57" s="46" t="s">
        <v>109</v>
      </c>
      <c r="E57" s="47" t="s">
        <v>56</v>
      </c>
      <c r="F57" s="47" t="s">
        <v>29</v>
      </c>
      <c r="G57" s="47" t="s">
        <v>57</v>
      </c>
      <c r="H57" s="48" t="s">
        <v>158</v>
      </c>
      <c r="I57" s="48" t="s">
        <v>116</v>
      </c>
      <c r="J57" s="48" t="s">
        <v>112</v>
      </c>
      <c r="K57" s="48" t="s">
        <v>159</v>
      </c>
      <c r="L57" s="48" t="s">
        <v>160</v>
      </c>
      <c r="M57" s="46">
        <v>60.35</v>
      </c>
      <c r="N57" s="49">
        <v>350</v>
      </c>
      <c r="O57" s="46">
        <v>15</v>
      </c>
      <c r="P57" s="49">
        <v>150</v>
      </c>
      <c r="Q57" s="50">
        <v>25.094929130880168</v>
      </c>
      <c r="R57" s="50" t="s">
        <v>161</v>
      </c>
      <c r="S57" s="53">
        <v>1433.7847568263323</v>
      </c>
      <c r="T57" s="51">
        <v>15</v>
      </c>
      <c r="U57" s="53">
        <v>200.00743475033596</v>
      </c>
      <c r="V57" s="70">
        <v>0.88049676706614999</v>
      </c>
      <c r="W57" s="70">
        <v>0.19855205217684369</v>
      </c>
      <c r="X57" s="52">
        <v>0</v>
      </c>
      <c r="Y57" s="52">
        <v>0</v>
      </c>
      <c r="Z57" s="50">
        <v>0</v>
      </c>
      <c r="AA57" s="50">
        <v>0</v>
      </c>
      <c r="AB57" s="50">
        <v>0</v>
      </c>
      <c r="AC57" s="50">
        <v>0</v>
      </c>
    </row>
    <row r="58" spans="2:29" ht="26.25" thickBot="1" x14ac:dyDescent="0.3">
      <c r="B58" s="66" t="str">
        <f t="shared" si="0"/>
        <v>Prescriptive Air Sealing with Insulation Install_Zone 3_BPA Weatherization Specifications section 4.4 &amp; 6.2</v>
      </c>
      <c r="C58" s="41">
        <v>60</v>
      </c>
      <c r="D58" s="41" t="s">
        <v>109</v>
      </c>
      <c r="E58" s="42" t="s">
        <v>56</v>
      </c>
      <c r="F58" s="42" t="s">
        <v>30</v>
      </c>
      <c r="G58" s="42" t="s">
        <v>57</v>
      </c>
      <c r="H58" s="42" t="s">
        <v>158</v>
      </c>
      <c r="I58" s="42" t="s">
        <v>117</v>
      </c>
      <c r="J58" s="42" t="s">
        <v>112</v>
      </c>
      <c r="K58" s="42" t="s">
        <v>159</v>
      </c>
      <c r="L58" s="42" t="s">
        <v>160</v>
      </c>
      <c r="M58" s="43">
        <v>71.400000000000006</v>
      </c>
      <c r="N58" s="44">
        <v>350</v>
      </c>
      <c r="O58" s="43">
        <v>15</v>
      </c>
      <c r="P58" s="44">
        <v>150</v>
      </c>
      <c r="Q58" s="79">
        <v>30.630503837253922</v>
      </c>
      <c r="R58" s="79" t="s">
        <v>161</v>
      </c>
      <c r="S58" s="80">
        <v>1750.0567252737571</v>
      </c>
      <c r="T58" s="81">
        <v>15</v>
      </c>
      <c r="U58" s="80">
        <v>200.00743475033602</v>
      </c>
      <c r="V58" s="82">
        <v>0.86994726271139877</v>
      </c>
      <c r="W58" s="82">
        <v>0.17769106780419799</v>
      </c>
      <c r="X58" s="75">
        <v>0</v>
      </c>
      <c r="Y58" s="75">
        <v>0</v>
      </c>
      <c r="Z58" s="79">
        <v>0</v>
      </c>
      <c r="AA58" s="79">
        <v>0</v>
      </c>
      <c r="AB58" s="79">
        <v>0</v>
      </c>
      <c r="AC58" s="79">
        <v>0</v>
      </c>
    </row>
    <row r="59" spans="2:29" ht="15.75" thickBot="1" x14ac:dyDescent="0.3">
      <c r="B59" s="66" t="str">
        <f t="shared" si="0"/>
        <v>Programmable Thermostat_Zone 1_5-2 Programmable</v>
      </c>
      <c r="C59" s="46">
        <v>61</v>
      </c>
      <c r="D59" s="46" t="s">
        <v>109</v>
      </c>
      <c r="E59" s="47" t="s">
        <v>58</v>
      </c>
      <c r="F59" s="47" t="s">
        <v>27</v>
      </c>
      <c r="G59" s="47" t="s">
        <v>59</v>
      </c>
      <c r="H59" s="48" t="s">
        <v>162</v>
      </c>
      <c r="I59" s="48" t="s">
        <v>111</v>
      </c>
      <c r="J59" s="48" t="s">
        <v>112</v>
      </c>
      <c r="K59" s="48" t="s">
        <v>142</v>
      </c>
      <c r="L59" s="48" t="s">
        <v>163</v>
      </c>
      <c r="M59" s="46">
        <v>28.5</v>
      </c>
      <c r="N59" s="49">
        <v>64.34</v>
      </c>
      <c r="O59" s="46">
        <v>15</v>
      </c>
      <c r="P59" s="49">
        <v>25</v>
      </c>
      <c r="Q59" s="50">
        <v>28.497254076415988</v>
      </c>
      <c r="R59" s="50" t="s">
        <v>135</v>
      </c>
      <c r="S59" s="53">
        <v>64.34</v>
      </c>
      <c r="T59" s="51">
        <v>15</v>
      </c>
      <c r="U59" s="53">
        <v>24.999998262314779</v>
      </c>
      <c r="V59" s="70">
        <v>11.69304735174323</v>
      </c>
      <c r="W59" s="70">
        <v>6.3405068708103336</v>
      </c>
      <c r="X59" s="52">
        <v>77.327912230791753</v>
      </c>
      <c r="Y59" s="52">
        <v>84.879156201462834</v>
      </c>
      <c r="Z59" s="50">
        <v>2.6778216147632294</v>
      </c>
      <c r="AA59" s="50">
        <v>2.9362332413423444</v>
      </c>
      <c r="AB59" s="50">
        <v>2.6778216147632294</v>
      </c>
      <c r="AC59" s="50">
        <v>2.9362332413423444</v>
      </c>
    </row>
    <row r="60" spans="2:29" ht="15.75" thickBot="1" x14ac:dyDescent="0.3">
      <c r="B60" s="66" t="str">
        <f t="shared" si="0"/>
        <v>Programmable Thermostat_Zone 2_5-2 Programmable</v>
      </c>
      <c r="C60" s="41">
        <v>62</v>
      </c>
      <c r="D60" s="41" t="s">
        <v>109</v>
      </c>
      <c r="E60" s="42" t="s">
        <v>58</v>
      </c>
      <c r="F60" s="42" t="s">
        <v>29</v>
      </c>
      <c r="G60" s="42" t="s">
        <v>59</v>
      </c>
      <c r="H60" s="42" t="s">
        <v>162</v>
      </c>
      <c r="I60" s="42" t="s">
        <v>116</v>
      </c>
      <c r="J60" s="42" t="s">
        <v>112</v>
      </c>
      <c r="K60" s="42" t="s">
        <v>142</v>
      </c>
      <c r="L60" s="42" t="s">
        <v>163</v>
      </c>
      <c r="M60" s="43">
        <v>25.75</v>
      </c>
      <c r="N60" s="44">
        <v>64.34</v>
      </c>
      <c r="O60" s="43">
        <v>15</v>
      </c>
      <c r="P60" s="44">
        <v>25</v>
      </c>
      <c r="Q60" s="79">
        <v>28.754950259934116</v>
      </c>
      <c r="R60" s="79" t="s">
        <v>135</v>
      </c>
      <c r="S60" s="80">
        <v>64.34</v>
      </c>
      <c r="T60" s="81">
        <v>15</v>
      </c>
      <c r="U60" s="80">
        <v>24.999998262314779</v>
      </c>
      <c r="V60" s="82">
        <v>8.0713059909260636</v>
      </c>
      <c r="W60" s="82">
        <v>4.4292193585629658</v>
      </c>
      <c r="X60" s="75">
        <v>38.236640340820585</v>
      </c>
      <c r="Y60" s="75">
        <v>41.970533982880767</v>
      </c>
      <c r="Z60" s="79">
        <v>1.3356054798212189</v>
      </c>
      <c r="AA60" s="79">
        <v>1.4645230686587518</v>
      </c>
      <c r="AB60" s="79">
        <v>1.3356515923339667</v>
      </c>
      <c r="AC60" s="79">
        <v>1.4646448212371779</v>
      </c>
    </row>
    <row r="61" spans="2:29" ht="15.75" thickBot="1" x14ac:dyDescent="0.3">
      <c r="B61" s="66" t="str">
        <f t="shared" si="0"/>
        <v>Programmable Thermostat_Zone 2_Programmable</v>
      </c>
      <c r="C61" s="46">
        <v>63</v>
      </c>
      <c r="D61" s="46" t="s">
        <v>109</v>
      </c>
      <c r="E61" s="47" t="s">
        <v>58</v>
      </c>
      <c r="F61" s="47" t="s">
        <v>29</v>
      </c>
      <c r="G61" s="47" t="s">
        <v>60</v>
      </c>
      <c r="H61" s="48" t="s">
        <v>162</v>
      </c>
      <c r="I61" s="48" t="s">
        <v>116</v>
      </c>
      <c r="J61" s="48" t="s">
        <v>112</v>
      </c>
      <c r="K61" s="48" t="s">
        <v>142</v>
      </c>
      <c r="L61" s="48" t="s">
        <v>163</v>
      </c>
      <c r="M61" s="46">
        <v>17</v>
      </c>
      <c r="N61" s="49">
        <v>16</v>
      </c>
      <c r="O61" s="46">
        <v>15</v>
      </c>
      <c r="P61" s="49">
        <v>25</v>
      </c>
      <c r="Q61" s="50">
        <v>28.754950259934116</v>
      </c>
      <c r="R61" s="50" t="s">
        <v>135</v>
      </c>
      <c r="S61" s="53">
        <v>64.34</v>
      </c>
      <c r="T61" s="51">
        <v>15</v>
      </c>
      <c r="U61" s="53">
        <v>24.999998262314779</v>
      </c>
      <c r="V61" s="70">
        <v>8.0713059909260636</v>
      </c>
      <c r="W61" s="70">
        <v>4.4292193585629658</v>
      </c>
      <c r="X61" s="52">
        <v>38.236640340820585</v>
      </c>
      <c r="Y61" s="52">
        <v>41.970533982880767</v>
      </c>
      <c r="Z61" s="50">
        <v>1.3356054798212189</v>
      </c>
      <c r="AA61" s="50">
        <v>1.4645230686587518</v>
      </c>
      <c r="AB61" s="50">
        <v>1.3356515923339667</v>
      </c>
      <c r="AC61" s="50">
        <v>1.4646448212371779</v>
      </c>
    </row>
    <row r="62" spans="2:29" ht="15.75" thickBot="1" x14ac:dyDescent="0.3">
      <c r="B62" s="66" t="str">
        <f t="shared" si="0"/>
        <v>Programmable Thermostat_Zone 3_5-2 Programmable</v>
      </c>
      <c r="C62" s="41">
        <v>64</v>
      </c>
      <c r="D62" s="41" t="s">
        <v>109</v>
      </c>
      <c r="E62" s="42" t="s">
        <v>58</v>
      </c>
      <c r="F62" s="42" t="s">
        <v>30</v>
      </c>
      <c r="G62" s="42" t="s">
        <v>59</v>
      </c>
      <c r="H62" s="42" t="s">
        <v>162</v>
      </c>
      <c r="I62" s="42" t="s">
        <v>117</v>
      </c>
      <c r="J62" s="42" t="s">
        <v>112</v>
      </c>
      <c r="K62" s="42" t="s">
        <v>142</v>
      </c>
      <c r="L62" s="42" t="s">
        <v>163</v>
      </c>
      <c r="M62" s="43">
        <v>25.3</v>
      </c>
      <c r="N62" s="44">
        <v>64.34</v>
      </c>
      <c r="O62" s="43">
        <v>15</v>
      </c>
      <c r="P62" s="44">
        <v>25</v>
      </c>
      <c r="Q62" s="79">
        <v>25.304168255272938</v>
      </c>
      <c r="R62" s="79" t="s">
        <v>135</v>
      </c>
      <c r="S62" s="80">
        <v>64.34</v>
      </c>
      <c r="T62" s="81">
        <v>15</v>
      </c>
      <c r="U62" s="80">
        <v>24.999998262314779</v>
      </c>
      <c r="V62" s="82">
        <v>5.7493790012631578</v>
      </c>
      <c r="W62" s="82">
        <v>3.4274133840511265</v>
      </c>
      <c r="X62" s="75">
        <v>58.137111445417055</v>
      </c>
      <c r="Y62" s="75">
        <v>64.026628343913131</v>
      </c>
      <c r="Z62" s="79">
        <v>1.8440369796315508</v>
      </c>
      <c r="AA62" s="79">
        <v>2.0299753306021611</v>
      </c>
      <c r="AB62" s="79">
        <v>1.8462042208968605</v>
      </c>
      <c r="AC62" s="79">
        <v>2.035270490809598</v>
      </c>
    </row>
    <row r="63" spans="2:29" ht="15.75" thickBot="1" x14ac:dyDescent="0.3">
      <c r="B63" s="66" t="str">
        <f t="shared" si="0"/>
        <v>Wall/Sloped Ceiling Insulation_Zone 1_Post R-11+, or fill cavity</v>
      </c>
      <c r="C63" s="46">
        <v>65</v>
      </c>
      <c r="D63" s="46" t="s">
        <v>109</v>
      </c>
      <c r="E63" s="47" t="s">
        <v>215</v>
      </c>
      <c r="F63" s="47" t="s">
        <v>27</v>
      </c>
      <c r="G63" s="47" t="s">
        <v>216</v>
      </c>
      <c r="H63" s="48" t="s">
        <v>164</v>
      </c>
      <c r="I63" s="48" t="s">
        <v>111</v>
      </c>
      <c r="J63" s="48" t="s">
        <v>112</v>
      </c>
      <c r="K63" s="48" t="s">
        <v>145</v>
      </c>
      <c r="L63" s="48" t="s">
        <v>165</v>
      </c>
      <c r="M63" s="46">
        <v>7.0000000000000007E-2</v>
      </c>
      <c r="N63" s="49">
        <v>1.18</v>
      </c>
      <c r="O63" s="46">
        <v>45</v>
      </c>
      <c r="P63" s="49">
        <v>1.25</v>
      </c>
      <c r="Q63" s="50">
        <v>6.6857047222845786E-2</v>
      </c>
      <c r="R63" s="50" t="s">
        <v>166</v>
      </c>
      <c r="S63" s="53">
        <v>1.7299999999999998</v>
      </c>
      <c r="T63" s="51">
        <v>45</v>
      </c>
      <c r="U63" s="53">
        <v>0.75000093778904475</v>
      </c>
      <c r="V63" s="70">
        <v>1.4708810678744726</v>
      </c>
      <c r="W63" s="70">
        <v>0.8732520064251803</v>
      </c>
      <c r="X63" s="52">
        <v>388359.81936675473</v>
      </c>
      <c r="Y63" s="52">
        <v>398819.86948368477</v>
      </c>
      <c r="Z63" s="50">
        <v>28.510201053905924</v>
      </c>
      <c r="AA63" s="50">
        <v>29.097252519100373</v>
      </c>
      <c r="AB63" s="50">
        <v>0</v>
      </c>
      <c r="AC63" s="50">
        <v>0</v>
      </c>
    </row>
    <row r="64" spans="2:29" ht="15.75" thickBot="1" x14ac:dyDescent="0.3">
      <c r="B64" s="66" t="str">
        <f t="shared" si="0"/>
        <v>Wall/Sloped Ceiling Insulation_Zone 2_Post R-11+, or fill cavity</v>
      </c>
      <c r="C64" s="41">
        <v>66</v>
      </c>
      <c r="D64" s="41" t="s">
        <v>109</v>
      </c>
      <c r="E64" s="42" t="s">
        <v>215</v>
      </c>
      <c r="F64" s="42" t="s">
        <v>29</v>
      </c>
      <c r="G64" s="42" t="s">
        <v>216</v>
      </c>
      <c r="H64" s="42" t="s">
        <v>164</v>
      </c>
      <c r="I64" s="42" t="s">
        <v>116</v>
      </c>
      <c r="J64" s="42" t="s">
        <v>112</v>
      </c>
      <c r="K64" s="42" t="s">
        <v>145</v>
      </c>
      <c r="L64" s="42" t="s">
        <v>165</v>
      </c>
      <c r="M64" s="43">
        <v>6.7000000000000004E-2</v>
      </c>
      <c r="N64" s="44">
        <v>1.18</v>
      </c>
      <c r="O64" s="43">
        <v>45</v>
      </c>
      <c r="P64" s="44">
        <v>1.25</v>
      </c>
      <c r="Q64" s="79">
        <v>7.4219681182031302E-2</v>
      </c>
      <c r="R64" s="79" t="s">
        <v>166</v>
      </c>
      <c r="S64" s="80">
        <v>1.7299999999999998</v>
      </c>
      <c r="T64" s="81">
        <v>45</v>
      </c>
      <c r="U64" s="80">
        <v>0.75000093778904475</v>
      </c>
      <c r="V64" s="82">
        <v>0.9392068224910689</v>
      </c>
      <c r="W64" s="82">
        <v>0.57391168233745005</v>
      </c>
      <c r="X64" s="75">
        <v>186193.11402218475</v>
      </c>
      <c r="Y64" s="75">
        <v>191208.02341027488</v>
      </c>
      <c r="Z64" s="79">
        <v>15.175284401530199</v>
      </c>
      <c r="AA64" s="79">
        <v>15.489223676434626</v>
      </c>
      <c r="AB64" s="79">
        <v>0</v>
      </c>
      <c r="AC64" s="79">
        <v>0</v>
      </c>
    </row>
    <row r="65" spans="2:29" ht="15.75" thickBot="1" x14ac:dyDescent="0.3">
      <c r="B65" s="66" t="str">
        <f t="shared" si="0"/>
        <v>Wall/Sloped Ceiling Insulation_Zone 3_Post R-11+, or fill cavity</v>
      </c>
      <c r="C65" s="46">
        <v>67</v>
      </c>
      <c r="D65" s="46" t="s">
        <v>109</v>
      </c>
      <c r="E65" s="47" t="s">
        <v>215</v>
      </c>
      <c r="F65" s="47" t="s">
        <v>30</v>
      </c>
      <c r="G65" s="47" t="s">
        <v>216</v>
      </c>
      <c r="H65" s="48" t="s">
        <v>164</v>
      </c>
      <c r="I65" s="48" t="s">
        <v>117</v>
      </c>
      <c r="J65" s="48" t="s">
        <v>112</v>
      </c>
      <c r="K65" s="48" t="s">
        <v>145</v>
      </c>
      <c r="L65" s="48" t="s">
        <v>165</v>
      </c>
      <c r="M65" s="46">
        <v>7.3999999999999996E-2</v>
      </c>
      <c r="N65" s="49">
        <v>1.18</v>
      </c>
      <c r="O65" s="46">
        <v>45</v>
      </c>
      <c r="P65" s="49">
        <v>1.25</v>
      </c>
      <c r="Q65" s="50">
        <v>7.4219681182031302E-2</v>
      </c>
      <c r="R65" s="50" t="s">
        <v>166</v>
      </c>
      <c r="S65" s="53">
        <v>1.7299999999999998</v>
      </c>
      <c r="T65" s="51">
        <v>45</v>
      </c>
      <c r="U65" s="53">
        <v>0.75000093778904464</v>
      </c>
      <c r="V65" s="70">
        <v>0.82655432733471734</v>
      </c>
      <c r="W65" s="70">
        <v>0.55263295605111373</v>
      </c>
      <c r="X65" s="52">
        <v>0</v>
      </c>
      <c r="Y65" s="52">
        <v>0</v>
      </c>
      <c r="Z65" s="50">
        <v>0</v>
      </c>
      <c r="AA65" s="50">
        <v>0</v>
      </c>
      <c r="AB65" s="50">
        <v>0</v>
      </c>
      <c r="AC65" s="50">
        <v>0</v>
      </c>
    </row>
    <row r="66" spans="2:29" ht="26.25" thickBot="1" x14ac:dyDescent="0.3">
      <c r="B66" s="66" t="str">
        <f t="shared" si="0"/>
        <v>Whole House Residential Air Sealing_Zone 1_Min. 400 CFM50 reduction</v>
      </c>
      <c r="C66" s="41">
        <v>68</v>
      </c>
      <c r="D66" s="41" t="s">
        <v>109</v>
      </c>
      <c r="E66" s="42" t="s">
        <v>61</v>
      </c>
      <c r="F66" s="42" t="s">
        <v>27</v>
      </c>
      <c r="G66" s="42" t="s">
        <v>62</v>
      </c>
      <c r="H66" s="42" t="s">
        <v>167</v>
      </c>
      <c r="I66" s="42" t="s">
        <v>111</v>
      </c>
      <c r="J66" s="42" t="s">
        <v>112</v>
      </c>
      <c r="K66" s="42" t="s">
        <v>159</v>
      </c>
      <c r="L66" s="42" t="s">
        <v>160</v>
      </c>
      <c r="M66" s="43">
        <v>75</v>
      </c>
      <c r="N66" s="44">
        <v>750</v>
      </c>
      <c r="O66" s="43">
        <v>15</v>
      </c>
      <c r="P66" s="44">
        <v>300</v>
      </c>
      <c r="Q66" s="79">
        <v>52.832940686137157</v>
      </c>
      <c r="R66" s="79" t="s">
        <v>161</v>
      </c>
      <c r="S66" s="80">
        <v>1104.503049819933</v>
      </c>
      <c r="T66" s="81">
        <v>20</v>
      </c>
      <c r="U66" s="80">
        <v>120.009957165</v>
      </c>
      <c r="V66" s="82">
        <v>5.3158082313151667</v>
      </c>
      <c r="W66" s="82">
        <v>0.938681919500438</v>
      </c>
      <c r="X66" s="75">
        <v>7.5141184849980514</v>
      </c>
      <c r="Y66" s="75">
        <v>11.687223563128356</v>
      </c>
      <c r="Z66" s="79">
        <v>0.45862308302093491</v>
      </c>
      <c r="AA66" s="79">
        <v>0.71559379742279328</v>
      </c>
      <c r="AB66" s="79">
        <v>0.45246118069150187</v>
      </c>
      <c r="AC66" s="79">
        <v>0.70355564869546949</v>
      </c>
    </row>
    <row r="67" spans="2:29" ht="15.75" thickBot="1" x14ac:dyDescent="0.3">
      <c r="B67" s="66" t="str">
        <f t="shared" si="0"/>
        <v>Windows 0.22 U-factor_Zone 1_U Factor&lt;= 0.22</v>
      </c>
      <c r="C67" s="46">
        <v>69</v>
      </c>
      <c r="D67" s="46" t="s">
        <v>109</v>
      </c>
      <c r="E67" s="47" t="s">
        <v>63</v>
      </c>
      <c r="F67" s="47" t="s">
        <v>27</v>
      </c>
      <c r="G67" s="47" t="s">
        <v>64</v>
      </c>
      <c r="H67" s="48" t="s">
        <v>168</v>
      </c>
      <c r="I67" s="48" t="s">
        <v>111</v>
      </c>
      <c r="J67" s="48" t="s">
        <v>112</v>
      </c>
      <c r="K67" s="48" t="s">
        <v>169</v>
      </c>
      <c r="L67" s="48" t="s">
        <v>170</v>
      </c>
      <c r="M67" s="46">
        <v>0.26300000000000001</v>
      </c>
      <c r="N67" s="49">
        <v>29.12</v>
      </c>
      <c r="O67" s="46">
        <v>45</v>
      </c>
      <c r="P67" s="49">
        <v>221.31</v>
      </c>
      <c r="Q67" s="50">
        <v>0.20159341794283192</v>
      </c>
      <c r="R67" s="50" t="s">
        <v>171</v>
      </c>
      <c r="S67" s="53">
        <v>25.040000000000003</v>
      </c>
      <c r="T67" s="51">
        <v>45</v>
      </c>
      <c r="U67" s="53">
        <v>2.2499965932869617</v>
      </c>
      <c r="V67" s="70">
        <v>1.4783778932177816</v>
      </c>
      <c r="W67" s="70">
        <v>0.21783476703330343</v>
      </c>
      <c r="X67" s="52">
        <v>8011.7694399632965</v>
      </c>
      <c r="Y67" s="52">
        <v>12226.565301238596</v>
      </c>
      <c r="Z67" s="50">
        <v>1.70167892400064</v>
      </c>
      <c r="AA67" s="50">
        <v>2.5786241625658</v>
      </c>
      <c r="AB67" s="50">
        <v>0</v>
      </c>
      <c r="AC67" s="50">
        <v>0</v>
      </c>
    </row>
    <row r="68" spans="2:29" ht="15.75" thickBot="1" x14ac:dyDescent="0.3">
      <c r="B68" s="66" t="str">
        <f t="shared" si="0"/>
        <v>Windows 0.22 U-factor_Zone 3_U Factor&lt;= 0.22</v>
      </c>
      <c r="C68" s="41">
        <v>70</v>
      </c>
      <c r="D68" s="41" t="s">
        <v>109</v>
      </c>
      <c r="E68" s="42" t="s">
        <v>63</v>
      </c>
      <c r="F68" s="42" t="s">
        <v>30</v>
      </c>
      <c r="G68" s="42" t="s">
        <v>64</v>
      </c>
      <c r="H68" s="42" t="s">
        <v>168</v>
      </c>
      <c r="I68" s="42" t="s">
        <v>117</v>
      </c>
      <c r="J68" s="42" t="s">
        <v>112</v>
      </c>
      <c r="K68" s="42" t="s">
        <v>169</v>
      </c>
      <c r="L68" s="42" t="s">
        <v>170</v>
      </c>
      <c r="M68" s="43">
        <v>0.34899999999999998</v>
      </c>
      <c r="N68" s="44">
        <v>29.12</v>
      </c>
      <c r="O68" s="43">
        <v>45</v>
      </c>
      <c r="P68" s="44">
        <v>249.03</v>
      </c>
      <c r="Q68" s="79">
        <v>0.20159341794283192</v>
      </c>
      <c r="R68" s="79" t="s">
        <v>171</v>
      </c>
      <c r="S68" s="80">
        <v>25.040000000000003</v>
      </c>
      <c r="T68" s="81">
        <v>45</v>
      </c>
      <c r="U68" s="80">
        <v>2.2499965932869617</v>
      </c>
      <c r="V68" s="82">
        <v>0.74835456628712838</v>
      </c>
      <c r="W68" s="82">
        <v>0.12418023892341151</v>
      </c>
      <c r="X68" s="75">
        <v>0</v>
      </c>
      <c r="Y68" s="75">
        <v>0</v>
      </c>
      <c r="Z68" s="79">
        <v>0</v>
      </c>
      <c r="AA68" s="79">
        <v>0</v>
      </c>
      <c r="AB68" s="79">
        <v>0</v>
      </c>
      <c r="AC68" s="79">
        <v>0</v>
      </c>
    </row>
    <row r="69" spans="2:29" ht="15.75" thickBot="1" x14ac:dyDescent="0.3">
      <c r="B69" s="66" t="str">
        <f t="shared" ref="B69:B74" si="1">E69&amp;"_"&amp;F69&amp;"_"&amp;G69</f>
        <v>Windows 0.27 U-factor_Zone 1_U Factor&lt;= 0.27</v>
      </c>
      <c r="C69" s="46">
        <v>71</v>
      </c>
      <c r="D69" s="46" t="s">
        <v>109</v>
      </c>
      <c r="E69" s="47" t="s">
        <v>65</v>
      </c>
      <c r="F69" s="47" t="s">
        <v>27</v>
      </c>
      <c r="G69" s="47" t="s">
        <v>66</v>
      </c>
      <c r="H69" s="48" t="s">
        <v>172</v>
      </c>
      <c r="I69" s="48" t="s">
        <v>111</v>
      </c>
      <c r="J69" s="48" t="s">
        <v>112</v>
      </c>
      <c r="K69" s="48" t="s">
        <v>169</v>
      </c>
      <c r="L69" s="48" t="s">
        <v>173</v>
      </c>
      <c r="M69" s="56">
        <v>0.22</v>
      </c>
      <c r="N69" s="49">
        <v>23.09</v>
      </c>
      <c r="O69" s="46">
        <v>45</v>
      </c>
      <c r="P69" s="49">
        <v>136.65</v>
      </c>
      <c r="Q69" s="50">
        <v>0.26345669774378105</v>
      </c>
      <c r="R69" s="50" t="s">
        <v>171</v>
      </c>
      <c r="S69" s="53">
        <v>29.09</v>
      </c>
      <c r="T69" s="51">
        <v>45</v>
      </c>
      <c r="U69" s="53">
        <v>2.0000006513736381</v>
      </c>
      <c r="V69" s="70">
        <v>2.1735562200219927</v>
      </c>
      <c r="W69" s="70">
        <v>0.24807062761265919</v>
      </c>
      <c r="X69" s="52">
        <v>8011.7694399632965</v>
      </c>
      <c r="Y69" s="52">
        <v>12226.565301238596</v>
      </c>
      <c r="Z69" s="50">
        <v>2.2245159700777744</v>
      </c>
      <c r="AA69" s="50">
        <v>3.3722965650514705</v>
      </c>
      <c r="AB69" s="50">
        <v>0</v>
      </c>
      <c r="AC69" s="50">
        <v>0</v>
      </c>
    </row>
    <row r="70" spans="2:29" ht="15.75" thickBot="1" x14ac:dyDescent="0.3">
      <c r="B70" s="66" t="str">
        <f t="shared" si="1"/>
        <v>Windows 0.27 U-factor_Zone 2_U Factor&lt;= 0.27</v>
      </c>
      <c r="C70" s="41">
        <v>73</v>
      </c>
      <c r="D70" s="41" t="s">
        <v>109</v>
      </c>
      <c r="E70" s="42" t="s">
        <v>65</v>
      </c>
      <c r="F70" s="42" t="s">
        <v>29</v>
      </c>
      <c r="G70" s="42" t="s">
        <v>66</v>
      </c>
      <c r="H70" s="42" t="s">
        <v>172</v>
      </c>
      <c r="I70" s="42" t="s">
        <v>116</v>
      </c>
      <c r="J70" s="42" t="s">
        <v>112</v>
      </c>
      <c r="K70" s="42" t="s">
        <v>169</v>
      </c>
      <c r="L70" s="42" t="s">
        <v>173</v>
      </c>
      <c r="M70" s="57">
        <v>0.28999999999999998</v>
      </c>
      <c r="N70" s="44">
        <v>23.09</v>
      </c>
      <c r="O70" s="43">
        <v>45</v>
      </c>
      <c r="P70" s="44">
        <v>218.75</v>
      </c>
      <c r="Q70" s="79">
        <v>0.26345669774378105</v>
      </c>
      <c r="R70" s="79" t="s">
        <v>171</v>
      </c>
      <c r="S70" s="80">
        <v>29.09</v>
      </c>
      <c r="T70" s="81">
        <v>45</v>
      </c>
      <c r="U70" s="80">
        <v>2.0000006513736381</v>
      </c>
      <c r="V70" s="82">
        <v>1.2502091292253767</v>
      </c>
      <c r="W70" s="82">
        <v>0.14686182671027084</v>
      </c>
      <c r="X70" s="75">
        <v>3694.0328303265715</v>
      </c>
      <c r="Y70" s="75">
        <v>5637.3731125635059</v>
      </c>
      <c r="Z70" s="79">
        <v>1.0255825171417816</v>
      </c>
      <c r="AA70" s="79">
        <v>1.5544971721230345</v>
      </c>
      <c r="AB70" s="79">
        <v>0</v>
      </c>
      <c r="AC70" s="79">
        <v>0</v>
      </c>
    </row>
    <row r="71" spans="2:29" ht="15.75" thickBot="1" x14ac:dyDescent="0.3">
      <c r="B71" s="66" t="str">
        <f t="shared" si="1"/>
        <v>Windows 0.27 U-factor_Zone 3_U Factor&lt;= 0.27</v>
      </c>
      <c r="C71" s="46">
        <v>74</v>
      </c>
      <c r="D71" s="46" t="s">
        <v>109</v>
      </c>
      <c r="E71" s="47" t="s">
        <v>65</v>
      </c>
      <c r="F71" s="47" t="s">
        <v>30</v>
      </c>
      <c r="G71" s="47" t="s">
        <v>66</v>
      </c>
      <c r="H71" s="48" t="s">
        <v>172</v>
      </c>
      <c r="I71" s="48" t="s">
        <v>117</v>
      </c>
      <c r="J71" s="48" t="s">
        <v>112</v>
      </c>
      <c r="K71" s="48" t="s">
        <v>169</v>
      </c>
      <c r="L71" s="48" t="s">
        <v>173</v>
      </c>
      <c r="M71" s="56">
        <v>0.28999999999999998</v>
      </c>
      <c r="N71" s="49">
        <v>23.09</v>
      </c>
      <c r="O71" s="46">
        <v>45</v>
      </c>
      <c r="P71" s="49">
        <v>483.7</v>
      </c>
      <c r="Q71" s="50">
        <v>0.26345669774378105</v>
      </c>
      <c r="R71" s="50" t="s">
        <v>171</v>
      </c>
      <c r="S71" s="53">
        <v>29.09</v>
      </c>
      <c r="T71" s="51">
        <v>45</v>
      </c>
      <c r="U71" s="53">
        <v>2.0000006513736386</v>
      </c>
      <c r="V71" s="70">
        <v>1.1002536833088548</v>
      </c>
      <c r="W71" s="70">
        <v>0.14141668121375228</v>
      </c>
      <c r="X71" s="52">
        <v>6219.5389808976252</v>
      </c>
      <c r="Y71" s="52">
        <v>9494.9725117636044</v>
      </c>
      <c r="Z71" s="50">
        <v>1.7694497509916165</v>
      </c>
      <c r="AA71" s="50">
        <v>2.6861719692005668</v>
      </c>
      <c r="AB71" s="50">
        <v>0</v>
      </c>
      <c r="AC71" s="50">
        <v>0</v>
      </c>
    </row>
    <row r="72" spans="2:29" ht="15.75" thickBot="1" x14ac:dyDescent="0.3">
      <c r="B72" s="66" t="str">
        <f t="shared" si="1"/>
        <v>Windows 0.30 U-factor_Zone 1_U Factor&lt;= 0.30</v>
      </c>
      <c r="C72" s="41">
        <v>76</v>
      </c>
      <c r="D72" s="41" t="s">
        <v>109</v>
      </c>
      <c r="E72" s="42" t="s">
        <v>67</v>
      </c>
      <c r="F72" s="42" t="s">
        <v>27</v>
      </c>
      <c r="G72" s="42" t="s">
        <v>68</v>
      </c>
      <c r="H72" s="42" t="s">
        <v>172</v>
      </c>
      <c r="I72" s="42" t="s">
        <v>111</v>
      </c>
      <c r="J72" s="42" t="s">
        <v>112</v>
      </c>
      <c r="K72" s="42" t="s">
        <v>169</v>
      </c>
      <c r="L72" s="42" t="s">
        <v>173</v>
      </c>
      <c r="M72" s="57">
        <v>0.22</v>
      </c>
      <c r="N72" s="44">
        <v>23.09</v>
      </c>
      <c r="O72" s="43">
        <v>45</v>
      </c>
      <c r="P72" s="44">
        <v>741.1</v>
      </c>
      <c r="Q72" s="79">
        <v>0.26345669774378105</v>
      </c>
      <c r="R72" s="79" t="s">
        <v>171</v>
      </c>
      <c r="S72" s="80">
        <v>29.09</v>
      </c>
      <c r="T72" s="81">
        <v>45</v>
      </c>
      <c r="U72" s="80">
        <v>2.0000006513736381</v>
      </c>
      <c r="V72" s="82">
        <v>2.1735562200219927</v>
      </c>
      <c r="W72" s="82">
        <v>0.24807062761265919</v>
      </c>
      <c r="X72" s="75">
        <v>8011.7694399632965</v>
      </c>
      <c r="Y72" s="75">
        <v>12226.565301238596</v>
      </c>
      <c r="Z72" s="79">
        <v>2.2245159700777744</v>
      </c>
      <c r="AA72" s="79">
        <v>3.3722965650514705</v>
      </c>
      <c r="AB72" s="79">
        <v>0</v>
      </c>
      <c r="AC72" s="79">
        <v>0</v>
      </c>
    </row>
    <row r="73" spans="2:29" ht="15.75" thickBot="1" x14ac:dyDescent="0.3">
      <c r="B73" s="66" t="str">
        <f t="shared" si="1"/>
        <v>Windows 0.30 U-factor_Zone 2_U Factor&lt;= 0.30</v>
      </c>
      <c r="C73" s="46">
        <v>77</v>
      </c>
      <c r="D73" s="46" t="s">
        <v>109</v>
      </c>
      <c r="E73" s="47" t="s">
        <v>67</v>
      </c>
      <c r="F73" s="47" t="s">
        <v>29</v>
      </c>
      <c r="G73" s="47" t="s">
        <v>68</v>
      </c>
      <c r="H73" s="48" t="s">
        <v>172</v>
      </c>
      <c r="I73" s="48" t="s">
        <v>116</v>
      </c>
      <c r="J73" s="48" t="s">
        <v>112</v>
      </c>
      <c r="K73" s="48" t="s">
        <v>169</v>
      </c>
      <c r="L73" s="48" t="s">
        <v>173</v>
      </c>
      <c r="M73" s="56">
        <v>0.28999999999999998</v>
      </c>
      <c r="N73" s="49">
        <v>23.09</v>
      </c>
      <c r="O73" s="46">
        <v>45</v>
      </c>
      <c r="P73" s="49">
        <v>1439.05</v>
      </c>
      <c r="Q73" s="50">
        <v>0.26345669774378105</v>
      </c>
      <c r="R73" s="50" t="s">
        <v>171</v>
      </c>
      <c r="S73" s="53">
        <v>29.09</v>
      </c>
      <c r="T73" s="51">
        <v>45</v>
      </c>
      <c r="U73" s="53">
        <v>2.0000006513736381</v>
      </c>
      <c r="V73" s="70">
        <v>1.2502091292253767</v>
      </c>
      <c r="W73" s="70">
        <v>0.14686182671027084</v>
      </c>
      <c r="X73" s="52">
        <v>3694.0328303265715</v>
      </c>
      <c r="Y73" s="52">
        <v>5637.3731125635059</v>
      </c>
      <c r="Z73" s="50">
        <v>1.0255825171417816</v>
      </c>
      <c r="AA73" s="50">
        <v>1.5544971721230345</v>
      </c>
      <c r="AB73" s="50">
        <v>0</v>
      </c>
      <c r="AC73" s="50">
        <v>0</v>
      </c>
    </row>
    <row r="74" spans="2:29" ht="15.75" thickBot="1" x14ac:dyDescent="0.3">
      <c r="B74" s="66" t="str">
        <f t="shared" si="1"/>
        <v>Windows 0.30 U-factor_Zone 3_U Factor&lt;= 0.30</v>
      </c>
      <c r="C74" s="41">
        <v>79</v>
      </c>
      <c r="D74" s="41" t="s">
        <v>109</v>
      </c>
      <c r="E74" s="42" t="s">
        <v>67</v>
      </c>
      <c r="F74" s="42" t="s">
        <v>30</v>
      </c>
      <c r="G74" s="42" t="s">
        <v>68</v>
      </c>
      <c r="H74" s="42" t="s">
        <v>172</v>
      </c>
      <c r="I74" s="42" t="s">
        <v>117</v>
      </c>
      <c r="J74" s="42" t="s">
        <v>112</v>
      </c>
      <c r="K74" s="42" t="s">
        <v>169</v>
      </c>
      <c r="L74" s="42" t="s">
        <v>173</v>
      </c>
      <c r="M74" s="57">
        <v>0.28999999999999998</v>
      </c>
      <c r="N74" s="44">
        <v>23.09</v>
      </c>
      <c r="O74" s="43">
        <v>45</v>
      </c>
      <c r="P74" s="44">
        <v>1344</v>
      </c>
      <c r="Q74" s="79">
        <v>0.26345669774378105</v>
      </c>
      <c r="R74" s="79" t="s">
        <v>171</v>
      </c>
      <c r="S74" s="80">
        <v>29.09</v>
      </c>
      <c r="T74" s="81">
        <v>45</v>
      </c>
      <c r="U74" s="80">
        <v>2.0000006513736386</v>
      </c>
      <c r="V74" s="82">
        <v>1.1002536833088548</v>
      </c>
      <c r="W74" s="82">
        <v>0.14141668121375228</v>
      </c>
      <c r="X74" s="75">
        <v>6219.5389808976252</v>
      </c>
      <c r="Y74" s="75">
        <v>9494.9725117636044</v>
      </c>
      <c r="Z74" s="79">
        <v>1.7694497509916165</v>
      </c>
      <c r="AA74" s="79">
        <v>2.6861719692005668</v>
      </c>
      <c r="AB74" s="79">
        <v>0</v>
      </c>
      <c r="AC74" s="79">
        <v>0</v>
      </c>
    </row>
  </sheetData>
  <autoFilter ref="B3:AC3" xr:uid="{2473B96F-2EA1-4ED8-89F3-0042B6AB7C22}"/>
  <mergeCells count="7">
    <mergeCell ref="AB2:AC2"/>
    <mergeCell ref="Z2:AA2"/>
    <mergeCell ref="C2:G2"/>
    <mergeCell ref="H2:L2"/>
    <mergeCell ref="M2:P2"/>
    <mergeCell ref="Q2:W2"/>
    <mergeCell ref="X2:Y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40AC263BA319A41A5EAD400E8A077FB" ma:contentTypeVersion="24" ma:contentTypeDescription="" ma:contentTypeScope="" ma:versionID="284b4688e378103f23a136f7029b7ae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2023-11-15T08:00:00+00:00</OpenedDate>
    <SignificantOrder xmlns="dc463f71-b30c-4ab2-9473-d307f9d35888">false</SignificantOrder>
    <Date1 xmlns="dc463f71-b30c-4ab2-9473-d307f9d35888">2023-11-15T08:00:00+00:00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230937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94186DA-09B5-4AEB-8EB3-B004C733ACAE}"/>
</file>

<file path=customXml/itemProps2.xml><?xml version="1.0" encoding="utf-8"?>
<ds:datastoreItem xmlns:ds="http://schemas.openxmlformats.org/officeDocument/2006/customXml" ds:itemID="{297D73C0-8EA3-4096-940B-A561290CB198}"/>
</file>

<file path=customXml/itemProps3.xml><?xml version="1.0" encoding="utf-8"?>
<ds:datastoreItem xmlns:ds="http://schemas.openxmlformats.org/officeDocument/2006/customXml" ds:itemID="{E7F245DC-7361-4481-ACD4-043295511627}"/>
</file>

<file path=customXml/itemProps4.xml><?xml version="1.0" encoding="utf-8"?>
<ds:datastoreItem xmlns:ds="http://schemas.openxmlformats.org/officeDocument/2006/customXml" ds:itemID="{7590021E-B05E-4350-8A36-63BAF4819D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2024</vt:lpstr>
      <vt:lpstr>2025</vt:lpstr>
      <vt:lpstr>Tariff</vt:lpstr>
      <vt:lpstr>APP 2885</vt:lpstr>
      <vt:lpstr>Res Measure Mapping</vt:lpstr>
      <vt:lpstr>'2025'!JR_PAGE_ANCHOR_0_1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2023-08-10T18:03:57Z</dcterms:created>
  <dcterms:modified xsi:type="dcterms:W3CDTF">2023-11-09T15:45:23Z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0x0101006E56B4D1795A2E4DB2F0B01679ED314A00040AC263BA319A41A5EAD400E8A077FB</vt:lpwstr>
  </property>
  <property fmtid="{D5CDD505-2E9C-101B-9397-08002B2CF9AE}" pid="3" name="_docset_NoMedatataSyncRequired">
    <vt:lpwstr>False</vt:lpwstr>
  </property>
</Properties>
</file>