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3-12-01\Submission\"/>
    </mc:Choice>
  </mc:AlternateContent>
  <xr:revisionPtr revIDLastSave="0" documentId="8_{825D2C22-6913-4152-841A-04763209649D}" xr6:coauthVersionLast="47" xr6:coauthVersionMax="47" xr10:uidLastSave="{00000000-0000-0000-0000-000000000000}"/>
  <workbookProtection workbookAlgorithmName="SHA-512" workbookHashValue="I/XQK6ZyHM0kDqiEBwTlq13FDI84szuUxg1aI8Kea3mNZHSAGVjUM8b5G+ZDDL0Fq3SKbJLbJPGIqvWwq6faCQ==" workbookSaltValue="g7TzDkFlsZJvg1Tn05LOeA=="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r>
          <rPr>
            <sz val="10"/>
            <rFont val="Arial"/>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r>
      </text>
    </comment>
    <comment ref="A46" authorId="2" shapeId="0" xr:uid="{2D2F4275-D88B-4028-9543-90D321C7940D}">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See Waste Connections of Oregon</t>
        </r>
      </text>
    </comment>
    <comment ref="A53" authorId="3" shapeId="0" xr:uid="{264D76ED-A644-4272-BF03-8A4C410E3361}">
      <text>
        <r>
          <rPr>
            <sz val="10"/>
            <rFont val="Arial"/>
          </rPr>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r>
      </text>
    </comment>
    <comment ref="G56" authorId="4"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5" shapeId="0" xr:uid="{30EE06FA-BAEB-4BE4-AB72-B1F353A19D7C}">
      <text>
        <r>
          <rPr>
            <sz val="10"/>
            <rFont val="Arial"/>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A58" authorId="6" shapeId="0" xr:uid="{09ECF883-AA35-4306-AE84-4DDBA98A6B34}">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see American Disposal</t>
        </r>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<sst xmlns="http://schemas.openxmlformats.org/spreadsheetml/2006/main" count="609" uniqueCount="293">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</sst>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1" width="9.44140625" style="57"/>
    <col min="12" max="12" width="10.21875" style="57" bestFit="1" customWidth="1"/>
    <col min="13" max="16384" width="9.44140625" style="57"/>
  </cols>
  <sheetData>
    <row r="1" spans="1:6" ht="17.399999999999999" x14ac:dyDescent="0.3">
      <c r="A1" s="238" t="s">
        <v>0</v>
      </c>
      <c r="B1" s="238"/>
      <c r="C1" s="238"/>
      <c r="D1" s="238"/>
      <c r="E1" s="238"/>
      <c r="F1" s="238"/>
    </row>
    <row r="2" spans="1:6" ht="26.25" customHeight="1" x14ac:dyDescent="0.25">
      <c r="A2" s="228" t="s">
        <v>1</v>
      </c>
      <c r="B2" s="229"/>
      <c r="C2" s="58" t="s">
        <v>2</v>
      </c>
      <c r="D2" s="248" t="s">
        <v>215</v>
      </c>
      <c r="E2" s="248"/>
      <c r="F2" s="248"/>
    </row>
    <row r="3" spans="1:6" ht="5.25" customHeight="1" x14ac:dyDescent="0.25">
      <c r="A3" s="230"/>
      <c r="B3" s="231"/>
      <c r="C3" s="59"/>
      <c r="D3" s="59"/>
      <c r="F3" s="59"/>
    </row>
    <row r="4" spans="1:6" x14ac:dyDescent="0.25">
      <c r="A4" s="230"/>
      <c r="B4" s="231"/>
      <c r="C4" s="60" t="s">
        <v>4</v>
      </c>
      <c r="D4" s="250">
        <v>45261</v>
      </c>
      <c r="E4" s="250"/>
      <c r="F4" s="250"/>
    </row>
    <row r="5" spans="1:6" ht="5.25" customHeight="1" x14ac:dyDescent="0.25">
      <c r="A5" s="230"/>
      <c r="B5" s="231"/>
      <c r="C5" s="59"/>
      <c r="D5" s="59"/>
      <c r="F5" s="59"/>
    </row>
    <row r="6" spans="1:6" x14ac:dyDescent="0.25">
      <c r="A6" s="230"/>
      <c r="B6" s="231"/>
      <c r="C6" s="60" t="s">
        <v>5</v>
      </c>
      <c r="D6" s="235">
        <v>5338829</v>
      </c>
      <c r="E6" s="235"/>
      <c r="F6" s="235"/>
    </row>
    <row r="7" spans="1:6" x14ac:dyDescent="0.25">
      <c r="A7" s="251"/>
      <c r="B7" s="251"/>
      <c r="C7" s="251"/>
      <c r="D7" s="251"/>
      <c r="E7" s="251"/>
      <c r="F7" s="251"/>
    </row>
    <row r="8" spans="1:6" ht="28.5" customHeight="1" x14ac:dyDescent="0.25">
      <c r="A8" s="228" t="s">
        <v>6</v>
      </c>
      <c r="B8" s="229"/>
      <c r="C8" s="61" t="s">
        <v>7</v>
      </c>
      <c r="D8" s="237">
        <f>IF(AND(D2&gt;"", D4&gt;0, D6&gt;0), F45, 0)</f>
        <v>5.6650699999999995E-3</v>
      </c>
      <c r="E8" s="237"/>
      <c r="F8" s="237"/>
    </row>
    <row r="9" spans="1:6" ht="5.25" customHeight="1" x14ac:dyDescent="0.25">
      <c r="A9" s="230"/>
      <c r="B9" s="231"/>
      <c r="C9" s="62"/>
      <c r="D9" s="62"/>
      <c r="E9" s="62"/>
      <c r="F9" s="62"/>
    </row>
    <row r="10" spans="1:6" ht="29.25" customHeight="1" x14ac:dyDescent="0.25">
      <c r="A10" s="230"/>
      <c r="B10" s="231"/>
      <c r="C10" s="61" t="s">
        <v>8</v>
      </c>
      <c r="D10" s="249">
        <f>IF(AND(D2&gt;"", D4&gt;0, D6&gt;0), IF(F45&lt;F61, F45,F61), 0)</f>
        <v>4.4070283245295954E-3</v>
      </c>
      <c r="E10" s="249"/>
      <c r="F10" s="249"/>
    </row>
    <row r="11" spans="1:6" ht="5.25" customHeight="1" x14ac:dyDescent="0.25">
      <c r="A11" s="230"/>
      <c r="B11" s="231"/>
      <c r="C11" s="62"/>
      <c r="D11" s="62"/>
      <c r="E11" s="62"/>
      <c r="F11" s="62"/>
    </row>
    <row r="12" spans="1:6" ht="39" customHeight="1" x14ac:dyDescent="0.25">
      <c r="A12" s="230"/>
      <c r="B12" s="231"/>
      <c r="C12" s="236"/>
      <c r="D12" s="236"/>
      <c r="E12" s="236"/>
      <c r="F12" s="236"/>
    </row>
    <row r="13" spans="1:6" x14ac:dyDescent="0.25">
      <c r="A13" s="63"/>
      <c r="B13" s="64"/>
      <c r="C13" s="64"/>
      <c r="D13" s="65"/>
      <c r="E13" s="63"/>
      <c r="F13" s="63"/>
    </row>
    <row r="14" spans="1:6" ht="26.4" x14ac:dyDescent="0.25">
      <c r="A14" s="66" t="s">
        <v>9</v>
      </c>
      <c r="B14" s="59"/>
      <c r="C14" s="60"/>
      <c r="D14" s="59"/>
      <c r="F14" s="59"/>
    </row>
    <row r="15" spans="1:6" x14ac:dyDescent="0.25">
      <c r="A15" s="59">
        <v>1</v>
      </c>
      <c r="B15" s="239" t="s">
        <v>10</v>
      </c>
      <c r="C15" s="240"/>
      <c r="D15" s="240"/>
      <c r="E15" s="240"/>
      <c r="F15" s="241"/>
    </row>
    <row r="16" spans="1:6" x14ac:dyDescent="0.25">
      <c r="A16" s="59">
        <v>2</v>
      </c>
      <c r="C16" s="57" t="s">
        <v>11</v>
      </c>
      <c r="F16" s="67">
        <f>IF(D2="","",VLOOKUP(D2,CompanyInfo,3, FALSE))</f>
        <v>5153326</v>
      </c>
    </row>
    <row r="17" spans="1:8" x14ac:dyDescent="0.25">
      <c r="A17" s="59">
        <v>3</v>
      </c>
      <c r="C17" s="57" t="s">
        <v>12</v>
      </c>
      <c r="F17" s="67">
        <f>IF(D2="","",VLOOKUP(D2,CompanyInfo,4, FALSE))</f>
        <v>160372</v>
      </c>
      <c r="H17" s="212"/>
    </row>
    <row r="18" spans="1:8" x14ac:dyDescent="0.25">
      <c r="A18" s="59">
        <v>4</v>
      </c>
      <c r="C18" s="57" t="s">
        <v>13</v>
      </c>
      <c r="F18" s="68">
        <f>IF(D4="","",VLOOKUP(D2,CompanyInfo,5, FALSE))</f>
        <v>43861</v>
      </c>
    </row>
    <row r="19" spans="1:8" x14ac:dyDescent="0.25">
      <c r="A19" s="59">
        <v>5</v>
      </c>
      <c r="C19" s="57" t="s">
        <v>14</v>
      </c>
      <c r="F19" s="68">
        <f>IF(D4="","",VLOOKUP(D2,CompanyInfo,6,FALSE ))</f>
        <v>43862</v>
      </c>
    </row>
    <row r="20" spans="1:8" x14ac:dyDescent="0.25">
      <c r="A20" s="59">
        <v>6</v>
      </c>
      <c r="C20" s="60" t="s">
        <v>15</v>
      </c>
      <c r="F20" s="215">
        <f>IF(D2="","",VLOOKUP(D2,CompanyInfo,2, FALSE))</f>
        <v>1</v>
      </c>
    </row>
    <row r="21" spans="1:8" x14ac:dyDescent="0.25">
      <c r="A21" s="59">
        <v>7</v>
      </c>
      <c r="B21" s="59"/>
      <c r="C21" s="60" t="s">
        <v>16</v>
      </c>
      <c r="D21" s="59"/>
      <c r="F21" s="215" t="str">
        <f>IF(D2="","",VLOOKUP(D2,CompanyInfo,9,FALSE ))</f>
        <v>East</v>
      </c>
    </row>
    <row r="22" spans="1:8" x14ac:dyDescent="0.25">
      <c r="A22" s="59">
        <v>8</v>
      </c>
      <c r="B22" s="59"/>
      <c r="C22" s="60" t="s">
        <v>17</v>
      </c>
      <c r="D22" s="59"/>
      <c r="F22" s="67">
        <f>IF(D2="","",VLOOKUP(D2,CompanyInfo,7,FALSE ))</f>
        <v>5338829</v>
      </c>
    </row>
    <row r="23" spans="1:8" x14ac:dyDescent="0.25">
      <c r="A23" s="59">
        <v>9</v>
      </c>
      <c r="B23" s="59"/>
      <c r="C23" s="60"/>
      <c r="D23" s="59"/>
      <c r="F23" s="59"/>
    </row>
    <row r="24" spans="1:8" x14ac:dyDescent="0.25">
      <c r="A24" s="59">
        <v>10</v>
      </c>
      <c r="B24" s="242" t="s">
        <v>18</v>
      </c>
      <c r="C24" s="243"/>
      <c r="D24" s="243"/>
      <c r="E24" s="243"/>
      <c r="F24" s="244"/>
    </row>
    <row r="25" spans="1:8" x14ac:dyDescent="0.25">
      <c r="A25" s="59">
        <v>11</v>
      </c>
      <c r="C25" s="60" t="s">
        <v>19</v>
      </c>
      <c r="F25" s="67">
        <f>+F17</f>
        <v>160372</v>
      </c>
    </row>
    <row r="26" spans="1:8" x14ac:dyDescent="0.25">
      <c r="A26" s="59">
        <v>12</v>
      </c>
      <c r="C26" s="69" t="s">
        <v>20</v>
      </c>
      <c r="E26" s="59" t="s">
        <v>21</v>
      </c>
      <c r="F26" s="70">
        <f>+F16</f>
        <v>5153326</v>
      </c>
    </row>
    <row r="27" spans="1:8" x14ac:dyDescent="0.25">
      <c r="A27" s="59">
        <v>13</v>
      </c>
      <c r="C27" s="57" t="s">
        <v>22</v>
      </c>
      <c r="E27" s="59" t="s">
        <v>23</v>
      </c>
      <c r="F27" s="71">
        <f>F17/F16</f>
        <v>3.112009603118452E-2</v>
      </c>
    </row>
    <row r="28" spans="1:8" x14ac:dyDescent="0.25">
      <c r="A28" s="59">
        <v>14</v>
      </c>
      <c r="C28" s="57" t="s">
        <v>24</v>
      </c>
      <c r="E28" s="59" t="s">
        <v>25</v>
      </c>
      <c r="F28" s="72">
        <v>100</v>
      </c>
    </row>
    <row r="29" spans="1:8" x14ac:dyDescent="0.25">
      <c r="A29" s="59">
        <v>15</v>
      </c>
      <c r="C29" s="57" t="s">
        <v>26</v>
      </c>
      <c r="E29" s="59" t="s">
        <v>23</v>
      </c>
      <c r="F29" s="73">
        <f>ROUND(F27,4)</f>
        <v>3.1099999999999999E-2</v>
      </c>
    </row>
    <row r="30" spans="1:8" x14ac:dyDescent="0.25">
      <c r="A30" s="59">
        <v>16</v>
      </c>
    </row>
    <row r="31" spans="1:8" x14ac:dyDescent="0.25">
      <c r="A31" s="59">
        <v>17</v>
      </c>
      <c r="B31" s="242" t="s">
        <v>27</v>
      </c>
      <c r="C31" s="243"/>
      <c r="D31" s="243"/>
      <c r="E31" s="243"/>
      <c r="F31" s="244"/>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4.8730000000000002</v>
      </c>
    </row>
    <row r="33" spans="1:6" x14ac:dyDescent="0.25">
      <c r="A33" s="59">
        <v>19</v>
      </c>
      <c r="C33" s="69" t="s">
        <v>30</v>
      </c>
      <c r="E33" s="59" t="s">
        <v>31</v>
      </c>
      <c r="F33" s="75">
        <f>+IF(F21="West",(+VLOOKUP(F18,'Weekly OPIS Averages'!B15:J323,9,FALSE)),(+VLOOKUP(F18,'Weekly OPIS Averages'!M15:U323,9,FALSE)))</f>
        <v>3.2406666666666664</v>
      </c>
    </row>
    <row r="34" spans="1:6" x14ac:dyDescent="0.25">
      <c r="A34" s="59">
        <v>20</v>
      </c>
      <c r="C34" s="57" t="s">
        <v>32</v>
      </c>
      <c r="E34" s="59" t="s">
        <v>23</v>
      </c>
      <c r="F34" s="76">
        <f>+F32-F33</f>
        <v>1.6323333333333339</v>
      </c>
    </row>
    <row r="35" spans="1:6" x14ac:dyDescent="0.25">
      <c r="A35" s="59">
        <v>21</v>
      </c>
      <c r="C35" s="69" t="s">
        <v>33</v>
      </c>
      <c r="E35" s="59" t="s">
        <v>21</v>
      </c>
      <c r="F35" s="77">
        <f>+F33</f>
        <v>3.2406666666666664</v>
      </c>
    </row>
    <row r="36" spans="1:6" x14ac:dyDescent="0.25">
      <c r="A36" s="59">
        <v>22</v>
      </c>
      <c r="C36" s="57" t="s">
        <v>34</v>
      </c>
      <c r="E36" s="59" t="s">
        <v>23</v>
      </c>
      <c r="F36" s="71">
        <f>F34/F35</f>
        <v>0.50370294178152664</v>
      </c>
    </row>
    <row r="37" spans="1:6" x14ac:dyDescent="0.25">
      <c r="A37" s="59">
        <v>23</v>
      </c>
      <c r="C37" s="57" t="s">
        <v>24</v>
      </c>
      <c r="E37" s="59" t="s">
        <v>25</v>
      </c>
      <c r="F37" s="72">
        <v>100</v>
      </c>
    </row>
    <row r="38" spans="1:6" x14ac:dyDescent="0.25">
      <c r="A38" s="59">
        <v>24</v>
      </c>
      <c r="C38" s="57" t="s">
        <v>35</v>
      </c>
      <c r="E38" s="59" t="s">
        <v>23</v>
      </c>
      <c r="F38" s="73">
        <f>ROUND(F36,4)</f>
        <v>0.50370000000000004</v>
      </c>
    </row>
    <row r="39" spans="1:6" x14ac:dyDescent="0.25">
      <c r="A39" s="59">
        <v>25</v>
      </c>
    </row>
    <row r="40" spans="1:6" ht="56.25" customHeight="1" x14ac:dyDescent="0.25">
      <c r="A40" s="78">
        <v>26</v>
      </c>
      <c r="B40" s="245" t="s">
        <v>36</v>
      </c>
      <c r="C40" s="246"/>
      <c r="D40" s="246"/>
      <c r="E40" s="246"/>
      <c r="F40" s="247"/>
    </row>
    <row r="41" spans="1:6" x14ac:dyDescent="0.25">
      <c r="A41" s="59">
        <v>27</v>
      </c>
      <c r="C41" s="69" t="s">
        <v>37</v>
      </c>
      <c r="F41" s="79">
        <f>F29</f>
        <v>3.1099999999999999E-2</v>
      </c>
    </row>
    <row r="42" spans="1:6" x14ac:dyDescent="0.25">
      <c r="A42" s="59">
        <v>28</v>
      </c>
      <c r="C42" s="69" t="s">
        <v>38</v>
      </c>
      <c r="E42" s="59" t="s">
        <v>25</v>
      </c>
      <c r="F42" s="80">
        <f>F38</f>
        <v>0.50370000000000004</v>
      </c>
    </row>
    <row r="43" spans="1:6" x14ac:dyDescent="0.25">
      <c r="A43" s="59">
        <v>29</v>
      </c>
      <c r="B43" s="57" t="s">
        <v>39</v>
      </c>
      <c r="C43" s="57" t="s">
        <v>40</v>
      </c>
      <c r="E43" s="59" t="s">
        <v>23</v>
      </c>
      <c r="F43" s="79">
        <f>F42*F41</f>
        <v>1.566507E-2</v>
      </c>
    </row>
    <row r="44" spans="1:6" x14ac:dyDescent="0.25">
      <c r="A44" s="59">
        <v>30</v>
      </c>
      <c r="C44" s="69" t="s">
        <v>41</v>
      </c>
      <c r="E44" s="59" t="s">
        <v>31</v>
      </c>
      <c r="F44" s="81">
        <v>0.01</v>
      </c>
    </row>
    <row r="45" spans="1:6" ht="13.8" thickBot="1" x14ac:dyDescent="0.3">
      <c r="A45" s="59">
        <v>31</v>
      </c>
      <c r="C45" s="69" t="s">
        <v>42</v>
      </c>
      <c r="E45" s="59" t="s">
        <v>23</v>
      </c>
      <c r="F45" s="82">
        <f>IF(AND(D2&gt;"", D4&gt;0, D6&gt;0), (IF($F$43-$F$44&gt;=0,$F$43-$F$44,(+IF(0&gt;$F$44+$F$43,$F$44+$F$43,0)))), 0)</f>
        <v>5.6650699999999995E-3</v>
      </c>
    </row>
    <row r="46" spans="1:6" ht="13.8" thickTop="1" x14ac:dyDescent="0.25">
      <c r="A46" s="59">
        <v>32</v>
      </c>
      <c r="C46" s="69"/>
    </row>
    <row r="47" spans="1:6" ht="64.5" customHeight="1" x14ac:dyDescent="0.25">
      <c r="A47" s="78">
        <v>33</v>
      </c>
      <c r="B47" s="232" t="s">
        <v>43</v>
      </c>
      <c r="C47" s="233"/>
      <c r="D47" s="233"/>
      <c r="E47" s="233"/>
      <c r="F47" s="234"/>
    </row>
    <row r="48" spans="1:6" x14ac:dyDescent="0.25">
      <c r="A48" s="59">
        <v>34</v>
      </c>
      <c r="C48" s="57" t="s">
        <v>44</v>
      </c>
      <c r="F48" s="79">
        <f>F45</f>
        <v>5.6650699999999995E-3</v>
      </c>
    </row>
    <row r="49" spans="1:12" x14ac:dyDescent="0.25">
      <c r="A49" s="59">
        <v>35</v>
      </c>
      <c r="C49" s="57" t="s">
        <v>45</v>
      </c>
      <c r="E49" s="59" t="s">
        <v>25</v>
      </c>
      <c r="F49" s="70">
        <f>F16</f>
        <v>5153326</v>
      </c>
    </row>
    <row r="50" spans="1:12" x14ac:dyDescent="0.25">
      <c r="A50" s="59">
        <v>36</v>
      </c>
      <c r="C50" s="57" t="s">
        <v>46</v>
      </c>
      <c r="E50" s="59" t="s">
        <v>23</v>
      </c>
      <c r="F50" s="67">
        <f>F49*F48</f>
        <v>29193.952522819996</v>
      </c>
    </row>
    <row r="51" spans="1:12" x14ac:dyDescent="0.25">
      <c r="A51" s="59">
        <v>37</v>
      </c>
    </row>
    <row r="52" spans="1:12" x14ac:dyDescent="0.25">
      <c r="A52" s="59">
        <v>38</v>
      </c>
      <c r="C52" s="57" t="s">
        <v>47</v>
      </c>
      <c r="F52" s="79">
        <f>F29</f>
        <v>3.1099999999999999E-2</v>
      </c>
    </row>
    <row r="53" spans="1:12" x14ac:dyDescent="0.25">
      <c r="A53" s="59">
        <v>39</v>
      </c>
      <c r="C53" s="57" t="s">
        <v>48</v>
      </c>
      <c r="E53" s="59" t="s">
        <v>25</v>
      </c>
      <c r="F53" s="70">
        <f>IF(D6&gt;F22, D6, F22)</f>
        <v>5338829</v>
      </c>
    </row>
    <row r="54" spans="1:12" x14ac:dyDescent="0.25">
      <c r="A54" s="59">
        <v>40</v>
      </c>
      <c r="C54" s="57" t="s">
        <v>49</v>
      </c>
      <c r="E54" s="59" t="s">
        <v>23</v>
      </c>
      <c r="F54" s="67">
        <f>F53*F52</f>
        <v>166037.58189999999</v>
      </c>
    </row>
    <row r="55" spans="1:12" x14ac:dyDescent="0.25">
      <c r="A55" s="59">
        <v>41</v>
      </c>
      <c r="F55" s="67"/>
    </row>
    <row r="56" spans="1:12" x14ac:dyDescent="0.25">
      <c r="A56" s="59">
        <v>42</v>
      </c>
      <c r="C56" s="57" t="s">
        <v>50</v>
      </c>
      <c r="F56" s="67">
        <f>F17</f>
        <v>160372</v>
      </c>
    </row>
    <row r="57" spans="1:12" x14ac:dyDescent="0.25">
      <c r="A57" s="59">
        <v>43</v>
      </c>
      <c r="C57" s="57" t="s">
        <v>51</v>
      </c>
      <c r="E57" s="59" t="s">
        <v>52</v>
      </c>
      <c r="F57" s="67">
        <f>F50</f>
        <v>29193.952522819996</v>
      </c>
    </row>
    <row r="58" spans="1:12" x14ac:dyDescent="0.25">
      <c r="A58" s="59">
        <v>44</v>
      </c>
      <c r="C58" s="57" t="s">
        <v>53</v>
      </c>
      <c r="E58" s="59" t="s">
        <v>31</v>
      </c>
      <c r="F58" s="70">
        <f>F54</f>
        <v>166037.58189999999</v>
      </c>
      <c r="L58" s="225"/>
    </row>
    <row r="59" spans="1:12" x14ac:dyDescent="0.25">
      <c r="A59" s="59">
        <v>45</v>
      </c>
      <c r="C59" s="57" t="s">
        <v>54</v>
      </c>
      <c r="E59" s="59" t="s">
        <v>23</v>
      </c>
      <c r="F59" s="67">
        <f>F56+F57-F58</f>
        <v>23528.370622820017</v>
      </c>
      <c r="L59" s="225"/>
    </row>
    <row r="60" spans="1:12" x14ac:dyDescent="0.25">
      <c r="A60" s="59">
        <v>46</v>
      </c>
      <c r="C60" s="57" t="s">
        <v>55</v>
      </c>
      <c r="E60" s="59" t="s">
        <v>21</v>
      </c>
      <c r="F60" s="83">
        <f>F53</f>
        <v>5338829</v>
      </c>
    </row>
    <row r="61" spans="1:12" ht="13.8" thickBot="1" x14ac:dyDescent="0.3">
      <c r="A61" s="59">
        <v>47</v>
      </c>
      <c r="C61" s="84" t="s">
        <v>56</v>
      </c>
      <c r="E61" s="59" t="s">
        <v>23</v>
      </c>
      <c r="F61" s="82">
        <f>IF(AND(D2&gt;"", D4&gt;0, D6&gt;0), IF(F60=0, 0, F59/F60), 0)</f>
        <v>4.4070283245295954E-3</v>
      </c>
    </row>
    <row r="62" spans="1:12" ht="13.8" thickTop="1" x14ac:dyDescent="0.25"/>
    <row r="63" spans="1:12" x14ac:dyDescent="0.25">
      <c r="A63" s="226">
        <f ca="1">NOW()</f>
        <v>45239.527146296299</v>
      </c>
      <c r="B63" s="226"/>
      <c r="C63" s="226"/>
      <c r="D63" s="227" t="s">
        <v>57</v>
      </c>
      <c r="E63" s="227"/>
      <c r="F63" s="227"/>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L229" sqref="L229"/>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2" t="s">
        <v>59</v>
      </c>
      <c r="D4" s="252"/>
      <c r="E4" s="252"/>
      <c r="F4" s="252"/>
      <c r="G4" s="252"/>
      <c r="J4" s="37" t="s">
        <v>58</v>
      </c>
      <c r="L4" s="252" t="s">
        <v>60</v>
      </c>
      <c r="M4" s="252"/>
      <c r="N4" s="252"/>
      <c r="O4" s="252"/>
      <c r="P4" s="252"/>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5">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O241" sqref="O24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5">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5">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5">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5">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5">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5">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5">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5">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5">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5">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5">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52" t="s">
        <v>70</v>
      </c>
      <c r="D3" s="252"/>
      <c r="E3" s="252"/>
      <c r="F3" s="252"/>
      <c r="G3" s="2"/>
      <c r="H3" s="2"/>
      <c r="I3" s="2"/>
      <c r="J3" s="2"/>
      <c r="K3" s="2"/>
      <c r="L3" s="2"/>
      <c r="N3" s="252" t="s">
        <v>71</v>
      </c>
      <c r="O3" s="252"/>
      <c r="P3" s="252"/>
      <c r="Q3" s="252"/>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62" t="s">
        <v>81</v>
      </c>
      <c r="AA1" s="262"/>
      <c r="AB1" s="262"/>
      <c r="AC1" s="262"/>
      <c r="AD1" s="262"/>
    </row>
    <row r="2" spans="2:33" x14ac:dyDescent="0.25">
      <c r="B2" s="5" t="s">
        <v>82</v>
      </c>
      <c r="Z2" s="217"/>
      <c r="AA2" s="217"/>
      <c r="AB2" s="217"/>
      <c r="AC2" s="217"/>
      <c r="AD2" s="217"/>
    </row>
    <row r="3" spans="2:33" x14ac:dyDescent="0.25">
      <c r="B3" s="5" t="s">
        <v>81</v>
      </c>
      <c r="Z3" s="262" t="s">
        <v>83</v>
      </c>
      <c r="AA3" s="262"/>
      <c r="AB3" s="262"/>
      <c r="AC3" s="262"/>
      <c r="AD3" s="262"/>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4" t="s">
        <v>85</v>
      </c>
      <c r="E10" s="254"/>
      <c r="F10" s="254"/>
      <c r="G10" s="255" t="s">
        <v>86</v>
      </c>
      <c r="H10" s="254"/>
      <c r="I10" s="254"/>
      <c r="K10" s="11"/>
      <c r="L10" s="11"/>
      <c r="M10" s="256" t="s">
        <v>87</v>
      </c>
      <c r="N10" s="256"/>
      <c r="O10" s="256"/>
      <c r="P10" s="256"/>
      <c r="Q10" s="256"/>
      <c r="R10" s="257"/>
      <c r="S10" s="260" t="s">
        <v>88</v>
      </c>
      <c r="T10" s="261"/>
      <c r="U10" s="261"/>
      <c r="V10" s="261"/>
      <c r="W10" s="261"/>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8" t="s">
        <v>92</v>
      </c>
      <c r="M12" s="258"/>
      <c r="N12" s="258"/>
      <c r="P12" s="258" t="s">
        <v>93</v>
      </c>
      <c r="Q12" s="258"/>
      <c r="R12" s="259"/>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5">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4140625" defaultRowHeight="15" x14ac:dyDescent="0.25"/>
  <cols>
    <col min="1" max="1" width="49.44140625" style="129" customWidth="1"/>
    <col min="2" max="2" width="16" style="134" bestFit="1" customWidth="1"/>
    <col min="3" max="3" width="17.21875" style="135" bestFit="1" customWidth="1"/>
    <col min="4" max="4" width="22.77734375" style="135" bestFit="1" customWidth="1"/>
    <col min="5" max="5" width="27" style="136" bestFit="1" customWidth="1"/>
    <col min="6" max="6" width="24" style="137" customWidth="1"/>
    <col min="7" max="7" width="17.21875" style="138" bestFit="1" customWidth="1"/>
    <col min="8" max="8" width="23.21875" style="138" bestFit="1" customWidth="1"/>
    <col min="9" max="9" width="15.5546875" style="168" bestFit="1" customWidth="1"/>
    <col min="10" max="10" width="18.5546875" style="165" bestFit="1" customWidth="1"/>
    <col min="11" max="11" width="17.21875" style="135" bestFit="1" customWidth="1"/>
    <col min="12" max="12" width="24.21875" style="171" customWidth="1"/>
    <col min="13" max="13" width="17.5546875" style="165" customWidth="1"/>
    <col min="14" max="14" width="15.5546875" style="208" bestFit="1" customWidth="1"/>
    <col min="15" max="15" width="14" style="208" bestFit="1" customWidth="1"/>
    <col min="16" max="16" width="16" style="208" bestFit="1" customWidth="1"/>
    <col min="17" max="17" width="85.44140625" style="172" customWidth="1"/>
    <col min="18" max="16384" width="9.44140625" style="86"/>
  </cols>
  <sheetData>
    <row r="1" spans="1:17" s="101" customFormat="1" ht="46.8" x14ac:dyDescent="0.3">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5">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5">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5">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5">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5">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5">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5">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5">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5">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5">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5">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5">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5">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5">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5">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5">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5">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5">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5">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5">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5">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5">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5">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5">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5">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5">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5">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5">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5">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5">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5">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5">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5">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5">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5">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5">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5">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5">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5">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5">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5">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5">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6" x14ac:dyDescent="0.3">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5">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5">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5">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5">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5">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5">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5">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5">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5">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5">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5">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5">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5">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5">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5">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5">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5">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5">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5">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5">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5">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5">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5">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5">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5">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5">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6" x14ac:dyDescent="0.25">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5">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5">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5">
      <c r="C74" s="130"/>
      <c r="M74" s="135"/>
    </row>
    <row r="75" spans="1:17" x14ac:dyDescent="0.25">
      <c r="C75" s="130"/>
      <c r="M75" s="135"/>
    </row>
    <row r="76" spans="1:17" ht="15.6" thickBot="1" x14ac:dyDescent="0.3">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5">
      <c r="B77" s="139"/>
      <c r="C77" s="263" t="s">
        <v>284</v>
      </c>
      <c r="D77" s="264"/>
      <c r="E77" s="170"/>
      <c r="F77" s="142"/>
      <c r="G77" s="143"/>
      <c r="H77" s="143"/>
      <c r="K77" s="165"/>
      <c r="M77" s="135"/>
    </row>
    <row r="78" spans="1:17" x14ac:dyDescent="0.25">
      <c r="B78" s="139"/>
      <c r="C78" s="265" t="s">
        <v>285</v>
      </c>
      <c r="D78" s="266"/>
      <c r="E78" s="170"/>
      <c r="F78" s="142"/>
      <c r="G78" s="143"/>
      <c r="H78" s="143"/>
      <c r="K78" s="165"/>
      <c r="M78" s="135"/>
    </row>
    <row r="79" spans="1:17" x14ac:dyDescent="0.25">
      <c r="B79" s="139"/>
      <c r="C79" s="267" t="s">
        <v>286</v>
      </c>
      <c r="D79" s="268"/>
      <c r="E79" s="170"/>
      <c r="F79" s="142"/>
      <c r="G79" s="143"/>
      <c r="H79" s="143"/>
      <c r="K79" s="165"/>
      <c r="L79" s="171">
        <f>+M76-K76</f>
        <v>999793</v>
      </c>
      <c r="M79" s="135">
        <f t="shared" si="2"/>
        <v>999793</v>
      </c>
    </row>
    <row r="80" spans="1:17" ht="15.6" thickBot="1" x14ac:dyDescent="0.3">
      <c r="B80" s="139"/>
      <c r="C80" s="269" t="s">
        <v>287</v>
      </c>
      <c r="D80" s="270"/>
      <c r="F80" s="142"/>
      <c r="G80" s="143"/>
      <c r="H80" s="143"/>
      <c r="K80" s="173"/>
    </row>
    <row r="81" spans="3:17" x14ac:dyDescent="0.25">
      <c r="C81" s="136"/>
      <c r="D81" s="142"/>
      <c r="E81" s="143"/>
      <c r="F81" s="143"/>
      <c r="G81" s="168"/>
      <c r="H81" s="165"/>
      <c r="I81" s="135"/>
      <c r="J81" s="171"/>
      <c r="K81" s="165"/>
      <c r="L81" s="172"/>
      <c r="M81" s="101"/>
      <c r="N81" s="209"/>
      <c r="O81" s="209"/>
      <c r="P81" s="209"/>
      <c r="Q81" s="86"/>
    </row>
    <row r="82" spans="3:17" x14ac:dyDescent="0.25">
      <c r="F82" s="142"/>
      <c r="G82" s="143"/>
      <c r="H82" s="143"/>
    </row>
    <row r="83" spans="3:17" x14ac:dyDescent="0.25">
      <c r="C83" s="130"/>
      <c r="D83" s="130"/>
      <c r="H83" s="138" t="s">
        <v>288</v>
      </c>
      <c r="K83" s="130"/>
    </row>
    <row r="84" spans="3:17" x14ac:dyDescent="0.25">
      <c r="C84" s="130"/>
      <c r="D84" s="130"/>
      <c r="K84" s="130"/>
    </row>
    <row r="85" spans="3:17" x14ac:dyDescent="0.2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997AD816AA6E40BB6190680DB101BC" ma:contentTypeVersion="24" ma:contentTypeDescription="" ma:contentTypeScope="" ma:versionID="47cc79807f476cb591514cd89c4fc31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2023-11-09T08:00:00+00:00</OpenedDate>
    <SignificantOrder xmlns="dc463f71-b30c-4ab2-9473-d307f9d35888">false</SignificantOrder>
    <Date1 xmlns="dc463f71-b30c-4ab2-9473-d307f9d35888">2023-11-09T08:00:00+00:00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230926</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285CBB63-D380-4DD0-9789-BA62B5BBB3B1}"/>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C1D23D90-DFA7-49F0-AFED-96F4EBB3201E}"/>
</file>

<file path=customXml/itemProps5.xml><?xml version="1.0" encoding="utf-8"?>
<ds:datastoreItem xmlns:ds="http://schemas.openxmlformats.org/officeDocument/2006/customXml" ds:itemID="{FC23ECBD-1CD6-49E3-9222-D0469D52F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2023-11-09T20:39:05Z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0x0101006E56B4D1795A2E4DB2F0B01679ED314A00A9997AD816AA6E40BB6190680DB101BC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