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63.xml" ContentType="application/vnd.openxmlformats-officedocument.spreadsheetml.externalLink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\RPL\GrpRates\Public\RASANEN\#  Rate Filings\Sch 141A - Energy Charge Credit Recovery Adjustment\2024\Filed on 09.29.2023\"/>
    </mc:Choice>
  </mc:AlternateContent>
  <xr:revisionPtr revIDLastSave="0" documentId="13_ncr:1_{6F74E2BE-8BDB-430F-A224-BB2F9A1E83EB}" xr6:coauthVersionLast="47" xr6:coauthVersionMax="47" xr10:uidLastSave="{00000000-0000-0000-0000-000000000000}"/>
  <bookViews>
    <workbookView xWindow="4665" yWindow="165" windowWidth="22485" windowHeight="15015" tabRatio="965" xr2:uid="{00000000-000D-0000-FFFF-FFFF00000000}"/>
  </bookViews>
  <sheets>
    <sheet name="Rate Summary" sheetId="91" r:id="rId1"/>
    <sheet name="Street &amp; Area Lighting" sheetId="61" r:id="rId2"/>
    <sheet name="Revenue Rate Impacts" sheetId="72" r:id="rId3"/>
    <sheet name="Typical Residential Notice" sheetId="48" r:id="rId4"/>
    <sheet name="Rate Spread and Design" sheetId="74" r:id="rId5"/>
    <sheet name="Workpapers--&gt;" sheetId="73" r:id="rId6"/>
    <sheet name="SCH 141A 2023 True-up" sheetId="81" r:id="rId7"/>
    <sheet name="F2023 Energy" sheetId="77" r:id="rId8"/>
    <sheet name="2022 GRC (UE-220066)--&gt;" sheetId="84" r:id="rId9"/>
    <sheet name="Exhibit No.__(BDJ-141A)" sheetId="87" r:id="rId10"/>
    <sheet name="Sch 139 Credit Calculation" sheetId="88" r:id="rId11"/>
    <sheet name="Alloc for Sch 141A" sheetId="8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 localSheetId="0">[1]Jan!#REF!</definedName>
    <definedName name="\0" localSheetId="2">[1]Jan!#REF!</definedName>
    <definedName name="\0">[1]Jan!#REF!</definedName>
    <definedName name="\A" localSheetId="0">#REF!</definedName>
    <definedName name="\A" localSheetId="2">#REF!</definedName>
    <definedName name="\A">#REF!</definedName>
    <definedName name="\B" localSheetId="0">#REF!</definedName>
    <definedName name="\B" localSheetId="2">#REF!</definedName>
    <definedName name="\B">#REF!</definedName>
    <definedName name="\BACK1" localSheetId="0">#REF!</definedName>
    <definedName name="\BACK1" localSheetId="2">#REF!</definedName>
    <definedName name="\BACK1">#REF!</definedName>
    <definedName name="\BLOCK" localSheetId="0">#REF!</definedName>
    <definedName name="\BLOCK" localSheetId="2">#REF!</definedName>
    <definedName name="\BLOCK">#REF!</definedName>
    <definedName name="\BLOCKT" localSheetId="0">#REF!</definedName>
    <definedName name="\BLOCKT" localSheetId="2">#REF!</definedName>
    <definedName name="\BLOCKT">#REF!</definedName>
    <definedName name="\C" localSheetId="0">#REF!</definedName>
    <definedName name="\C" localSheetId="2">#REF!</definedName>
    <definedName name="\C">#REF!</definedName>
    <definedName name="\COMP" localSheetId="0">#REF!</definedName>
    <definedName name="\COMP" localSheetId="2">#REF!</definedName>
    <definedName name="\COMP">#REF!</definedName>
    <definedName name="\COMPT" localSheetId="0">#REF!</definedName>
    <definedName name="\COMPT" localSheetId="2">#REF!</definedName>
    <definedName name="\COMPT">#REF!</definedName>
    <definedName name="\G" localSheetId="0">#REF!</definedName>
    <definedName name="\G" localSheetId="2">#REF!</definedName>
    <definedName name="\G">#REF!</definedName>
    <definedName name="\I" localSheetId="0">#REF!</definedName>
    <definedName name="\I" localSheetId="2">#REF!</definedName>
    <definedName name="\I">#REF!</definedName>
    <definedName name="\K" localSheetId="0">#REF!</definedName>
    <definedName name="\K" localSheetId="2">#REF!</definedName>
    <definedName name="\K">#REF!</definedName>
    <definedName name="\L" localSheetId="0">#REF!</definedName>
    <definedName name="\L" localSheetId="2">#REF!</definedName>
    <definedName name="\L">#REF!</definedName>
    <definedName name="\M" localSheetId="0">#REF!</definedName>
    <definedName name="\M" localSheetId="2">#REF!</definedName>
    <definedName name="\M">#REF!</definedName>
    <definedName name="\P" localSheetId="0">#REF!</definedName>
    <definedName name="\P" localSheetId="2">#REF!</definedName>
    <definedName name="\P">#REF!</definedName>
    <definedName name="\Q" localSheetId="0">[2]Actual!#REF!</definedName>
    <definedName name="\Q" localSheetId="2">[2]Actual!#REF!</definedName>
    <definedName name="\Q">[2]Actual!#REF!</definedName>
    <definedName name="\R" localSheetId="0">#REF!</definedName>
    <definedName name="\R" localSheetId="2">#REF!</definedName>
    <definedName name="\R">#REF!</definedName>
    <definedName name="\S" localSheetId="0">#REF!</definedName>
    <definedName name="\S" localSheetId="2">#REF!</definedName>
    <definedName name="\S">#REF!</definedName>
    <definedName name="\TABLE1" localSheetId="0">#REF!</definedName>
    <definedName name="\TABLE1" localSheetId="2">#REF!</definedName>
    <definedName name="\TABLE1">#REF!</definedName>
    <definedName name="\TABLE2" localSheetId="0">#REF!</definedName>
    <definedName name="\TABLE2" localSheetId="2">#REF!</definedName>
    <definedName name="\TABLE2">#REF!</definedName>
    <definedName name="\TABLEA" localSheetId="0">#REF!</definedName>
    <definedName name="\TABLEA" localSheetId="2">#REF!</definedName>
    <definedName name="\TABLEA">#REF!</definedName>
    <definedName name="\TBL2" localSheetId="0">#REF!</definedName>
    <definedName name="\TBL2" localSheetId="2">#REF!</definedName>
    <definedName name="\TBL2">#REF!</definedName>
    <definedName name="\TBL3" localSheetId="0">#REF!</definedName>
    <definedName name="\TBL3" localSheetId="2">#REF!</definedName>
    <definedName name="\TBL3">#REF!</definedName>
    <definedName name="\TBL4" localSheetId="0">#REF!</definedName>
    <definedName name="\TBL4" localSheetId="2">#REF!</definedName>
    <definedName name="\TBL4">#REF!</definedName>
    <definedName name="\TBL5" localSheetId="0">#REF!</definedName>
    <definedName name="\TBL5" localSheetId="2">#REF!</definedName>
    <definedName name="\TBL5">#REF!</definedName>
    <definedName name="\W" localSheetId="0">#REF!</definedName>
    <definedName name="\W" localSheetId="2">#REF!</definedName>
    <definedName name="\W">#REF!</definedName>
    <definedName name="\WORK1" localSheetId="0">#REF!</definedName>
    <definedName name="\WORK1" localSheetId="2">#REF!</definedName>
    <definedName name="\WORK1">#REF!</definedName>
    <definedName name="\X" localSheetId="0">#REF!</definedName>
    <definedName name="\X" localSheetId="2">#REF!</definedName>
    <definedName name="\X">#REF!</definedName>
    <definedName name="\Z" localSheetId="0">#REF!</definedName>
    <definedName name="\Z" localSheetId="2">#REF!</definedName>
    <definedName name="\Z">#REF!</definedName>
    <definedName name="__________________six6" localSheetId="4" hidden="1">{#N/A,#N/A,FALSE,"CRPT";#N/A,#N/A,FALSE,"TREND";#N/A,#N/A,FALSE,"%Curve"}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4" hidden="1">{#N/A,#N/A,FALSE,"CRPT";#N/A,#N/A,FALSE,"TREND";#N/A,#N/A,FALSE,"%Curve"}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localSheetId="0" hidden="1">{#N/A,#N/A,FALSE,"schA"}</definedName>
    <definedName name="_______________www1" hidden="1">{#N/A,#N/A,FALSE,"schA"}</definedName>
    <definedName name="______________six6" localSheetId="4" hidden="1">{#N/A,#N/A,FALSE,"CRPT";#N/A,#N/A,FALSE,"TREND";#N/A,#N/A,FALSE,"%Curve"}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localSheetId="0" hidden="1">{#N/A,#N/A,FALSE,"schA"}</definedName>
    <definedName name="______________www1" hidden="1">{#N/A,#N/A,FALSE,"schA"}</definedName>
    <definedName name="_____________six6" localSheetId="4" hidden="1">{#N/A,#N/A,FALSE,"CRPT";#N/A,#N/A,FALSE,"TREND";#N/A,#N/A,FALSE,"%Curve"}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localSheetId="0" hidden="1">{#N/A,#N/A,FALSE,"schA"}</definedName>
    <definedName name="_____________www1" hidden="1">{#N/A,#N/A,FALSE,"schA"}</definedName>
    <definedName name="____________six6" localSheetId="4" hidden="1">{#N/A,#N/A,FALSE,"CRPT";#N/A,#N/A,FALSE,"TREND";#N/A,#N/A,FALSE,"%Curve"}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localSheetId="0" hidden="1">{#N/A,#N/A,FALSE,"schA"}</definedName>
    <definedName name="____________www1" hidden="1">{#N/A,#N/A,FALSE,"schA"}</definedName>
    <definedName name="___________six6" localSheetId="4" hidden="1">{#N/A,#N/A,FALSE,"CRPT";#N/A,#N/A,FALSE,"TREND";#N/A,#N/A,FALSE,"%Curve"}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localSheetId="0" hidden="1">{#N/A,#N/A,FALSE,"schA"}</definedName>
    <definedName name="___________www1" hidden="1">{#N/A,#N/A,FALSE,"schA"}</definedName>
    <definedName name="__________six6" localSheetId="4" hidden="1">{#N/A,#N/A,FALSE,"CRPT";#N/A,#N/A,FALSE,"TREND";#N/A,#N/A,FALSE,"%Curve"}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localSheetId="0" hidden="1">{#N/A,#N/A,FALSE,"schA"}</definedName>
    <definedName name="__________www1" hidden="1">{#N/A,#N/A,FALSE,"schA"}</definedName>
    <definedName name="_________six6" localSheetId="4" hidden="1">{#N/A,#N/A,FALSE,"CRPT";#N/A,#N/A,FALSE,"TREND";#N/A,#N/A,FALSE,"%Curve"}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localSheetId="0" hidden="1">{#N/A,#N/A,FALSE,"schA"}</definedName>
    <definedName name="_________www1" hidden="1">{#N/A,#N/A,FALSE,"schA"}</definedName>
    <definedName name="________six6" localSheetId="4" hidden="1">{#N/A,#N/A,FALSE,"CRPT";#N/A,#N/A,FALSE,"TREND";#N/A,#N/A,FALSE,"%Curve"}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4" hidden="1">{#N/A,#N/A,FALSE,"CRPT";#N/A,#N/A,FALSE,"TREND";#N/A,#N/A,FALSE,"%Curve"}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Jun09">" BS!$AI$7:$AI$1643"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4" hidden="1">{#N/A,#N/A,FALSE,"CRPT";#N/A,#N/A,FALSE,"TREND";#N/A,#N/A,FALSE,"%Curve"}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Jun09">" BS!$AI$7:$AI$1643"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4" hidden="1">{#N/A,#N/A,FALSE,"CRPT";#N/A,#N/A,FALSE,"TREND";#N/A,#N/A,FALSE,"%Curve"}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Jun09">" BS!$AI$7:$AI$1643"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4" hidden="1">{#N/A,#N/A,FALSE,"CRPT";#N/A,#N/A,FALSE,"TREND";#N/A,#N/A,FALSE,"%Curve"}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Jun09">" BS!$AI$7:$AI$1643"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4" hidden="1">{#N/A,#N/A,FALSE,"CRPT";#N/A,#N/A,FALSE,"TREND";#N/A,#N/A,FALSE,"%Curve"}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4" hidden="1">{#N/A,#N/A,FALSE,"schA"}</definedName>
    <definedName name="___www1" localSheetId="0" hidden="1">{#N/A,#N/A,FALSE,"schA"}</definedName>
    <definedName name="___www1" hidden="1">{#N/A,#N/A,FALSE,"schA"}</definedName>
    <definedName name="__123Graph_A" localSheetId="0" hidden="1">[3]Inputs!#REF!</definedName>
    <definedName name="__123Graph_A" localSheetId="2" hidden="1">[3]Inputs!#REF!</definedName>
    <definedName name="__123Graph_A" hidden="1">[3]Inputs!#REF!</definedName>
    <definedName name="__123Graph_ABUDG6_DSCRPR">[4]Quant!$D$71:$O$71</definedName>
    <definedName name="__123Graph_ABUDG6_ESCRPR1">[4]Quant!$D$100:$O$100</definedName>
    <definedName name="__123Graph_B" localSheetId="0" hidden="1">[3]Inputs!#REF!</definedName>
    <definedName name="__123Graph_B" localSheetId="2" hidden="1">[3]Inputs!#REF!</definedName>
    <definedName name="__123Graph_B" hidden="1">[3]Inputs!#REF!</definedName>
    <definedName name="__123Graph_BBUDG6_DSCRPR">[4]Quant!$D$72:$O$72</definedName>
    <definedName name="__123Graph_BBUDG6_ESCRPR1">[4]Quant!$D$88:$O$88</definedName>
    <definedName name="__123Graph_D" localSheetId="0" hidden="1">#REF!</definedName>
    <definedName name="__123Graph_D" localSheetId="2" hidden="1">#REF!</definedName>
    <definedName name="__123Graph_D" hidden="1">#REF!</definedName>
    <definedName name="__123Graph_ECURRENT" localSheetId="0" hidden="1">[5]ConsolidatingPL!#REF!</definedName>
    <definedName name="__123Graph_ECURRENT" localSheetId="2" hidden="1">[5]ConsolidatingPL!#REF!</definedName>
    <definedName name="__123Graph_ECURRENT" hidden="1">[5]ConsolidatingPL!#REF!</definedName>
    <definedName name="__123Graph_X">[4]Quant!$D$5:$O$5</definedName>
    <definedName name="__123Graph_XBUDG6_DSCRPR">[4]Quant!$D$5:$O$5</definedName>
    <definedName name="__123Graph_XBUDG6_ESCRPR1">[4]Quant!$D$5:$O$5</definedName>
    <definedName name="__Dec03">[6]BS!$T$7:$T$3582</definedName>
    <definedName name="__Dec04">[7]BS!$AC$7:$AC$3580</definedName>
    <definedName name="__ex1" localSheetId="0" hidden="1">{#N/A,#N/A,FALSE,"Summ";#N/A,#N/A,FALSE,"General"}</definedName>
    <definedName name="__ex1" hidden="1">{#N/A,#N/A,FALSE,"Summ";#N/A,#N/A,FALSE,"General"}</definedName>
    <definedName name="__Jul04">[7]BS!$X$7:$X$3582</definedName>
    <definedName name="__Jun04">[7]BS!$W$7:$W$3582</definedName>
    <definedName name="__Jun09">" BS!$AI$7:$AI$1643"</definedName>
    <definedName name="__May04">[7]BS!$V$7:$V$3582</definedName>
    <definedName name="__new1" localSheetId="0" hidden="1">{#N/A,#N/A,FALSE,"Summ";#N/A,#N/A,FALSE,"General"}</definedName>
    <definedName name="__new1" hidden="1">{#N/A,#N/A,FALSE,"Summ";#N/A,#N/A,FALSE,"General"}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localSheetId="4" hidden="1">{#N/A,#N/A,FALSE,"CRPT";#N/A,#N/A,FALSE,"TREND";#N/A,#N/A,FALSE,"%Curve"}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0" hidden="1">{#N/A,#N/A,FALSE,"schA"}</definedName>
    <definedName name="__www1" hidden="1">{#N/A,#N/A,FALSE,"schA"}</definedName>
    <definedName name="_1__123Graph_ABUDG6_D_ESCRPR">[4]Quant!$D$71:$O$71</definedName>
    <definedName name="_1Price_Ta" localSheetId="0">#REF!</definedName>
    <definedName name="_1Price_Ta" localSheetId="2">#REF!</definedName>
    <definedName name="_1Price_Ta">#REF!</definedName>
    <definedName name="_2__123Graph_ABUDG6_Dtons_inv" localSheetId="0" hidden="1">[8]Quant!#REF!</definedName>
    <definedName name="_2__123Graph_ABUDG6_Dtons_inv" localSheetId="2" hidden="1">[8]Quant!#REF!</definedName>
    <definedName name="_2__123Graph_ABUDG6_Dtons_inv" hidden="1">[8]Quant!#REF!</definedName>
    <definedName name="_2Price_Ta" localSheetId="0">#REF!</definedName>
    <definedName name="_2Price_Ta" localSheetId="2">#REF!</definedName>
    <definedName name="_2Price_Ta">#REF!</definedName>
    <definedName name="_3__123Graph_ABUDG6_Dtons_inv" localSheetId="0" hidden="1">[9]Quant!#REF!</definedName>
    <definedName name="_3__123Graph_ABUDG6_Dtons_inv" localSheetId="2" hidden="1">[9]Quant!#REF!</definedName>
    <definedName name="_3__123Graph_ABUDG6_Dtons_inv" hidden="1">[9]Quant!#REF!</definedName>
    <definedName name="_3__123Graph_BBUDG6_D_ESCRPR">[4]Quant!$D$72:$O$72</definedName>
    <definedName name="_4__123Graph_ABUDG6_Dtons_inv" localSheetId="0" hidden="1">'[10]Area D 2011'!#REF!</definedName>
    <definedName name="_4__123Graph_ABUDG6_Dtons_inv" localSheetId="2" hidden="1">'[10]Area D 2011'!#REF!</definedName>
    <definedName name="_4__123Graph_ABUDG6_Dtons_inv" hidden="1">'[10]Area D 2011'!#REF!</definedName>
    <definedName name="_4__123Graph_BBUDG6_Dtons_inv">[4]Quant!$D$9:$O$9</definedName>
    <definedName name="_5__123Graph_CBUDG6_D_ESCRPR">[4]Quant!$D$100:$O$100</definedName>
    <definedName name="_6__123Graph_CBUDG6_D_ESCRPR" localSheetId="0" hidden="1">'[11]2012 Area AB BudgetSummary'!#REF!</definedName>
    <definedName name="_6__123Graph_CBUDG6_D_ESCRPR" localSheetId="2" hidden="1">'[11]2012 Area AB BudgetSummary'!#REF!</definedName>
    <definedName name="_6__123Graph_CBUDG6_D_ESCRPR" hidden="1">'[11]2012 Area AB BudgetSummary'!#REF!</definedName>
    <definedName name="_6__123Graph_DBUDG6_D_ESCRPR">[4]Quant!$D$88:$O$88</definedName>
    <definedName name="_7__123Graph_CBUDG6_D_ESCRPR" localSheetId="0" hidden="1">'[10]Area D 2011'!#REF!</definedName>
    <definedName name="_7__123Graph_CBUDG6_D_ESCRPR" localSheetId="2" hidden="1">'[10]Area D 2011'!#REF!</definedName>
    <definedName name="_7__123Graph_CBUDG6_D_ESCRPR" hidden="1">'[10]Area D 2011'!#REF!</definedName>
    <definedName name="_7__123Graph_DBUDG6_D_ESCRPR" localSheetId="0" hidden="1">'[11]2012 Area AB BudgetSummary'!#REF!</definedName>
    <definedName name="_7__123Graph_DBUDG6_D_ESCRPR" localSheetId="2" hidden="1">'[11]2012 Area AB BudgetSummary'!#REF!</definedName>
    <definedName name="_7__123Graph_DBUDG6_D_ESCRPR" hidden="1">'[11]2012 Area AB BudgetSummary'!#REF!</definedName>
    <definedName name="_7__123Graph_XBUDG6_D_ESCRPR">[4]Quant!$D$5:$O$5</definedName>
    <definedName name="_8__123Graph_DBUDG6_D_ESCRPR" localSheetId="0" hidden="1">'[10]Area D 2011'!#REF!</definedName>
    <definedName name="_8__123Graph_DBUDG6_D_ESCRPR" localSheetId="2" hidden="1">'[10]Area D 2011'!#REF!</definedName>
    <definedName name="_8__123Graph_DBUDG6_D_ESCRPR" hidden="1">'[10]Area D 2011'!#REF!</definedName>
    <definedName name="_8__123Graph_XBUDG6_Dtons_inv">[4]Quant!$D$5:$O$5</definedName>
    <definedName name="_Apr04">[7]BS!$U$7:$U$3582</definedName>
    <definedName name="_Aug04">[7]BS!$Y$7:$Y$3582</definedName>
    <definedName name="_B" localSheetId="0">'[12]Rate Design'!#REF!</definedName>
    <definedName name="_B" localSheetId="2">'[12]Rate Design'!#REF!</definedName>
    <definedName name="_B">'[12]Rate Design'!#REF!</definedName>
    <definedName name="_Dec03">[6]BS!$T$7:$T$3582</definedName>
    <definedName name="_Dec04">[7]BS!$AC$7:$AC$3580</definedName>
    <definedName name="_ex1" localSheetId="4" hidden="1">{#N/A,#N/A,FALSE,"Summ";#N/A,#N/A,FALSE,"General"}</definedName>
    <definedName name="_ex1" localSheetId="0" hidden="1">{#N/A,#N/A,FALSE,"Summ";#N/A,#N/A,FALSE,"General"}</definedName>
    <definedName name="_ex1" hidden="1">{#N/A,#N/A,FALSE,"Summ";#N/A,#N/A,FALSE,"General"}</definedName>
    <definedName name="_Feb04">[7]BS!$S$7:$S$3582</definedName>
    <definedName name="_Fill" localSheetId="0" hidden="1">#REF!</definedName>
    <definedName name="_Fill" localSheetId="2" hidden="1">#REF!</definedName>
    <definedName name="_Fill" hidden="1">#REF!</definedName>
    <definedName name="_Jan04">[7]BS!$R$7:$R$3582</definedName>
    <definedName name="_Jul04">[7]BS!$X$7:$X$3582</definedName>
    <definedName name="_Jun04">[7]BS!$W$7:$W$3582</definedName>
    <definedName name="_Jun09">" BS!$AI$7:$AI$1643"</definedName>
    <definedName name="_Key1" localSheetId="0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hidden="1">#REF!</definedName>
    <definedName name="_Mar04">[7]BS!$T$7:$T$3582</definedName>
    <definedName name="_May04">[7]BS!$V$7:$V$3582</definedName>
    <definedName name="_MEN2" localSheetId="0">[1]Jan!#REF!</definedName>
    <definedName name="_MEN2" localSheetId="2">[1]Jan!#REF!</definedName>
    <definedName name="_MEN2">[1]Jan!#REF!</definedName>
    <definedName name="_MEN3" localSheetId="0">[1]Jan!#REF!</definedName>
    <definedName name="_MEN3" localSheetId="2">[1]Jan!#REF!</definedName>
    <definedName name="_MEN3">[1]Jan!#REF!</definedName>
    <definedName name="_new1" localSheetId="4" hidden="1">{#N/A,#N/A,FALSE,"Summ";#N/A,#N/A,FALSE,"General"}</definedName>
    <definedName name="_new1" localSheetId="0" hidden="1">{#N/A,#N/A,FALSE,"Summ";#N/A,#N/A,FALSE,"General"}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>255</definedName>
    <definedName name="_Order2">255</definedName>
    <definedName name="_P" localSheetId="0">#REF!</definedName>
    <definedName name="_P" localSheetId="2">#REF!</definedName>
    <definedName name="_P">#REF!</definedName>
    <definedName name="_Parse_In" localSheetId="0" hidden="1">#REF!</definedName>
    <definedName name="_Parse_In" localSheetId="2" hidden="1">#REF!</definedName>
    <definedName name="_Parse_In" hidden="1">#REF!</definedName>
    <definedName name="_PC1">[13]CLASSIFIERS!$A$7:$IV$7</definedName>
    <definedName name="_PC2">[13]CLASSIFIERS!$A$10:$IV$10</definedName>
    <definedName name="_PC3">[13]CLASSIFIERS!$A$12:$IV$12</definedName>
    <definedName name="_PC4">[13]CLASSIFIERS!$A$13:$IV$13</definedName>
    <definedName name="_Regression_Int">1</definedName>
    <definedName name="_SEC24">[13]EXTERNAL!$A$112:$IV$114</definedName>
    <definedName name="_Sep03">[14]BS!$AB$7:$AB$3420</definedName>
    <definedName name="_Sep04">[7]BS!$Z$7:$Z$3582</definedName>
    <definedName name="_six6" localSheetId="4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2" hidden="1">#REF!</definedName>
    <definedName name="_Sort" hidden="1">#REF!</definedName>
    <definedName name="_TOP1" localSheetId="0">[1]Jan!#REF!</definedName>
    <definedName name="_TOP1" localSheetId="2">[1]Jan!#REF!</definedName>
    <definedName name="_TOP1">[1]Jan!#REF!</definedName>
    <definedName name="_www1" localSheetId="4" hidden="1">{#N/A,#N/A,FALSE,"schA"}</definedName>
    <definedName name="_www1" localSheetId="0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AAAAAAAAAAAAA" localSheetId="4" hidden="1">{#N/A,#N/A,FALSE,"Coversheet";#N/A,#N/A,FALSE,"QA"}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108364" localSheetId="0">'[15]Func Study'!#REF!</definedName>
    <definedName name="Acct108364" localSheetId="2">'[15]Func Study'!#REF!</definedName>
    <definedName name="Acct108364">'[15]Func Study'!#REF!</definedName>
    <definedName name="Acct108364S" localSheetId="0">'[15]Func Study'!#REF!</definedName>
    <definedName name="Acct108364S" localSheetId="2">'[15]Func Study'!#REF!</definedName>
    <definedName name="Acct108364S">'[15]Func Study'!#REF!</definedName>
    <definedName name="Acct228.42TROJD" localSheetId="0">'[16]Func Study'!#REF!</definedName>
    <definedName name="Acct228.42TROJD" localSheetId="2">'[16]Func Study'!#REF!</definedName>
    <definedName name="Acct228.42TROJD">'[16]Func Study'!#REF!</definedName>
    <definedName name="Acct2281SO">'[17]Func Study'!$H$2190</definedName>
    <definedName name="Acct2283SO">'[17]Func Study'!$H$2198</definedName>
    <definedName name="Acct22842TROJD" localSheetId="0">'[16]Func Study'!#REF!</definedName>
    <definedName name="Acct22842TROJD" localSheetId="2">'[16]Func Study'!#REF!</definedName>
    <definedName name="Acct22842TROJD">'[16]Func Study'!#REF!</definedName>
    <definedName name="Acct228SO">'[17]Func Study'!$H$2194</definedName>
    <definedName name="Acct350">'[17]Func Study'!$H$1628</definedName>
    <definedName name="Acct352">'[17]Func Study'!$H$1635</definedName>
    <definedName name="Acct353">'[17]Func Study'!$H$1641</definedName>
    <definedName name="Acct354">'[17]Func Study'!$H$1647</definedName>
    <definedName name="Acct355">'[17]Func Study'!$H$1654</definedName>
    <definedName name="Acct356">'[17]Func Study'!$H$1660</definedName>
    <definedName name="Acct357">'[17]Func Study'!$H$1666</definedName>
    <definedName name="Acct358">'[17]Func Study'!$H$1672</definedName>
    <definedName name="Acct359">'[17]Func Study'!$H$1678</definedName>
    <definedName name="Acct360">'[17]Func Study'!$H$1698</definedName>
    <definedName name="Acct361">'[17]Func Study'!$H$1704</definedName>
    <definedName name="Acct362">'[17]Func Study'!$H$1710</definedName>
    <definedName name="Acct364">'[17]Func Study'!$H$1717</definedName>
    <definedName name="Acct365">'[17]Func Study'!$H$1724</definedName>
    <definedName name="Acct366">'[17]Func Study'!$H$1731</definedName>
    <definedName name="Acct367">'[17]Func Study'!$H$1738</definedName>
    <definedName name="Acct368">'[17]Func Study'!$H$1744</definedName>
    <definedName name="Acct369">'[17]Func Study'!$H$1751</definedName>
    <definedName name="Acct370">'[17]Func Study'!$H$1762</definedName>
    <definedName name="Acct371">'[17]Func Study'!$H$1769</definedName>
    <definedName name="Acct372">'[17]Func Study'!$H$1776</definedName>
    <definedName name="Acct372A">'[17]Func Study'!$H$1775</definedName>
    <definedName name="Acct372DP">'[17]Func Study'!$H$1773</definedName>
    <definedName name="Acct372DS">'[17]Func Study'!$H$1774</definedName>
    <definedName name="Acct373">'[17]Func Study'!$H$1782</definedName>
    <definedName name="Acct41011" localSheetId="0">'[18]Functional Study'!#REF!</definedName>
    <definedName name="Acct41011" localSheetId="2">'[18]Functional Study'!#REF!</definedName>
    <definedName name="Acct41011">'[18]Functional Study'!#REF!</definedName>
    <definedName name="Acct41011BADDEBT" localSheetId="0">'[18]Functional Study'!#REF!</definedName>
    <definedName name="Acct41011BADDEBT" localSheetId="2">'[18]Functional Study'!#REF!</definedName>
    <definedName name="Acct41011BADDEBT">'[18]Functional Study'!#REF!</definedName>
    <definedName name="Acct41011DITEXP" localSheetId="0">'[18]Functional Study'!#REF!</definedName>
    <definedName name="Acct41011DITEXP" localSheetId="2">'[18]Functional Study'!#REF!</definedName>
    <definedName name="Acct41011DITEXP">'[18]Functional Study'!#REF!</definedName>
    <definedName name="Acct41011S" localSheetId="0">'[18]Functional Study'!#REF!</definedName>
    <definedName name="Acct41011S" localSheetId="2">'[18]Functional Study'!#REF!</definedName>
    <definedName name="Acct41011S">'[18]Functional Study'!#REF!</definedName>
    <definedName name="Acct41011SE" localSheetId="0">'[18]Functional Study'!#REF!</definedName>
    <definedName name="Acct41011SE" localSheetId="2">'[18]Functional Study'!#REF!</definedName>
    <definedName name="Acct41011SE">'[18]Functional Study'!#REF!</definedName>
    <definedName name="Acct41011SG1" localSheetId="0">'[18]Functional Study'!#REF!</definedName>
    <definedName name="Acct41011SG1" localSheetId="2">'[18]Functional Study'!#REF!</definedName>
    <definedName name="Acct41011SG1">'[18]Functional Study'!#REF!</definedName>
    <definedName name="Acct41011SG2" localSheetId="0">'[18]Functional Study'!#REF!</definedName>
    <definedName name="Acct41011SG2" localSheetId="2">'[18]Functional Study'!#REF!</definedName>
    <definedName name="Acct41011SG2">'[18]Functional Study'!#REF!</definedName>
    <definedName name="ACCT41011SGCT" localSheetId="0">'[18]Functional Study'!#REF!</definedName>
    <definedName name="ACCT41011SGCT" localSheetId="2">'[18]Functional Study'!#REF!</definedName>
    <definedName name="ACCT41011SGCT">'[18]Functional Study'!#REF!</definedName>
    <definedName name="Acct41011SGPP" localSheetId="0">'[18]Functional Study'!#REF!</definedName>
    <definedName name="Acct41011SGPP" localSheetId="2">'[18]Functional Study'!#REF!</definedName>
    <definedName name="Acct41011SGPP">'[18]Functional Study'!#REF!</definedName>
    <definedName name="Acct41011SNP" localSheetId="0">'[18]Functional Study'!#REF!</definedName>
    <definedName name="Acct41011SNP" localSheetId="2">'[18]Functional Study'!#REF!</definedName>
    <definedName name="Acct41011SNP">'[18]Functional Study'!#REF!</definedName>
    <definedName name="ACCT41011SNPD" localSheetId="0">'[18]Functional Study'!#REF!</definedName>
    <definedName name="ACCT41011SNPD" localSheetId="2">'[18]Functional Study'!#REF!</definedName>
    <definedName name="ACCT41011SNPD">'[18]Functional Study'!#REF!</definedName>
    <definedName name="Acct41011SO" localSheetId="0">'[18]Functional Study'!#REF!</definedName>
    <definedName name="Acct41011SO" localSheetId="2">'[18]Functional Study'!#REF!</definedName>
    <definedName name="Acct41011SO">'[18]Functional Study'!#REF!</definedName>
    <definedName name="Acct41011TROJP" localSheetId="0">'[18]Functional Study'!#REF!</definedName>
    <definedName name="Acct41011TROJP" localSheetId="2">'[18]Functional Study'!#REF!</definedName>
    <definedName name="Acct41011TROJP">'[18]Functional Study'!#REF!</definedName>
    <definedName name="Acct41111" localSheetId="0">'[18]Functional Study'!#REF!</definedName>
    <definedName name="Acct41111" localSheetId="2">'[18]Functional Study'!#REF!</definedName>
    <definedName name="Acct41111">'[18]Functional Study'!#REF!</definedName>
    <definedName name="Acct41111BADDEBT" localSheetId="0">'[18]Functional Study'!#REF!</definedName>
    <definedName name="Acct41111BADDEBT" localSheetId="2">'[18]Functional Study'!#REF!</definedName>
    <definedName name="Acct41111BADDEBT">'[18]Functional Study'!#REF!</definedName>
    <definedName name="Acct41111DITEXP" localSheetId="0">'[18]Functional Study'!#REF!</definedName>
    <definedName name="Acct41111DITEXP" localSheetId="2">'[18]Functional Study'!#REF!</definedName>
    <definedName name="Acct41111DITEXP">'[18]Functional Study'!#REF!</definedName>
    <definedName name="Acct41111S" localSheetId="0">'[18]Functional Study'!#REF!</definedName>
    <definedName name="Acct41111S" localSheetId="2">'[18]Functional Study'!#REF!</definedName>
    <definedName name="Acct41111S">'[18]Functional Study'!#REF!</definedName>
    <definedName name="Acct41111SE" localSheetId="0">'[18]Functional Study'!#REF!</definedName>
    <definedName name="Acct41111SE" localSheetId="2">'[18]Functional Study'!#REF!</definedName>
    <definedName name="Acct41111SE">'[18]Functional Study'!#REF!</definedName>
    <definedName name="Acct41111SG1" localSheetId="0">'[18]Functional Study'!#REF!</definedName>
    <definedName name="Acct41111SG1" localSheetId="2">'[18]Functional Study'!#REF!</definedName>
    <definedName name="Acct41111SG1">'[18]Functional Study'!#REF!</definedName>
    <definedName name="Acct41111SG2" localSheetId="0">'[18]Functional Study'!#REF!</definedName>
    <definedName name="Acct41111SG2" localSheetId="2">'[18]Functional Study'!#REF!</definedName>
    <definedName name="Acct41111SG2">'[18]Functional Study'!#REF!</definedName>
    <definedName name="Acct41111SG3" localSheetId="0">'[18]Functional Study'!#REF!</definedName>
    <definedName name="Acct41111SG3" localSheetId="2">'[18]Functional Study'!#REF!</definedName>
    <definedName name="Acct41111SG3">'[18]Functional Study'!#REF!</definedName>
    <definedName name="Acct41111SGPP" localSheetId="0">'[18]Functional Study'!#REF!</definedName>
    <definedName name="Acct41111SGPP" localSheetId="2">'[18]Functional Study'!#REF!</definedName>
    <definedName name="Acct41111SGPP">'[18]Functional Study'!#REF!</definedName>
    <definedName name="Acct41111SNP" localSheetId="0">'[18]Functional Study'!#REF!</definedName>
    <definedName name="Acct41111SNP" localSheetId="2">'[18]Functional Study'!#REF!</definedName>
    <definedName name="Acct41111SNP">'[18]Functional Study'!#REF!</definedName>
    <definedName name="Acct41111SNTP" localSheetId="0">'[18]Functional Study'!#REF!</definedName>
    <definedName name="Acct41111SNTP" localSheetId="2">'[18]Functional Study'!#REF!</definedName>
    <definedName name="Acct41111SNTP">'[18]Functional Study'!#REF!</definedName>
    <definedName name="Acct41111SO" localSheetId="0">'[18]Functional Study'!#REF!</definedName>
    <definedName name="Acct41111SO" localSheetId="2">'[18]Functional Study'!#REF!</definedName>
    <definedName name="Acct41111SO">'[18]Functional Study'!#REF!</definedName>
    <definedName name="Acct41111TROJP" localSheetId="0">'[18]Functional Study'!#REF!</definedName>
    <definedName name="Acct41111TROJP" localSheetId="2">'[18]Functional Study'!#REF!</definedName>
    <definedName name="Acct41111TROJP">'[18]Functional Study'!#REF!</definedName>
    <definedName name="Acct411BADDEBT" localSheetId="0">'[18]Functional Study'!#REF!</definedName>
    <definedName name="Acct411BADDEBT" localSheetId="2">'[18]Functional Study'!#REF!</definedName>
    <definedName name="Acct411BADDEBT">'[18]Functional Study'!#REF!</definedName>
    <definedName name="Acct411DGP" localSheetId="0">'[18]Functional Study'!#REF!</definedName>
    <definedName name="Acct411DGP" localSheetId="2">'[18]Functional Study'!#REF!</definedName>
    <definedName name="Acct411DGP">'[18]Functional Study'!#REF!</definedName>
    <definedName name="Acct411DGU" localSheetId="0">'[18]Functional Study'!#REF!</definedName>
    <definedName name="Acct411DGU" localSheetId="2">'[18]Functional Study'!#REF!</definedName>
    <definedName name="Acct411DGU">'[18]Functional Study'!#REF!</definedName>
    <definedName name="Acct411DITEXP" localSheetId="0">'[18]Functional Study'!#REF!</definedName>
    <definedName name="Acct411DITEXP" localSheetId="2">'[18]Functional Study'!#REF!</definedName>
    <definedName name="Acct411DITEXP">'[18]Functional Study'!#REF!</definedName>
    <definedName name="Acct411DNPP" localSheetId="0">'[18]Functional Study'!#REF!</definedName>
    <definedName name="Acct411DNPP" localSheetId="2">'[18]Functional Study'!#REF!</definedName>
    <definedName name="Acct411DNPP">'[18]Functional Study'!#REF!</definedName>
    <definedName name="Acct411DNPTP" localSheetId="0">'[18]Functional Study'!#REF!</definedName>
    <definedName name="Acct411DNPTP" localSheetId="2">'[18]Functional Study'!#REF!</definedName>
    <definedName name="Acct411DNPTP">'[18]Functional Study'!#REF!</definedName>
    <definedName name="Acct411S" localSheetId="0">'[18]Functional Study'!#REF!</definedName>
    <definedName name="Acct411S" localSheetId="2">'[18]Functional Study'!#REF!</definedName>
    <definedName name="Acct411S">'[18]Functional Study'!#REF!</definedName>
    <definedName name="Acct411SE" localSheetId="0">'[18]Functional Study'!#REF!</definedName>
    <definedName name="Acct411SE" localSheetId="2">'[18]Functional Study'!#REF!</definedName>
    <definedName name="Acct411SE">'[18]Functional Study'!#REF!</definedName>
    <definedName name="Acct411SG" localSheetId="0">'[18]Functional Study'!#REF!</definedName>
    <definedName name="Acct411SG" localSheetId="2">'[18]Functional Study'!#REF!</definedName>
    <definedName name="Acct411SG">'[18]Functional Study'!#REF!</definedName>
    <definedName name="Acct411SGPP" localSheetId="0">'[18]Functional Study'!#REF!</definedName>
    <definedName name="Acct411SGPP" localSheetId="2">'[18]Functional Study'!#REF!</definedName>
    <definedName name="Acct411SGPP">'[18]Functional Study'!#REF!</definedName>
    <definedName name="Acct411SO" localSheetId="0">'[18]Functional Study'!#REF!</definedName>
    <definedName name="Acct411SO" localSheetId="2">'[18]Functional Study'!#REF!</definedName>
    <definedName name="Acct411SO">'[18]Functional Study'!#REF!</definedName>
    <definedName name="Acct411TROJP" localSheetId="0">'[18]Functional Study'!#REF!</definedName>
    <definedName name="Acct411TROJP" localSheetId="2">'[18]Functional Study'!#REF!</definedName>
    <definedName name="Acct411TROJP">'[18]Functional Study'!#REF!</definedName>
    <definedName name="Acct447DGU" localSheetId="0">'[16]Func Study'!#REF!</definedName>
    <definedName name="Acct447DGU" localSheetId="2">'[16]Func Study'!#REF!</definedName>
    <definedName name="Acct447DGU">'[16]Func Study'!#REF!</definedName>
    <definedName name="Acct448S">'[17]Func Study'!$H$274</definedName>
    <definedName name="Acct450S">'[17]Func Study'!$H$302</definedName>
    <definedName name="Acct451S">'[17]Func Study'!$H$307</definedName>
    <definedName name="Acct454S">'[17]Func Study'!$H$318</definedName>
    <definedName name="Acct456S">'[17]Func Study'!$H$325</definedName>
    <definedName name="Acct510" localSheetId="0">'[17]Func Study'!#REF!</definedName>
    <definedName name="Acct510" localSheetId="2">'[17]Func Study'!#REF!</definedName>
    <definedName name="Acct510">'[17]Func Study'!#REF!</definedName>
    <definedName name="Acct510DNPPSU" localSheetId="0">'[17]Func Study'!#REF!</definedName>
    <definedName name="Acct510DNPPSU" localSheetId="2">'[17]Func Study'!#REF!</definedName>
    <definedName name="Acct510DNPPSU">'[17]Func Study'!#REF!</definedName>
    <definedName name="ACCT510JBG" localSheetId="0">'[17]Func Study'!#REF!</definedName>
    <definedName name="ACCT510JBG" localSheetId="2">'[17]Func Study'!#REF!</definedName>
    <definedName name="ACCT510JBG">'[17]Func Study'!#REF!</definedName>
    <definedName name="ACCT510SSGCH" localSheetId="0">'[17]Func Study'!#REF!</definedName>
    <definedName name="ACCT510SSGCH" localSheetId="2">'[17]Func Study'!#REF!</definedName>
    <definedName name="ACCT510SSGCH">'[17]Func Study'!#REF!</definedName>
    <definedName name="ACCT557CAGE">'[17]Func Study'!$H$683</definedName>
    <definedName name="Acct557CT">'[17]Func Study'!$H$681</definedName>
    <definedName name="Acct580">'[17]Func Study'!$H$791</definedName>
    <definedName name="Acct581">'[17]Func Study'!$H$796</definedName>
    <definedName name="Acct582">'[17]Func Study'!$H$801</definedName>
    <definedName name="Acct583">'[17]Func Study'!$H$806</definedName>
    <definedName name="Acct584">'[17]Func Study'!$H$811</definedName>
    <definedName name="Acct585">'[17]Func Study'!$H$816</definedName>
    <definedName name="Acct586">'[17]Func Study'!$H$821</definedName>
    <definedName name="Acct587">'[17]Func Study'!$H$826</definedName>
    <definedName name="Acct588">'[17]Func Study'!$H$831</definedName>
    <definedName name="Acct589">'[17]Func Study'!$H$836</definedName>
    <definedName name="Acct590">'[17]Func Study'!$H$841</definedName>
    <definedName name="Acct591">'[17]Func Study'!$H$846</definedName>
    <definedName name="Acct592">'[17]Func Study'!$H$851</definedName>
    <definedName name="Acct593">'[17]Func Study'!$H$856</definedName>
    <definedName name="Acct594">'[17]Func Study'!$H$861</definedName>
    <definedName name="Acct595">'[17]Func Study'!$H$866</definedName>
    <definedName name="Acct596">'[17]Func Study'!$H$876</definedName>
    <definedName name="Acct597">'[17]Func Study'!$H$881</definedName>
    <definedName name="Acct598">'[17]Func Study'!$H$886</definedName>
    <definedName name="ACCT904SG" localSheetId="0">'[19]Functional Study'!#REF!</definedName>
    <definedName name="ACCT904SG" localSheetId="2">'[19]Functional Study'!#REF!</definedName>
    <definedName name="ACCT904SG">'[19]Functional Study'!#REF!</definedName>
    <definedName name="AcctAGA">'[17]Func Study'!$H$296</definedName>
    <definedName name="AcctDFAD" localSheetId="0">'[17]Func Study'!#REF!</definedName>
    <definedName name="AcctDFAD" localSheetId="2">'[17]Func Study'!#REF!</definedName>
    <definedName name="AcctDFAD">'[17]Func Study'!#REF!</definedName>
    <definedName name="AcctDFAP" localSheetId="0">'[17]Func Study'!#REF!</definedName>
    <definedName name="AcctDFAP" localSheetId="2">'[17]Func Study'!#REF!</definedName>
    <definedName name="AcctDFAP">'[17]Func Study'!#REF!</definedName>
    <definedName name="AcctDFAT" localSheetId="0">'[17]Func Study'!#REF!</definedName>
    <definedName name="AcctDFAT" localSheetId="2">'[17]Func Study'!#REF!</definedName>
    <definedName name="AcctDFAT">'[17]Func Study'!#REF!</definedName>
    <definedName name="AcctTable">[20]Variables!$AK$42:$AK$396</definedName>
    <definedName name="AcctTS0">'[17]Func Study'!$H$1686</definedName>
    <definedName name="Acq1Plant">'[21]Acquisition Inputs'!$C$8</definedName>
    <definedName name="Acq2Plant">'[21]Acquisition Inputs'!$C$70</definedName>
    <definedName name="ActualROR">'[16]G+T+D+R+M'!$H$61</definedName>
    <definedName name="ADJPTDCE.T">[13]INTERNAL!$A$31:$IV$33</definedName>
    <definedName name="Adjs2avg">[22]Inputs!$L$255:'[22]Inputs'!$T$505</definedName>
    <definedName name="After_Tax_Cash_Discount">'[23]Assumptions (Input)'!$D$37</definedName>
    <definedName name="afudc_flag">'[23]Assumptions (Input)'!$B$13</definedName>
    <definedName name="Alloc_Factor_Name">'[24]Input-Allocators'!$B$32:$B$83</definedName>
    <definedName name="ANCIL">[13]EXTERNAL!$A$163:$IV$165</definedName>
    <definedName name="APR" localSheetId="0">[25]Backup!#REF!</definedName>
    <definedName name="APR" localSheetId="2">[25]Backup!#REF!</definedName>
    <definedName name="APR">[25]Backup!#REF!</definedName>
    <definedName name="Apr04AMA">[7]BS!$AG$7:$AG$3582</definedName>
    <definedName name="APRT" localSheetId="0">#REF!</definedName>
    <definedName name="APRT" localSheetId="2">#REF!</definedName>
    <definedName name="APRT">#REF!</definedName>
    <definedName name="AS2DocOpenMode">"AS2DocumentEdit"</definedName>
    <definedName name="Assessment_Rate">'[23]Assumptions (Input)'!$B$7</definedName>
    <definedName name="AUG" localSheetId="0">[25]Backup!#REF!</definedName>
    <definedName name="AUG" localSheetId="2">[25]Backup!#REF!</definedName>
    <definedName name="AUG">[25]Backup!#REF!</definedName>
    <definedName name="Aug04AMA">[7]BS!$AK$7:$AK$3582</definedName>
    <definedName name="AUGT" localSheetId="0">#REF!</definedName>
    <definedName name="AUGT" localSheetId="2">#REF!</definedName>
    <definedName name="AUGT">#REF!</definedName>
    <definedName name="Aurora_Prices">"Monthly Price Summary'!$C$4:$H$63"</definedName>
    <definedName name="AvgFactors">[20]Factors!$B$3:$P$99</definedName>
    <definedName name="b" localSheetId="4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BACK1" localSheetId="0">#REF!</definedName>
    <definedName name="BACK1" localSheetId="2">#REF!</definedName>
    <definedName name="BACK1">#REF!</definedName>
    <definedName name="BACK2" localSheetId="0">#REF!</definedName>
    <definedName name="BACK2" localSheetId="2">#REF!</definedName>
    <definedName name="BACK2">#REF!</definedName>
    <definedName name="BACK3" localSheetId="0">#REF!</definedName>
    <definedName name="BACK3" localSheetId="2">#REF!</definedName>
    <definedName name="BACK3">#REF!</definedName>
    <definedName name="BACKUP1" localSheetId="0">#REF!</definedName>
    <definedName name="BACKUP1" localSheetId="2">#REF!</definedName>
    <definedName name="BACKUP1">#REF!</definedName>
    <definedName name="Beg_Unb_KWHs">[26]LeadSht!$L$10</definedName>
    <definedName name="BEm" localSheetId="0" hidden="1">#REF!</definedName>
    <definedName name="BEm" localSheetId="2" hidden="1">#REF!</definedName>
    <definedName name="BEm" hidden="1">#REF!</definedName>
    <definedName name="BEx0017DGUEDPCFJUPUZOOLJCS2B" localSheetId="0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0" hidden="1">#REF!</definedName>
    <definedName name="BEx3LANPY1HT49TAH98H4B9RC1D4" localSheetId="2" hidden="1">#REF!</definedName>
    <definedName name="BEx3LANPY1HT49TAH98H4B9RC1D4" hidden="1">#REF!</definedName>
    <definedName name="BEx3LM1PR4Y7KINKMTMKR984GX8Q" localSheetId="0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0" hidden="1">[27]ZZCOOM_M03_Q005!#REF!</definedName>
    <definedName name="BEx3O85IKWARA6NCJOLRBRJFMEWW" localSheetId="2" hidden="1">[27]ZZCOOM_M03_Q005!#REF!</definedName>
    <definedName name="BEx3O85IKWARA6NCJOLRBRJFMEWW" hidden="1">[27]ZZCOOM_M03_Q005!#REF!</definedName>
    <definedName name="BEx3OJZSCGFRW7SVGBFI0X9DNVMM" localSheetId="0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0" hidden="1">#REF!</definedName>
    <definedName name="BEx3UNISOEXF3OFHT2BUA6P9RBIJ" localSheetId="2" hidden="1">#REF!</definedName>
    <definedName name="BEx3UNISOEXF3OFHT2BUA6P9RBIJ" hidden="1">#REF!</definedName>
    <definedName name="BEx3UYM19VIXLA0EU7LB9NHA77PB" localSheetId="0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0" hidden="1">[27]ZZCOOM_M03_Q005!#REF!</definedName>
    <definedName name="BEx5MLQZM68YQSKARVWTTPINFQ2C" localSheetId="2" hidden="1">[27]ZZCOOM_M03_Q005!#REF!</definedName>
    <definedName name="BEx5MLQZM68YQSKARVWTTPINFQ2C" hidden="1">[27]ZZCOOM_M03_Q005!#REF!</definedName>
    <definedName name="BEx5MMCJMU7FOOWUCW9EA13B7V5F" localSheetId="0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0" hidden="1">#REF!</definedName>
    <definedName name="BEx9EL27NGDBCTVPW97K42QANS5K" localSheetId="2" hidden="1">#REF!</definedName>
    <definedName name="BEx9EL27NGDBCTVPW97K42QANS5K" hidden="1">#REF!</definedName>
    <definedName name="BEx9EMK6HAJJMVYZTN5AUIV7O1E6" localSheetId="0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0" hidden="1">#REF!</definedName>
    <definedName name="BExBCKKJFFT2RP50WNPKBT7X8PJ3" localSheetId="2" hidden="1">#REF!</definedName>
    <definedName name="BExBCKKJFFT2RP50WNPKBT7X8PJ3" hidden="1">#REF!</definedName>
    <definedName name="BExBCKKJTIRKC1RZJRTK65HHLX4W" localSheetId="0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0" hidden="1">#REF!</definedName>
    <definedName name="BExENU8ISP26W97JG63CN1XT9KB4" localSheetId="2" hidden="1">#REF!</definedName>
    <definedName name="BExENU8ISP26W97JG63CN1XT9KB4" hidden="1">#REF!</definedName>
    <definedName name="BExEO14OTKLVDBTNB2ONGZ4YB20H" localSheetId="0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0" hidden="1">[27]ZZCOOM_M03_Q005!#REF!</definedName>
    <definedName name="BExERWCEBKQRYWRQLYJ4UCMMKTHG" localSheetId="2" hidden="1">[27]ZZCOOM_M03_Q005!#REF!</definedName>
    <definedName name="BExERWCEBKQRYWRQLYJ4UCMMKTHG" hidden="1">[27]ZZCOOM_M03_Q005!#REF!</definedName>
    <definedName name="BExERXE1QW042A2T25RI4DVUU59O" localSheetId="0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0" hidden="1">#REF!</definedName>
    <definedName name="BExEUOAHB0OT3BACAHNZ3B905C0P" localSheetId="2" hidden="1">#REF!</definedName>
    <definedName name="BExEUOAHB0OT3BACAHNZ3B905C0P" hidden="1">#REF!</definedName>
    <definedName name="BExEV2TP7NA3ZR6RJGH5ER370OUM" localSheetId="0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0" hidden="1">#REF!</definedName>
    <definedName name="BExIPVL5VEVK9Q7AYB7EC2VZWBEZ" localSheetId="2" hidden="1">#REF!</definedName>
    <definedName name="BExIPVL5VEVK9Q7AYB7EC2VZWBEZ" hidden="1">#REF!</definedName>
    <definedName name="BExIQ1VS9A2FHVD9TUHKG9K8EVVP" localSheetId="0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0" hidden="1">#REF!</definedName>
    <definedName name="BExKGQ3T3TWGZUSNVWJE1XWXHGRQ" localSheetId="2" hidden="1">#REF!</definedName>
    <definedName name="BExKGQ3T3TWGZUSNVWJE1XWXHGRQ" hidden="1">#REF!</definedName>
    <definedName name="BExKGV77YH9YXIQTRKK2331QGYKF" localSheetId="0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0" hidden="1">#REF!</definedName>
    <definedName name="BExKPIL5ZWOXQAENH3VP3ZHA2N7N" localSheetId="2" hidden="1">#REF!</definedName>
    <definedName name="BExKPIL5ZWOXQAENH3VP3ZHA2N7N" hidden="1">#REF!</definedName>
    <definedName name="BExKPJHKPVROP9QX9BMBZMU2HEZ1" localSheetId="0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0" hidden="1">[27]ZZCOOM_M03_Q005!#REF!</definedName>
    <definedName name="BExMBYPQDG9AYDQ5E8IECVFREPO6" localSheetId="2" hidden="1">[27]ZZCOOM_M03_Q005!#REF!</definedName>
    <definedName name="BExMBYPQDG9AYDQ5E8IECVFREPO6" hidden="1">[27]ZZCOOM_M03_Q005!#REF!</definedName>
    <definedName name="BExMC7PESEESXVMDCGGIP5LPMUGY" localSheetId="0" hidden="1">#REF!</definedName>
    <definedName name="BExMC7PESEESXVMDCGGIP5LPMUGY" localSheetId="2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0" hidden="1">#REF!</definedName>
    <definedName name="BExMKPEDT6IOYLLC3KJKRZOETC3Y" localSheetId="2" hidden="1">#REF!</definedName>
    <definedName name="BExMKPEDT6IOYLLC3KJKRZOETC3Y" hidden="1">#REF!</definedName>
    <definedName name="BExMKTW7R5SOV4PHAFGHU3W73DYE" localSheetId="0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0" hidden="1">[27]ZZCOOM_M03_Q005!#REF!</definedName>
    <definedName name="BExQ9ZLYHWABXAA9NJDW8ZS0UQ9P" localSheetId="2" hidden="1">[27]ZZCOOM_M03_Q005!#REF!</definedName>
    <definedName name="BExQ9ZLYHWABXAA9NJDW8ZS0UQ9P" hidden="1">[27]ZZCOOM_M03_Q005!#REF!</definedName>
    <definedName name="BExQ9ZWQ19KSRZNZNPY6ZNWEST1J" localSheetId="0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0" hidden="1">#REF!</definedName>
    <definedName name="BExQG9A8OZ31BDN5QEGQGWG59A43" localSheetId="2" hidden="1">#REF!</definedName>
    <definedName name="BExQG9A8OZ31BDN5QEGQGWG59A43" hidden="1">#REF!</definedName>
    <definedName name="BExQGGBQ2CMSPV4NV4RA7NMBQER6" localSheetId="0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0" hidden="1">#REF!</definedName>
    <definedName name="BExQL4GJ3LZJL6JDEHT7UDXW90TV" localSheetId="2" hidden="1">#REF!</definedName>
    <definedName name="BExQL4GJ3LZJL6JDEHT7UDXW90TV" hidden="1">#REF!</definedName>
    <definedName name="BExQLE1TOW3A287TQB0AVWENT8O1" localSheetId="0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0" hidden="1">[27]ZZCOOM_M03_Q005!#REF!</definedName>
    <definedName name="BExTUY9WNSJ91GV8CP0SKJTEIV82" localSheetId="2" hidden="1">[27]ZZCOOM_M03_Q005!#REF!</definedName>
    <definedName name="BExTUY9WNSJ91GV8CP0SKJTEIV82" hidden="1">[27]ZZCOOM_M03_Q005!#REF!</definedName>
    <definedName name="BExTV67VIM8PV6KO253M4DUBJQLC" localSheetId="0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0" hidden="1">#REF!</definedName>
    <definedName name="BExUAPR6Y32097JKJCTGC4C6EGE9" localSheetId="2" hidden="1">#REF!</definedName>
    <definedName name="BExUAPR6Y32097JKJCTGC4C6EGE9" hidden="1">#REF!</definedName>
    <definedName name="BExUARUP0MX710TNZSAA01HUEAVC" localSheetId="0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0" hidden="1">#REF!</definedName>
    <definedName name="BExW1VNZHNB5P9V6232N0DQCE0WE" localSheetId="2" hidden="1">#REF!</definedName>
    <definedName name="BExW1VNZHNB5P9V6232N0DQCE0WE" hidden="1">#REF!</definedName>
    <definedName name="BExW1WK6J1TDP29S3QDPTYZJBLIW" localSheetId="0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0" hidden="1">#REF!</definedName>
    <definedName name="BExXO4QVV7YZ6L5A7WZEMIA5AZOV" localSheetId="2" hidden="1">#REF!</definedName>
    <definedName name="BExXO4QVV7YZ6L5A7WZEMIA5AZOV" hidden="1">#REF!</definedName>
    <definedName name="BExXOBHOP0WGFHI2Y9AO4L440UVQ" localSheetId="0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0" hidden="1">#REF!</definedName>
    <definedName name="BExZSYRA4NR7K6RLC3I81QSG5SQR" localSheetId="2" hidden="1">#REF!</definedName>
    <definedName name="BExZSYRA4NR7K6RLC3I81QSG5SQR" hidden="1">#REF!</definedName>
    <definedName name="BExZT6JSZ8CBS0SB3T07N3LMAX7M" localSheetId="0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2" hidden="1">#REF!</definedName>
    <definedName name="BExZZZEMIIFKMLLV4DJKX5TB9R5V" hidden="1">#REF!</definedName>
    <definedName name="BOOK_LIFE">'[28]Lvl FCR'!$G$10</definedName>
    <definedName name="BOOKADJ" localSheetId="0">#REF!</definedName>
    <definedName name="BOOKADJ" localSheetId="2">#REF!</definedName>
    <definedName name="BOOKADJ">#REF!</definedName>
    <definedName name="BPAX">[13]EXTERNAL!$A$121:$IV$123</definedName>
    <definedName name="Bum" localSheetId="0" hidden="1">#REF!</definedName>
    <definedName name="Bum" localSheetId="2" hidden="1">#REF!</definedName>
    <definedName name="Bum" hidden="1">#REF!</definedName>
    <definedName name="Button_1">"TradeSummary_Ken_Finicle_List"</definedName>
    <definedName name="CAE.T">[13]INTERNAL!$A$34:$IV$36</definedName>
    <definedName name="CAES1.T">[13]INTERNAL!$A$37:$IV$39</definedName>
    <definedName name="cap">[29]Readings!$B$2</definedName>
    <definedName name="Capital_Inflation">'[23]Assumptions (Input)'!$B$11</definedName>
    <definedName name="CASE" localSheetId="1">[30]INPUTS!$C$8</definedName>
    <definedName name="CASE">[31]INPUTS!$C$11</definedName>
    <definedName name="Case_Name">'[32]KJB-6,13 Cmn Adj'!$B$8</definedName>
    <definedName name="CaseDescription">'[21]Dispatch Cases'!$C$11</definedName>
    <definedName name="CBWorkbookPriority" localSheetId="11">-1894858854</definedName>
    <definedName name="CBWorkbookPriority">-2060790043</definedName>
    <definedName name="CCGT_HeatRate">[21]Assumptions!$H$23</definedName>
    <definedName name="CCGTPrice">[21]Assumptions!$H$22</definedName>
    <definedName name="Check" localSheetId="0">#REF!</definedName>
    <definedName name="Check" localSheetId="2">#REF!</definedName>
    <definedName name="Check">#REF!</definedName>
    <definedName name="Check_Limit">'[24]General Inputs'!$D$31</definedName>
    <definedName name="CL_RT2">'[33]Transp Data'!$A$6:$C$81</definedName>
    <definedName name="Class_Factor_Names">'[24]Input-Allocators'!$B$19:$B$24</definedName>
    <definedName name="Classification">'[17]Func Study'!$AB$251</definedName>
    <definedName name="Close_Date">'[23]Capital Projects(Input)'!$D$7:$D$53</definedName>
    <definedName name="COMADJ" localSheetId="0">#REF!</definedName>
    <definedName name="COMADJ" localSheetId="2">#REF!</definedName>
    <definedName name="COMADJ">#REF!</definedName>
    <definedName name="COMP" localSheetId="0">#REF!</definedName>
    <definedName name="COMP" localSheetId="2">#REF!</definedName>
    <definedName name="COMP">#REF!</definedName>
    <definedName name="COMPACTUAL" localSheetId="0">#REF!</definedName>
    <definedName name="COMPACTUAL" localSheetId="2">#REF!</definedName>
    <definedName name="COMPACTUAL">#REF!</definedName>
    <definedName name="COMPT" localSheetId="0">#REF!</definedName>
    <definedName name="COMPT" localSheetId="2">#REF!</definedName>
    <definedName name="COMPT">#REF!</definedName>
    <definedName name="COMPWEATHER" localSheetId="0">#REF!</definedName>
    <definedName name="COMPWEATHER" localSheetId="2">#REF!</definedName>
    <definedName name="COMPWEATHER">#REF!</definedName>
    <definedName name="Construction_OH">'[34]Virtual 49 Back-Up'!$E$54</definedName>
    <definedName name="ConversionFactor">[21]Assumptions!$I$65</definedName>
    <definedName name="COSFacVal">[17]Inputs!$R$5</definedName>
    <definedName name="CurrQtr">'[35]Inc Stmt'!$AJ$222</definedName>
    <definedName name="CUS">[13]CLASSIFIERS!$A$6:$IV$6</definedName>
    <definedName name="CUST_1">[13]EXTERNAL!$A$22:$IV$24</definedName>
    <definedName name="CUST_4">[13]EXTERNAL!$A$25:$IV$27</definedName>
    <definedName name="CUST_5">[13]EXTERNAL!$A$28:$IV$30</definedName>
    <definedName name="CUST_6">[13]EXTERNAL!$A$31:$IV$33</definedName>
    <definedName name="D108.05.T">[13]INTERNAL!$A$22:$IV$24</definedName>
    <definedName name="D108.10.T">[13]INTERNAL!$A$25:$IV$27</definedName>
    <definedName name="D361.T">[13]INTERNAL!$A$4:$IV$6</definedName>
    <definedName name="D362.T">[13]INTERNAL!$A$7:$IV$9</definedName>
    <definedName name="D364.T">[13]INTERNAL!$A$10:$IV$12</definedName>
    <definedName name="D366.T">[13]INTERNAL!$A$13:$IV$15</definedName>
    <definedName name="D368.T">[13]INTERNAL!$A$16:$IV$18</definedName>
    <definedName name="D370.T">[13]INTERNAL!$A$19:$IV$21</definedName>
    <definedName name="D372.T">[13]INTERNAL!$A$28:$IV$30</definedName>
    <definedName name="Data">'[36]Mix Variance'!$B$1:$N$31</definedName>
    <definedName name="Data.Avg">'[35]Avg Amts'!$A$5:$BP$34</definedName>
    <definedName name="Data.Qtrs.Avg">'[35]Avg Amts'!$A$5:$IV$5</definedName>
    <definedName name="data1">'[37]Mix Variance'!$O$5:$T$25</definedName>
    <definedName name="_xlnm.Database" localSheetId="0">[38]Invoice!#REF!</definedName>
    <definedName name="_xlnm.Database" localSheetId="2">[38]Invoice!#REF!</definedName>
    <definedName name="_xlnm.Database">[38]Invoice!#REF!</definedName>
    <definedName name="DATE" localSheetId="0">[39]Jan!#REF!</definedName>
    <definedName name="DATE" localSheetId="2">[39]Jan!#REF!</definedName>
    <definedName name="DATE">[39]Jan!#REF!</definedName>
    <definedName name="DebtPerc">[21]Assumptions!$I$58</definedName>
    <definedName name="DEC" localSheetId="0">[25]Backup!#REF!</definedName>
    <definedName name="DEC" localSheetId="2">[25]Backup!#REF!</definedName>
    <definedName name="DEC">[25]Backup!#REF!</definedName>
    <definedName name="Dec03AMA">[6]BS!$AJ$7:$AJ$3582</definedName>
    <definedName name="Dec04AMA">[7]BS!$AO$7:$AO$3582</definedName>
    <definedName name="DECT" localSheetId="0">#REF!</definedName>
    <definedName name="DECT" localSheetId="2">#REF!</definedName>
    <definedName name="DECT">#REF!</definedName>
    <definedName name="DELETE01" localSheetId="4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EM">[13]CLASSIFIERS!$A$4:$IV$4</definedName>
    <definedName name="DEM_1">[13]EXTERNAL!$A$7:$IV$9</definedName>
    <definedName name="DEM_12CP">[13]EXTERNAL!$A$118:$IV$120</definedName>
    <definedName name="DEM_12NCP_P">[13]EXTERNAL!$A$187:$IV$189</definedName>
    <definedName name="DEM_12NCP_S">[13]EXTERNAL!$A$190:$IV$192</definedName>
    <definedName name="DEM_12NCP1">[13]EXTERNAL!$A$139:$IV$141</definedName>
    <definedName name="DEM_12NCP2">[13]EXTERNAL!$A$130:$IV$132</definedName>
    <definedName name="DEM_1A">[13]EXTERNAL!$A$115:$IV$117</definedName>
    <definedName name="DEM_2A">[13]EXTERNAL!$A$148:$IV$150</definedName>
    <definedName name="DEM_3A">[13]EXTERNAL!$A$199:$IV$201</definedName>
    <definedName name="DEM_3B">[13]EXTERNAL!$A$196:$IV$198</definedName>
    <definedName name="Demand">[16]Inputs!$D$8</definedName>
    <definedName name="Demand2">[40]Inputs!$D$11</definedName>
    <definedName name="DES1.T">[13]INTERNAL!$A$40:$IV$42</definedName>
    <definedName name="DES2.T">[13]INTERNAL!$A$43:$IV$45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[21]Assumptions!$L$23</definedName>
    <definedName name="DFIT" localSheetId="4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DIR_40">[13]EXTERNAL!$A$193:$IV$195</definedName>
    <definedName name="DIR_449">[13]EXTERNAL!$A$127:$IV$129</definedName>
    <definedName name="DIR_449_ENERGY">[13]EXTERNAL!$A$160:$IV$162</definedName>
    <definedName name="DIR_449_HV">[13]EXTERNAL!$A$157:$IV$159</definedName>
    <definedName name="DIR_449_OATT">[13]EXTERNAL!$A$166:$IV$168</definedName>
    <definedName name="DIR_RESALE">[13]EXTERNAL!$A$124:$IV$126</definedName>
    <definedName name="DIR_RESALE_LARGE">[13]EXTERNAL!$A$154:$IV$156</definedName>
    <definedName name="DIR_RESALE_SMALL">[13]EXTERNAL!$A$151:$IV$153</definedName>
    <definedName name="DIR108.09">[13]EXTERNAL!$A$106:$IV$108</definedName>
    <definedName name="DIR235.00">[13]EXTERNAL!$A$85:$IV$87</definedName>
    <definedName name="DIR360.01">[13]EXTERNAL!$A$37:$IV$39</definedName>
    <definedName name="DIR361.01">[13]EXTERNAL!$A$40:$IV$42</definedName>
    <definedName name="DIR362.01">[13]EXTERNAL!$A$43:$IV$45</definedName>
    <definedName name="DIR364.01">[13]EXTERNAL!$A$46:$IV$48</definedName>
    <definedName name="DIR366.01">[13]EXTERNAL!$A$49:$IV$51</definedName>
    <definedName name="DIR368.03">[13]EXTERNAL!$A$55:$IV$57</definedName>
    <definedName name="DIR368.03C">[13]EXTERNAL!$A$52:$IV$54</definedName>
    <definedName name="DIR372.00">[13]EXTERNAL!$A$58:$IV$60</definedName>
    <definedName name="DIR373.00">[13]EXTERNAL!$A$61:$IV$63</definedName>
    <definedName name="DIR450.01">[13]EXTERNAL!$A$10:$IV$12</definedName>
    <definedName name="DIR450.02">[13]EXTERNAL!$A$184:$IV$186</definedName>
    <definedName name="DIR451.02">[13]EXTERNAL!$A$70:$IV$72</definedName>
    <definedName name="DIR451.03">[13]EXTERNAL!$A$136:$IV$138</definedName>
    <definedName name="DIR451.05">[13]EXTERNAL!$A$76:$IV$78</definedName>
    <definedName name="DIR451.06">[13]EXTERNAL!$A$109:$IV$111</definedName>
    <definedName name="DIR451.07">[13]EXTERNAL!$A$133:$IV$135</definedName>
    <definedName name="DIR454.04">[13]EXTERNAL!$A$73:$IV$75</definedName>
    <definedName name="DIR556.01">[13]EXTERNAL!$A$175:$IV$177</definedName>
    <definedName name="DIR565.02">[13]EXTERNAL!$A$178:$IV$180</definedName>
    <definedName name="DIR908.01">[13]EXTERNAL!$A$172:$IV$174</definedName>
    <definedName name="DIR920.01">[13]EXTERNAL!$A$181:$IV$183</definedName>
    <definedName name="Dis">'[17]Func Study'!$AB$250</definedName>
    <definedName name="DisFac">'[17]Func Dist Factor Table'!$A$11:$G$25</definedName>
    <definedName name="Dist_factor" localSheetId="0">#REF!</definedName>
    <definedName name="Dist_factor" localSheetId="2">#REF!</definedName>
    <definedName name="Dist_factor">#REF!</definedName>
    <definedName name="DistPeakMethod" localSheetId="0">[19]Inputs!#REF!</definedName>
    <definedName name="DistPeakMethod" localSheetId="2">[19]Inputs!#REF!</definedName>
    <definedName name="DistPeakMethod">[19]Inputs!#REF!</definedName>
    <definedName name="DocketNumber">'[41]JHS-19'!$AR$2</definedName>
    <definedName name="DP.T">[13]INTERNAL!$A$46:$IV$48</definedName>
    <definedName name="DUDE" localSheetId="0" hidden="1">#REF!</definedName>
    <definedName name="DUDE" localSheetId="2" hidden="1">#REF!</definedName>
    <definedName name="DUDE" hidden="1">#REF!</definedName>
    <definedName name="EBFIT.T">[13]INTERNAL!$A$88:$IV$90</definedName>
    <definedName name="ee" localSheetId="4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">[13]INPUTS!$F$31</definedName>
    <definedName name="EffTax">[31]INPUTS!$F$36</definedName>
    <definedName name="Electric_Prices">'[42]Monthly Price Summary'!$B$4:$E$27</definedName>
    <definedName name="ElecWC_LineItems">[14]BS!$AO$7:$AO$3420</definedName>
    <definedName name="ElRBLine">[14]BS!$AP$7:$AP$3141</definedName>
    <definedName name="EndDate">[21]Assumptions!$C$11</definedName>
    <definedName name="energy">[29]Readings!$B$3</definedName>
    <definedName name="ENERGY_1">[13]EXTERNAL!$A$4:$IV$6</definedName>
    <definedName name="ENERGY_2">[13]EXTERNAL!$A$145:$IV$147</definedName>
    <definedName name="Engy">[16]Inputs!$D$9</definedName>
    <definedName name="Engy2">[40]Inputs!$D$12</definedName>
    <definedName name="EPIS.T">[13]INTERNAL!$A$49:$IV$51</definedName>
    <definedName name="EPMWorkbookOptions_2" hidden="1">"neDegofIWXJPzMBMrNgumTsYj5aNFMCdt0dWNNTCh0hB8BniemvYxQ1RY+NOmRs/FCA9sIzxmCT5vumtDpsVa3qv7M2IYa5obKFX3pp+Mh4VTQj/znhJEqWf+OOzafvwiaPD4fNmeM+zrbVZEO7sptIa5SoFczLXsWKbjoNX7WjsWKRctw590jW1NhvoTKwddPyo09OheZd+KQZHaVv3kNUAru2icYD2kKMJjo9So1kQMiuzSxIxCAF8C+7M"</definedName>
    <definedName name="EPMWorkbookOptions_3" hidden="1">"VxdZAe4rWoo4ueI7yp9aL1sb/wYatDFMcDO1IDLRemvldT6MOaOfOwv5QWFCZP9RoWzWpwU/N6oYt3Csf/YwUpIHQF5IOkeTnB/ViFcQbw8Dhu2N2EIB0tpGuTLaQDRmODr+QKzue7b5riDXgyh4PyIwCZqZfrYIc7hb4c2LEFYGlhiAQ+L8wpQfE0Geuo8KrwqSPmXxRyD8NMBUAL96+H+7knOidgrIex7awfvljWPZt1QIAkWc36mlOi+X"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rror" localSheetId="4" hidden="1">{#N/A,#N/A,FALSE,"Coversheet";#N/A,#N/A,FALSE,"QA"}</definedName>
    <definedName name="error" localSheetId="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4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localSheetId="2" hidden="1">#REF!</definedName>
    <definedName name="F" hidden="1">#REF!</definedName>
    <definedName name="f101top" localSheetId="0">#REF!</definedName>
    <definedName name="f101top" localSheetId="2">#REF!</definedName>
    <definedName name="f101top">#REF!</definedName>
    <definedName name="f104top" localSheetId="0">#REF!</definedName>
    <definedName name="f104top" localSheetId="2">#REF!</definedName>
    <definedName name="f104top">#REF!</definedName>
    <definedName name="f138top" localSheetId="0">#REF!</definedName>
    <definedName name="f138top" localSheetId="2">#REF!</definedName>
    <definedName name="f138top">#REF!</definedName>
    <definedName name="f140top" localSheetId="0">#REF!</definedName>
    <definedName name="f140top" localSheetId="2">#REF!</definedName>
    <definedName name="f140top">#REF!</definedName>
    <definedName name="Factorck">'[17]COS Factor Table'!$O$15:$O$113</definedName>
    <definedName name="FactorType">[20]Variables!$AK$2:$AL$12</definedName>
    <definedName name="FACTP" localSheetId="0">#REF!</definedName>
    <definedName name="FACTP" localSheetId="2">#REF!</definedName>
    <definedName name="FACTP">#REF!</definedName>
    <definedName name="FactSum">'[17]COS Factor Table'!$A$14:$O$113</definedName>
    <definedName name="FCR">'[34]Virtual 49 Back-Up'!$B$20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[25]Backup!#REF!</definedName>
    <definedName name="FEB" localSheetId="2">[25]Backup!#REF!</definedName>
    <definedName name="FEB">[25]Backup!#REF!</definedName>
    <definedName name="Feb04AMA">[7]BS!$AE$7:$AE$3582</definedName>
    <definedName name="FEBT" localSheetId="0">#REF!</definedName>
    <definedName name="FEBT" localSheetId="2">#REF!</definedName>
    <definedName name="FEBT">#REF!</definedName>
    <definedName name="Fed_Cap_Tax">[43]Inputs!$E$112</definedName>
    <definedName name="FedTaxRate">[21]Assumptions!$C$33</definedName>
    <definedName name="ffff" localSheetId="4" hidden="1">{#N/A,#N/A,FALSE,"Coversheet";#N/A,#N/A,FALSE,"QA"}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4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FIT">'[44]ROR &amp; CONV FACTOR'!$J$20</definedName>
    <definedName name="FIT_Tax_Rate">'[23]Assumptions (Input)'!$B$5</definedName>
    <definedName name="FranchiseTax">[22]Variables!$D$26</definedName>
    <definedName name="FTAX" localSheetId="1">[13]INPUTS!$F$30</definedName>
    <definedName name="FTAX">[31]INPUTS!$F$35</definedName>
    <definedName name="Func">'[17]Func Factor Table'!$A$10:$H$77</definedName>
    <definedName name="Func_Factor_Name">'[24]Input-Allocators'!$B$9:$B$16</definedName>
    <definedName name="Func_Ftrs" localSheetId="0">#REF!</definedName>
    <definedName name="Func_Ftrs" localSheetId="2">#REF!</definedName>
    <definedName name="Func_Ftrs">#REF!</definedName>
    <definedName name="Func_GTD_Percents" localSheetId="0">#REF!</definedName>
    <definedName name="Func_GTD_Percents" localSheetId="2">#REF!</definedName>
    <definedName name="Func_GTD_Percents">#REF!</definedName>
    <definedName name="Func_MC" localSheetId="0">#REF!</definedName>
    <definedName name="Func_MC" localSheetId="2">#REF!</definedName>
    <definedName name="Func_MC">#REF!</definedName>
    <definedName name="Func_Percents" localSheetId="0">#REF!</definedName>
    <definedName name="Func_Percents" localSheetId="2">#REF!</definedName>
    <definedName name="Func_Percents">#REF!</definedName>
    <definedName name="Func_Rev_Req1" localSheetId="0">#REF!</definedName>
    <definedName name="Func_Rev_Req1" localSheetId="2">#REF!</definedName>
    <definedName name="Func_Rev_Req1">#REF!</definedName>
    <definedName name="Func_Rev_Req2" localSheetId="0">#REF!</definedName>
    <definedName name="Func_Rev_Req2" localSheetId="2">#REF!</definedName>
    <definedName name="Func_Rev_Req2">#REF!</definedName>
    <definedName name="Func_Revenue" localSheetId="0">#REF!</definedName>
    <definedName name="Func_Revenue" localSheetId="2">#REF!</definedName>
    <definedName name="Func_Revenue">#REF!</definedName>
    <definedName name="Function">'[17]Func Study'!$AB$250</definedName>
    <definedName name="GasRBLine">[7]BS!$AS$7:$AS$3631</definedName>
    <definedName name="GasWC_LineItem">[7]BS!$AR$7:$AR$3631</definedName>
    <definedName name="GP.T">[13]INTERNAL!$A$52:$IV$54</definedName>
    <definedName name="GREATER10MW" localSheetId="0">#REF!</definedName>
    <definedName name="GREATER10MW" localSheetId="2">#REF!</definedName>
    <definedName name="GREATER10MW">#REF!</definedName>
    <definedName name="GTD_Percents" localSheetId="0">#REF!</definedName>
    <definedName name="GTD_Percents" localSheetId="2">#REF!</definedName>
    <definedName name="GTD_Percents">#REF!</definedName>
    <definedName name="HEIGHT" localSheetId="0">#REF!</definedName>
    <definedName name="HEIGHT" localSheetId="2">#REF!</definedName>
    <definedName name="HEIGHT">#REF!</definedName>
    <definedName name="helllo" localSheetId="4" hidden="1">{#N/A,#N/A,FALSE,"Pg 6b CustCount_Gas";#N/A,#N/A,FALSE,"QA";#N/A,#N/A,FALSE,"Report";#N/A,#N/A,FALSE,"forecast"}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localSheetId="0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11">{"'3P'!$A$1:$L$58"}</definedName>
    <definedName name="HTML_Control" localSheetId="7">{"'Sheet1'!$A$1:$J$121"}</definedName>
    <definedName name="HTML_Control" localSheetId="4">{"'Sheet1'!$A$1:$J$121"}</definedName>
    <definedName name="HTML_Control" localSheetId="0">{"'Sheet1'!$A$1:$J$121"}</definedName>
    <definedName name="HTML_Control" localSheetId="2">{"'Sheet1'!$A$1:$J$121"}</definedName>
    <definedName name="HTML_Control" localSheetId="10">{"'Sheet1'!$A$1:$J$121"}</definedName>
    <definedName name="HTML_Control" localSheetId="1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 localSheetId="11">"Attachment 3P"</definedName>
    <definedName name="HTML_Header">"Sheet1"</definedName>
    <definedName name="HTML_LastUpdate" localSheetId="11">"09/20/2000"</definedName>
    <definedName name="HTML_LastUpdate">"10/21/99"</definedName>
    <definedName name="HTML_LineAfter">FALSE</definedName>
    <definedName name="HTML_LineBefore">FALSE</definedName>
    <definedName name="HTML_Name" localSheetId="11">"BV"</definedName>
    <definedName name="HTML_Name">"Paulette Peoples"</definedName>
    <definedName name="HTML_OBDlg2">TRUE</definedName>
    <definedName name="HTML_OBDlg4">TRUE</definedName>
    <definedName name="HTML_OS">0</definedName>
    <definedName name="HTML_PathFile" localSheetId="11">"E:\BV Users_D\a50 - Design Engineering\50.2000, Guidelines\MyHTML.htm"</definedName>
    <definedName name="HTML_PathFile">"\\Bhincres01\groups\Mkt_Dev\EXECMKTR\RIGS\RigBible\Web NA.htm"</definedName>
    <definedName name="HTML_Title" localSheetId="11">"51_2101, a3"</definedName>
    <definedName name="HTML_Title">"Total North America"</definedName>
    <definedName name="IBFIT.T">[13]INTERNAL!$A$85:$IV$87</definedName>
    <definedName name="ID_0303_RVN_data" localSheetId="0">#REF!</definedName>
    <definedName name="ID_0303_RVN_data" localSheetId="2">#REF!</definedName>
    <definedName name="ID_0303_RVN_data">#REF!</definedName>
    <definedName name="IDcontractsRVN" localSheetId="0">#REF!</definedName>
    <definedName name="IDcontractsRVN" localSheetId="2">#REF!</definedName>
    <definedName name="IDcontractsRVN">#REF!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DADJ" localSheetId="0">#REF!</definedName>
    <definedName name="INDADJ" localSheetId="2">#REF!</definedName>
    <definedName name="INDADJ">#REF!</definedName>
    <definedName name="INPUT" localSheetId="0">[45]Summary!#REF!</definedName>
    <definedName name="INPUT" localSheetId="2">[45]Summary!#REF!</definedName>
    <definedName name="INPUT">[45]Summary!#REF!</definedName>
    <definedName name="Instructions" localSheetId="0">#REF!</definedName>
    <definedName name="Instructions" localSheetId="2">#REF!</definedName>
    <definedName name="Instructions">#REF!</definedName>
    <definedName name="Insurance_Rate">'[23]Assumptions (Input)'!$B$9</definedName>
    <definedName name="INTRESEXCH">[46]Sheet1!$AG$1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LATESTK">1000</definedName>
    <definedName name="IQ_LATESTQ">500</definedName>
    <definedName name="IQ_LTMMONTH">120000</definedName>
    <definedName name="IQ_TODAY">0</definedName>
    <definedName name="IQ_YTDMONTH">130000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[25]Backup!#REF!</definedName>
    <definedName name="JAN" localSheetId="2">[25]Backup!#REF!</definedName>
    <definedName name="JAN">[25]Backup!#REF!</definedName>
    <definedName name="Jan04AMA">[7]BS!$AD$7:$AD$3582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 localSheetId="2">#REF!</definedName>
    <definedName name="JANT">#REF!</definedName>
    <definedName name="jfkljsdkljiejgr" localSheetId="4" hidden="1">{#N/A,#N/A,FALSE,"Summ";#N/A,#N/A,FALSE,"General"}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jjj">[47]Inputs!$N$18</definedName>
    <definedName name="JUL" localSheetId="0">[25]Backup!#REF!</definedName>
    <definedName name="JUL" localSheetId="2">[25]Backup!#REF!</definedName>
    <definedName name="JUL">[25]Backup!#REF!</definedName>
    <definedName name="Jul04AMA">[7]BS!$AJ$7:$AJ$3582</definedName>
    <definedName name="JULT" localSheetId="0">#REF!</definedName>
    <definedName name="JULT" localSheetId="2">#REF!</definedName>
    <definedName name="JULT">#REF!</definedName>
    <definedName name="JUN" localSheetId="0">[25]Backup!#REF!</definedName>
    <definedName name="JUN" localSheetId="2">[25]Backup!#REF!</definedName>
    <definedName name="JUN">[25]Backup!#REF!</definedName>
    <definedName name="Jun04AMA">[7]BS!$AI$7:$AI$3582</definedName>
    <definedName name="JUNT" localSheetId="0">#REF!</definedName>
    <definedName name="JUNT" localSheetId="2">#REF!</definedName>
    <definedName name="JUNT">#REF!</definedName>
    <definedName name="Jurisdiction">[20]Variables!$AK$15</definedName>
    <definedName name="JurisNumber">[20]Variables!$AL$15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 localSheetId="0">#REF!</definedName>
    <definedName name="k_7.01_Power_Costs" localSheetId="2">#REF!</definedName>
    <definedName name="k_7.01_Power_Costs">#REF!</definedName>
    <definedName name="k_7.01_Power_Costs_p2" localSheetId="0">#REF!</definedName>
    <definedName name="k_7.01_Power_Costs_p2" localSheetId="2">#REF!</definedName>
    <definedName name="k_7.01_Power_Costs_p2">#REF!</definedName>
    <definedName name="k_7.02_Montana" localSheetId="0">#REF!</definedName>
    <definedName name="k_7.02_Montana" localSheetId="2">#REF!</definedName>
    <definedName name="k_7.02_Montana">#REF!</definedName>
    <definedName name="k_7.03_Wild_Hors_Sol" localSheetId="0">#REF!</definedName>
    <definedName name="k_7.03_Wild_Hors_Sol" localSheetId="2">#REF!</definedName>
    <definedName name="k_7.03_Wild_Hors_Sol">#REF!</definedName>
    <definedName name="k_7.04_ASC_815" localSheetId="0">#REF!</definedName>
    <definedName name="k_7.04_ASC_815" localSheetId="2">#REF!</definedName>
    <definedName name="k_7.04_ASC_815">#REF!</definedName>
    <definedName name="k_7.05_storm" localSheetId="0">#REF!</definedName>
    <definedName name="k_7.05_storm" localSheetId="2">#REF!</definedName>
    <definedName name="k_7.05_storm">#REF!</definedName>
    <definedName name="k_7.06_Reg_Asset" localSheetId="0">#REF!</definedName>
    <definedName name="k_7.06_Reg_Asset" localSheetId="2">#REF!</definedName>
    <definedName name="k_7.06_Reg_Asset">#REF!</definedName>
    <definedName name="k_7.07_Glacier_Bat_St" localSheetId="0">#REF!</definedName>
    <definedName name="k_7.07_Glacier_Bat_St" localSheetId="2">#REF!</definedName>
    <definedName name="k_7.07_Glacier_Bat_St">#REF!</definedName>
    <definedName name="k_7.08_EIM" localSheetId="0">#REF!</definedName>
    <definedName name="k_7.08_EIM" localSheetId="2">#REF!</definedName>
    <definedName name="k_7.08_EIM">#REF!</definedName>
    <definedName name="k_7.09_GoldendaleCU" localSheetId="0">#REF!</definedName>
    <definedName name="k_7.09_GoldendaleCU" localSheetId="2">#REF!</definedName>
    <definedName name="k_7.09_GoldendaleCU">#REF!</definedName>
    <definedName name="k_7.10_MintFarm_CU" localSheetId="0">#REF!</definedName>
    <definedName name="k_7.10_MintFarm_CU" localSheetId="2">#REF!</definedName>
    <definedName name="k_7.10_MintFarm_CU">#REF!</definedName>
    <definedName name="k_7.11_White_River" localSheetId="0">#REF!</definedName>
    <definedName name="k_7.11_White_River" localSheetId="2">#REF!</definedName>
    <definedName name="k_7.11_White_River">#REF!</definedName>
    <definedName name="k_7.12_Hydro_Grants" localSheetId="0">#REF!</definedName>
    <definedName name="k_7.12_Hydro_Grants" localSheetId="2">#REF!</definedName>
    <definedName name="k_7.12_Hydro_Grants">#REF!</definedName>
    <definedName name="k_7.13_Productn_Adj" localSheetId="0">#REF!</definedName>
    <definedName name="k_7.13_Productn_Adj" localSheetId="2">#REF!</definedName>
    <definedName name="k_7.13_Productn_Adj">#REF!</definedName>
    <definedName name="k_A_1" localSheetId="0">#REF!</definedName>
    <definedName name="k_A_1" localSheetId="2">#REF!</definedName>
    <definedName name="k_A_1">#REF!</definedName>
    <definedName name="k_Docket_Number">'[32]KJB-12 Sum'!$AS$2</definedName>
    <definedName name="k_FITrate">'[32]KJB-3,11 Def'!$L$20</definedName>
    <definedName name="keep_Docket_Number">'[48]KJB-3 Sum'!$AQ$2</definedName>
    <definedName name="keep_FIT">'[48]KJB-7 Def'!$L$20</definedName>
    <definedName name="keep_KJB_3_Rate_Increase">'[48]KJB-7 Def'!$C$3</definedName>
    <definedName name="keep_KJB_4_Electric_Summary">'[48]KJB-3 Sum'!$AQ$3</definedName>
    <definedName name="keep_KJB_8_Common_Adjs">'[48]KJB-5 Cmn Adj'!$L$3</definedName>
    <definedName name="keep_KJB_9_Electric_Only">'[48]KJB-5 El Adj'!$E$3</definedName>
    <definedName name="keep_TESTYEAR">'[48]KJB-5 Cmn Adj'!$B$7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 localSheetId="2">#REF!</definedName>
    <definedName name="LABORMOD">#REF!</definedName>
    <definedName name="LABORROLL" localSheetId="0">#REF!</definedName>
    <definedName name="LABORROLL" localSheetId="2">#REF!</definedName>
    <definedName name="LABORROLL">#REF!</definedName>
    <definedName name="LATEPAY">[46]Sheet1!$E$3:$E$25</definedName>
    <definedName name="Levy_Rate">'[23]Assumptions (Input)'!$B$6</definedName>
    <definedName name="limcount">1</definedName>
    <definedName name="LINE.T">[13]INTERNAL!$A$55:$IV$57</definedName>
    <definedName name="Line_Ext_Credit" localSheetId="0">#REF!</definedName>
    <definedName name="Line_Ext_Credit" localSheetId="2">#REF!</definedName>
    <definedName name="Line_Ext_Credit">#REF!</definedName>
    <definedName name="LinkCos">'[17]JAM Download'!$K$4</definedName>
    <definedName name="LoadArray">'[49]Load Source Data'!$C$78:$X$89</definedName>
    <definedName name="LOG" localSheetId="0">[25]Backup!#REF!</definedName>
    <definedName name="LOG" localSheetId="2">[25]Backup!#REF!</definedName>
    <definedName name="LOG">[25]Backup!#REF!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4" hidden="1">{#N/A,#N/A,FALSE,"Coversheet";#N/A,#N/A,FALSE,"QA"}</definedName>
    <definedName name="lookup" localSheetId="0" hidden="1">{#N/A,#N/A,FALSE,"Coversheet";#N/A,#N/A,FALSE,"QA"}</definedName>
    <definedName name="lookup" hidden="1">{#N/A,#N/A,FALSE,"Coversheet";#N/A,#N/A,FALSE,"QA"}</definedName>
    <definedName name="LOSS" localSheetId="0">[25]Backup!#REF!</definedName>
    <definedName name="LOSS" localSheetId="2">[25]Backup!#REF!</definedName>
    <definedName name="LOSS">[25]Backup!#REF!</definedName>
    <definedName name="M9100F4_v4">[50]M9100F4!$A$1:$V$99</definedName>
    <definedName name="MACRS">'[23]MACRS RATES'!$A$3:$AT$10</definedName>
    <definedName name="MACTIT" localSheetId="0">#REF!</definedName>
    <definedName name="MACTIT" localSheetId="2">#REF!</definedName>
    <definedName name="MACTIT">#REF!</definedName>
    <definedName name="MAR" localSheetId="0">[25]Backup!#REF!</definedName>
    <definedName name="MAR" localSheetId="2">[25]Backup!#REF!</definedName>
    <definedName name="MAR">[25]Backup!#REF!</definedName>
    <definedName name="Mar04AMA">[7]BS!$AF$7:$AF$3582</definedName>
    <definedName name="MART" localSheetId="0">#REF!</definedName>
    <definedName name="MART" localSheetId="2">#REF!</definedName>
    <definedName name="MART">#REF!</definedName>
    <definedName name="MAY" localSheetId="0">[25]Backup!#REF!</definedName>
    <definedName name="MAY" localSheetId="2">[25]Backup!#REF!</definedName>
    <definedName name="MAY">[25]Backup!#REF!</definedName>
    <definedName name="May04AMA">[7]BS!$AH$7:$AH$3582</definedName>
    <definedName name="MAYT" localSheetId="0">#REF!</definedName>
    <definedName name="MAYT" localSheetId="2">#REF!</definedName>
    <definedName name="MAYT">#REF!</definedName>
    <definedName name="MCtoREV" localSheetId="0">#REF!</definedName>
    <definedName name="MCtoREV" localSheetId="2">#REF!</definedName>
    <definedName name="MCtoREV">#REF!</definedName>
    <definedName name="MEN" localSheetId="0">[1]Jan!#REF!</definedName>
    <definedName name="MEN" localSheetId="2">[1]Jan!#REF!</definedName>
    <definedName name="MEN">[1]Jan!#REF!</definedName>
    <definedName name="Menu_Begin" localSheetId="0">#REF!</definedName>
    <definedName name="Menu_Begin" localSheetId="2">#REF!</definedName>
    <definedName name="Menu_Begin">#REF!</definedName>
    <definedName name="Menu_Caption" localSheetId="0">#REF!</definedName>
    <definedName name="Menu_Caption" localSheetId="2">#REF!</definedName>
    <definedName name="Menu_Caption">#REF!</definedName>
    <definedName name="Menu_Large" localSheetId="0">#REF!</definedName>
    <definedName name="Menu_Large" localSheetId="2">#REF!</definedName>
    <definedName name="Menu_Large">#REF!</definedName>
    <definedName name="Menu_Name" localSheetId="0">#REF!</definedName>
    <definedName name="Menu_Name" localSheetId="2">#REF!</definedName>
    <definedName name="Menu_Name">#REF!</definedName>
    <definedName name="Menu_OnAction" localSheetId="0">#REF!</definedName>
    <definedName name="Menu_OnAction" localSheetId="2">#REF!</definedName>
    <definedName name="Menu_OnAction">#REF!</definedName>
    <definedName name="Menu_Parent" localSheetId="0">#REF!</definedName>
    <definedName name="Menu_Parent" localSheetId="2">#REF!</definedName>
    <definedName name="Menu_Parent">#REF!</definedName>
    <definedName name="Menu_Small" localSheetId="0">#REF!</definedName>
    <definedName name="Menu_Small" localSheetId="2">#REF!</definedName>
    <definedName name="Menu_Small">#REF!</definedName>
    <definedName name="MERGER_COST">[46]Sheet1!$AF$3:$AJ$28</definedName>
    <definedName name="Method">[16]Inputs!$C$6</definedName>
    <definedName name="Miller" localSheetId="4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0">[25]Backup!#REF!</definedName>
    <definedName name="MONTH" localSheetId="2">[25]Backup!#REF!</definedName>
    <definedName name="MONTH">[25]Backup!#REF!</definedName>
    <definedName name="monthlist">[51]Table!$R$2:$S$13</definedName>
    <definedName name="monthtotals">'[51]WA SBC'!$D$40:$O$40</definedName>
    <definedName name="MTD_Format">[52]Mthly!$B$11:$D$11,[52]Mthly!$B$31:$D$31</definedName>
    <definedName name="MTKWH" localSheetId="0">#REF!</definedName>
    <definedName name="MTKWH" localSheetId="2">#REF!</definedName>
    <definedName name="MTKWH">#REF!</definedName>
    <definedName name="MTR_YR3">[53]Variables!$E$14</definedName>
    <definedName name="MTREV" localSheetId="0">#REF!</definedName>
    <definedName name="MTREV" localSheetId="2">#REF!</definedName>
    <definedName name="MTREV">#REF!</definedName>
    <definedName name="MULT" localSheetId="0">#REF!</definedName>
    <definedName name="MULT" localSheetId="2">#REF!</definedName>
    <definedName name="MULT">#REF!</definedName>
    <definedName name="NCP_360">[13]EXTERNAL!$A$13:$IV$15</definedName>
    <definedName name="NCP_361">[13]EXTERNAL!$A$16:$IV$18</definedName>
    <definedName name="NCP_362">[13]EXTERNAL!$A$19:$IV$21</definedName>
    <definedName name="Net_to_Gross_Factor">[17]Inputs!$G$8</definedName>
    <definedName name="NetToGross">[22]Variables!$D$23</definedName>
    <definedName name="new" localSheetId="4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 localSheetId="2">[1]Jan!#REF!</definedName>
    <definedName name="NEWMO1">[1]Jan!#REF!</definedName>
    <definedName name="NEWMO2" localSheetId="0">[1]Jan!#REF!</definedName>
    <definedName name="NEWMO2" localSheetId="2">[1]Jan!#REF!</definedName>
    <definedName name="NEWMO2">[1]Jan!#REF!</definedName>
    <definedName name="NEWMONTH" localSheetId="0">[1]Jan!#REF!</definedName>
    <definedName name="NEWMONTH" localSheetId="2">[1]Jan!#REF!</definedName>
    <definedName name="NEWMONTH">[1]Jan!#REF!</definedName>
    <definedName name="NORMALIZE" localSheetId="0">#REF!</definedName>
    <definedName name="NORMALIZE" localSheetId="2">#REF!</definedName>
    <definedName name="NORMALIZE">#REF!</definedName>
    <definedName name="NOV" localSheetId="0">[25]Backup!#REF!</definedName>
    <definedName name="NOV" localSheetId="2">[25]Backup!#REF!</definedName>
    <definedName name="NOV">[25]Backup!#REF!</definedName>
    <definedName name="Nov03AMA">[6]BS!$AI$7:$AI$3582</definedName>
    <definedName name="Nov04AMA">[7]BS!$AN$7:$AN$3582</definedName>
    <definedName name="NOVT" localSheetId="0">#REF!</definedName>
    <definedName name="NOVT" localSheetId="2">#REF!</definedName>
    <definedName name="NOVT">#REF!</definedName>
    <definedName name="NPC">[19]Inputs!$N$18</definedName>
    <definedName name="NRG">[13]CLASSIFIERS!$A$5:$IV$5</definedName>
    <definedName name="NUM" localSheetId="0">#REF!</definedName>
    <definedName name="NUM" localSheetId="2">#REF!</definedName>
    <definedName name="NUM">#REF!</definedName>
    <definedName name="Number_of_Payments" localSheetId="4">MATCH(0.01,End_Bal,-1)+1</definedName>
    <definedName name="Number_of_Payments" localSheetId="0">MATCH(0.01,End_Bal,-1)+1</definedName>
    <definedName name="Number_of_Payments" localSheetId="2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'[23]MiscItems(Input)'!$B$5:$AO$8,'[23]MiscItems(Input)'!$B$13:$AO$13,'[23]MiscItems(Input)'!$B$15:$B$17,'[23]MiscItems(Input)'!$B$17:$AO$17,'[23]MiscItems(Input)'!$B$15:$AO$15</definedName>
    <definedName name="O_M_Rate">'[34]Virtual 49 Back-Up'!$B$21</definedName>
    <definedName name="OBCLEASE">[46]Sheet1!$AF$4:$AI$23</definedName>
    <definedName name="OCT" localSheetId="0">[25]Backup!#REF!</definedName>
    <definedName name="OCT" localSheetId="2">[25]Backup!#REF!</definedName>
    <definedName name="OCT">[25]Backup!#REF!</definedName>
    <definedName name="Oct03AMA">[6]BS!$AH$7:$AH$3582</definedName>
    <definedName name="Oct04AMA">[7]BS!$AM$7:$AM$3582</definedName>
    <definedName name="OCTT" localSheetId="0">#REF!</definedName>
    <definedName name="OCTT" localSheetId="2">#REF!</definedName>
    <definedName name="OCTT">#REF!</definedName>
    <definedName name="OH">[13]CLASSIFIERS!$A$8:$IV$8</definedName>
    <definedName name="OH_NCP">[13]EXTERNAL!$A$79:$IV$81</definedName>
    <definedName name="OH_SVC">[13]EXTERNAL!$A$142:$IV$144</definedName>
    <definedName name="OH_TFMR">[13]EXTERNAL!$A$97:$IV$99</definedName>
    <definedName name="OH_TFMRC">[13]EXTERNAL!$A$94:$IV$96</definedName>
    <definedName name="ONE" localSheetId="0">[1]Jan!#REF!</definedName>
    <definedName name="ONE" localSheetId="2">[1]Jan!#REF!</definedName>
    <definedName name="ONE">[1]Jan!#REF!</definedName>
    <definedName name="option">'[54]Dist Misc'!$F$120</definedName>
    <definedName name="OthRCF">[30]INPUTS!$F$41</definedName>
    <definedName name="OthUnc">[13]INPUTS!$F$36</definedName>
    <definedName name="outlookdata">'[55]pivoted data'!$D$3:$Q$90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0">#REF!</definedName>
    <definedName name="Page1" localSheetId="2">#REF!</definedName>
    <definedName name="Page1">#REF!</definedName>
    <definedName name="Page110" localSheetId="0">#REF!</definedName>
    <definedName name="Page110" localSheetId="2">#REF!</definedName>
    <definedName name="Page110">#REF!</definedName>
    <definedName name="Page120" localSheetId="0">#REF!</definedName>
    <definedName name="Page120" localSheetId="2">#REF!</definedName>
    <definedName name="Page120">#REF!</definedName>
    <definedName name="Page2" localSheetId="0">#REF!</definedName>
    <definedName name="Page2" localSheetId="2">#REF!</definedName>
    <definedName name="Page2">#REF!</definedName>
    <definedName name="PAGE3" localSheetId="0">#REF!</definedName>
    <definedName name="PAGE3" localSheetId="2">#REF!</definedName>
    <definedName name="PAGE3">#REF!</definedName>
    <definedName name="Page4" localSheetId="0">#REF!</definedName>
    <definedName name="Page4" localSheetId="2">#REF!</definedName>
    <definedName name="Page4">#REF!</definedName>
    <definedName name="Page5" localSheetId="0">#REF!</definedName>
    <definedName name="Page5" localSheetId="2">#REF!</definedName>
    <definedName name="Page5">#REF!</definedName>
    <definedName name="Page6" localSheetId="0">#REF!</definedName>
    <definedName name="Page6" localSheetId="2">#REF!</definedName>
    <definedName name="Page6">#REF!</definedName>
    <definedName name="Page62" localSheetId="0">[56]TransInvest!#REF!</definedName>
    <definedName name="Page62" localSheetId="2">[56]TransInvest!#REF!</definedName>
    <definedName name="Page62">[56]TransInvest!#REF!</definedName>
    <definedName name="page65" localSheetId="0">#REF!</definedName>
    <definedName name="page65" localSheetId="2">#REF!</definedName>
    <definedName name="page65">#REF!</definedName>
    <definedName name="page66" localSheetId="0">#REF!</definedName>
    <definedName name="page66" localSheetId="2">#REF!</definedName>
    <definedName name="page66">#REF!</definedName>
    <definedName name="page67" localSheetId="0">#REF!</definedName>
    <definedName name="page67" localSheetId="2">#REF!</definedName>
    <definedName name="page67">#REF!</definedName>
    <definedName name="page68" localSheetId="0">#REF!</definedName>
    <definedName name="page68" localSheetId="2">#REF!</definedName>
    <definedName name="page68">#REF!</definedName>
    <definedName name="page69" localSheetId="0">#REF!</definedName>
    <definedName name="page69" localSheetId="2">#REF!</definedName>
    <definedName name="page69">#REF!</definedName>
    <definedName name="Page7" localSheetId="0">#REF!</definedName>
    <definedName name="Page7" localSheetId="2">#REF!</definedName>
    <definedName name="Page7">#REF!</definedName>
    <definedName name="page8" localSheetId="0">#REF!</definedName>
    <definedName name="page8" localSheetId="2">#REF!</definedName>
    <definedName name="page8">#REF!</definedName>
    <definedName name="PALL" localSheetId="0">#REF!</definedName>
    <definedName name="PALL" localSheetId="2">#REF!</definedName>
    <definedName name="PALL">#REF!</definedName>
    <definedName name="PBLOCK" localSheetId="0">#REF!</definedName>
    <definedName name="PBLOCK" localSheetId="2">#REF!</definedName>
    <definedName name="PBLOCK">#REF!</definedName>
    <definedName name="PBLOCKWZ" localSheetId="0">#REF!</definedName>
    <definedName name="PBLOCKWZ" localSheetId="2">#REF!</definedName>
    <definedName name="PBLOCKWZ">#REF!</definedName>
    <definedName name="PCOMP" localSheetId="0">#REF!</definedName>
    <definedName name="PCOMP" localSheetId="2">#REF!</definedName>
    <definedName name="PCOMP">#REF!</definedName>
    <definedName name="PCOMPOSITES" localSheetId="0">#REF!</definedName>
    <definedName name="PCOMPOSITES" localSheetId="2">#REF!</definedName>
    <definedName name="PCOMPOSITES">#REF!</definedName>
    <definedName name="PCOMPWZ" localSheetId="0">#REF!</definedName>
    <definedName name="PCOMPWZ" localSheetId="2">#REF!</definedName>
    <definedName name="PCOMPWZ">#REF!</definedName>
    <definedName name="PeakMethod">[16]Inputs!$T$5</definedName>
    <definedName name="Percent_debt">[43]Inputs!$E$129</definedName>
    <definedName name="Plant_Input">'[23]Plant(Input)'!$B$7:$AP$9,'[23]Plant(Input)'!$B$11,'[23]Plant(Input)'!$B$15:$AP$15,'[23]Plant(Input)'!$B$18,'[23]Plant(Input)'!$B$20:$AP$20</definedName>
    <definedName name="PMAC" localSheetId="0">[25]Backup!#REF!</definedName>
    <definedName name="PMAC" localSheetId="2">[25]Backup!#REF!</definedName>
    <definedName name="PMAC">[25]Backup!#REF!</definedName>
    <definedName name="POWER.T">[13]INTERNAL!$A$58:$IV$60</definedName>
    <definedName name="PP.T">[13]INTERNAL!$A$61:$IV$63</definedName>
    <definedName name="PRESENT" localSheetId="0">#REF!</definedName>
    <definedName name="PRESENT" localSheetId="2">#REF!</definedName>
    <definedName name="PRESENT">#REF!</definedName>
    <definedName name="PreTaxDebtCost">[21]Assumptions!$I$56</definedName>
    <definedName name="PreTaxWACC">[21]Assumptions!$I$62</definedName>
    <definedName name="PRICCHNG" localSheetId="0">#REF!</definedName>
    <definedName name="PRICCHNG" localSheetId="2">#REF!</definedName>
    <definedName name="PRICCHNG">#REF!</definedName>
    <definedName name="Prices_Aurora">'[42]Monthly Price Summary'!$C$4:$H$63</definedName>
    <definedName name="_xlnm.Print_Area" localSheetId="11">'Alloc for Sch 141A'!$A$1:$P$18</definedName>
    <definedName name="_xlnm.Print_Area" localSheetId="9">'Exhibit No.__(BDJ-141A)'!$A$1:$I$107</definedName>
    <definedName name="_xlnm.Print_Area" localSheetId="7">'F2023 Energy'!$A$1:$AT$82</definedName>
    <definedName name="_xlnm.Print_Area" localSheetId="4">'Rate Spread and Design'!$A$1:$F$37</definedName>
    <definedName name="_xlnm.Print_Area" localSheetId="0">'Rate Summary'!$A$1:$C$32</definedName>
    <definedName name="_xlnm.Print_Area" localSheetId="2">'Revenue Rate Impacts'!#REF!</definedName>
    <definedName name="_xlnm.Print_Area" localSheetId="1">'Street &amp; Area Lighting'!$A$1:$L$175</definedName>
    <definedName name="_xlnm.Print_Area" localSheetId="3">'Typical Residential Notice'!$A$1:$N$81</definedName>
    <definedName name="Print_Area_Reset" localSheetId="4">OFFSET(Full_Print,0,0,[0]!Last_Row)</definedName>
    <definedName name="Print_Area_Reset" localSheetId="0">OFFSET(Full_Print,0,0,[0]!Last_Row)</definedName>
    <definedName name="Print_Area_Reset" localSheetId="2">OFFSET(Full_Print,0,0,[0]!Last_Row)</definedName>
    <definedName name="Print_Area_Reset">OFFSET(Full_Print,0,0,[0]!Last_Row)</definedName>
    <definedName name="_xlnm.Print_Titles" localSheetId="9">'Exhibit No.__(BDJ-141A)'!$A:$C,'Exhibit No.__(BDJ-141A)'!$1:$11</definedName>
    <definedName name="_xlnm.Print_Titles" localSheetId="7">'F2023 Energy'!$A:$B,'F2023 Energy'!$1:$6</definedName>
    <definedName name="_xlnm.Print_Titles" localSheetId="1">'Street &amp; Area Lighting'!$1:$12</definedName>
    <definedName name="Prior_Month">[26]Sch_120!$I$21</definedName>
    <definedName name="PROFORMA">[13]EXTERNAL!$A$67:$IV$69</definedName>
    <definedName name="PROFORMA_RETAIL">[13]EXTERNAL!$A$91:$IV$93</definedName>
    <definedName name="PROFORMA_RETAIL_TAX">[13]EXTERNAL!$A$169:$IV$171</definedName>
    <definedName name="Prov_Cap_Tax">[43]Inputs!$E$111</definedName>
    <definedName name="PTABLES" localSheetId="0">#REF!</definedName>
    <definedName name="PTABLES" localSheetId="2">#REF!</definedName>
    <definedName name="PTABLES">#REF!</definedName>
    <definedName name="PTDGP.T">[13]INTERNAL!$A$64:$IV$66</definedName>
    <definedName name="PTDMOD" localSheetId="0">#REF!</definedName>
    <definedName name="PTDMOD" localSheetId="2">#REF!</definedName>
    <definedName name="PTDMOD">#REF!</definedName>
    <definedName name="PTDP.T">[13]INTERNAL!$A$67:$IV$69</definedName>
    <definedName name="PTDROLL" localSheetId="0">#REF!</definedName>
    <definedName name="PTDROLL" localSheetId="2">#REF!</definedName>
    <definedName name="PTDROLL">#REF!</definedName>
    <definedName name="PTMOD" localSheetId="0">#REF!</definedName>
    <definedName name="PTMOD" localSheetId="2">#REF!</definedName>
    <definedName name="PTMOD">#REF!</definedName>
    <definedName name="PTROLL" localSheetId="0">#REF!</definedName>
    <definedName name="PTROLL" localSheetId="2">#REF!</definedName>
    <definedName name="PTROLL">#REF!</definedName>
    <definedName name="PWORKBACK" localSheetId="0">#REF!</definedName>
    <definedName name="PWORKBACK" localSheetId="2">#REF!</definedName>
    <definedName name="PWORKBACK">#REF!</definedName>
    <definedName name="q" localSheetId="4" hidden="1">{#N/A,#N/A,FALSE,"Coversheet";#N/A,#N/A,FALSE,"QA"}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4" hidden="1">{#N/A,#N/A,FALSE,"schA"}</definedName>
    <definedName name="qqq" localSheetId="0" hidden="1">{#N/A,#N/A,FALSE,"schA"}</definedName>
    <definedName name="qqq" hidden="1">{#N/A,#N/A,FALSE,"schA"}</definedName>
    <definedName name="QTD_Format">[57]QTD!$B$11:$D$11,[57]QTD!$B$35:$D$35</definedName>
    <definedName name="Query1" localSheetId="0">#REF!</definedName>
    <definedName name="Query1" localSheetId="2">#REF!</definedName>
    <definedName name="Query1">#REF!</definedName>
    <definedName name="RATE2">'[33]Transp Data'!$A$8:$I$112</definedName>
    <definedName name="Rates">[58]Codes!$A$1:$C$500</definedName>
    <definedName name="RB.T">[13]INTERNAL!$A$70:$IV$72</definedName>
    <definedName name="RC_ADJ" localSheetId="0">#REF!</definedName>
    <definedName name="RC_ADJ" localSheetId="2">#REF!</definedName>
    <definedName name="RC_ADJ">#REF!</definedName>
    <definedName name="re" localSheetId="0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qulated_scenario">'[23]Assumptions (Input)'!$B$12</definedName>
    <definedName name="RESADJ" localSheetId="0">#REF!</definedName>
    <definedName name="RESADJ" localSheetId="2">#REF!</definedName>
    <definedName name="RESADJ">#REF!</definedName>
    <definedName name="ResExchCrRate">[26]Sch_194!$M$31</definedName>
    <definedName name="RESID">[13]EXTERNAL!$A$88:$IV$90</definedName>
    <definedName name="resource_lookup">'[59]#REF'!$B$3:$C$112</definedName>
    <definedName name="ResourceSupplier">[22]Variables!$D$28</definedName>
    <definedName name="ResRCF" localSheetId="1">[30]INPUTS!$F$39</definedName>
    <definedName name="ResRCF">[31]INPUTS!$F$44</definedName>
    <definedName name="ResUnc" localSheetId="1">[13]INPUTS!$F$34</definedName>
    <definedName name="ResUnc">[31]INPUTS!$F$39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0">#REF!</definedName>
    <definedName name="REV_SCHD" localSheetId="2">#REF!</definedName>
    <definedName name="REV_SCHD">#REF!</definedName>
    <definedName name="RevClass">[58]Codes!$F$2:$G$10</definedName>
    <definedName name="Revenue_by_month_take_2" localSheetId="0">#REF!</definedName>
    <definedName name="Revenue_by_month_take_2" localSheetId="2">#REF!</definedName>
    <definedName name="Revenue_by_month_take_2">#REF!</definedName>
    <definedName name="revenue_flag">'[23]Assumptions (Input)'!$C$12</definedName>
    <definedName name="Revenue_Taxes">'[23]Assumptions (Input)'!$B$8</definedName>
    <definedName name="RevenueCheck" localSheetId="0">#REF!</definedName>
    <definedName name="RevenueCheck" localSheetId="2">#REF!</definedName>
    <definedName name="RevenueCheck">#REF!</definedName>
    <definedName name="REVFAC1.T">[13]INTERNAL!$A$73:$IV$75</definedName>
    <definedName name="RevReqSettle" localSheetId="0">#REF!</definedName>
    <definedName name="RevReqSettle" localSheetId="2">#REF!</definedName>
    <definedName name="RevReqSettle">#REF!</definedName>
    <definedName name="REVVSTRS" localSheetId="0">#REF!</definedName>
    <definedName name="REVVSTRS" localSheetId="2">#REF!</definedName>
    <definedName name="REVVSTRS">#REF!</definedName>
    <definedName name="RISFORM" localSheetId="0">#REF!</definedName>
    <definedName name="RISFORM" localSheetId="2">#REF!</definedName>
    <definedName name="RISFORM">#REF!</definedName>
    <definedName name="ROD" localSheetId="1">[13]INPUTS!$F$25</definedName>
    <definedName name="ROD">[31]INPUTS!$F$30</definedName>
    <definedName name="ROR" localSheetId="1">[30]INPUTS!$F$24</definedName>
    <definedName name="ROR">[31]INPUTS!$F$29</definedName>
    <definedName name="ROR_System">'[24]General Inputs'!$D$19</definedName>
    <definedName name="SAPBEXhrIndnt">"Wide"</definedName>
    <definedName name="SAPsysID">"708C5W7SBKP804JT78WJ0JNKI"</definedName>
    <definedName name="SAPwbID">"ARS"</definedName>
    <definedName name="SBRCF">[30]INPUTS!$F$40</definedName>
    <definedName name="SbUnc">[13]INPUTS!$F$35</definedName>
    <definedName name="SCH33CUSTS" localSheetId="0">#REF!</definedName>
    <definedName name="SCH33CUSTS" localSheetId="2">#REF!</definedName>
    <definedName name="SCH33CUSTS">#REF!</definedName>
    <definedName name="SCH48ADJ" localSheetId="0">#REF!</definedName>
    <definedName name="SCH48ADJ" localSheetId="2">#REF!</definedName>
    <definedName name="SCH48ADJ">#REF!</definedName>
    <definedName name="SCH98NOR" localSheetId="0">#REF!</definedName>
    <definedName name="SCH98NOR" localSheetId="2">#REF!</definedName>
    <definedName name="SCH98NOR">#REF!</definedName>
    <definedName name="SCHED47" localSheetId="0">#REF!</definedName>
    <definedName name="SCHED47" localSheetId="2">#REF!</definedName>
    <definedName name="SCHED47">#REF!</definedName>
    <definedName name="Schedule">[19]Inputs!$N$14</definedName>
    <definedName name="sdlfhsdlhfkl" localSheetId="4" hidden="1">{#N/A,#N/A,FALSE,"Summ";#N/A,#N/A,FALSE,"General"}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 localSheetId="2">#REF!</definedName>
    <definedName name="se">#REF!</definedName>
    <definedName name="SECOND" localSheetId="0">[1]Jan!#REF!</definedName>
    <definedName name="SECOND" localSheetId="2">[1]Jan!#REF!</definedName>
    <definedName name="SECOND">[1]Jan!#REF!</definedName>
    <definedName name="SEP" localSheetId="0">[25]Backup!#REF!</definedName>
    <definedName name="SEP" localSheetId="2">[25]Backup!#REF!</definedName>
    <definedName name="SEP">[25]Backup!#REF!</definedName>
    <definedName name="Sep03AMA">[14]BS!$AN$7:$AN$3420</definedName>
    <definedName name="Sep04AMA">[7]BS!$AL$7:$AL$3582</definedName>
    <definedName name="SEPT" localSheetId="0">#REF!</definedName>
    <definedName name="SEPT" localSheetId="2">#REF!</definedName>
    <definedName name="SEPT">#REF!</definedName>
    <definedName name="SERVICES_3" localSheetId="0">#REF!</definedName>
    <definedName name="SERVICES_3" localSheetId="2">#REF!</definedName>
    <definedName name="SERVICES_3">#REF!</definedName>
    <definedName name="seven" localSheetId="4" hidden="1">{#N/A,#N/A,FALSE,"CRPT";#N/A,#N/A,FALSE,"TREND";#N/A,#N/A,FALSE,"%Curve"}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 localSheetId="2">#REF!</definedName>
    <definedName name="sg">#REF!</definedName>
    <definedName name="six" localSheetId="4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" localSheetId="0">[1]Jan!#REF!</definedName>
    <definedName name="START" localSheetId="2">[1]Jan!#REF!</definedName>
    <definedName name="START">[1]Jan!#REF!</definedName>
    <definedName name="StartDate">[21]Assumptions!$C$9</definedName>
    <definedName name="STAX" localSheetId="1">[13]INPUTS!$F$29</definedName>
    <definedName name="STAX">[31]INPUTS!$F$34</definedName>
    <definedName name="SUM_TAB1" localSheetId="0">#REF!</definedName>
    <definedName name="SUM_TAB1" localSheetId="2">#REF!</definedName>
    <definedName name="SUM_TAB1">#REF!</definedName>
    <definedName name="SUM_TAB2" localSheetId="0">#REF!</definedName>
    <definedName name="SUM_TAB2" localSheetId="2">#REF!</definedName>
    <definedName name="SUM_TAB2">#REF!</definedName>
    <definedName name="SUM_TAB3" localSheetId="0">#REF!</definedName>
    <definedName name="SUM_TAB3" localSheetId="2">#REF!</definedName>
    <definedName name="SUM_TAB3">#REF!</definedName>
    <definedName name="SW.T">[13]INTERNAL!$A$76:$IV$78</definedName>
    <definedName name="SWPTD.T">[13]INTERNAL!$A$79:$IV$81</definedName>
    <definedName name="t" localSheetId="4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 localSheetId="2">#REF!</definedName>
    <definedName name="TABLE_1">#REF!</definedName>
    <definedName name="TABLE_2" localSheetId="0">#REF!</definedName>
    <definedName name="TABLE_2" localSheetId="2">#REF!</definedName>
    <definedName name="TABLE_2">#REF!</definedName>
    <definedName name="TABLE_3" localSheetId="0">#REF!</definedName>
    <definedName name="TABLE_3" localSheetId="2">#REF!</definedName>
    <definedName name="TABLE_3">#REF!</definedName>
    <definedName name="TABLE_4" localSheetId="0">#REF!</definedName>
    <definedName name="TABLE_4" localSheetId="2">#REF!</definedName>
    <definedName name="TABLE_4">#REF!</definedName>
    <definedName name="TABLE_4_A" localSheetId="0">#REF!</definedName>
    <definedName name="TABLE_4_A" localSheetId="2">#REF!</definedName>
    <definedName name="TABLE_4_A">#REF!</definedName>
    <definedName name="TABLE_5" localSheetId="0">#REF!</definedName>
    <definedName name="TABLE_5" localSheetId="2">#REF!</definedName>
    <definedName name="TABLE_5">#REF!</definedName>
    <definedName name="TABLE_6" localSheetId="0">#REF!</definedName>
    <definedName name="TABLE_6" localSheetId="2">#REF!</definedName>
    <definedName name="TABLE_6">#REF!</definedName>
    <definedName name="TABLE_7" localSheetId="0">#REF!</definedName>
    <definedName name="TABLE_7" localSheetId="2">#REF!</definedName>
    <definedName name="TABLE_7">#REF!</definedName>
    <definedName name="TABLE1" localSheetId="0">#REF!</definedName>
    <definedName name="TABLE1" localSheetId="2">#REF!</definedName>
    <definedName name="TABLE1">#REF!</definedName>
    <definedName name="TABLE2" localSheetId="0">#REF!</definedName>
    <definedName name="TABLE2" localSheetId="2">#REF!</definedName>
    <definedName name="TABLE2">#REF!</definedName>
    <definedName name="TABLEA" localSheetId="0">#REF!</definedName>
    <definedName name="TABLEA" localSheetId="2">#REF!</definedName>
    <definedName name="TABLEA">#REF!</definedName>
    <definedName name="TableName">"Dummy"</definedName>
    <definedName name="TABLEONE" localSheetId="0">#REF!</definedName>
    <definedName name="TABLEONE" localSheetId="2">#REF!</definedName>
    <definedName name="TABLEONE">#REF!</definedName>
    <definedName name="TargetROR">[16]Inputs!$G$29</definedName>
    <definedName name="TDMOD" localSheetId="0">#REF!</definedName>
    <definedName name="TDMOD" localSheetId="2">#REF!</definedName>
    <definedName name="TDMOD">#REF!</definedName>
    <definedName name="TDP.T">[13]INTERNAL!$A$82:$IV$84</definedName>
    <definedName name="TDROLL" localSheetId="0">#REF!</definedName>
    <definedName name="TDROLL" localSheetId="2">#REF!</definedName>
    <definedName name="TDROLL">#REF!</definedName>
    <definedName name="tem" localSheetId="4" hidden="1">{#N/A,#N/A,FALSE,"Summ";#N/A,#N/A,FALSE,"General"}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4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[46]Sheet1!$A$4:$E$40</definedName>
    <definedName name="Test" localSheetId="0">#REF!</definedName>
    <definedName name="Test" localSheetId="2">#REF!</definedName>
    <definedName name="Test">#REF!</definedName>
    <definedName name="Test1" localSheetId="0">#REF!</definedName>
    <definedName name="Test1" localSheetId="2">#REF!</definedName>
    <definedName name="Test1">#REF!</definedName>
    <definedName name="Test2" localSheetId="0">#REF!</definedName>
    <definedName name="Test2" localSheetId="2">#REF!</definedName>
    <definedName name="Test2">#REF!</definedName>
    <definedName name="Test3" localSheetId="0">#REF!</definedName>
    <definedName name="Test3" localSheetId="2">#REF!</definedName>
    <definedName name="Test3">#REF!</definedName>
    <definedName name="Test4" localSheetId="0">#REF!</definedName>
    <definedName name="Test4" localSheetId="2">#REF!</definedName>
    <definedName name="Test4">#REF!</definedName>
    <definedName name="Test5" localSheetId="0">#REF!</definedName>
    <definedName name="Test5" localSheetId="2">#REF!</definedName>
    <definedName name="Test5">#REF!</definedName>
    <definedName name="TestPeriod">[17]Inputs!$C$5</definedName>
    <definedName name="TESTYEAR">'[60]JHS-6'!$A$7</definedName>
    <definedName name="TFR">[13]CLASSIFIERS!$A$11:$IV$11</definedName>
    <definedName name="ThermalBookLife">[21]Assumptions!$C$25</definedName>
    <definedName name="Title">[21]Assumptions!$A$1</definedName>
    <definedName name="Total_Payment" localSheetId="4">Scheduled_Payment+Extra_Payment</definedName>
    <definedName name="Total_Payment" localSheetId="0">Scheduled_Payment+Extra_Payment</definedName>
    <definedName name="Total_Payment" localSheetId="2">Scheduled_Payment+Extra_Payment</definedName>
    <definedName name="Total_Payment">Scheduled_Payment+Extra_Payment</definedName>
    <definedName name="TOTALCustomerSheets">OFFSET('[24]Required Sheets'!$I$24:$I$35,,,12-COUNTBLANK('[24]Required Sheets'!$I$24:$I$35))</definedName>
    <definedName name="TOTALDemandSheets">OFFSET('[24]Required Sheets'!$G$24:$G$35,,,12-COUNTBLANK('[24]Required Sheets'!$G$24:$G$35))</definedName>
    <definedName name="TOTALECSheets">OFFSET('[24]Required Sheets'!$H$24:$H$35,,,12-COUNTBLANK('[24]Required Sheets'!$H$24:$H$35))</definedName>
    <definedName name="TotalRateBase">'[17]G+T+D+R+M'!$H$58</definedName>
    <definedName name="TP.T">[13]INTERNAL!$A$91:$IV$93</definedName>
    <definedName name="tr" localSheetId="4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'[61]Transp Unbilled'!$A$8:$E$174</definedName>
    <definedName name="Transfer" localSheetId="0" hidden="1">#REF!</definedName>
    <definedName name="Transfer" localSheetId="2" hidden="1">#REF!</definedName>
    <definedName name="Transfer" hidden="1">#REF!</definedName>
    <definedName name="Transfers" localSheetId="0" hidden="1">#REF!</definedName>
    <definedName name="Transfers" localSheetId="2" hidden="1">#REF!</definedName>
    <definedName name="Transfers" hidden="1">#REF!</definedName>
    <definedName name="TRANSM_2">[62]Transm2!$A$1:$M$461:'[62]10 Yr FC'!$M$47</definedName>
    <definedName name="u" localSheetId="4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AACT115S" localSheetId="0">'[19]Functional Study'!#REF!</definedName>
    <definedName name="UAACT115S" localSheetId="2">'[19]Functional Study'!#REF!</definedName>
    <definedName name="UAACT115S">'[19]Functional Study'!#REF!</definedName>
    <definedName name="UAcct103">'[17]Func Study'!$AB$1613</definedName>
    <definedName name="UAcct105Dnpg">'[17]Func Study'!$AB$2010</definedName>
    <definedName name="UAcct105S">'[17]Func Study'!$AB$2005</definedName>
    <definedName name="UAcct105Seu">'[17]Func Study'!$AB$2009</definedName>
    <definedName name="UAcct105Snppo">'[17]Func Study'!$AB$2008</definedName>
    <definedName name="UAcct105Snpps">'[17]Func Study'!$AB$2006</definedName>
    <definedName name="UAcct105Snpt">'[17]Func Study'!$AB$2007</definedName>
    <definedName name="UAcct1081390">'[17]Func Study'!$AB$2451</definedName>
    <definedName name="UAcct1081390Rcl">'[17]Func Study'!$AB$2450</definedName>
    <definedName name="UAcct1081399">'[17]Func Study'!$AB$2459</definedName>
    <definedName name="UAcct1081399Rcl">'[17]Func Study'!$AB$2458</definedName>
    <definedName name="UAcct108360">'[17]Func Study'!$AB$2355</definedName>
    <definedName name="UAcct108361">'[17]Func Study'!$AB$2359</definedName>
    <definedName name="UAcct108362">'[17]Func Study'!$AB$2363</definedName>
    <definedName name="UAcct108364">'[17]Func Study'!$AB$2367</definedName>
    <definedName name="UAcct108365">'[17]Func Study'!$AB$2371</definedName>
    <definedName name="UAcct108366">'[17]Func Study'!$AB$2375</definedName>
    <definedName name="UAcct108367">'[17]Func Study'!$AB$2379</definedName>
    <definedName name="UAcct108368">'[17]Func Study'!$AB$2383</definedName>
    <definedName name="UAcct108369">'[17]Func Study'!$AB$2387</definedName>
    <definedName name="UAcct108370">'[17]Func Study'!$AB$2391</definedName>
    <definedName name="UAcct108371">'[17]Func Study'!$AB$2395</definedName>
    <definedName name="UAcct108372">'[17]Func Study'!$AB$2399</definedName>
    <definedName name="UAcct108373">'[17]Func Study'!$AB$2403</definedName>
    <definedName name="UAcct108D">'[17]Func Study'!$AB$2415</definedName>
    <definedName name="UAcct108D00">'[17]Func Study'!$AB$2407</definedName>
    <definedName name="UAcct108Ds">'[17]Func Study'!$AB$2411</definedName>
    <definedName name="UAcct108Ep">'[17]Func Study'!$AB$2327</definedName>
    <definedName name="UAcct108Gpcn">'[17]Func Study'!$AB$2429</definedName>
    <definedName name="UAcct108Gps">'[17]Func Study'!$AB$2425</definedName>
    <definedName name="UAcct108Gpse">'[17]Func Study'!$AB$2431</definedName>
    <definedName name="UAcct108Gpsg">'[17]Func Study'!$AB$2428</definedName>
    <definedName name="UAcct108Gpsgp">'[17]Func Study'!$AB$2426</definedName>
    <definedName name="UAcct108Gpsgu">'[17]Func Study'!$AB$2427</definedName>
    <definedName name="UAcct108Gpso">'[17]Func Study'!$AB$2430</definedName>
    <definedName name="UACCT108GPSSGCH">'[17]Func Study'!$AB$2434</definedName>
    <definedName name="UACCT108GPSSGCT">'[17]Func Study'!$AB$2433</definedName>
    <definedName name="UAcct108Hp">'[17]Func Study'!$AB$2313</definedName>
    <definedName name="UAcct108Mp">'[17]Func Study'!$AB$2444</definedName>
    <definedName name="UAcct108Np">'[17]Func Study'!$AB$2305</definedName>
    <definedName name="UAcct108Op">'[17]Func Study'!$AB$2322</definedName>
    <definedName name="UACCT108OPSSCCT">'[17]Func Study'!$AB$2321</definedName>
    <definedName name="UAcct108Sp">'[17]Func Study'!$AB$2299</definedName>
    <definedName name="UACCT108SPSSGCH">'[17]Func Study'!$AB$2298</definedName>
    <definedName name="UAcct108Tp">'[17]Func Study'!$AB$2346</definedName>
    <definedName name="UAcct111Clg">'[17]Func Study'!$AB$2487</definedName>
    <definedName name="UAcct111Clgsou">'[17]Func Study'!$AB$2485</definedName>
    <definedName name="UAcct111Clh">'[17]Func Study'!$AB$2493</definedName>
    <definedName name="UAcct111Cls">'[17]Func Study'!$AB$2478</definedName>
    <definedName name="UAcct111Ipcn">'[17]Func Study'!$AB$2502</definedName>
    <definedName name="UAcct111Ips">'[17]Func Study'!$AB$2497</definedName>
    <definedName name="UAcct111Ipse">'[17]Func Study'!$AB$2500</definedName>
    <definedName name="UAcct111Ipsg">'[17]Func Study'!$AB$2501</definedName>
    <definedName name="UAcct111Ipsgp">'[17]Func Study'!$AB$2498</definedName>
    <definedName name="UAcct111Ipsgu">'[17]Func Study'!$AB$2499</definedName>
    <definedName name="UAcct111Ipso">'[17]Func Study'!$AB$2506</definedName>
    <definedName name="UACCT111IPSSGCH">'[17]Func Study'!$AB$2505</definedName>
    <definedName name="UACCT111IPSSGCT">'[17]Func Study'!$AB$2504</definedName>
    <definedName name="UAcct114">'[17]Func Study'!$AB$2017</definedName>
    <definedName name="UACCT115" localSheetId="0">'[19]Functional Study'!#REF!</definedName>
    <definedName name="UACCT115" localSheetId="2">'[19]Functional Study'!#REF!</definedName>
    <definedName name="UACCT115">'[19]Functional Study'!#REF!</definedName>
    <definedName name="UACCT115DGP" localSheetId="0">'[19]Functional Study'!#REF!</definedName>
    <definedName name="UACCT115DGP" localSheetId="2">'[19]Functional Study'!#REF!</definedName>
    <definedName name="UACCT115DGP">'[19]Functional Study'!#REF!</definedName>
    <definedName name="UACCT115SG" localSheetId="0">'[19]Functional Study'!#REF!</definedName>
    <definedName name="UACCT115SG" localSheetId="2">'[19]Functional Study'!#REF!</definedName>
    <definedName name="UACCT115SG">'[19]Functional Study'!#REF!</definedName>
    <definedName name="UAcct120">'[17]Func Study'!$AB$2021</definedName>
    <definedName name="UAcct124">'[17]Func Study'!$AB$2026</definedName>
    <definedName name="UAcct141">'[17]Func Study'!$AB$2173</definedName>
    <definedName name="UAcct151">'[17]Func Study'!$AB$2049</definedName>
    <definedName name="Uacct151SSECT">'[17]Func Study'!$AB$2047</definedName>
    <definedName name="UAcct154">'[17]Func Study'!$AB$2083</definedName>
    <definedName name="Uacct154SSGCT">'[17]Func Study'!$AB$2080</definedName>
    <definedName name="UAcct163">'[17]Func Study'!$AB$2093</definedName>
    <definedName name="UAcct165">'[17]Func Study'!$AB$2108</definedName>
    <definedName name="UAcct165Gps">'[17]Func Study'!$AB$2104</definedName>
    <definedName name="UAcct182">'[17]Func Study'!$AB$2033</definedName>
    <definedName name="UAcct18222">'[17]Func Study'!$AB$2163</definedName>
    <definedName name="UAcct182M">'[17]Func Study'!$AB$2118</definedName>
    <definedName name="UAcct182MSSGCH">'[17]Func Study'!$AB$2113</definedName>
    <definedName name="UAcct186">'[17]Func Study'!$AB$2041</definedName>
    <definedName name="UAcct1869">'[17]Func Study'!$AB$2168</definedName>
    <definedName name="UAcct186M">'[17]Func Study'!$AB$2129</definedName>
    <definedName name="UAcct190">'[17]Func Study'!$AB$2243</definedName>
    <definedName name="UAcct190Baddebt">'[17]Func Study'!$AB$2237</definedName>
    <definedName name="UAcct190Dop">'[17]Func Study'!$AB$2235</definedName>
    <definedName name="UAcct2281">'[17]Func Study'!$AB$2191</definedName>
    <definedName name="UAcct2282">'[17]Func Study'!$AB$2195</definedName>
    <definedName name="UAcct2283">'[17]Func Study'!$AB$2200</definedName>
    <definedName name="UACCT22841SG">'[17]Func Study'!$AB$2205</definedName>
    <definedName name="UAcct22842">'[17]Func Study'!$AB$2211</definedName>
    <definedName name="UAcct22842Trojd" localSheetId="0">'[16]Func Study'!#REF!</definedName>
    <definedName name="UAcct22842Trojd" localSheetId="2">'[16]Func Study'!#REF!</definedName>
    <definedName name="UAcct22842Trojd">'[16]Func Study'!#REF!</definedName>
    <definedName name="UAcct235">'[17]Func Study'!$AB$2187</definedName>
    <definedName name="UACCT235CN">'[17]Func Study'!$AB$2186</definedName>
    <definedName name="UAcct252">'[17]Func Study'!$AB$2219</definedName>
    <definedName name="UAcct25316">'[17]Func Study'!$AB$2057</definedName>
    <definedName name="UAcct25317">'[17]Func Study'!$AB$2061</definedName>
    <definedName name="UAcct25318">'[17]Func Study'!$AB$2098</definedName>
    <definedName name="UAcct25319">'[17]Func Study'!$AB$2065</definedName>
    <definedName name="uacct25398">'[17]Func Study'!$AB$2222</definedName>
    <definedName name="UAcct25399">'[17]Func Study'!$AB$2230</definedName>
    <definedName name="UACCT254SO">'[17]Func Study'!$AB$2202</definedName>
    <definedName name="UAcct255">'[17]Func Study'!$AB$2284</definedName>
    <definedName name="UAcct281">'[17]Func Study'!$AB$2249</definedName>
    <definedName name="UAcct282">'[17]Func Study'!$AB$2259</definedName>
    <definedName name="UAcct282Cn">'[17]Func Study'!$AB$2256</definedName>
    <definedName name="UAcct282So">'[17]Func Study'!$AB$2255</definedName>
    <definedName name="UAcct283">'[17]Func Study'!$AB$2271</definedName>
    <definedName name="UAcct283So">'[17]Func Study'!$AB$2265</definedName>
    <definedName name="UAcct301S">'[17]Func Study'!$AB$1964</definedName>
    <definedName name="UAcct301Sg">'[17]Func Study'!$AB$1966</definedName>
    <definedName name="UAcct301So">'[17]Func Study'!$AB$1965</definedName>
    <definedName name="UAcct302S">'[17]Func Study'!$AB$1969</definedName>
    <definedName name="UAcct302Sg">'[17]Func Study'!$AB$1970</definedName>
    <definedName name="UAcct302Sgp">'[17]Func Study'!$AB$1971</definedName>
    <definedName name="UAcct302Sgu">'[17]Func Study'!$AB$1972</definedName>
    <definedName name="UAcct303Cn">'[17]Func Study'!$AB$1980</definedName>
    <definedName name="UAcct303S">'[17]Func Study'!$AB$1976</definedName>
    <definedName name="UAcct303Se">'[17]Func Study'!$AB$1979</definedName>
    <definedName name="UAcct303Sg">'[17]Func Study'!$AB$1977</definedName>
    <definedName name="UAcct303Sgu">'[17]Func Study'!$AB$1981</definedName>
    <definedName name="UAcct303So">'[17]Func Study'!$AB$1978</definedName>
    <definedName name="UACCT303SSGCH">'[17]Func Study'!$AB$1983</definedName>
    <definedName name="UAcct310">'[17]Func Study'!$AB$1414</definedName>
    <definedName name="UAcct310JBG">'[17]Func Study'!$AB$1413</definedName>
    <definedName name="UAcct311">'[17]Func Study'!$AB$1421</definedName>
    <definedName name="UAcct311JBG">'[17]Func Study'!$AB$1420</definedName>
    <definedName name="UAcct312">'[17]Func Study'!$AB$1428</definedName>
    <definedName name="UAcct312JBG">'[17]Func Study'!$AB$1427</definedName>
    <definedName name="UAcct314">'[17]Func Study'!$AB$1435</definedName>
    <definedName name="UAcct314JBG">'[17]Func Study'!$AB$1434</definedName>
    <definedName name="UAcct315">'[17]Func Study'!$AB$1442</definedName>
    <definedName name="UAcct315JBG">'[17]Func Study'!$AB$1441</definedName>
    <definedName name="UAcct316">'[17]Func Study'!$AB$1450</definedName>
    <definedName name="UAcct316JBG">'[17]Func Study'!$AB$1449</definedName>
    <definedName name="UAcct320">'[17]Func Study'!$AB$1466</definedName>
    <definedName name="UAcct321">'[17]Func Study'!$AB$1471</definedName>
    <definedName name="UAcct322">'[17]Func Study'!$AB$1476</definedName>
    <definedName name="UAcct323">'[17]Func Study'!$AB$1481</definedName>
    <definedName name="UAcct324">'[17]Func Study'!$AB$1486</definedName>
    <definedName name="UAcct325">'[17]Func Study'!$AB$1491</definedName>
    <definedName name="UAcct33">'[17]Func Study'!$AB$295</definedName>
    <definedName name="UAcct330">'[17]Func Study'!$AB$1508</definedName>
    <definedName name="UAcct331">'[17]Func Study'!$AB$1513</definedName>
    <definedName name="UAcct332">'[17]Func Study'!$AB$1518</definedName>
    <definedName name="UAcct333">'[17]Func Study'!$AB$1523</definedName>
    <definedName name="UAcct334">'[17]Func Study'!$AB$1528</definedName>
    <definedName name="UAcct335">'[17]Func Study'!$AB$1533</definedName>
    <definedName name="UAcct336">'[17]Func Study'!$AB$1539</definedName>
    <definedName name="UAcct340Dgu">'[17]Func Study'!$AB$1564</definedName>
    <definedName name="UAcct340Sgu">'[17]Func Study'!$AB$1565</definedName>
    <definedName name="UAcct341Dgu">'[17]Func Study'!$AB$1569</definedName>
    <definedName name="UAcct341Sgu">'[17]Func Study'!$AB$1570</definedName>
    <definedName name="UAcct342Dgu">'[17]Func Study'!$AB$1574</definedName>
    <definedName name="UAcct342Sgu">'[17]Func Study'!$AB$1575</definedName>
    <definedName name="UAcct343">'[17]Func Study'!$AB$1584</definedName>
    <definedName name="UAcct344S">'[17]Func Study'!$AB$1587</definedName>
    <definedName name="UAcct344Sgp">'[17]Func Study'!$AB$1588</definedName>
    <definedName name="UAcct345Dgu">'[17]Func Study'!$AB$1594</definedName>
    <definedName name="UAcct345Sgu">'[17]Func Study'!$AB$1595</definedName>
    <definedName name="UAcct346">'[17]Func Study'!$AB$1601</definedName>
    <definedName name="UAcct350">'[17]Func Study'!$AB$1628</definedName>
    <definedName name="UAcct352">'[17]Func Study'!$AB$1635</definedName>
    <definedName name="UAcct353">'[17]Func Study'!$AB$1641</definedName>
    <definedName name="UAcct354">'[17]Func Study'!$AB$1647</definedName>
    <definedName name="UAcct355">'[17]Func Study'!$AB$1654</definedName>
    <definedName name="UAcct356">'[17]Func Study'!$AB$1660</definedName>
    <definedName name="UAcct357">'[17]Func Study'!$AB$1666</definedName>
    <definedName name="UAcct358">'[17]Func Study'!$AB$1672</definedName>
    <definedName name="UAcct359">'[17]Func Study'!$AB$1678</definedName>
    <definedName name="UAcct360">'[17]Func Study'!$AB$1698</definedName>
    <definedName name="UAcct361">'[17]Func Study'!$AB$1704</definedName>
    <definedName name="UAcct362">'[17]Func Study'!$AB$1710</definedName>
    <definedName name="UAcct368">'[17]Func Study'!$AB$1744</definedName>
    <definedName name="UAcct369">'[17]Func Study'!$AB$1751</definedName>
    <definedName name="UAcct370">'[17]Func Study'!$AB$1762</definedName>
    <definedName name="UAcct372A">'[17]Func Study'!$AB$1775</definedName>
    <definedName name="UAcct372Dp">'[17]Func Study'!$AB$1773</definedName>
    <definedName name="UAcct372Ds">'[17]Func Study'!$AB$1774</definedName>
    <definedName name="UAcct373">'[17]Func Study'!$AB$1782</definedName>
    <definedName name="UAcct389Cn">'[17]Func Study'!$AB$1800</definedName>
    <definedName name="UAcct389S">'[17]Func Study'!$AB$1799</definedName>
    <definedName name="UAcct389Sg">'[17]Func Study'!$AB$1802</definedName>
    <definedName name="UAcct389Sgu">'[17]Func Study'!$AB$1801</definedName>
    <definedName name="UAcct389So">'[17]Func Study'!$AB$1803</definedName>
    <definedName name="UAcct390Cn">'[17]Func Study'!$AB$1810</definedName>
    <definedName name="UAcct390JBG">'[17]Func Study'!$AB$1812</definedName>
    <definedName name="UAcct390L">'[17]Func Study'!$AB$1927</definedName>
    <definedName name="UACCT390LRCL">'[17]Func Study'!$AB$1929</definedName>
    <definedName name="UAcct390S">'[17]Func Study'!$AB$1807</definedName>
    <definedName name="UAcct390Sgp">'[17]Func Study'!$AB$1808</definedName>
    <definedName name="UAcct390Sgu">'[17]Func Study'!$AB$1809</definedName>
    <definedName name="UAcct390Sop">'[17]Func Study'!$AB$1811</definedName>
    <definedName name="UAcct390Sou">'[17]Func Study'!$AB$1813</definedName>
    <definedName name="UAcct391Cn">'[17]Func Study'!$AB$1820</definedName>
    <definedName name="UACCT391JBE">'[17]Func Study'!$AB$1825</definedName>
    <definedName name="UAcct391S">'[17]Func Study'!$AB$1817</definedName>
    <definedName name="UAcct391Sg">'[17]Func Study'!$AB$1821</definedName>
    <definedName name="UAcct391Sgp">'[17]Func Study'!$AB$1818</definedName>
    <definedName name="UAcct391Sgu">'[17]Func Study'!$AB$1819</definedName>
    <definedName name="UAcct391So">'[17]Func Study'!$AB$1823</definedName>
    <definedName name="UACCT391SSGCH">'[17]Func Study'!$AB$1824</definedName>
    <definedName name="UAcct392Cn">'[17]Func Study'!$AB$1832</definedName>
    <definedName name="UAcct392L">'[17]Func Study'!$AB$1935</definedName>
    <definedName name="UAcct392Lrcl">'[17]Func Study'!$AB$1937</definedName>
    <definedName name="UAcct392S">'[17]Func Study'!$AB$1829</definedName>
    <definedName name="UAcct392Se">'[17]Func Study'!$AB$1834</definedName>
    <definedName name="UAcct392Sg">'[17]Func Study'!$AB$1831</definedName>
    <definedName name="UAcct392Sgp">'[17]Func Study'!$AB$1835</definedName>
    <definedName name="UAcct392Sgu">'[17]Func Study'!$AB$1833</definedName>
    <definedName name="UAcct392So">'[17]Func Study'!$AB$1830</definedName>
    <definedName name="UACCT392SSGCH">'[17]Func Study'!$AB$1836</definedName>
    <definedName name="UAcct393S">'[17]Func Study'!$AB$1841</definedName>
    <definedName name="UAcct393Sg">'[17]Func Study'!$AB$1845</definedName>
    <definedName name="UAcct393Sgp">'[17]Func Study'!$AB$1842</definedName>
    <definedName name="UAcct393Sgu">'[17]Func Study'!$AB$1843</definedName>
    <definedName name="UAcct393So">'[17]Func Study'!$AB$1844</definedName>
    <definedName name="UACCT393SSGCT">'[17]Func Study'!$AB$1846</definedName>
    <definedName name="UAcct394S">'[17]Func Study'!$AB$1850</definedName>
    <definedName name="UAcct394Se">'[17]Func Study'!$AB$1854</definedName>
    <definedName name="UAcct394Sg">'[17]Func Study'!$AB$1855</definedName>
    <definedName name="UAcct394Sgp">'[17]Func Study'!$AB$1851</definedName>
    <definedName name="UAcct394Sgu">'[17]Func Study'!$AB$1852</definedName>
    <definedName name="UAcct394So">'[17]Func Study'!$AB$1853</definedName>
    <definedName name="UACCT394SSGCH">'[17]Func Study'!$AB$1856</definedName>
    <definedName name="UAcct395S">'[17]Func Study'!$AB$1861</definedName>
    <definedName name="UAcct395Se">'[17]Func Study'!$AB$1865</definedName>
    <definedName name="UAcct395Sg">'[17]Func Study'!$AB$1866</definedName>
    <definedName name="UAcct395Sgp">'[17]Func Study'!$AB$1862</definedName>
    <definedName name="UAcct395Sgu">'[17]Func Study'!$AB$1863</definedName>
    <definedName name="UAcct395So">'[17]Func Study'!$AB$1864</definedName>
    <definedName name="UACCT395SSGCH">'[17]Func Study'!$AB$1867</definedName>
    <definedName name="UAcct396S">'[17]Func Study'!$AB$1872</definedName>
    <definedName name="UAcct396Se">'[17]Func Study'!$AB$1877</definedName>
    <definedName name="UAcct396Sg">'[17]Func Study'!$AB$1874</definedName>
    <definedName name="UAcct396Sgp">'[17]Func Study'!$AB$1873</definedName>
    <definedName name="UAcct396Sgu">'[17]Func Study'!$AB$1876</definedName>
    <definedName name="UAcct396So">'[17]Func Study'!$AB$1875</definedName>
    <definedName name="UACCT396SSGCH">'[17]Func Study'!$AB$1879</definedName>
    <definedName name="UACCT396SSGCT">'[17]Func Study'!$AB$1878</definedName>
    <definedName name="UAcct397Cn">'[17]Func Study'!$AB$1890</definedName>
    <definedName name="UAcct397JBG">'[17]Func Study'!$AB$1893</definedName>
    <definedName name="UAcct397S">'[17]Func Study'!$AB$1886</definedName>
    <definedName name="UAcct397Se">'[17]Func Study'!$AB$1892</definedName>
    <definedName name="UAcct397Sg">'[17]Func Study'!$AB$1891</definedName>
    <definedName name="UAcct397Sgp">'[17]Func Study'!$AB$1887</definedName>
    <definedName name="UAcct397Sgu">'[17]Func Study'!$AB$1888</definedName>
    <definedName name="UAcct397So">'[17]Func Study'!$AB$1889</definedName>
    <definedName name="UAcct398Cn">'[17]Func Study'!$AB$1902</definedName>
    <definedName name="UAcct398S">'[17]Func Study'!$AB$1899</definedName>
    <definedName name="UAcct398Se">'[17]Func Study'!$AB$1904</definedName>
    <definedName name="UAcct398Sg">'[17]Func Study'!$AB$1905</definedName>
    <definedName name="UAcct398Sgp">'[17]Func Study'!$AB$1900</definedName>
    <definedName name="UAcct398Sgu">'[17]Func Study'!$AB$1901</definedName>
    <definedName name="UAcct398So">'[17]Func Study'!$AB$1903</definedName>
    <definedName name="UACCT398SSGCT">'[17]Func Study'!$AB$1906</definedName>
    <definedName name="UAcct399">'[17]Func Study'!$AB$1913</definedName>
    <definedName name="UAcct399G">'[17]Func Study'!$AB$1955</definedName>
    <definedName name="UAcct399L">'[17]Func Study'!$AB$1917</definedName>
    <definedName name="UAcct399Lrcl">'[17]Func Study'!$AB$1919</definedName>
    <definedName name="UAcct403360">'[17]Func Study'!$AB$1090</definedName>
    <definedName name="UAcct403361">'[17]Func Study'!$AB$1091</definedName>
    <definedName name="UAcct403362">'[17]Func Study'!$AB$1092</definedName>
    <definedName name="UAcct403364">'[17]Func Study'!$AB$1094</definedName>
    <definedName name="UAcct403365">'[17]Func Study'!$AB$1095</definedName>
    <definedName name="UAcct403366">'[17]Func Study'!$AB$1096</definedName>
    <definedName name="UAcct403367">'[17]Func Study'!$AB$1097</definedName>
    <definedName name="UAcct403368">'[17]Func Study'!$AB$1098</definedName>
    <definedName name="UAcct403369">'[17]Func Study'!$AB$1099</definedName>
    <definedName name="UAcct403370">'[17]Func Study'!$AB$1100</definedName>
    <definedName name="UAcct403371">'[17]Func Study'!$AB$1101</definedName>
    <definedName name="UAcct403372">'[17]Func Study'!$AB$1102</definedName>
    <definedName name="UAcct403373">'[17]Func Study'!$AB$1103</definedName>
    <definedName name="UAcct403Ep">'[17]Func Study'!$AB$1130</definedName>
    <definedName name="UAcct403Gpcn">'[17]Func Study'!$AB$1111</definedName>
    <definedName name="UAcct403GPDGP">'[17]Func Study'!$AB$1108</definedName>
    <definedName name="UAcct403GPDGU">'[17]Func Study'!$AB$1109</definedName>
    <definedName name="UAcct403GPJBG">'[17]Func Study'!$AB$1115</definedName>
    <definedName name="UAcct403Gps">'[17]Func Study'!$AB$1107</definedName>
    <definedName name="UAcct403Gpsg">'[17]Func Study'!$AB$1112</definedName>
    <definedName name="UAcct403Gpso">'[17]Func Study'!$AB$1113</definedName>
    <definedName name="UAcct403Gv0">'[17]Func Study'!$AB$1121</definedName>
    <definedName name="UAcct403Hp">'[17]Func Study'!$AB$1072</definedName>
    <definedName name="UACCT403JBE">'[17]Func Study'!$AB$1116</definedName>
    <definedName name="UAcct403Mp">'[17]Func Study'!$AB$1125</definedName>
    <definedName name="UAcct403Np">'[17]Func Study'!$AB$1065</definedName>
    <definedName name="UAcct403Op">'[17]Func Study'!$AB$1080</definedName>
    <definedName name="UAcct403OPCAGE">'[17]Func Study'!$AB$1078</definedName>
    <definedName name="UAcct403Sp">'[17]Func Study'!$AB$1061</definedName>
    <definedName name="UAcct403SPJBG">'[17]Func Study'!$AB$1058</definedName>
    <definedName name="UAcct403Tp">'[17]Func Study'!$AB$1087</definedName>
    <definedName name="UAcct404330">'[17]Func Study'!$AB$1177</definedName>
    <definedName name="UACCT404GP">'[17]Func Study'!$AB$1146</definedName>
    <definedName name="UACCT404GPCN">'[17]Func Study'!$AB$1143</definedName>
    <definedName name="UACCT404GPSO">'[17]Func Study'!$AB$1141</definedName>
    <definedName name="UAcct404Ipcn">'[17]Func Study'!$AB$1158</definedName>
    <definedName name="UAcct404IPJBG">'[17]Func Study'!$AB$1163</definedName>
    <definedName name="UAcct404Ips">'[17]Func Study'!$AB$1154</definedName>
    <definedName name="UAcct404Ipse">'[17]Func Study'!$AB$1155</definedName>
    <definedName name="UAcct404Ipsg">'[17]Func Study'!$AB$1156</definedName>
    <definedName name="UAcct404Ipsg1">'[17]Func Study'!$AB$1159</definedName>
    <definedName name="UAcct404Ipsg2">'[17]Func Study'!$AB$1160</definedName>
    <definedName name="UAcct404Ipso">'[17]Func Study'!$AB$1157</definedName>
    <definedName name="UAcct404M">'[17]Func Study'!$AB$1168</definedName>
    <definedName name="UACCT404OP">'[17]Func Study'!$AB$1172</definedName>
    <definedName name="UACCT404SP">'[17]Func Study'!$AB$1151</definedName>
    <definedName name="UAcct405">'[17]Func Study'!$AB$1185</definedName>
    <definedName name="UAcct406">'[17]Func Study'!$AB$1193</definedName>
    <definedName name="UAcct407">'[17]Func Study'!$AB$1202</definedName>
    <definedName name="UAcct408">'[17]Func Study'!$AB$1221</definedName>
    <definedName name="UAcct408S">'[17]Func Study'!$AB$1213</definedName>
    <definedName name="UAcct41010">'[17]Func Study'!$AB$1294</definedName>
    <definedName name="UAcct41011">'[17]Func Study'!$AB$1309</definedName>
    <definedName name="UACCT41020" localSheetId="0">'[18]Functional Study'!#REF!</definedName>
    <definedName name="UACCT41020" localSheetId="2">'[18]Functional Study'!#REF!</definedName>
    <definedName name="UACCT41020">'[18]Functional Study'!#REF!</definedName>
    <definedName name="UACCT41020BADDEBT" localSheetId="0">'[18]Functional Study'!#REF!</definedName>
    <definedName name="UACCT41020BADDEBT" localSheetId="2">'[18]Functional Study'!#REF!</definedName>
    <definedName name="UACCT41020BADDEBT">'[18]Functional Study'!#REF!</definedName>
    <definedName name="UACCT41020DITEXP" localSheetId="0">'[18]Functional Study'!#REF!</definedName>
    <definedName name="UACCT41020DITEXP" localSheetId="2">'[18]Functional Study'!#REF!</definedName>
    <definedName name="UACCT41020DITEXP">'[18]Functional Study'!#REF!</definedName>
    <definedName name="UACCT41020DNPU" localSheetId="0">'[18]Functional Study'!#REF!</definedName>
    <definedName name="UACCT41020DNPU" localSheetId="2">'[18]Functional Study'!#REF!</definedName>
    <definedName name="UACCT41020DNPU">'[18]Functional Study'!#REF!</definedName>
    <definedName name="UACCT41020S" localSheetId="0">'[18]Functional Study'!#REF!</definedName>
    <definedName name="UACCT41020S" localSheetId="2">'[18]Functional Study'!#REF!</definedName>
    <definedName name="UACCT41020S">'[18]Functional Study'!#REF!</definedName>
    <definedName name="UACCT41020SE" localSheetId="0">'[18]Functional Study'!#REF!</definedName>
    <definedName name="UACCT41020SE" localSheetId="2">'[18]Functional Study'!#REF!</definedName>
    <definedName name="UACCT41020SE">'[18]Functional Study'!#REF!</definedName>
    <definedName name="UACCT41020SG" localSheetId="0">'[18]Functional Study'!#REF!</definedName>
    <definedName name="UACCT41020SG" localSheetId="2">'[18]Functional Study'!#REF!</definedName>
    <definedName name="UACCT41020SG">'[18]Functional Study'!#REF!</definedName>
    <definedName name="UACCT41020SGCT" localSheetId="0">'[18]Functional Study'!#REF!</definedName>
    <definedName name="UACCT41020SGCT" localSheetId="2">'[18]Functional Study'!#REF!</definedName>
    <definedName name="UACCT41020SGCT">'[18]Functional Study'!#REF!</definedName>
    <definedName name="UACCT41020SGPP" localSheetId="0">'[18]Functional Study'!#REF!</definedName>
    <definedName name="UACCT41020SGPP" localSheetId="2">'[18]Functional Study'!#REF!</definedName>
    <definedName name="UACCT41020SGPP">'[18]Functional Study'!#REF!</definedName>
    <definedName name="UACCT41020SO" localSheetId="0">'[18]Functional Study'!#REF!</definedName>
    <definedName name="UACCT41020SO" localSheetId="2">'[18]Functional Study'!#REF!</definedName>
    <definedName name="UACCT41020SO">'[18]Functional Study'!#REF!</definedName>
    <definedName name="UACCT41020TROJP" localSheetId="0">'[18]Functional Study'!#REF!</definedName>
    <definedName name="UACCT41020TROJP" localSheetId="2">'[18]Functional Study'!#REF!</definedName>
    <definedName name="UACCT41020TROJP">'[18]Functional Study'!#REF!</definedName>
    <definedName name="UACCT4102SNPD" localSheetId="0">'[18]Functional Study'!#REF!</definedName>
    <definedName name="UACCT4102SNPD" localSheetId="2">'[18]Functional Study'!#REF!</definedName>
    <definedName name="UACCT4102SNPD">'[18]Functional Study'!#REF!</definedName>
    <definedName name="UAcct41110">'[17]Func Study'!$AB$1325</definedName>
    <definedName name="UAcct41111" localSheetId="0">'[18]Functional Study'!#REF!</definedName>
    <definedName name="UAcct41111" localSheetId="2">'[18]Functional Study'!#REF!</definedName>
    <definedName name="UAcct41111">'[18]Functional Study'!#REF!</definedName>
    <definedName name="UAcct41111Baddebt" localSheetId="0">'[18]Functional Study'!#REF!</definedName>
    <definedName name="UAcct41111Baddebt" localSheetId="2">'[18]Functional Study'!#REF!</definedName>
    <definedName name="UAcct41111Baddebt">'[18]Functional Study'!#REF!</definedName>
    <definedName name="UAcct41111Dgp" localSheetId="0">'[18]Functional Study'!#REF!</definedName>
    <definedName name="UAcct41111Dgp" localSheetId="2">'[18]Functional Study'!#REF!</definedName>
    <definedName name="UAcct41111Dgp">'[18]Functional Study'!#REF!</definedName>
    <definedName name="UAcct41111Dgu" localSheetId="0">'[18]Functional Study'!#REF!</definedName>
    <definedName name="UAcct41111Dgu" localSheetId="2">'[18]Functional Study'!#REF!</definedName>
    <definedName name="UAcct41111Dgu">'[18]Functional Study'!#REF!</definedName>
    <definedName name="UAcct41111Ditexp" localSheetId="0">'[18]Functional Study'!#REF!</definedName>
    <definedName name="UAcct41111Ditexp" localSheetId="2">'[18]Functional Study'!#REF!</definedName>
    <definedName name="UAcct41111Ditexp">'[18]Functional Study'!#REF!</definedName>
    <definedName name="UAcct41111Dnpp" localSheetId="0">'[18]Functional Study'!#REF!</definedName>
    <definedName name="UAcct41111Dnpp" localSheetId="2">'[18]Functional Study'!#REF!</definedName>
    <definedName name="UAcct41111Dnpp">'[18]Functional Study'!#REF!</definedName>
    <definedName name="UAcct41111Dnptp" localSheetId="0">'[18]Functional Study'!#REF!</definedName>
    <definedName name="UAcct41111Dnptp" localSheetId="2">'[18]Functional Study'!#REF!</definedName>
    <definedName name="UAcct41111Dnptp">'[18]Functional Study'!#REF!</definedName>
    <definedName name="UAcct41111S" localSheetId="0">'[18]Functional Study'!#REF!</definedName>
    <definedName name="UAcct41111S" localSheetId="2">'[18]Functional Study'!#REF!</definedName>
    <definedName name="UAcct41111S">'[18]Functional Study'!#REF!</definedName>
    <definedName name="UAcct41111Se" localSheetId="0">'[18]Functional Study'!#REF!</definedName>
    <definedName name="UAcct41111Se" localSheetId="2">'[18]Functional Study'!#REF!</definedName>
    <definedName name="UAcct41111Se">'[18]Functional Study'!#REF!</definedName>
    <definedName name="UAcct41111Sg" localSheetId="0">'[18]Functional Study'!#REF!</definedName>
    <definedName name="UAcct41111Sg" localSheetId="2">'[18]Functional Study'!#REF!</definedName>
    <definedName name="UAcct41111Sg">'[18]Functional Study'!#REF!</definedName>
    <definedName name="UAcct41111Sgpp" localSheetId="0">'[18]Functional Study'!#REF!</definedName>
    <definedName name="UAcct41111Sgpp" localSheetId="2">'[18]Functional Study'!#REF!</definedName>
    <definedName name="UAcct41111Sgpp">'[18]Functional Study'!#REF!</definedName>
    <definedName name="UAcct41111So" localSheetId="0">'[18]Functional Study'!#REF!</definedName>
    <definedName name="UAcct41111So" localSheetId="2">'[18]Functional Study'!#REF!</definedName>
    <definedName name="UAcct41111So">'[18]Functional Study'!#REF!</definedName>
    <definedName name="UAcct41111Trojp" localSheetId="0">'[18]Functional Study'!#REF!</definedName>
    <definedName name="UAcct41111Trojp" localSheetId="2">'[18]Functional Study'!#REF!</definedName>
    <definedName name="UAcct41111Trojp">'[18]Functional Study'!#REF!</definedName>
    <definedName name="UAcct41140">'[17]Func Study'!$AB$1232</definedName>
    <definedName name="UAcct41141">'[17]Func Study'!$AB$1237</definedName>
    <definedName name="UAcct41160">'[17]Func Study'!$AB$369</definedName>
    <definedName name="UAcct41170">'[17]Func Study'!$AB$374</definedName>
    <definedName name="UAcct4118">'[17]Func Study'!$AB$378</definedName>
    <definedName name="UAcct41181">'[17]Func Study'!$AB$381</definedName>
    <definedName name="UAcct4194">'[17]Func Study'!$AB$385</definedName>
    <definedName name="UAcct421">'[17]Func Study'!$AB$394</definedName>
    <definedName name="UAcct4311">'[17]Func Study'!$AB$401</definedName>
    <definedName name="UAcct442Se">'[17]Func Study'!$AB$259</definedName>
    <definedName name="UAcct442Sg">'[17]Func Study'!$AB$260</definedName>
    <definedName name="UAcct447">'[17]Func Study'!$AB$281</definedName>
    <definedName name="UAcct447CAEE" localSheetId="0">'[15]Func Study'!#REF!</definedName>
    <definedName name="UAcct447CAEE" localSheetId="2">'[15]Func Study'!#REF!</definedName>
    <definedName name="UAcct447CAEE">'[15]Func Study'!#REF!</definedName>
    <definedName name="UAcct447CAGE" localSheetId="0">'[15]Func Study'!#REF!</definedName>
    <definedName name="UAcct447CAGE" localSheetId="2">'[15]Func Study'!#REF!</definedName>
    <definedName name="UAcct447CAGE">'[15]Func Study'!#REF!</definedName>
    <definedName name="UAcct447Dgu" localSheetId="0">'[16]Func Study'!#REF!</definedName>
    <definedName name="UAcct447Dgu" localSheetId="2">'[16]Func Study'!#REF!</definedName>
    <definedName name="UAcct447Dgu">'[16]Func Study'!#REF!</definedName>
    <definedName name="UACCT447NPC">'[17]Func Study'!$AB$289</definedName>
    <definedName name="UACCT447NPCCAEW">'[17]Func Study'!$AB$286</definedName>
    <definedName name="UACCT447NPCCAGW">'[17]Func Study'!$AB$287</definedName>
    <definedName name="UACCT447NPCDGP">'[17]Func Study'!$AB$288</definedName>
    <definedName name="UAcct447S">'[17]Func Study'!$AB$280</definedName>
    <definedName name="UAcct448S">'[17]Func Study'!$AB$274</definedName>
    <definedName name="UAcct448So">'[17]Func Study'!$AB$275</definedName>
    <definedName name="UAcct449">'[17]Func Study'!$AB$294</definedName>
    <definedName name="UAcct450">'[17]Func Study'!$AB$304</definedName>
    <definedName name="UAcct450S">'[17]Func Study'!$AB$302</definedName>
    <definedName name="UAcct450So">'[17]Func Study'!$AB$303</definedName>
    <definedName name="UAcct451S">'[17]Func Study'!$AB$307</definedName>
    <definedName name="UAcct451Sg">'[17]Func Study'!$AB$308</definedName>
    <definedName name="UAcct451So">'[17]Func Study'!$AB$309</definedName>
    <definedName name="UAcct453">'[17]Func Study'!$AB$315</definedName>
    <definedName name="UAcct453CAGE" localSheetId="0">'[15]Func Study'!#REF!</definedName>
    <definedName name="UAcct453CAGE" localSheetId="2">'[15]Func Study'!#REF!</definedName>
    <definedName name="UAcct453CAGE">'[15]Func Study'!#REF!</definedName>
    <definedName name="UAcct453CAGW" localSheetId="0">'[15]Func Study'!#REF!</definedName>
    <definedName name="UAcct453CAGW" localSheetId="2">'[15]Func Study'!#REF!</definedName>
    <definedName name="UAcct453CAGW">'[15]Func Study'!#REF!</definedName>
    <definedName name="UAcct454">'[17]Func Study'!$AB$322</definedName>
    <definedName name="UAcct454JBG">'[17]Func Study'!$AB$319</definedName>
    <definedName name="UAcct454S">'[17]Func Study'!$AB$318</definedName>
    <definedName name="UAcct454Sg">'[17]Func Study'!$AB$320</definedName>
    <definedName name="UAcct454So">'[17]Func Study'!$AB$321</definedName>
    <definedName name="UAcct456">'[17]Func Study'!$AB$332</definedName>
    <definedName name="UAcct456CAEW">'[17]Func Study'!$AB$331</definedName>
    <definedName name="UAcct456S">'[17]Func Study'!$AB$325</definedName>
    <definedName name="UAcct456So">'[17]Func Study'!$AB$329</definedName>
    <definedName name="UAcct500">'[17]Func Study'!$AB$416</definedName>
    <definedName name="UAcct500JBG">'[17]Func Study'!$AB$414</definedName>
    <definedName name="UAcct501">'[17]Func Study'!$AB$423</definedName>
    <definedName name="UAcct501CAEW">'[17]Func Study'!$AB$420</definedName>
    <definedName name="UAcct501JBE">'[17]Func Study'!$AB$421</definedName>
    <definedName name="UACCT501NPCCAEW">'[17]Func Study'!$AB$426</definedName>
    <definedName name="UAcct502">'[17]Func Study'!$AB$433</definedName>
    <definedName name="UAcct502CAGE">'[17]Func Study'!$AB$431</definedName>
    <definedName name="UAcct502JBG" localSheetId="0">'[15]Func Study'!#REF!</definedName>
    <definedName name="UAcct502JBG" localSheetId="2">'[15]Func Study'!#REF!</definedName>
    <definedName name="UAcct502JBG">'[15]Func Study'!#REF!</definedName>
    <definedName name="UAcct503">'[17]Func Study'!$AB$437</definedName>
    <definedName name="UACCT503NPC">'[17]Func Study'!$AB$443</definedName>
    <definedName name="UAcct505">'[17]Func Study'!$AB$449</definedName>
    <definedName name="UAcct505CAGE">'[17]Func Study'!$AB$447</definedName>
    <definedName name="UAcct505JBG" localSheetId="0">'[15]Func Study'!#REF!</definedName>
    <definedName name="UAcct505JBG" localSheetId="2">'[15]Func Study'!#REF!</definedName>
    <definedName name="UAcct505JBG">'[15]Func Study'!#REF!</definedName>
    <definedName name="UAcct506">'[17]Func Study'!$AB$455</definedName>
    <definedName name="UAcct506CAGE">'[17]Func Study'!$AB$452</definedName>
    <definedName name="UAcct506JBG" localSheetId="0">'[15]Func Study'!#REF!</definedName>
    <definedName name="UAcct506JBG" localSheetId="2">'[15]Func Study'!#REF!</definedName>
    <definedName name="UAcct506JBG">'[15]Func Study'!#REF!</definedName>
    <definedName name="UAcct507">'[17]Func Study'!$AB$464</definedName>
    <definedName name="UAcct507CAGE">'[17]Func Study'!$AB$462</definedName>
    <definedName name="UAcct507JBG" localSheetId="0">'[15]Func Study'!#REF!</definedName>
    <definedName name="UAcct507JBG" localSheetId="2">'[15]Func Study'!#REF!</definedName>
    <definedName name="UAcct507JBG">'[15]Func Study'!#REF!</definedName>
    <definedName name="UAcct510">'[17]Func Study'!$AB$469</definedName>
    <definedName name="UAcct510CAGE">'[17]Func Study'!$AB$467</definedName>
    <definedName name="UAcct510JBG" localSheetId="0">'[15]Func Study'!#REF!</definedName>
    <definedName name="UAcct510JBG" localSheetId="2">'[15]Func Study'!#REF!</definedName>
    <definedName name="UAcct510JBG">'[15]Func Study'!#REF!</definedName>
    <definedName name="UAcct511">'[17]Func Study'!$AB$474</definedName>
    <definedName name="UAcct511CAGE">'[17]Func Study'!$AB$472</definedName>
    <definedName name="UAcct511JBG" localSheetId="0">'[15]Func Study'!#REF!</definedName>
    <definedName name="UAcct511JBG" localSheetId="2">'[15]Func Study'!#REF!</definedName>
    <definedName name="UAcct511JBG">'[15]Func Study'!#REF!</definedName>
    <definedName name="UAcct512">'[17]Func Study'!$AB$479</definedName>
    <definedName name="UAcct512CAGE">'[17]Func Study'!$AB$477</definedName>
    <definedName name="UAcct512JBG" localSheetId="0">'[15]Func Study'!#REF!</definedName>
    <definedName name="UAcct512JBG" localSheetId="2">'[15]Func Study'!#REF!</definedName>
    <definedName name="UAcct512JBG">'[15]Func Study'!#REF!</definedName>
    <definedName name="UAcct513">'[17]Func Study'!$AB$484</definedName>
    <definedName name="UAcct513CAGE">'[17]Func Study'!$AB$482</definedName>
    <definedName name="UAcct513JBG" localSheetId="0">'[15]Func Study'!#REF!</definedName>
    <definedName name="UAcct513JBG" localSheetId="2">'[15]Func Study'!#REF!</definedName>
    <definedName name="UAcct513JBG">'[15]Func Study'!#REF!</definedName>
    <definedName name="UAcct514">'[17]Func Study'!$AB$489</definedName>
    <definedName name="UAcct514CAGE">'[17]Func Study'!$AB$487</definedName>
    <definedName name="UAcct514JBG" localSheetId="0">'[15]Func Study'!#REF!</definedName>
    <definedName name="UAcct514JBG" localSheetId="2">'[15]Func Study'!#REF!</definedName>
    <definedName name="UAcct514JBG">'[15]Func Study'!#REF!</definedName>
    <definedName name="UAcct517">'[17]Func Study'!$AB$498</definedName>
    <definedName name="UAcct518">'[17]Func Study'!$AB$502</definedName>
    <definedName name="UAcct519">'[17]Func Study'!$AB$507</definedName>
    <definedName name="UAcct520">'[17]Func Study'!$AB$511</definedName>
    <definedName name="UAcct523">'[17]Func Study'!$AB$515</definedName>
    <definedName name="UAcct524">'[17]Func Study'!$AB$519</definedName>
    <definedName name="UAcct528">'[17]Func Study'!$AB$523</definedName>
    <definedName name="UAcct529">'[17]Func Study'!$AB$527</definedName>
    <definedName name="UAcct530">'[17]Func Study'!$AB$531</definedName>
    <definedName name="UAcct531">'[17]Func Study'!$AB$535</definedName>
    <definedName name="UAcct532">'[17]Func Study'!$AB$539</definedName>
    <definedName name="UAcct535">'[17]Func Study'!$AB$551</definedName>
    <definedName name="UAcct536">'[17]Func Study'!$AB$555</definedName>
    <definedName name="UAcct537">'[17]Func Study'!$AB$559</definedName>
    <definedName name="UAcct538">'[17]Func Study'!$AB$563</definedName>
    <definedName name="UAcct539">'[17]Func Study'!$AB$568</definedName>
    <definedName name="UAcct540">'[17]Func Study'!$AB$572</definedName>
    <definedName name="UAcct541">'[17]Func Study'!$AB$576</definedName>
    <definedName name="UAcct542">'[17]Func Study'!$AB$580</definedName>
    <definedName name="UAcct543">'[17]Func Study'!$AB$584</definedName>
    <definedName name="UAcct544">'[17]Func Study'!$AB$588</definedName>
    <definedName name="UAcct545">'[17]Func Study'!$AB$592</definedName>
    <definedName name="UAcct546">'[17]Func Study'!$AB$606</definedName>
    <definedName name="UAcct546CAGE">'[17]Func Study'!$AB$605</definedName>
    <definedName name="UAcct547CAEW">'[17]Func Study'!$AB$610</definedName>
    <definedName name="UACCT547NPCCAEW">'[17]Func Study'!$AB$613</definedName>
    <definedName name="UAcct547Se">'[17]Func Study'!$AB$609</definedName>
    <definedName name="UAcct548">'[17]Func Study'!$AB$621</definedName>
    <definedName name="UACCT548CAGE">'[17]Func Study'!$AB$620</definedName>
    <definedName name="UAcct549">'[17]Func Study'!$AB$626</definedName>
    <definedName name="Uacct549CAGE">'[17]Func Study'!$AB$625</definedName>
    <definedName name="UAcct5506SE" localSheetId="0">'[15]Func Study'!#REF!</definedName>
    <definedName name="UAcct5506SE" localSheetId="2">'[15]Func Study'!#REF!</definedName>
    <definedName name="UAcct5506SE">'[15]Func Study'!#REF!</definedName>
    <definedName name="UAcct551CAGE">'[17]Func Study'!$AB$634</definedName>
    <definedName name="UACCT551SG">'[17]Func Study'!$AB$635</definedName>
    <definedName name="UACCT552CAGE">'[17]Func Study'!$AB$640</definedName>
    <definedName name="UAcct552SG">'[17]Func Study'!$AB$639</definedName>
    <definedName name="UACCT553CAGE">'[17]Func Study'!$AB$646</definedName>
    <definedName name="UAcct553SG">'[17]Func Study'!$AB$645</definedName>
    <definedName name="UACCT554CAGE">'[17]Func Study'!$AB$651</definedName>
    <definedName name="UAcct554SG">'[17]Func Study'!$AB$650</definedName>
    <definedName name="UAcct555CAEE" localSheetId="0">'[15]Func Study'!#REF!</definedName>
    <definedName name="UAcct555CAEE" localSheetId="2">'[15]Func Study'!#REF!</definedName>
    <definedName name="UAcct555CAEE">'[15]Func Study'!#REF!</definedName>
    <definedName name="UAcct555CAEW">'[17]Func Study'!$AB$665</definedName>
    <definedName name="UAcct555CAGE" localSheetId="0">'[15]Func Study'!#REF!</definedName>
    <definedName name="UAcct555CAGE" localSheetId="2">'[15]Func Study'!#REF!</definedName>
    <definedName name="UAcct555CAGE">'[15]Func Study'!#REF!</definedName>
    <definedName name="UAcct555CAGW">'[17]Func Study'!$AB$664</definedName>
    <definedName name="UACCT555DGP">'[17]Func Study'!$AB$670</definedName>
    <definedName name="UACCT555NPCCAEW">'[17]Func Study'!$AB$669</definedName>
    <definedName name="UACCT555NPCCAGW">'[17]Func Study'!$AB$668</definedName>
    <definedName name="UAcct555S">'[17]Func Study'!$AB$663</definedName>
    <definedName name="UAcct555Se">'[17]Func Study'!$AB$665</definedName>
    <definedName name="UACCT555SG">'[17]Func Study'!$AB$664</definedName>
    <definedName name="UAcct556">'[17]Func Study'!$AB$676</definedName>
    <definedName name="UAcct557">'[17]Func Study'!$AB$685</definedName>
    <definedName name="UAcct560">'[17]Func Study'!$AB$715</definedName>
    <definedName name="UAcct561">'[17]Func Study'!$AB$720</definedName>
    <definedName name="UAcct562">'[17]Func Study'!$AB$726</definedName>
    <definedName name="UAcct563">'[17]Func Study'!$AB$731</definedName>
    <definedName name="UAcct564">'[17]Func Study'!$AB$735</definedName>
    <definedName name="UAcct565">'[17]Func Study'!$AB$739</definedName>
    <definedName name="UACCT565NPC">'[17]Func Study'!$AB$744</definedName>
    <definedName name="UACCT565NPCCAGW">'[17]Func Study'!$AB$742</definedName>
    <definedName name="UAcct566">'[17]Func Study'!$AB$748</definedName>
    <definedName name="UAcct567">'[17]Func Study'!$AB$752</definedName>
    <definedName name="UAcct568">'[17]Func Study'!$AB$756</definedName>
    <definedName name="UAcct569">'[17]Func Study'!$AB$760</definedName>
    <definedName name="UAcct570">'[17]Func Study'!$AB$765</definedName>
    <definedName name="UAcct571">'[17]Func Study'!$AB$770</definedName>
    <definedName name="UAcct572">'[17]Func Study'!$AB$774</definedName>
    <definedName name="UAcct573">'[17]Func Study'!$AB$778</definedName>
    <definedName name="UAcct580">'[17]Func Study'!$AB$791</definedName>
    <definedName name="UAcct581">'[17]Func Study'!$AB$796</definedName>
    <definedName name="UAcct582">'[17]Func Study'!$AB$801</definedName>
    <definedName name="UAcct583">'[17]Func Study'!$AB$806</definedName>
    <definedName name="UAcct584">'[17]Func Study'!$AB$811</definedName>
    <definedName name="UAcct585">'[17]Func Study'!$AB$816</definedName>
    <definedName name="UAcct586">'[17]Func Study'!$AB$821</definedName>
    <definedName name="UAcct587">'[17]Func Study'!$AB$826</definedName>
    <definedName name="UAcct588">'[17]Func Study'!$AB$831</definedName>
    <definedName name="UAcct589">'[17]Func Study'!$AB$836</definedName>
    <definedName name="UAcct590">'[17]Func Study'!$AB$841</definedName>
    <definedName name="UAcct591">'[17]Func Study'!$AB$846</definedName>
    <definedName name="UAcct592">'[17]Func Study'!$AB$851</definedName>
    <definedName name="UAcct593">'[17]Func Study'!$AB$856</definedName>
    <definedName name="UAcct594">'[17]Func Study'!$AB$861</definedName>
    <definedName name="UAcct595">'[17]Func Study'!$AB$866</definedName>
    <definedName name="UAcct596">'[17]Func Study'!$AB$876</definedName>
    <definedName name="UAcct597">'[17]Func Study'!$AB$881</definedName>
    <definedName name="UAcct598">'[17]Func Study'!$AB$886</definedName>
    <definedName name="UAcct901">'[17]Func Study'!$AB$898</definedName>
    <definedName name="UAcct902">'[17]Func Study'!$AB$903</definedName>
    <definedName name="UAcct903">'[17]Func Study'!$AB$908</definedName>
    <definedName name="UAcct904">'[17]Func Study'!$AB$914</definedName>
    <definedName name="Uacct904SG" localSheetId="0">'[19]Functional Study'!#REF!</definedName>
    <definedName name="Uacct904SG" localSheetId="2">'[19]Functional Study'!#REF!</definedName>
    <definedName name="Uacct904SG">'[19]Functional Study'!#REF!</definedName>
    <definedName name="UAcct905">'[17]Func Study'!$AB$919</definedName>
    <definedName name="UAcct907">'[17]Func Study'!$AB$933</definedName>
    <definedName name="UAcct908">'[17]Func Study'!$AB$938</definedName>
    <definedName name="UAcct909">'[17]Func Study'!$AB$943</definedName>
    <definedName name="UAcct910">'[17]Func Study'!$AB$948</definedName>
    <definedName name="UAcct911">'[17]Func Study'!$AB$959</definedName>
    <definedName name="UAcct912">'[17]Func Study'!$AB$964</definedName>
    <definedName name="UAcct913">'[17]Func Study'!$AB$969</definedName>
    <definedName name="UAcct916">'[17]Func Study'!$AB$974</definedName>
    <definedName name="UAcct920">'[17]Func Study'!$AB$985</definedName>
    <definedName name="UAcct920Cn">'[17]Func Study'!$AB$983</definedName>
    <definedName name="UAcct921">'[17]Func Study'!$AB$991</definedName>
    <definedName name="UAcct921Cn">'[17]Func Study'!$AB$989</definedName>
    <definedName name="UAcct923">'[17]Func Study'!$AB$997</definedName>
    <definedName name="UAcct923CAGW">'[17]Func Study'!$AB$995</definedName>
    <definedName name="UAcct924">'[17]Func Study'!$AB$1001</definedName>
    <definedName name="UAcct925">'[17]Func Study'!$AB$1005</definedName>
    <definedName name="UAcct926">'[17]Func Study'!$AB$1011</definedName>
    <definedName name="UAcct927">'[17]Func Study'!$AB$1016</definedName>
    <definedName name="UAcct928">'[17]Func Study'!$AB$1023</definedName>
    <definedName name="UAcct929">'[17]Func Study'!$AB$1028</definedName>
    <definedName name="UAcct930">'[17]Func Study'!$AB$1034</definedName>
    <definedName name="UAcct931">'[17]Func Study'!$AB$1039</definedName>
    <definedName name="UAcct935">'[17]Func Study'!$AB$1045</definedName>
    <definedName name="UAcctAGA">'[17]Func Study'!$AB$296</definedName>
    <definedName name="UAcctcwc">'[17]Func Study'!$AB$2136</definedName>
    <definedName name="UAcctd00">'[17]Func Study'!$AB$1786</definedName>
    <definedName name="UAcctdfa" localSheetId="0">'[17]Func Study'!#REF!</definedName>
    <definedName name="UAcctdfa" localSheetId="2">'[17]Func Study'!#REF!</definedName>
    <definedName name="UAcctdfa">'[17]Func Study'!#REF!</definedName>
    <definedName name="UAcctdfad" localSheetId="0">'[17]Func Study'!#REF!</definedName>
    <definedName name="UAcctdfad" localSheetId="2">'[17]Func Study'!#REF!</definedName>
    <definedName name="UAcctdfad">'[17]Func Study'!#REF!</definedName>
    <definedName name="UAcctdfap" localSheetId="0">'[17]Func Study'!#REF!</definedName>
    <definedName name="UAcctdfap" localSheetId="2">'[17]Func Study'!#REF!</definedName>
    <definedName name="UAcctdfap">'[17]Func Study'!#REF!</definedName>
    <definedName name="UAcctdfat" localSheetId="0">'[17]Func Study'!#REF!</definedName>
    <definedName name="UAcctdfat" localSheetId="2">'[17]Func Study'!#REF!</definedName>
    <definedName name="UAcctdfat">'[17]Func Study'!#REF!</definedName>
    <definedName name="UAcctds0">'[17]Func Study'!$AB$1790</definedName>
    <definedName name="UACCTECDDGP">'[17]Func Study'!$AB$687</definedName>
    <definedName name="UACCTECDMC">'[17]Func Study'!$AB$689</definedName>
    <definedName name="UACCTECDS">'[17]Func Study'!$AB$691</definedName>
    <definedName name="UACCTECDSG1">'[17]Func Study'!$AB$688</definedName>
    <definedName name="UACCTECDSG2">'[17]Func Study'!$AB$690</definedName>
    <definedName name="UACCTECDSG3">'[17]Func Study'!$AB$692</definedName>
    <definedName name="UAcctfit">'[17]Func Study'!$AB$1395</definedName>
    <definedName name="UAcctg00">'[17]Func Study'!$AB$1947</definedName>
    <definedName name="UAccth00">'[17]Func Study'!$AB$1545</definedName>
    <definedName name="UAccti00">'[17]Func Study'!$AB$1993</definedName>
    <definedName name="UAcctn00">'[17]Func Study'!$AB$1496</definedName>
    <definedName name="UAccto00">'[17]Func Study'!$AB$1606</definedName>
    <definedName name="UAcctowc">'[17]Func Study'!$AB$2149</definedName>
    <definedName name="UACCTOWCSSECH">'[17]Func Study'!$AB$2148</definedName>
    <definedName name="UAccts00">'[17]Func Study'!$AB$1455</definedName>
    <definedName name="UAcctsttax">'[17]Func Study'!$AB$1377</definedName>
    <definedName name="UAcctt00">'[17]Func Study'!$AB$1682</definedName>
    <definedName name="UG">[13]CLASSIFIERS!$A$9:$IV$9</definedName>
    <definedName name="UG_NCP">[13]EXTERNAL!$A$82:$IV$84</definedName>
    <definedName name="UG_TFMR">[13]EXTERNAL!$A$103:$IV$105</definedName>
    <definedName name="UG_TFMRC">[13]EXTERNAL!$A$100:$IV$102</definedName>
    <definedName name="UNBILLED">[13]EXTERNAL!$A$64:$IV$66</definedName>
    <definedName name="UNBILREV" localSheetId="0">#REF!</definedName>
    <definedName name="UNBILREV" localSheetId="2">#REF!</definedName>
    <definedName name="UNBILREV">#REF!</definedName>
    <definedName name="UncollectibleAccounts">[22]Variables!$D$25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[22]Variables!$D$29</definedName>
    <definedName name="v" localSheetId="4" hidden="1">{#N/A,#N/A,FALSE,"Coversheet";#N/A,#N/A,FALSE,"QA"}</definedName>
    <definedName name="v" localSheetId="0" hidden="1">{#N/A,#N/A,FALSE,"Coversheet";#N/A,#N/A,FALSE,"QA"}</definedName>
    <definedName name="v" hidden="1">{#N/A,#N/A,FALSE,"Coversheet";#N/A,#N/A,FALSE,"QA"}</definedName>
    <definedName name="ValidAccount">[20]Variables!$AK$43:$AK$369</definedName>
    <definedName name="Value" localSheetId="4" hidden="1">{#N/A,#N/A,FALSE,"Summ";#N/A,#N/A,FALSE,"General"}</definedName>
    <definedName name="Value" localSheetId="0" hidden="1">{#N/A,#N/A,FALSE,"Summ";#N/A,#N/A,FALSE,"General"}</definedName>
    <definedName name="Value" hidden="1">{#N/A,#N/A,FALSE,"Summ";#N/A,#N/A,FALSE,"General"}</definedName>
    <definedName name="Values_Entered" localSheetId="4">IF(Loan_Amount*Interest_Rate*Loan_Years*Loan_Start&gt;0,1,0)</definedName>
    <definedName name="Values_Entered" localSheetId="0">IF(Loan_Amount*Interest_Rate*Loan_Years*Loan_Start&gt;0,1,0)</definedName>
    <definedName name="Values_Entered" localSheetId="2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" localSheetId="0">[25]Backup!#REF!</definedName>
    <definedName name="VAR" localSheetId="2">[25]Backup!#REF!</definedName>
    <definedName name="VAR">[25]Backup!#REF!</definedName>
    <definedName name="VARIABLE" localSheetId="0">[45]Summary!#REF!</definedName>
    <definedName name="VARIABLE" localSheetId="2">[45]Summary!#REF!</definedName>
    <definedName name="VARIABLE">[45]Summary!#REF!</definedName>
    <definedName name="VOMEsc">[21]Assumptions!$C$21</definedName>
    <definedName name="VOUCHER" localSheetId="0">#REF!</definedName>
    <definedName name="VOUCHER" localSheetId="2">#REF!</definedName>
    <definedName name="VOUCHER">#REF!</definedName>
    <definedName name="w" localSheetId="4" hidden="1">{#N/A,#N/A,FALSE,"Schedule F";#N/A,#N/A,FALSE,"Schedule G"}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ACC">[21]Assumptions!$I$61</definedName>
    <definedName name="WaRevenueTax">[22]Variables!$D$27</definedName>
    <definedName name="we" localSheetId="4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 localSheetId="2">#REF!</definedName>
    <definedName name="WEATHER">#REF!</definedName>
    <definedName name="WEATHRNORM" localSheetId="0">#REF!</definedName>
    <definedName name="WEATHRNORM" localSheetId="2">#REF!</definedName>
    <definedName name="WEATHRNORM">#REF!</definedName>
    <definedName name="WH" localSheetId="4" hidden="1">{#N/A,#N/A,FALSE,"Coversheet";#N/A,#N/A,FALSE,"QA"}</definedName>
    <definedName name="WH" localSheetId="0" hidden="1">{#N/A,#N/A,FALSE,"Coversheet";#N/A,#N/A,FALSE,"QA"}</definedName>
    <definedName name="WH" hidden="1">{#N/A,#N/A,FALSE,"Coversheet";#N/A,#N/A,FALSE,"QA"}</definedName>
    <definedName name="WIDTH" localSheetId="0">#REF!</definedName>
    <definedName name="WIDTH" localSheetId="2">#REF!</definedName>
    <definedName name="WIDTH">#REF!</definedName>
    <definedName name="Winter">'[63]Input Tab'!$B$11</definedName>
    <definedName name="WinterPeak">'[64]Load Data'!$D$9:$H$12,'[64]Load Data'!$D$20:$H$22</definedName>
    <definedName name="WORK1" localSheetId="0">#REF!</definedName>
    <definedName name="WORK1" localSheetId="2">#REF!</definedName>
    <definedName name="WORK1">#REF!</definedName>
    <definedName name="WORK2" localSheetId="0">#REF!</definedName>
    <definedName name="WORK2" localSheetId="2">#REF!</definedName>
    <definedName name="WORK2">#REF!</definedName>
    <definedName name="WORK3" localSheetId="0">#REF!</definedName>
    <definedName name="WORK3" localSheetId="2">#REF!</definedName>
    <definedName name="WORK3">#REF!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4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4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4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4" hidden="1">{#N/A,#N/A,FALSE,"schA"}</definedName>
    <definedName name="www" localSheetId="0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X" localSheetId="0" hidden="1">{#N/A,#N/A,FALSE,"2002 Small Tool OH";#N/A,#N/A,FALSE,"QA"}</definedName>
    <definedName name="XXXX" hidden="1">{#N/A,#N/A,FALSE,"2002 Small Tool OH";#N/A,#N/A,FALSE,"QA"}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 localSheetId="2">#REF!</definedName>
    <definedName name="Year">#REF!</definedName>
    <definedName name="Years_evaluated">'[65]Revison Inputs'!$B$6</definedName>
    <definedName name="YEFactors">[20]Factors!$S$3:$AG$99</definedName>
    <definedName name="YTD_Format">[52]YTD!$B$13:$D$13,[52]YTD!$B$32:$D$32</definedName>
    <definedName name="yuf" localSheetId="4" hidden="1">{#N/A,#N/A,FALSE,"Summ";#N/A,#N/A,FALSE,"General"}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A" localSheetId="0">'[66] annual balance '!#REF!</definedName>
    <definedName name="ZA" localSheetId="2">'[66] annual balance '!#REF!</definedName>
    <definedName name="ZA">'[66] annual balance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81" l="1"/>
  <c r="L38" i="74"/>
  <c r="J11" i="81" l="1"/>
  <c r="C19" i="81"/>
  <c r="D19" i="81" s="1"/>
  <c r="E19" i="81" s="1"/>
  <c r="F19" i="81" s="1"/>
  <c r="G19" i="81" s="1"/>
  <c r="J18" i="81"/>
  <c r="B20" i="81"/>
  <c r="D20" i="81"/>
  <c r="G20" i="81"/>
  <c r="H19" i="81"/>
  <c r="E20" i="81"/>
  <c r="F20" i="81"/>
  <c r="J22" i="81"/>
  <c r="B9" i="81"/>
  <c r="C8" i="81"/>
  <c r="J7" i="81"/>
  <c r="A2" i="81"/>
  <c r="A1" i="81"/>
  <c r="B18" i="74"/>
  <c r="B10" i="74"/>
  <c r="C20" i="81" l="1"/>
  <c r="H20" i="81"/>
  <c r="I19" i="81"/>
  <c r="C9" i="81"/>
  <c r="D8" i="81"/>
  <c r="J19" i="81" l="1"/>
  <c r="I20" i="81"/>
  <c r="E8" i="81"/>
  <c r="D9" i="81"/>
  <c r="A10" i="91"/>
  <c r="A11" i="91"/>
  <c r="A12" i="9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J20" i="81" l="1"/>
  <c r="J24" i="81" s="1"/>
  <c r="F8" i="81"/>
  <c r="E9" i="81"/>
  <c r="G8" i="81" l="1"/>
  <c r="F9" i="81"/>
  <c r="A2" i="61"/>
  <c r="A3" i="61"/>
  <c r="A1" i="61"/>
  <c r="H175" i="61"/>
  <c r="H174" i="61"/>
  <c r="H173" i="61"/>
  <c r="H172" i="61"/>
  <c r="H171" i="61"/>
  <c r="H170" i="61"/>
  <c r="H169" i="61"/>
  <c r="H166" i="61"/>
  <c r="H163" i="61"/>
  <c r="B162" i="61"/>
  <c r="B163" i="61" s="1"/>
  <c r="B164" i="61" s="1"/>
  <c r="B165" i="61" s="1"/>
  <c r="B166" i="61" s="1"/>
  <c r="B167" i="61" s="1"/>
  <c r="B168" i="61" s="1"/>
  <c r="B169" i="61" s="1"/>
  <c r="B170" i="61" s="1"/>
  <c r="B171" i="61" s="1"/>
  <c r="B172" i="61" s="1"/>
  <c r="B173" i="61" s="1"/>
  <c r="B174" i="61" s="1"/>
  <c r="B175" i="61" s="1"/>
  <c r="H160" i="61"/>
  <c r="B157" i="61"/>
  <c r="B158" i="61" s="1"/>
  <c r="B148" i="61"/>
  <c r="B149" i="61" s="1"/>
  <c r="B150" i="61" s="1"/>
  <c r="B147" i="61"/>
  <c r="H146" i="61"/>
  <c r="H143" i="61"/>
  <c r="B140" i="61"/>
  <c r="H139" i="61"/>
  <c r="H133" i="61"/>
  <c r="H132" i="61"/>
  <c r="H130" i="61"/>
  <c r="H129" i="61"/>
  <c r="H128" i="61"/>
  <c r="B116" i="61"/>
  <c r="B117" i="61" s="1"/>
  <c r="B118" i="61" s="1"/>
  <c r="B119" i="61" s="1"/>
  <c r="B120" i="61" s="1"/>
  <c r="B122" i="61" s="1"/>
  <c r="H103" i="61"/>
  <c r="H101" i="61"/>
  <c r="H100" i="61"/>
  <c r="B96" i="61"/>
  <c r="B97" i="61" s="1"/>
  <c r="B98" i="61" s="1"/>
  <c r="B99" i="61" s="1"/>
  <c r="B100" i="61" s="1"/>
  <c r="B95" i="61"/>
  <c r="B94" i="61"/>
  <c r="H93" i="61"/>
  <c r="H89" i="61"/>
  <c r="H83" i="61"/>
  <c r="H81" i="61"/>
  <c r="H78" i="61"/>
  <c r="H75" i="61"/>
  <c r="H74" i="61"/>
  <c r="H73" i="61"/>
  <c r="H66" i="61"/>
  <c r="H64" i="61"/>
  <c r="B64" i="61"/>
  <c r="B65" i="61" s="1"/>
  <c r="B66" i="61" s="1"/>
  <c r="B67" i="61" s="1"/>
  <c r="B68" i="61" s="1"/>
  <c r="B69" i="61" s="1"/>
  <c r="B70" i="61" s="1"/>
  <c r="B71" i="61" s="1"/>
  <c r="B73" i="61" s="1"/>
  <c r="B74" i="61" s="1"/>
  <c r="B75" i="61" s="1"/>
  <c r="B76" i="61" s="1"/>
  <c r="B77" i="61" s="1"/>
  <c r="C59" i="61"/>
  <c r="C60" i="61" s="1"/>
  <c r="C58" i="61"/>
  <c r="H51" i="61"/>
  <c r="H48" i="61"/>
  <c r="B46" i="61"/>
  <c r="B47" i="61" s="1"/>
  <c r="B48" i="61" s="1"/>
  <c r="B49" i="61" s="1"/>
  <c r="H45" i="61"/>
  <c r="H42" i="61"/>
  <c r="H41" i="61"/>
  <c r="H37" i="61"/>
  <c r="H33" i="61"/>
  <c r="B28" i="61"/>
  <c r="B29" i="61" s="1"/>
  <c r="B27" i="61"/>
  <c r="G19" i="61"/>
  <c r="A10" i="6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A57" i="61" s="1"/>
  <c r="A58" i="61" s="1"/>
  <c r="A59" i="61" s="1"/>
  <c r="A60" i="61" s="1"/>
  <c r="A61" i="61" s="1"/>
  <c r="A62" i="61" s="1"/>
  <c r="A63" i="61" s="1"/>
  <c r="A64" i="61" s="1"/>
  <c r="A65" i="61" s="1"/>
  <c r="A66" i="61" s="1"/>
  <c r="A67" i="61" s="1"/>
  <c r="A68" i="61" s="1"/>
  <c r="A69" i="61" s="1"/>
  <c r="A70" i="61" s="1"/>
  <c r="A71" i="61" s="1"/>
  <c r="A72" i="61" s="1"/>
  <c r="A73" i="61" s="1"/>
  <c r="A74" i="61" s="1"/>
  <c r="A75" i="61" s="1"/>
  <c r="A76" i="61" s="1"/>
  <c r="A77" i="61" s="1"/>
  <c r="A78" i="61" s="1"/>
  <c r="A79" i="61" s="1"/>
  <c r="A80" i="61" s="1"/>
  <c r="A81" i="61" s="1"/>
  <c r="A82" i="61" s="1"/>
  <c r="A83" i="61" s="1"/>
  <c r="A84" i="61" s="1"/>
  <c r="A85" i="61" s="1"/>
  <c r="A86" i="61" s="1"/>
  <c r="A87" i="61" s="1"/>
  <c r="A88" i="61" s="1"/>
  <c r="A89" i="61" s="1"/>
  <c r="A90" i="61" s="1"/>
  <c r="A91" i="61" s="1"/>
  <c r="A92" i="61" s="1"/>
  <c r="A93" i="61" s="1"/>
  <c r="A94" i="61" s="1"/>
  <c r="A95" i="61" s="1"/>
  <c r="A96" i="61" s="1"/>
  <c r="A97" i="61" s="1"/>
  <c r="A98" i="61" s="1"/>
  <c r="A99" i="61" s="1"/>
  <c r="A100" i="61" s="1"/>
  <c r="A101" i="61" s="1"/>
  <c r="A102" i="61" s="1"/>
  <c r="A103" i="61" s="1"/>
  <c r="A104" i="61" s="1"/>
  <c r="A105" i="61" s="1"/>
  <c r="A106" i="61" s="1"/>
  <c r="A107" i="61" s="1"/>
  <c r="A108" i="61" s="1"/>
  <c r="A109" i="61" s="1"/>
  <c r="A110" i="61" s="1"/>
  <c r="A111" i="61" s="1"/>
  <c r="A112" i="61" s="1"/>
  <c r="A113" i="61" s="1"/>
  <c r="A114" i="61" s="1"/>
  <c r="A115" i="61" s="1"/>
  <c r="A116" i="61" s="1"/>
  <c r="A117" i="61" s="1"/>
  <c r="A118" i="61" s="1"/>
  <c r="A119" i="61" s="1"/>
  <c r="A120" i="61" s="1"/>
  <c r="A121" i="61" s="1"/>
  <c r="A122" i="61" s="1"/>
  <c r="A123" i="61" s="1"/>
  <c r="A124" i="61" s="1"/>
  <c r="A125" i="61" s="1"/>
  <c r="A126" i="61" s="1"/>
  <c r="A127" i="61" s="1"/>
  <c r="A128" i="61" s="1"/>
  <c r="A129" i="61" s="1"/>
  <c r="A130" i="61" s="1"/>
  <c r="A131" i="61" s="1"/>
  <c r="A132" i="61" s="1"/>
  <c r="A133" i="61" s="1"/>
  <c r="A134" i="61" s="1"/>
  <c r="A135" i="61" s="1"/>
  <c r="A136" i="61" s="1"/>
  <c r="A137" i="61" s="1"/>
  <c r="A138" i="61" s="1"/>
  <c r="A139" i="61" s="1"/>
  <c r="A140" i="61" s="1"/>
  <c r="A141" i="61" s="1"/>
  <c r="A142" i="61" s="1"/>
  <c r="A143" i="61" s="1"/>
  <c r="A144" i="61" s="1"/>
  <c r="A145" i="61" s="1"/>
  <c r="A146" i="61" s="1"/>
  <c r="A147" i="61" s="1"/>
  <c r="A148" i="61" s="1"/>
  <c r="A149" i="61" s="1"/>
  <c r="A150" i="61" s="1"/>
  <c r="A151" i="61" s="1"/>
  <c r="A152" i="61" s="1"/>
  <c r="A153" i="61" s="1"/>
  <c r="A154" i="61" s="1"/>
  <c r="A155" i="61" s="1"/>
  <c r="A156" i="61" s="1"/>
  <c r="A157" i="61" s="1"/>
  <c r="A158" i="61" s="1"/>
  <c r="A159" i="61" s="1"/>
  <c r="A160" i="61" s="1"/>
  <c r="A161" i="61" s="1"/>
  <c r="A162" i="61" s="1"/>
  <c r="A163" i="61" s="1"/>
  <c r="A164" i="61" s="1"/>
  <c r="A165" i="61" s="1"/>
  <c r="A166" i="61" s="1"/>
  <c r="A167" i="61" s="1"/>
  <c r="A168" i="61" s="1"/>
  <c r="A169" i="61" s="1"/>
  <c r="A170" i="61" s="1"/>
  <c r="A171" i="61" s="1"/>
  <c r="A172" i="61" s="1"/>
  <c r="A173" i="61" s="1"/>
  <c r="A174" i="61" s="1"/>
  <c r="A175" i="61" s="1"/>
  <c r="H35" i="61" l="1"/>
  <c r="H165" i="61"/>
  <c r="H39" i="61"/>
  <c r="H110" i="61"/>
  <c r="H107" i="61"/>
  <c r="H111" i="61"/>
  <c r="H117" i="61"/>
  <c r="H136" i="61"/>
  <c r="H19" i="61" s="1"/>
  <c r="H108" i="61"/>
  <c r="H118" i="61"/>
  <c r="H162" i="61"/>
  <c r="H8" i="81"/>
  <c r="G9" i="81"/>
  <c r="H67" i="61"/>
  <c r="H46" i="61"/>
  <c r="H80" i="61"/>
  <c r="H88" i="61"/>
  <c r="H140" i="61"/>
  <c r="H158" i="61"/>
  <c r="H95" i="61"/>
  <c r="H28" i="61"/>
  <c r="H70" i="61"/>
  <c r="H127" i="61"/>
  <c r="H144" i="61"/>
  <c r="H50" i="61"/>
  <c r="H84" i="61"/>
  <c r="G18" i="61"/>
  <c r="H154" i="61"/>
  <c r="H109" i="61"/>
  <c r="H56" i="61"/>
  <c r="H68" i="61"/>
  <c r="H94" i="61"/>
  <c r="H97" i="61"/>
  <c r="H147" i="61"/>
  <c r="H155" i="61"/>
  <c r="H164" i="61"/>
  <c r="H76" i="61"/>
  <c r="H126" i="61"/>
  <c r="H38" i="61"/>
  <c r="H124" i="61"/>
  <c r="H54" i="61"/>
  <c r="H69" i="61"/>
  <c r="H119" i="61"/>
  <c r="G14" i="61"/>
  <c r="H36" i="61"/>
  <c r="H55" i="61"/>
  <c r="H120" i="61"/>
  <c r="H90" i="61"/>
  <c r="H122" i="61"/>
  <c r="H157" i="61"/>
  <c r="H82" i="61"/>
  <c r="H34" i="61"/>
  <c r="H52" i="61"/>
  <c r="H115" i="61"/>
  <c r="H149" i="61"/>
  <c r="B50" i="61"/>
  <c r="B54" i="61"/>
  <c r="B78" i="6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80" i="61"/>
  <c r="H65" i="61"/>
  <c r="H104" i="61"/>
  <c r="H153" i="61"/>
  <c r="H59" i="61"/>
  <c r="H77" i="61"/>
  <c r="B101" i="61"/>
  <c r="B104" i="61" s="1"/>
  <c r="B105" i="61" s="1"/>
  <c r="B106" i="61" s="1"/>
  <c r="B107" i="61" s="1"/>
  <c r="B108" i="61" s="1"/>
  <c r="B109" i="61" s="1"/>
  <c r="B110" i="61" s="1"/>
  <c r="B111" i="61" s="1"/>
  <c r="B112" i="61" s="1"/>
  <c r="B103" i="61"/>
  <c r="H98" i="61"/>
  <c r="H87" i="61"/>
  <c r="H106" i="61"/>
  <c r="H63" i="61"/>
  <c r="H85" i="61"/>
  <c r="H26" i="61"/>
  <c r="H96" i="61"/>
  <c r="H49" i="61"/>
  <c r="H71" i="61"/>
  <c r="B152" i="61"/>
  <c r="B153" i="61" s="1"/>
  <c r="B154" i="61" s="1"/>
  <c r="B155" i="61" s="1"/>
  <c r="B141" i="61"/>
  <c r="B142" i="61" s="1"/>
  <c r="B143" i="61" s="1"/>
  <c r="B144" i="61" s="1"/>
  <c r="H40" i="61"/>
  <c r="H47" i="61"/>
  <c r="H57" i="61"/>
  <c r="H60" i="61"/>
  <c r="H99" i="61"/>
  <c r="H105" i="61"/>
  <c r="H112" i="61"/>
  <c r="H148" i="61"/>
  <c r="H29" i="61"/>
  <c r="G20" i="61"/>
  <c r="H150" i="61"/>
  <c r="H116" i="61"/>
  <c r="H142" i="61"/>
  <c r="H24" i="61"/>
  <c r="H152" i="61"/>
  <c r="H27" i="61"/>
  <c r="G16" i="61"/>
  <c r="H32" i="61"/>
  <c r="H131" i="61"/>
  <c r="G13" i="61"/>
  <c r="G15" i="61"/>
  <c r="G17" i="61"/>
  <c r="H58" i="61"/>
  <c r="H161" i="61"/>
  <c r="H168" i="61"/>
  <c r="H86" i="61"/>
  <c r="H125" i="61"/>
  <c r="H141" i="61"/>
  <c r="H167" i="61"/>
  <c r="I8" i="81" l="1"/>
  <c r="H9" i="81"/>
  <c r="H18" i="61"/>
  <c r="H14" i="61"/>
  <c r="H16" i="61"/>
  <c r="H9" i="61"/>
  <c r="H13" i="61"/>
  <c r="G21" i="61"/>
  <c r="H20" i="61"/>
  <c r="H17" i="61"/>
  <c r="H15" i="61"/>
  <c r="B51" i="61"/>
  <c r="B55" i="61"/>
  <c r="I9" i="81" l="1"/>
  <c r="J8" i="81"/>
  <c r="J9" i="81" s="1"/>
  <c r="J13" i="81" s="1"/>
  <c r="H21" i="61"/>
  <c r="H22" i="61" s="1"/>
  <c r="B52" i="61"/>
  <c r="B57" i="61" s="1"/>
  <c r="B58" i="61" s="1"/>
  <c r="B59" i="61" s="1"/>
  <c r="B60" i="61" s="1"/>
  <c r="B56" i="61"/>
  <c r="G22" i="61"/>
  <c r="J26" i="81" l="1"/>
  <c r="J28" i="81" s="1"/>
  <c r="M36" i="74" s="1"/>
  <c r="F36" i="48" l="1"/>
  <c r="D87" i="74" l="1"/>
  <c r="B87" i="74"/>
  <c r="B88" i="74" s="1"/>
  <c r="B89" i="74" s="1"/>
  <c r="B90" i="74" s="1"/>
  <c r="D81" i="74"/>
  <c r="D75" i="74"/>
  <c r="D50" i="74"/>
  <c r="B44" i="74"/>
  <c r="B45" i="74" s="1"/>
  <c r="B46" i="74" s="1"/>
  <c r="B47" i="74" s="1"/>
  <c r="B25" i="74"/>
  <c r="B26" i="74" s="1"/>
  <c r="B27" i="74" s="1"/>
  <c r="B28" i="74" s="1"/>
  <c r="B37" i="74" l="1"/>
  <c r="B38" i="74" s="1"/>
  <c r="B19" i="74"/>
  <c r="B20" i="74" s="1"/>
  <c r="B21" i="74" s="1"/>
  <c r="A16" i="89" l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L39" i="74"/>
  <c r="K11" i="89"/>
  <c r="H11" i="89"/>
  <c r="G11" i="89"/>
  <c r="F11" i="89"/>
  <c r="J12" i="89"/>
  <c r="L12" i="89"/>
  <c r="N12" i="89"/>
  <c r="O12" i="89"/>
  <c r="E11" i="89"/>
  <c r="A10" i="89"/>
  <c r="A11" i="89" s="1"/>
  <c r="A12" i="89" s="1"/>
  <c r="A13" i="89" s="1"/>
  <c r="A14" i="89" s="1"/>
  <c r="A15" i="89" s="1"/>
  <c r="K12" i="89" l="1"/>
  <c r="C30" i="89"/>
  <c r="E26" i="89" s="1"/>
  <c r="F12" i="89"/>
  <c r="E12" i="89"/>
  <c r="H12" i="89"/>
  <c r="C10" i="89"/>
  <c r="I11" i="89"/>
  <c r="G12" i="89"/>
  <c r="M11" i="89"/>
  <c r="M12" i="89" s="1"/>
  <c r="A2" i="74"/>
  <c r="A3" i="74"/>
  <c r="A4" i="74"/>
  <c r="A1" i="74"/>
  <c r="E24" i="89" l="1"/>
  <c r="H16" i="89" s="1"/>
  <c r="E29" i="89"/>
  <c r="M17" i="89" s="1"/>
  <c r="E28" i="89"/>
  <c r="P16" i="89" s="1"/>
  <c r="E22" i="89"/>
  <c r="F16" i="89" s="1"/>
  <c r="E27" i="89"/>
  <c r="E30" i="89"/>
  <c r="E21" i="89"/>
  <c r="E16" i="89" s="1"/>
  <c r="I16" i="89"/>
  <c r="I17" i="89"/>
  <c r="D44" i="74" s="1"/>
  <c r="E23" i="89"/>
  <c r="E25" i="89"/>
  <c r="I12" i="89"/>
  <c r="P11" i="89" l="1"/>
  <c r="P17" i="89"/>
  <c r="D93" i="74" s="1"/>
  <c r="H17" i="89"/>
  <c r="D31" i="74" s="1"/>
  <c r="F17" i="89"/>
  <c r="D19" i="74" s="1"/>
  <c r="M16" i="89"/>
  <c r="K16" i="89"/>
  <c r="K17" i="89"/>
  <c r="D56" i="74" s="1"/>
  <c r="E17" i="89"/>
  <c r="D12" i="74" s="1"/>
  <c r="G17" i="89"/>
  <c r="G16" i="89"/>
  <c r="C16" i="89" l="1"/>
  <c r="P12" i="89"/>
  <c r="C12" i="89" s="1"/>
  <c r="E13" i="89" s="1"/>
  <c r="C11" i="89"/>
  <c r="C17" i="89"/>
  <c r="K13" i="89"/>
  <c r="H13" i="89"/>
  <c r="O13" i="89"/>
  <c r="F13" i="89"/>
  <c r="J13" i="89"/>
  <c r="M13" i="89"/>
  <c r="G13" i="89"/>
  <c r="P13" i="89"/>
  <c r="I13" i="89"/>
  <c r="N13" i="89" l="1"/>
  <c r="L13" i="89"/>
  <c r="C13" i="89"/>
  <c r="B93" i="74" l="1"/>
  <c r="B81" i="74"/>
  <c r="B82" i="74" s="1"/>
  <c r="B83" i="74" s="1"/>
  <c r="B84" i="74" s="1"/>
  <c r="B75" i="74"/>
  <c r="B76" i="74" s="1"/>
  <c r="B77" i="74" s="1"/>
  <c r="B78" i="74" s="1"/>
  <c r="B69" i="74"/>
  <c r="B70" i="74" s="1"/>
  <c r="B71" i="74" s="1"/>
  <c r="B72" i="74" s="1"/>
  <c r="B63" i="74"/>
  <c r="B64" i="74" s="1"/>
  <c r="B65" i="74" s="1"/>
  <c r="B66" i="74" s="1"/>
  <c r="B56" i="74"/>
  <c r="B57" i="74" s="1"/>
  <c r="B58" i="74" s="1"/>
  <c r="B59" i="74" s="1"/>
  <c r="B50" i="74"/>
  <c r="B51" i="74" s="1"/>
  <c r="B52" i="74" s="1"/>
  <c r="B53" i="74" s="1"/>
  <c r="B39" i="74"/>
  <c r="B40" i="74" s="1"/>
  <c r="B31" i="74"/>
  <c r="B32" i="74" s="1"/>
  <c r="B33" i="74" s="1"/>
  <c r="B34" i="74" s="1"/>
  <c r="B22" i="74"/>
  <c r="G11" i="74"/>
  <c r="G12" i="74" s="1"/>
  <c r="G13" i="74" s="1"/>
  <c r="G14" i="74" s="1"/>
  <c r="G15" i="74" s="1"/>
  <c r="G16" i="74" s="1"/>
  <c r="G17" i="74" s="1"/>
  <c r="G18" i="74" s="1"/>
  <c r="G19" i="74" s="1"/>
  <c r="G20" i="74" s="1"/>
  <c r="G21" i="74" s="1"/>
  <c r="G22" i="74" s="1"/>
  <c r="G23" i="74" s="1"/>
  <c r="G24" i="74" s="1"/>
  <c r="G25" i="74" s="1"/>
  <c r="G26" i="74" s="1"/>
  <c r="G27" i="74" s="1"/>
  <c r="G28" i="74" s="1"/>
  <c r="G29" i="74" s="1"/>
  <c r="G30" i="74" s="1"/>
  <c r="G31" i="74" s="1"/>
  <c r="G32" i="74" s="1"/>
  <c r="G33" i="74" s="1"/>
  <c r="G34" i="74" s="1"/>
  <c r="B11" i="74"/>
  <c r="B12" i="74" s="1"/>
  <c r="B13" i="74" s="1"/>
  <c r="B14" i="74" s="1"/>
  <c r="B15" i="74" s="1"/>
  <c r="A11" i="74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A56" i="74" s="1"/>
  <c r="A57" i="74" s="1"/>
  <c r="A58" i="74" s="1"/>
  <c r="A59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79" i="74" s="1"/>
  <c r="A80" i="74" s="1"/>
  <c r="A81" i="74" s="1"/>
  <c r="A82" i="74" s="1"/>
  <c r="A83" i="74" s="1"/>
  <c r="A84" i="74" s="1"/>
  <c r="A85" i="74" s="1"/>
  <c r="A86" i="74" s="1"/>
  <c r="A87" i="74" s="1"/>
  <c r="A88" i="74" s="1"/>
  <c r="A89" i="74" s="1"/>
  <c r="A90" i="74" s="1"/>
  <c r="A91" i="74" s="1"/>
  <c r="A92" i="74" s="1"/>
  <c r="A93" i="74" s="1"/>
  <c r="P40" i="87"/>
  <c r="O40" i="87"/>
  <c r="E12" i="88"/>
  <c r="F11" i="88"/>
  <c r="F12" i="88" s="1"/>
  <c r="A10" i="88"/>
  <c r="A11" i="88" s="1"/>
  <c r="A12" i="88" s="1"/>
  <c r="A96" i="74" l="1"/>
  <c r="A97" i="74" s="1"/>
  <c r="A98" i="74" s="1"/>
  <c r="A99" i="74" s="1"/>
  <c r="A100" i="74" s="1"/>
  <c r="A101" i="74" s="1"/>
  <c r="A102" i="74" s="1"/>
  <c r="A103" i="74" s="1"/>
  <c r="A94" i="74"/>
  <c r="A95" i="74" s="1"/>
  <c r="B94" i="74"/>
  <c r="B95" i="74" s="1"/>
  <c r="B96" i="74" s="1"/>
  <c r="L36" i="74"/>
  <c r="J32" i="74"/>
  <c r="M32" i="74" s="1"/>
  <c r="J28" i="74"/>
  <c r="M28" i="74" s="1"/>
  <c r="J26" i="74"/>
  <c r="M26" i="74" s="1"/>
  <c r="J24" i="74"/>
  <c r="M24" i="74" s="1"/>
  <c r="J21" i="74"/>
  <c r="M21" i="74" s="1"/>
  <c r="J20" i="74"/>
  <c r="M20" i="74" s="1"/>
  <c r="J19" i="74"/>
  <c r="M19" i="74" s="1"/>
  <c r="J15" i="74"/>
  <c r="M15" i="74" s="1"/>
  <c r="J14" i="74"/>
  <c r="M14" i="74" s="1"/>
  <c r="J13" i="74"/>
  <c r="M13" i="74" s="1"/>
  <c r="J10" i="74"/>
  <c r="M10" i="74" s="1"/>
  <c r="G97" i="87"/>
  <c r="D97" i="87"/>
  <c r="G93" i="87"/>
  <c r="D93" i="87"/>
  <c r="B101" i="87"/>
  <c r="B102" i="87" s="1"/>
  <c r="B103" i="87" s="1"/>
  <c r="B97" i="87"/>
  <c r="B98" i="87" s="1"/>
  <c r="B93" i="87"/>
  <c r="B94" i="87" s="1"/>
  <c r="B88" i="87"/>
  <c r="B89" i="87" s="1"/>
  <c r="B90" i="87" s="1"/>
  <c r="B82" i="87"/>
  <c r="B83" i="87" s="1"/>
  <c r="B84" i="87" s="1"/>
  <c r="B85" i="87" s="1"/>
  <c r="B76" i="87"/>
  <c r="B77" i="87" s="1"/>
  <c r="B78" i="87" s="1"/>
  <c r="B79" i="87" s="1"/>
  <c r="B69" i="87"/>
  <c r="B70" i="87" s="1"/>
  <c r="B71" i="87" s="1"/>
  <c r="B72" i="87" s="1"/>
  <c r="B63" i="87"/>
  <c r="B64" i="87" s="1"/>
  <c r="B65" i="87" s="1"/>
  <c r="B66" i="87" s="1"/>
  <c r="B57" i="87"/>
  <c r="B58" i="87" s="1"/>
  <c r="B59" i="87" s="1"/>
  <c r="B60" i="87" s="1"/>
  <c r="B46" i="87"/>
  <c r="B47" i="87" s="1"/>
  <c r="B48" i="87" s="1"/>
  <c r="B49" i="87" s="1"/>
  <c r="B50" i="87" s="1"/>
  <c r="B51" i="87" s="1"/>
  <c r="B52" i="87" s="1"/>
  <c r="B53" i="87" s="1"/>
  <c r="B40" i="87"/>
  <c r="B41" i="87" s="1"/>
  <c r="B42" i="87" s="1"/>
  <c r="B43" i="87" s="1"/>
  <c r="B31" i="87"/>
  <c r="B32" i="87" s="1"/>
  <c r="B33" i="87" s="1"/>
  <c r="B34" i="87" s="1"/>
  <c r="B35" i="87" s="1"/>
  <c r="B36" i="87" s="1"/>
  <c r="B37" i="87" s="1"/>
  <c r="B23" i="87"/>
  <c r="B24" i="87" s="1"/>
  <c r="B25" i="87" s="1"/>
  <c r="B26" i="87" s="1"/>
  <c r="B27" i="87" s="1"/>
  <c r="B28" i="87" s="1"/>
  <c r="J13" i="87"/>
  <c r="J14" i="87" s="1"/>
  <c r="J15" i="87" s="1"/>
  <c r="J16" i="87" s="1"/>
  <c r="J17" i="87" s="1"/>
  <c r="J18" i="87" s="1"/>
  <c r="J19" i="87" s="1"/>
  <c r="J20" i="87" s="1"/>
  <c r="J21" i="87" s="1"/>
  <c r="J22" i="87" s="1"/>
  <c r="J23" i="87" s="1"/>
  <c r="J24" i="87" s="1"/>
  <c r="J25" i="87" s="1"/>
  <c r="J26" i="87" s="1"/>
  <c r="J27" i="87" s="1"/>
  <c r="J28" i="87" s="1"/>
  <c r="J29" i="87" s="1"/>
  <c r="J30" i="87" s="1"/>
  <c r="J31" i="87" s="1"/>
  <c r="J32" i="87" s="1"/>
  <c r="J33" i="87" s="1"/>
  <c r="J34" i="87" s="1"/>
  <c r="J35" i="87" s="1"/>
  <c r="J36" i="87" s="1"/>
  <c r="B13" i="87"/>
  <c r="B14" i="87" s="1"/>
  <c r="B15" i="87" s="1"/>
  <c r="B16" i="87" s="1"/>
  <c r="B17" i="87" s="1"/>
  <c r="B18" i="87" s="1"/>
  <c r="B19" i="87" s="1"/>
  <c r="A13" i="87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68" i="87" s="1"/>
  <c r="A69" i="87" s="1"/>
  <c r="A70" i="87" s="1"/>
  <c r="A71" i="87" s="1"/>
  <c r="A72" i="87" s="1"/>
  <c r="A73" i="87" s="1"/>
  <c r="A74" i="87" s="1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87" i="87" s="1"/>
  <c r="A88" i="87" s="1"/>
  <c r="A89" i="87" s="1"/>
  <c r="A90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102" i="87" s="1"/>
  <c r="A103" i="87" s="1"/>
  <c r="A104" i="87" s="1"/>
  <c r="A105" i="87" s="1"/>
  <c r="A106" i="87" s="1"/>
  <c r="A107" i="87" s="1"/>
  <c r="M22" i="74" l="1"/>
  <c r="M30" i="74"/>
  <c r="M34" i="74" s="1"/>
  <c r="M16" i="74"/>
  <c r="L13" i="74"/>
  <c r="L20" i="74"/>
  <c r="L21" i="74"/>
  <c r="L24" i="74"/>
  <c r="L19" i="74"/>
  <c r="L10" i="74"/>
  <c r="L26" i="74"/>
  <c r="L14" i="74"/>
  <c r="L32" i="74"/>
  <c r="L28" i="74"/>
  <c r="L15" i="74"/>
  <c r="G102" i="87"/>
  <c r="D71" i="87"/>
  <c r="J34" i="74"/>
  <c r="G17" i="87"/>
  <c r="D65" i="87"/>
  <c r="D17" i="87"/>
  <c r="G59" i="87"/>
  <c r="O38" i="87"/>
  <c r="O17" i="87" s="1"/>
  <c r="E43" i="87" s="1"/>
  <c r="D51" i="87"/>
  <c r="G71" i="87"/>
  <c r="G84" i="87"/>
  <c r="G35" i="87"/>
  <c r="D42" i="87"/>
  <c r="G42" i="87"/>
  <c r="D89" i="87"/>
  <c r="G89" i="87"/>
  <c r="G51" i="87"/>
  <c r="D102" i="87"/>
  <c r="D26" i="87"/>
  <c r="D78" i="87"/>
  <c r="P38" i="87"/>
  <c r="P30" i="87" s="1"/>
  <c r="G65" i="87"/>
  <c r="D59" i="87"/>
  <c r="D84" i="87"/>
  <c r="D35" i="87"/>
  <c r="G78" i="87"/>
  <c r="G26" i="87"/>
  <c r="M36" i="87"/>
  <c r="L16" i="74" l="1"/>
  <c r="L22" i="74"/>
  <c r="O28" i="87"/>
  <c r="E98" i="87" s="1"/>
  <c r="E96" i="87" s="1"/>
  <c r="E97" i="87" s="1"/>
  <c r="O30" i="87"/>
  <c r="E90" i="87" s="1"/>
  <c r="E87" i="87" s="1"/>
  <c r="D26" i="91" s="1"/>
  <c r="O21" i="87"/>
  <c r="E60" i="87" s="1"/>
  <c r="E57" i="87" s="1"/>
  <c r="D18" i="91" s="1"/>
  <c r="O22" i="87"/>
  <c r="E66" i="87" s="1"/>
  <c r="E63" i="87" s="1"/>
  <c r="D19" i="91" s="1"/>
  <c r="O34" i="87"/>
  <c r="E103" i="87" s="1"/>
  <c r="E100" i="87" s="1"/>
  <c r="D28" i="91" s="1"/>
  <c r="O26" i="87"/>
  <c r="E79" i="87" s="1"/>
  <c r="E76" i="87" s="1"/>
  <c r="D23" i="91" s="1"/>
  <c r="O23" i="87"/>
  <c r="E72" i="87" s="1"/>
  <c r="E69" i="87" s="1"/>
  <c r="D20" i="91" s="1"/>
  <c r="O12" i="87"/>
  <c r="E19" i="87" s="1"/>
  <c r="E17" i="87" s="1"/>
  <c r="D9" i="91" s="1"/>
  <c r="E34" i="48" s="1"/>
  <c r="O15" i="87"/>
  <c r="E28" i="87" s="1"/>
  <c r="E26" i="87" s="1"/>
  <c r="D12" i="91" s="1"/>
  <c r="O16" i="87"/>
  <c r="E53" i="87" s="1"/>
  <c r="E51" i="87" s="1"/>
  <c r="D15" i="91" s="1"/>
  <c r="E40" i="87"/>
  <c r="D14" i="91" s="1"/>
  <c r="D105" i="87"/>
  <c r="G105" i="87"/>
  <c r="P26" i="87"/>
  <c r="H79" i="87" s="1"/>
  <c r="H76" i="87" s="1"/>
  <c r="H78" i="87" s="1"/>
  <c r="P22" i="87"/>
  <c r="H66" i="87" s="1"/>
  <c r="H63" i="87" s="1"/>
  <c r="H65" i="87" s="1"/>
  <c r="P12" i="87"/>
  <c r="H19" i="87" s="1"/>
  <c r="H17" i="87" s="1"/>
  <c r="H18" i="87" s="1"/>
  <c r="P16" i="87"/>
  <c r="H37" i="87" s="1"/>
  <c r="H35" i="87" s="1"/>
  <c r="H36" i="87" s="1"/>
  <c r="P15" i="87"/>
  <c r="H28" i="87" s="1"/>
  <c r="H26" i="87" s="1"/>
  <c r="H27" i="87" s="1"/>
  <c r="P34" i="87"/>
  <c r="H103" i="87" s="1"/>
  <c r="H100" i="87" s="1"/>
  <c r="H102" i="87" s="1"/>
  <c r="P21" i="87"/>
  <c r="H60" i="87" s="1"/>
  <c r="H57" i="87" s="1"/>
  <c r="H59" i="87" s="1"/>
  <c r="P23" i="87"/>
  <c r="H72" i="87" s="1"/>
  <c r="H69" i="87" s="1"/>
  <c r="H71" i="87" s="1"/>
  <c r="P28" i="87"/>
  <c r="H98" i="87" s="1"/>
  <c r="H96" i="87" s="1"/>
  <c r="H97" i="87" s="1"/>
  <c r="P17" i="87"/>
  <c r="H43" i="87" s="1"/>
  <c r="H40" i="87" s="1"/>
  <c r="H42" i="87" s="1"/>
  <c r="H90" i="87"/>
  <c r="H87" i="87" s="1"/>
  <c r="H89" i="87" s="1"/>
  <c r="E78" i="87" l="1"/>
  <c r="E102" i="87"/>
  <c r="E65" i="87"/>
  <c r="E59" i="87"/>
  <c r="E52" i="87"/>
  <c r="E89" i="87"/>
  <c r="E27" i="87"/>
  <c r="E18" i="87"/>
  <c r="E42" i="87"/>
  <c r="E71" i="87"/>
  <c r="L30" i="74"/>
  <c r="E94" i="87"/>
  <c r="E92" i="87" s="1"/>
  <c r="E93" i="87" s="1"/>
  <c r="E37" i="87"/>
  <c r="E35" i="87" s="1"/>
  <c r="D13" i="91" s="1"/>
  <c r="O18" i="87"/>
  <c r="E85" i="87"/>
  <c r="O24" i="87"/>
  <c r="H85" i="87"/>
  <c r="H82" i="87" s="1"/>
  <c r="H84" i="87" s="1"/>
  <c r="H53" i="87"/>
  <c r="H51" i="87" s="1"/>
  <c r="H52" i="87" s="1"/>
  <c r="H94" i="87"/>
  <c r="H92" i="87" s="1"/>
  <c r="H93" i="87" s="1"/>
  <c r="P18" i="87"/>
  <c r="P24" i="87"/>
  <c r="E36" i="87" l="1"/>
  <c r="O32" i="87"/>
  <c r="O36" i="87" s="1"/>
  <c r="O42" i="87" s="1"/>
  <c r="E82" i="87"/>
  <c r="D24" i="91" s="1"/>
  <c r="L34" i="74"/>
  <c r="L40" i="74" s="1"/>
  <c r="H105" i="87"/>
  <c r="H106" i="87" s="1"/>
  <c r="P32" i="87"/>
  <c r="P36" i="87" s="1"/>
  <c r="P42" i="87" s="1"/>
  <c r="E84" i="87" l="1"/>
  <c r="E105" i="87" s="1"/>
  <c r="E106" i="87" s="1"/>
  <c r="A35" i="72"/>
  <c r="A36" i="72" s="1"/>
  <c r="K9" i="72"/>
  <c r="K20" i="72"/>
  <c r="L9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L24" i="72" l="1"/>
  <c r="K24" i="72"/>
  <c r="L20" i="72"/>
  <c r="L15" i="72"/>
  <c r="E51" i="48"/>
  <c r="F42" i="48"/>
  <c r="F57" i="48" s="1"/>
  <c r="F41" i="48"/>
  <c r="F56" i="48" s="1"/>
  <c r="F40" i="48"/>
  <c r="F55" i="48" s="1"/>
  <c r="F39" i="48"/>
  <c r="F54" i="48" s="1"/>
  <c r="F33" i="48"/>
  <c r="F48" i="48" s="1"/>
  <c r="F32" i="48"/>
  <c r="F47" i="48" s="1"/>
  <c r="F31" i="48"/>
  <c r="F30" i="48"/>
  <c r="C18" i="48"/>
  <c r="L30" i="72" l="1"/>
  <c r="L34" i="72" s="1"/>
  <c r="C8" i="48"/>
  <c r="C16" i="48"/>
  <c r="C22" i="48"/>
  <c r="C13" i="48"/>
  <c r="C11" i="48"/>
  <c r="C14" i="48"/>
  <c r="C23" i="48"/>
  <c r="C9" i="48"/>
  <c r="C17" i="48"/>
  <c r="E47" i="48"/>
  <c r="C12" i="48"/>
  <c r="C7" i="48"/>
  <c r="C15" i="48"/>
  <c r="C10" i="48"/>
  <c r="E56" i="48"/>
  <c r="E55" i="48"/>
  <c r="E54" i="48"/>
  <c r="E57" i="48"/>
  <c r="E48" i="48"/>
  <c r="U81" i="77" l="1"/>
  <c r="Q81" i="77"/>
  <c r="D36" i="74" s="1"/>
  <c r="AO81" i="77"/>
  <c r="AG81" i="77"/>
  <c r="Y81" i="77"/>
  <c r="I81" i="77"/>
  <c r="N81" i="77"/>
  <c r="C81" i="77"/>
  <c r="AM81" i="77"/>
  <c r="AE81" i="77"/>
  <c r="W81" i="77"/>
  <c r="O81" i="77"/>
  <c r="G81" i="77"/>
  <c r="AL81" i="77"/>
  <c r="AK81" i="77"/>
  <c r="AC81" i="77"/>
  <c r="D55" i="74"/>
  <c r="M81" i="77"/>
  <c r="E81" i="77"/>
  <c r="D11" i="74" s="1"/>
  <c r="AJ81" i="77"/>
  <c r="AB81" i="77"/>
  <c r="T81" i="77"/>
  <c r="D49" i="74" s="1"/>
  <c r="L81" i="77"/>
  <c r="D81" i="77"/>
  <c r="D92" i="74" s="1"/>
  <c r="V81" i="77"/>
  <c r="AQ81" i="77"/>
  <c r="D86" i="74" s="1"/>
  <c r="AI81" i="77"/>
  <c r="AA81" i="77"/>
  <c r="S81" i="77"/>
  <c r="K81" i="77"/>
  <c r="AD81" i="77"/>
  <c r="AP81" i="77"/>
  <c r="AH81" i="77"/>
  <c r="Z81" i="77"/>
  <c r="R81" i="77"/>
  <c r="J81" i="77"/>
  <c r="F81" i="77"/>
  <c r="AN81" i="77"/>
  <c r="AF81" i="77"/>
  <c r="X81" i="77"/>
  <c r="D68" i="74" s="1"/>
  <c r="P81" i="77"/>
  <c r="H81" i="77"/>
  <c r="C20" i="48"/>
  <c r="D62" i="74" l="1"/>
  <c r="D80" i="74"/>
  <c r="D69" i="74"/>
  <c r="D63" i="74"/>
  <c r="D24" i="74"/>
  <c r="D43" i="74"/>
  <c r="D94" i="74"/>
  <c r="D51" i="74"/>
  <c r="D13" i="74"/>
  <c r="D57" i="74"/>
  <c r="D88" i="74"/>
  <c r="D74" i="74"/>
  <c r="D30" i="74"/>
  <c r="D18" i="74"/>
  <c r="D45" i="74" l="1"/>
  <c r="D70" i="74"/>
  <c r="D82" i="74"/>
  <c r="D102" i="74"/>
  <c r="D37" i="74"/>
  <c r="D25" i="74"/>
  <c r="D64" i="74"/>
  <c r="D76" i="74"/>
  <c r="D20" i="74"/>
  <c r="D32" i="74"/>
  <c r="D38" i="74" l="1"/>
  <c r="D103" i="74"/>
  <c r="D104" i="74" s="1"/>
  <c r="D26" i="74"/>
  <c r="D98" i="74" l="1"/>
  <c r="D105" i="74" s="1"/>
  <c r="A20" i="77"/>
  <c r="A32" i="77" s="1"/>
  <c r="A44" i="77" s="1"/>
  <c r="A56" i="77" s="1"/>
  <c r="A68" i="77" s="1"/>
  <c r="U3" i="77"/>
  <c r="U2" i="77"/>
  <c r="U1" i="77"/>
  <c r="D99" i="74" l="1"/>
  <c r="A3" i="48"/>
  <c r="F66" i="48"/>
  <c r="F65" i="48"/>
  <c r="F64" i="48"/>
  <c r="F60" i="48"/>
  <c r="F45" i="48"/>
  <c r="E28" i="48"/>
  <c r="F27" i="48"/>
  <c r="H15" i="48" l="1"/>
  <c r="H7" i="48"/>
  <c r="H12" i="48"/>
  <c r="H17" i="48"/>
  <c r="H9" i="48"/>
  <c r="H23" i="48"/>
  <c r="H14" i="48"/>
  <c r="H11" i="48"/>
  <c r="H22" i="48"/>
  <c r="H16" i="48"/>
  <c r="H8" i="48"/>
  <c r="H18" i="48"/>
  <c r="H10" i="48"/>
  <c r="H13" i="48"/>
  <c r="F28" i="48"/>
  <c r="E46" i="48"/>
  <c r="F46" i="48"/>
  <c r="H20" i="48" l="1"/>
  <c r="F51" i="48" l="1"/>
  <c r="F35" i="48" l="1"/>
  <c r="E50" i="48"/>
  <c r="F50" i="48" l="1"/>
  <c r="F63" i="48" l="1"/>
  <c r="F67" i="48" s="1"/>
  <c r="E67" i="48"/>
  <c r="E77" i="48" l="1"/>
  <c r="B9" i="48" s="1"/>
  <c r="E80" i="48"/>
  <c r="B12" i="48" s="1"/>
  <c r="E86" i="48" l="1"/>
  <c r="B18" i="48" s="1"/>
  <c r="E81" i="48"/>
  <c r="B13" i="48" s="1"/>
  <c r="E78" i="48"/>
  <c r="B10" i="48" s="1"/>
  <c r="E76" i="48"/>
  <c r="B8" i="48" s="1"/>
  <c r="D87" i="48"/>
  <c r="C87" i="48"/>
  <c r="E83" i="48"/>
  <c r="B15" i="48" s="1"/>
  <c r="E82" i="48"/>
  <c r="B14" i="48" s="1"/>
  <c r="E84" i="48"/>
  <c r="B16" i="48" s="1"/>
  <c r="E85" i="48"/>
  <c r="B17" i="48" s="1"/>
  <c r="E79" i="48"/>
  <c r="B11" i="48" s="1"/>
  <c r="E75" i="48" l="1"/>
  <c r="B7" i="48" s="1"/>
  <c r="E89" i="48"/>
  <c r="E87" i="48" l="1"/>
  <c r="C9" i="72"/>
  <c r="B20" i="48"/>
  <c r="B22" i="48"/>
  <c r="C20" i="72" l="1"/>
  <c r="C24" i="72"/>
  <c r="D24" i="72" l="1"/>
  <c r="C15" i="72"/>
  <c r="C30" i="72" s="1"/>
  <c r="C34" i="72" s="1"/>
  <c r="D20" i="72" l="1"/>
  <c r="D9" i="72"/>
  <c r="D15" i="72" l="1"/>
  <c r="D30" i="72" s="1"/>
  <c r="D34" i="72" s="1"/>
  <c r="J9" i="72" l="1"/>
  <c r="J24" i="72"/>
  <c r="J15" i="72"/>
  <c r="J20" i="72"/>
  <c r="J30" i="72" l="1"/>
  <c r="J34" i="72" s="1"/>
  <c r="V24" i="72" l="1"/>
  <c r="U24" i="72" l="1"/>
  <c r="W24" i="72" l="1"/>
  <c r="F37" i="48"/>
  <c r="F52" i="48" s="1"/>
  <c r="E52" i="48" l="1"/>
  <c r="E49" i="48" l="1"/>
  <c r="F38" i="48"/>
  <c r="N24" i="72"/>
  <c r="E43" i="48" l="1"/>
  <c r="E69" i="48" s="1"/>
  <c r="D18" i="48" s="1"/>
  <c r="E53" i="48"/>
  <c r="E58" i="48" s="1"/>
  <c r="E70" i="48" s="1"/>
  <c r="E14" i="48" s="1"/>
  <c r="F53" i="48"/>
  <c r="E7" i="48" l="1"/>
  <c r="D10" i="48"/>
  <c r="D11" i="48"/>
  <c r="D17" i="48"/>
  <c r="D7" i="48"/>
  <c r="F7" i="48" s="1"/>
  <c r="E8" i="48"/>
  <c r="D9" i="48"/>
  <c r="D12" i="48"/>
  <c r="E13" i="48"/>
  <c r="D13" i="48"/>
  <c r="D14" i="48"/>
  <c r="F14" i="48" s="1"/>
  <c r="E12" i="48"/>
  <c r="D15" i="48"/>
  <c r="F15" i="48" s="1"/>
  <c r="D23" i="48"/>
  <c r="E17" i="48"/>
  <c r="D8" i="48"/>
  <c r="E11" i="48"/>
  <c r="D16" i="48"/>
  <c r="D22" i="48"/>
  <c r="E16" i="48"/>
  <c r="E9" i="48"/>
  <c r="E18" i="48"/>
  <c r="F18" i="48" s="1"/>
  <c r="E10" i="48"/>
  <c r="E23" i="48"/>
  <c r="E15" i="48"/>
  <c r="E22" i="48"/>
  <c r="F13" i="48"/>
  <c r="F17" i="48" l="1"/>
  <c r="F10" i="48"/>
  <c r="F9" i="48"/>
  <c r="F16" i="48"/>
  <c r="F22" i="48"/>
  <c r="F11" i="48"/>
  <c r="F8" i="48"/>
  <c r="F12" i="48"/>
  <c r="E20" i="48"/>
  <c r="F23" i="48"/>
  <c r="D20" i="48"/>
  <c r="F20" i="48" l="1"/>
  <c r="V9" i="72" l="1"/>
  <c r="R9" i="72"/>
  <c r="N9" i="72" l="1"/>
  <c r="Q9" i="72"/>
  <c r="P9" i="72"/>
  <c r="Q24" i="72" l="1"/>
  <c r="R24" i="72"/>
  <c r="AA9" i="72"/>
  <c r="R20" i="72"/>
  <c r="N15" i="72"/>
  <c r="P20" i="72"/>
  <c r="Q20" i="72"/>
  <c r="V15" i="72"/>
  <c r="N20" i="72"/>
  <c r="P24" i="72"/>
  <c r="V20" i="72"/>
  <c r="R15" i="72"/>
  <c r="V30" i="72" l="1"/>
  <c r="V34" i="72" s="1"/>
  <c r="N30" i="72"/>
  <c r="N34" i="72" s="1"/>
  <c r="AA15" i="72"/>
  <c r="AA20" i="72"/>
  <c r="P15" i="72"/>
  <c r="P30" i="72" s="1"/>
  <c r="P34" i="72" s="1"/>
  <c r="Q15" i="72"/>
  <c r="Q30" i="72" s="1"/>
  <c r="Q34" i="72" s="1"/>
  <c r="AA24" i="72"/>
  <c r="R30" i="72"/>
  <c r="R34" i="72" s="1"/>
  <c r="AA30" i="72" l="1"/>
  <c r="AA34" i="72" s="1"/>
  <c r="G9" i="72"/>
  <c r="E9" i="72"/>
  <c r="E24" i="72"/>
  <c r="G24" i="72"/>
  <c r="G20" i="72" l="1"/>
  <c r="E20" i="72"/>
  <c r="G15" i="72" l="1"/>
  <c r="G30" i="72" s="1"/>
  <c r="G34" i="72" s="1"/>
  <c r="E15" i="72"/>
  <c r="E30" i="72" s="1"/>
  <c r="E34" i="72" s="1"/>
  <c r="K15" i="72" l="1"/>
  <c r="K30" i="72" s="1"/>
  <c r="K34" i="72" s="1"/>
  <c r="U9" i="72" l="1"/>
  <c r="U20" i="72" l="1"/>
  <c r="U15" i="72"/>
  <c r="T24" i="72" l="1"/>
  <c r="T9" i="72" l="1"/>
  <c r="T20" i="72"/>
  <c r="T15" i="72"/>
  <c r="T30" i="72" s="1"/>
  <c r="T34" i="72" s="1"/>
  <c r="W9" i="72" l="1"/>
  <c r="W20" i="72" l="1"/>
  <c r="W15" i="72"/>
  <c r="W30" i="72" s="1"/>
  <c r="W34" i="72" s="1"/>
  <c r="S24" i="72" l="1"/>
  <c r="S9" i="72"/>
  <c r="S20" i="72" l="1"/>
  <c r="S15" i="72" l="1"/>
  <c r="S30" i="72" s="1"/>
  <c r="S34" i="72" s="1"/>
  <c r="U30" i="72" l="1"/>
  <c r="U34" i="72" s="1"/>
  <c r="H20" i="72" l="1"/>
  <c r="H24" i="72"/>
  <c r="H15" i="72" l="1"/>
  <c r="H9" i="72" l="1"/>
  <c r="H30" i="72" l="1"/>
  <c r="H34" i="72" s="1"/>
  <c r="M24" i="72" l="1"/>
  <c r="M9" i="72" l="1"/>
  <c r="M20" i="72" l="1"/>
  <c r="M15" i="72"/>
  <c r="M30" i="72" s="1"/>
  <c r="M34" i="72" s="1"/>
  <c r="O9" i="72" l="1"/>
  <c r="O20" i="72" l="1"/>
  <c r="O15" i="72" l="1"/>
  <c r="O24" i="72"/>
  <c r="O30" i="72" l="1"/>
  <c r="O34" i="72" s="1"/>
  <c r="X28" i="72" l="1"/>
  <c r="Y28" i="72" s="1"/>
  <c r="AE28" i="72" s="1"/>
  <c r="I24" i="72" l="1"/>
  <c r="X27" i="72"/>
  <c r="Y27" i="72" s="1"/>
  <c r="AE27" i="72" l="1"/>
  <c r="I20" i="72"/>
  <c r="I9" i="72"/>
  <c r="I15" i="72" l="1"/>
  <c r="I30" i="72" s="1"/>
  <c r="I34" i="72" s="1"/>
  <c r="X14" i="72" l="1"/>
  <c r="Y14" i="72" s="1"/>
  <c r="AE14" i="72" s="1"/>
  <c r="X26" i="72" l="1"/>
  <c r="Y26" i="72" s="1"/>
  <c r="X18" i="72"/>
  <c r="Y18" i="72" s="1"/>
  <c r="X19" i="72"/>
  <c r="Y19" i="72" s="1"/>
  <c r="X32" i="72"/>
  <c r="Y32" i="72" s="1"/>
  <c r="X23" i="72"/>
  <c r="Y23" i="72" s="1"/>
  <c r="AE26" i="72" l="1"/>
  <c r="AE19" i="72"/>
  <c r="AE18" i="72"/>
  <c r="AE32" i="72"/>
  <c r="AE23" i="72"/>
  <c r="X13" i="72"/>
  <c r="Y13" i="72" s="1"/>
  <c r="AE13" i="72" l="1"/>
  <c r="X12" i="72"/>
  <c r="Y12" i="72" s="1"/>
  <c r="AE12" i="72" s="1"/>
  <c r="X22" i="72"/>
  <c r="F20" i="72"/>
  <c r="F24" i="72"/>
  <c r="F15" i="72" l="1"/>
  <c r="X11" i="72"/>
  <c r="X15" i="72" s="1"/>
  <c r="X8" i="72"/>
  <c r="X17" i="72"/>
  <c r="X20" i="72" s="1"/>
  <c r="Y22" i="72"/>
  <c r="X24" i="72"/>
  <c r="Y17" i="72" l="1"/>
  <c r="Y20" i="72" s="1"/>
  <c r="F9" i="72"/>
  <c r="F30" i="72" s="1"/>
  <c r="F34" i="72" s="1"/>
  <c r="Y11" i="72"/>
  <c r="Y24" i="72"/>
  <c r="AE22" i="72"/>
  <c r="Y8" i="72"/>
  <c r="X9" i="72"/>
  <c r="X30" i="72" s="1"/>
  <c r="X34" i="72" s="1"/>
  <c r="AE17" i="72" l="1"/>
  <c r="AE11" i="72"/>
  <c r="Y15" i="72"/>
  <c r="AE15" i="72" s="1"/>
  <c r="AE20" i="72"/>
  <c r="Y9" i="72"/>
  <c r="AE8" i="72"/>
  <c r="AE24" i="72"/>
  <c r="AE9" i="72" l="1"/>
  <c r="Y30" i="72"/>
  <c r="Y34" i="72" l="1"/>
  <c r="AE30" i="72"/>
  <c r="AE34" i="72" l="1"/>
  <c r="N32" i="74" l="1"/>
  <c r="E96" i="74" l="1"/>
  <c r="E94" i="74" l="1"/>
  <c r="E95" i="74" l="1"/>
  <c r="F28" i="91"/>
  <c r="AC32" i="72" l="1"/>
  <c r="AG32" i="72" l="1"/>
  <c r="AD32" i="72"/>
  <c r="AF32" i="72" s="1"/>
  <c r="N28" i="74"/>
  <c r="E78" i="74" s="1"/>
  <c r="E76" i="74" l="1"/>
  <c r="F26" i="91" l="1"/>
  <c r="F90" i="61"/>
  <c r="I90" i="61" s="1"/>
  <c r="F42" i="61"/>
  <c r="I42" i="61" s="1"/>
  <c r="E77" i="74"/>
  <c r="I10" i="61" s="1"/>
  <c r="J10" i="61" l="1"/>
  <c r="J9" i="61" s="1"/>
  <c r="F136" i="61" s="1"/>
  <c r="F141" i="61" l="1"/>
  <c r="I141" i="61" s="1"/>
  <c r="F48" i="61"/>
  <c r="I48" i="61" s="1"/>
  <c r="F130" i="61"/>
  <c r="I130" i="61" s="1"/>
  <c r="F86" i="61"/>
  <c r="I86" i="61" s="1"/>
  <c r="F39" i="61"/>
  <c r="I39" i="61" s="1"/>
  <c r="F80" i="61"/>
  <c r="I80" i="61" s="1"/>
  <c r="F73" i="61"/>
  <c r="I73" i="61" s="1"/>
  <c r="F175" i="61"/>
  <c r="I175" i="61" s="1"/>
  <c r="F38" i="61"/>
  <c r="I38" i="61" s="1"/>
  <c r="F66" i="61"/>
  <c r="I66" i="61" s="1"/>
  <c r="F89" i="61"/>
  <c r="I89" i="61" s="1"/>
  <c r="F116" i="61"/>
  <c r="I116" i="61" s="1"/>
  <c r="F106" i="61"/>
  <c r="I106" i="61" s="1"/>
  <c r="F59" i="61"/>
  <c r="I59" i="61" s="1"/>
  <c r="F170" i="61"/>
  <c r="I170" i="61" s="1"/>
  <c r="F147" i="61"/>
  <c r="I147" i="61" s="1"/>
  <c r="F49" i="61"/>
  <c r="I49" i="61" s="1"/>
  <c r="F108" i="61"/>
  <c r="I108" i="61" s="1"/>
  <c r="F168" i="61"/>
  <c r="I168" i="61" s="1"/>
  <c r="F167" i="61"/>
  <c r="I167" i="61" s="1"/>
  <c r="F27" i="61"/>
  <c r="I27" i="61" s="1"/>
  <c r="F88" i="61"/>
  <c r="I88" i="61" s="1"/>
  <c r="F109" i="61"/>
  <c r="I109" i="61" s="1"/>
  <c r="F142" i="61"/>
  <c r="I142" i="61" s="1"/>
  <c r="F77" i="61"/>
  <c r="I77" i="61" s="1"/>
  <c r="F118" i="61"/>
  <c r="I118" i="61" s="1"/>
  <c r="F50" i="61"/>
  <c r="I50" i="61" s="1"/>
  <c r="F37" i="61"/>
  <c r="I37" i="61" s="1"/>
  <c r="F111" i="61"/>
  <c r="I111" i="61" s="1"/>
  <c r="F140" i="61"/>
  <c r="I140" i="61" s="1"/>
  <c r="F35" i="61"/>
  <c r="I35" i="61" s="1"/>
  <c r="F46" i="61"/>
  <c r="I46" i="61" s="1"/>
  <c r="F131" i="61"/>
  <c r="I131" i="61" s="1"/>
  <c r="F146" i="61"/>
  <c r="I146" i="61" s="1"/>
  <c r="F120" i="61"/>
  <c r="I120" i="61" s="1"/>
  <c r="F100" i="61"/>
  <c r="I100" i="61" s="1"/>
  <c r="F67" i="61"/>
  <c r="I67" i="61" s="1"/>
  <c r="F96" i="61"/>
  <c r="I96" i="61" s="1"/>
  <c r="F124" i="61"/>
  <c r="I124" i="61" s="1"/>
  <c r="F166" i="61"/>
  <c r="I166" i="61" s="1"/>
  <c r="F65" i="61"/>
  <c r="I65" i="61" s="1"/>
  <c r="F78" i="61"/>
  <c r="I78" i="61" s="1"/>
  <c r="F83" i="61"/>
  <c r="I83" i="61" s="1"/>
  <c r="F58" i="61"/>
  <c r="I58" i="61" s="1"/>
  <c r="F104" i="61"/>
  <c r="I104" i="61" s="1"/>
  <c r="F74" i="61"/>
  <c r="I74" i="61" s="1"/>
  <c r="F28" i="61"/>
  <c r="I28" i="61" s="1"/>
  <c r="F171" i="61"/>
  <c r="I171" i="61" s="1"/>
  <c r="F52" i="61"/>
  <c r="I52" i="61" s="1"/>
  <c r="F155" i="61"/>
  <c r="I155" i="61" s="1"/>
  <c r="F165" i="61"/>
  <c r="I165" i="61" s="1"/>
  <c r="F98" i="61"/>
  <c r="I98" i="61" s="1"/>
  <c r="F85" i="61"/>
  <c r="I85" i="61" s="1"/>
  <c r="F126" i="61"/>
  <c r="I126" i="61" s="1"/>
  <c r="F84" i="61"/>
  <c r="I84" i="61" s="1"/>
  <c r="F75" i="61"/>
  <c r="I75" i="61" s="1"/>
  <c r="F81" i="61"/>
  <c r="I81" i="61" s="1"/>
  <c r="F95" i="61"/>
  <c r="I95" i="61" s="1"/>
  <c r="F60" i="61"/>
  <c r="I60" i="61" s="1"/>
  <c r="F76" i="61"/>
  <c r="I76" i="61" s="1"/>
  <c r="F129" i="61"/>
  <c r="I129" i="61" s="1"/>
  <c r="F33" i="61"/>
  <c r="I33" i="61" s="1"/>
  <c r="F154" i="61"/>
  <c r="I154" i="61" s="1"/>
  <c r="F158" i="61"/>
  <c r="I158" i="61" s="1"/>
  <c r="F164" i="61"/>
  <c r="I164" i="61" s="1"/>
  <c r="F34" i="61"/>
  <c r="I34" i="61" s="1"/>
  <c r="F103" i="61"/>
  <c r="I103" i="61" s="1"/>
  <c r="F107" i="61"/>
  <c r="I107" i="61" s="1"/>
  <c r="F57" i="61"/>
  <c r="I57" i="61" s="1"/>
  <c r="F125" i="61"/>
  <c r="I125" i="61" s="1"/>
  <c r="F160" i="61"/>
  <c r="I160" i="61" s="1"/>
  <c r="F47" i="61"/>
  <c r="I47" i="61" s="1"/>
  <c r="F150" i="61"/>
  <c r="I150" i="61" s="1"/>
  <c r="F122" i="61"/>
  <c r="I122" i="61" s="1"/>
  <c r="F101" i="61"/>
  <c r="I101" i="61" s="1"/>
  <c r="F105" i="61"/>
  <c r="I105" i="61" s="1"/>
  <c r="F112" i="61"/>
  <c r="I112" i="61" s="1"/>
  <c r="F161" i="61"/>
  <c r="I161" i="61" s="1"/>
  <c r="F144" i="61"/>
  <c r="I144" i="61" s="1"/>
  <c r="F132" i="61"/>
  <c r="I132" i="61" s="1"/>
  <c r="F128" i="61"/>
  <c r="I128" i="61" s="1"/>
  <c r="F152" i="61"/>
  <c r="I152" i="61" s="1"/>
  <c r="F174" i="61"/>
  <c r="I174" i="61" s="1"/>
  <c r="F29" i="61"/>
  <c r="I29" i="61" s="1"/>
  <c r="F70" i="61"/>
  <c r="I70" i="61" s="1"/>
  <c r="F133" i="61"/>
  <c r="I133" i="61" s="1"/>
  <c r="F94" i="61"/>
  <c r="I94" i="61" s="1"/>
  <c r="F149" i="61"/>
  <c r="I149" i="61" s="1"/>
  <c r="F51" i="61"/>
  <c r="I51" i="61" s="1"/>
  <c r="F56" i="61"/>
  <c r="I56" i="61" s="1"/>
  <c r="F69" i="61"/>
  <c r="I69" i="61" s="1"/>
  <c r="F173" i="61"/>
  <c r="I173" i="61" s="1"/>
  <c r="F127" i="61"/>
  <c r="I127" i="61" s="1"/>
  <c r="F153" i="61"/>
  <c r="I153" i="61" s="1"/>
  <c r="F97" i="61"/>
  <c r="I97" i="61" s="1"/>
  <c r="F40" i="61"/>
  <c r="I40" i="61" s="1"/>
  <c r="I136" i="61"/>
  <c r="I19" i="61" s="1"/>
  <c r="F110" i="61"/>
  <c r="I110" i="61" s="1"/>
  <c r="F157" i="61"/>
  <c r="I157" i="61" s="1"/>
  <c r="F64" i="61"/>
  <c r="I64" i="61" s="1"/>
  <c r="F99" i="61"/>
  <c r="I99" i="61" s="1"/>
  <c r="F143" i="61"/>
  <c r="I143" i="61" s="1"/>
  <c r="F82" i="61"/>
  <c r="I82" i="61" s="1"/>
  <c r="F169" i="61"/>
  <c r="I169" i="61" s="1"/>
  <c r="F32" i="61"/>
  <c r="I32" i="61" s="1"/>
  <c r="F93" i="61"/>
  <c r="I93" i="61" s="1"/>
  <c r="F162" i="61"/>
  <c r="I162" i="61" s="1"/>
  <c r="F55" i="61"/>
  <c r="I55" i="61" s="1"/>
  <c r="F87" i="61"/>
  <c r="I87" i="61" s="1"/>
  <c r="F119" i="61"/>
  <c r="I119" i="61" s="1"/>
  <c r="F71" i="61"/>
  <c r="I71" i="61" s="1"/>
  <c r="F172" i="61"/>
  <c r="I172" i="61" s="1"/>
  <c r="F68" i="61"/>
  <c r="I68" i="61" s="1"/>
  <c r="F41" i="61"/>
  <c r="I41" i="61" s="1"/>
  <c r="F26" i="61"/>
  <c r="I26" i="61" s="1"/>
  <c r="F117" i="61"/>
  <c r="I117" i="61" s="1"/>
  <c r="F36" i="61"/>
  <c r="I36" i="61" s="1"/>
  <c r="F54" i="61"/>
  <c r="I54" i="61" s="1"/>
  <c r="F163" i="61"/>
  <c r="I163" i="61" s="1"/>
  <c r="F148" i="61"/>
  <c r="I148" i="61" s="1"/>
  <c r="F139" i="61"/>
  <c r="I139" i="61" s="1"/>
  <c r="F115" i="61"/>
  <c r="I115" i="61" s="1"/>
  <c r="F63" i="61"/>
  <c r="I63" i="61" s="1"/>
  <c r="F24" i="61"/>
  <c r="I24" i="61" s="1"/>
  <c r="F45" i="61"/>
  <c r="I45" i="61" s="1"/>
  <c r="I16" i="61" l="1"/>
  <c r="I17" i="61"/>
  <c r="I13" i="61"/>
  <c r="I9" i="61"/>
  <c r="I11" i="61" s="1"/>
  <c r="I20" i="61"/>
  <c r="I14" i="61"/>
  <c r="I18" i="61"/>
  <c r="I15" i="61"/>
  <c r="AC26" i="72"/>
  <c r="AG26" i="72" l="1"/>
  <c r="AD26" i="72"/>
  <c r="AF26" i="72" s="1"/>
  <c r="I21" i="61"/>
  <c r="I22" i="61" s="1"/>
  <c r="N26" i="74"/>
  <c r="E84" i="74" s="1"/>
  <c r="E82" i="74" l="1"/>
  <c r="E83" i="74" s="1"/>
  <c r="E90" i="74"/>
  <c r="E88" i="74" l="1"/>
  <c r="E89" i="74" s="1"/>
  <c r="AC28" i="72" l="1"/>
  <c r="AC27" i="72"/>
  <c r="AG27" i="72" l="1"/>
  <c r="AD27" i="72"/>
  <c r="AF27" i="72" s="1"/>
  <c r="AG28" i="72"/>
  <c r="AD28" i="72"/>
  <c r="AF28" i="72" s="1"/>
  <c r="N24" i="74"/>
  <c r="E66" i="74" s="1"/>
  <c r="E64" i="74" l="1"/>
  <c r="E65" i="74" s="1"/>
  <c r="E72" i="74"/>
  <c r="F23" i="91" l="1"/>
  <c r="E70" i="74"/>
  <c r="E71" i="74" l="1"/>
  <c r="F24" i="91"/>
  <c r="AC22" i="72" l="1"/>
  <c r="AG22" i="72" l="1"/>
  <c r="AD22" i="72"/>
  <c r="AC23" i="72" l="1"/>
  <c r="AB24" i="72"/>
  <c r="AF22" i="72"/>
  <c r="AG23" i="72" l="1"/>
  <c r="AD23" i="72"/>
  <c r="AC24" i="72"/>
  <c r="AG24" i="72" s="1"/>
  <c r="AF23" i="72" l="1"/>
  <c r="AD24" i="72"/>
  <c r="AF24" i="72" s="1"/>
  <c r="N21" i="74"/>
  <c r="E59" i="74" s="1"/>
  <c r="E57" i="74" l="1"/>
  <c r="E58" i="74" l="1"/>
  <c r="F20" i="91"/>
  <c r="AC19" i="72" l="1"/>
  <c r="AG19" i="72" l="1"/>
  <c r="AD19" i="72"/>
  <c r="AF19" i="72" s="1"/>
  <c r="N20" i="74"/>
  <c r="E53" i="74" s="1"/>
  <c r="E51" i="74" l="1"/>
  <c r="F19" i="91"/>
  <c r="E52" i="74"/>
  <c r="N19" i="74" l="1"/>
  <c r="E47" i="74" s="1"/>
  <c r="AC18" i="72" l="1"/>
  <c r="E45" i="74"/>
  <c r="N22" i="74"/>
  <c r="AG18" i="72" l="1"/>
  <c r="AD18" i="72"/>
  <c r="AF18" i="72" s="1"/>
  <c r="E46" i="74"/>
  <c r="F18" i="91"/>
  <c r="AB20" i="72" l="1"/>
  <c r="AC17" i="72"/>
  <c r="N15" i="74"/>
  <c r="AC20" i="72" l="1"/>
  <c r="AG20" i="72" s="1"/>
  <c r="AG17" i="72"/>
  <c r="AD17" i="72"/>
  <c r="E34" i="74"/>
  <c r="AD20" i="72" l="1"/>
  <c r="AF20" i="72" s="1"/>
  <c r="AF17" i="72"/>
  <c r="E32" i="74"/>
  <c r="F14" i="91" s="1"/>
  <c r="E33" i="74" l="1"/>
  <c r="N14" i="74" l="1"/>
  <c r="E28" i="74" s="1"/>
  <c r="AC13" i="72" l="1"/>
  <c r="E26" i="74"/>
  <c r="E40" i="74"/>
  <c r="AD13" i="72" l="1"/>
  <c r="AF13" i="72" s="1"/>
  <c r="AG13" i="72"/>
  <c r="E38" i="74"/>
  <c r="F13" i="91"/>
  <c r="E27" i="74"/>
  <c r="E39" i="74" l="1"/>
  <c r="F15" i="91"/>
  <c r="AC14" i="72" l="1"/>
  <c r="AC12" i="72" l="1"/>
  <c r="AD14" i="72"/>
  <c r="AF14" i="72" s="1"/>
  <c r="AG14" i="72"/>
  <c r="AD12" i="72" l="1"/>
  <c r="AF12" i="72" s="1"/>
  <c r="AG12" i="72"/>
  <c r="N13" i="74"/>
  <c r="N16" i="74" s="1"/>
  <c r="E22" i="74" l="1"/>
  <c r="E20" i="74" l="1"/>
  <c r="E21" i="74" l="1"/>
  <c r="F12" i="91"/>
  <c r="AC11" i="72" l="1"/>
  <c r="AB15" i="72"/>
  <c r="N36" i="74"/>
  <c r="N10" i="74"/>
  <c r="N30" i="74" s="1"/>
  <c r="N34" i="74" s="1"/>
  <c r="AC15" i="72" l="1"/>
  <c r="AG15" i="72" s="1"/>
  <c r="AG11" i="72"/>
  <c r="AD11" i="72"/>
  <c r="E15" i="74"/>
  <c r="AD15" i="72" l="1"/>
  <c r="AF15" i="72" s="1"/>
  <c r="AF11" i="72"/>
  <c r="E13" i="74"/>
  <c r="F9" i="91" l="1"/>
  <c r="F34" i="48" s="1"/>
  <c r="E14" i="74"/>
  <c r="E98" i="74" s="1"/>
  <c r="E99" i="74" s="1"/>
  <c r="F43" i="48" l="1"/>
  <c r="F69" i="48" s="1"/>
  <c r="F49" i="48"/>
  <c r="F58" i="48" s="1"/>
  <c r="F70" i="48" s="1"/>
  <c r="J14" i="48" l="1"/>
  <c r="J7" i="48"/>
  <c r="J17" i="48"/>
  <c r="J11" i="48"/>
  <c r="J12" i="48"/>
  <c r="J23" i="48"/>
  <c r="J8" i="48"/>
  <c r="J18" i="48"/>
  <c r="J10" i="48"/>
  <c r="J15" i="48"/>
  <c r="J9" i="48"/>
  <c r="J22" i="48"/>
  <c r="J13" i="48"/>
  <c r="J16" i="48"/>
  <c r="I15" i="48"/>
  <c r="K15" i="48" s="1"/>
  <c r="L15" i="48" s="1"/>
  <c r="M15" i="48" s="1"/>
  <c r="I9" i="48"/>
  <c r="I18" i="48"/>
  <c r="I17" i="48"/>
  <c r="I13" i="48"/>
  <c r="I23" i="48"/>
  <c r="I7" i="48"/>
  <c r="I16" i="48"/>
  <c r="K16" i="48" s="1"/>
  <c r="L16" i="48" s="1"/>
  <c r="M16" i="48" s="1"/>
  <c r="I22" i="48"/>
  <c r="I14" i="48"/>
  <c r="K14" i="48" s="1"/>
  <c r="L14" i="48" s="1"/>
  <c r="M14" i="48" s="1"/>
  <c r="I12" i="48"/>
  <c r="I11" i="48"/>
  <c r="I8" i="48"/>
  <c r="I10" i="48"/>
  <c r="K17" i="48" l="1"/>
  <c r="L17" i="48" s="1"/>
  <c r="M17" i="48" s="1"/>
  <c r="K11" i="48"/>
  <c r="L11" i="48" s="1"/>
  <c r="M11" i="48" s="1"/>
  <c r="K23" i="48"/>
  <c r="L23" i="48" s="1"/>
  <c r="M23" i="48" s="1"/>
  <c r="K13" i="48"/>
  <c r="L13" i="48" s="1"/>
  <c r="M13" i="48" s="1"/>
  <c r="K10" i="48"/>
  <c r="L10" i="48" s="1"/>
  <c r="M10" i="48" s="1"/>
  <c r="K8" i="48"/>
  <c r="L8" i="48" s="1"/>
  <c r="M8" i="48" s="1"/>
  <c r="K18" i="48"/>
  <c r="L18" i="48" s="1"/>
  <c r="M18" i="48" s="1"/>
  <c r="I20" i="48"/>
  <c r="K7" i="48"/>
  <c r="K12" i="48"/>
  <c r="L12" i="48" s="1"/>
  <c r="M12" i="48" s="1"/>
  <c r="K9" i="48"/>
  <c r="L9" i="48" s="1"/>
  <c r="M9" i="48" s="1"/>
  <c r="J20" i="48"/>
  <c r="K22" i="48"/>
  <c r="L22" i="48" s="1"/>
  <c r="M22" i="48" s="1"/>
  <c r="K20" i="48" l="1"/>
  <c r="L20" i="48" s="1"/>
  <c r="M20" i="48" s="1"/>
  <c r="L7" i="48"/>
  <c r="M7" i="48" s="1"/>
  <c r="AC8" i="72" l="1"/>
  <c r="AB9" i="72"/>
  <c r="AB30" i="72" s="1"/>
  <c r="AB34" i="72" s="1"/>
  <c r="AG8" i="72" l="1"/>
  <c r="AD8" i="72"/>
  <c r="AC9" i="72"/>
  <c r="AF8" i="72" l="1"/>
  <c r="AD9" i="72"/>
  <c r="AC30" i="72"/>
  <c r="AG9" i="72"/>
  <c r="AF9" i="72" l="1"/>
  <c r="AD30" i="72"/>
  <c r="AG30" i="72"/>
  <c r="AC34" i="72"/>
  <c r="AG34" i="72" s="1"/>
  <c r="AF30" i="72" l="1"/>
  <c r="AD34" i="72"/>
  <c r="AF34" i="72" s="1"/>
</calcChain>
</file>

<file path=xl/sharedStrings.xml><?xml version="1.0" encoding="utf-8"?>
<sst xmlns="http://schemas.openxmlformats.org/spreadsheetml/2006/main" count="907" uniqueCount="435">
  <si>
    <t>Puget Sound Energy</t>
  </si>
  <si>
    <t>Line No.</t>
  </si>
  <si>
    <t>Schedule</t>
  </si>
  <si>
    <t>Residential</t>
  </si>
  <si>
    <t>Total High Voltage</t>
  </si>
  <si>
    <t>50-59</t>
  </si>
  <si>
    <t>Tariff</t>
  </si>
  <si>
    <t>Month</t>
  </si>
  <si>
    <t>Total</t>
  </si>
  <si>
    <t>Schedule 194 - BPA Exchange Credit</t>
  </si>
  <si>
    <t>Schedule 142 - Decoupling Rider</t>
  </si>
  <si>
    <t>per Month</t>
  </si>
  <si>
    <t>Schedule 140 - Property Tax Rider</t>
  </si>
  <si>
    <t>Schedule 129 - Low Income</t>
  </si>
  <si>
    <t>Schedule 120 - Conservation Rider</t>
  </si>
  <si>
    <t>Schedule 95A - Wind Power Production Credit</t>
  </si>
  <si>
    <t>Schedule 95 - Power Cost Adjustment Clause</t>
  </si>
  <si>
    <t>Schedule 7 over 600 kWh</t>
  </si>
  <si>
    <t>Schedule 7 first 600 kWh</t>
  </si>
  <si>
    <t>Energy Charge:</t>
  </si>
  <si>
    <t>Customer Monthly Charge:</t>
  </si>
  <si>
    <t>kWh</t>
  </si>
  <si>
    <t>Residential Customer Impacts</t>
  </si>
  <si>
    <t>Lamp Type</t>
  </si>
  <si>
    <t>Mercury Vapor</t>
  </si>
  <si>
    <t>Sodium Vapor</t>
  </si>
  <si>
    <t>Subtotal Base Monthly Charge</t>
  </si>
  <si>
    <t>$ / kWh</t>
  </si>
  <si>
    <t>Subtotal Base First 600 kWh Charge</t>
  </si>
  <si>
    <t>Subtotal Base Over 600 kWh Charge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</si>
  <si>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</si>
  <si>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</si>
  <si>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</si>
  <si>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</si>
  <si>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</si>
  <si>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</si>
  <si>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Wattage (W)</t>
  </si>
  <si>
    <t>Sch 50E</t>
  </si>
  <si>
    <t>003</t>
  </si>
  <si>
    <t>Sch 51E</t>
  </si>
  <si>
    <t>51E</t>
  </si>
  <si>
    <t>Light Emitting Diode</t>
  </si>
  <si>
    <t>30.01 - 60</t>
  </si>
  <si>
    <t>60.01 - 90</t>
  </si>
  <si>
    <t>90.01 - 120</t>
  </si>
  <si>
    <t>120.01 - 150</t>
  </si>
  <si>
    <t>150.01 - 180</t>
  </si>
  <si>
    <t>180.01 - 210</t>
  </si>
  <si>
    <t>210.01 - 240</t>
  </si>
  <si>
    <t>240.01 - 270</t>
  </si>
  <si>
    <t>270.01 - 300</t>
  </si>
  <si>
    <t>Sch 52E</t>
  </si>
  <si>
    <t xml:space="preserve">52E </t>
  </si>
  <si>
    <t>Metal Halide</t>
  </si>
  <si>
    <t>Sch 53E</t>
  </si>
  <si>
    <t>Sch 54E</t>
  </si>
  <si>
    <t>54E</t>
  </si>
  <si>
    <t>Sch 55 &amp; 56</t>
  </si>
  <si>
    <t>55E &amp; 56E</t>
  </si>
  <si>
    <t>Sch 58 &amp; 59</t>
  </si>
  <si>
    <t>58E &amp; 59E - Directional</t>
  </si>
  <si>
    <t>58E &amp; 59E - Horizontal</t>
  </si>
  <si>
    <t>58E &amp; 59E</t>
  </si>
  <si>
    <t>300.01 - 400</t>
  </si>
  <si>
    <t>400.01 - 500</t>
  </si>
  <si>
    <t>500.01 - 600</t>
  </si>
  <si>
    <t>600.01 - 700</t>
  </si>
  <si>
    <t>700.01 - 800</t>
  </si>
  <si>
    <t>800.01 - 900</t>
  </si>
  <si>
    <t>Sch 57</t>
  </si>
  <si>
    <t>57E</t>
  </si>
  <si>
    <t>Per W charge</t>
  </si>
  <si>
    <t>Year</t>
  </si>
  <si>
    <t>Special Contract</t>
  </si>
  <si>
    <t>SC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</si>
  <si>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</si>
  <si>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</si>
  <si>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</si>
  <si>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</si>
  <si>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</si>
  <si>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</si>
  <si>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$ Difference</t>
  </si>
  <si>
    <t xml:space="preserve">Typical Residential </t>
  </si>
  <si>
    <t>Schedule 141Z - EDIT Rider</t>
  </si>
  <si>
    <t>Schedule 142 - Decoupling Rider - Supplemental</t>
  </si>
  <si>
    <t>Schedule 95 - Power Cost Adjustment Clause-Supplemental</t>
  </si>
  <si>
    <t>Smart LED</t>
  </si>
  <si>
    <t>Remove:</t>
  </si>
  <si>
    <t>Total Secondary</t>
  </si>
  <si>
    <t>Total Primary</t>
  </si>
  <si>
    <t>Cross check</t>
  </si>
  <si>
    <t>% Difference</t>
  </si>
  <si>
    <t>Schedule 141A - Energy Charge Credit Recovery Adjustment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</si>
  <si>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</si>
  <si>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</si>
  <si>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</si>
  <si>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</si>
  <si>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t>0 - 30</t>
  </si>
  <si>
    <t>Subtotal</t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</si>
  <si>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Energy-Related
Base Rate
Effective 
</t>
    </r>
    <r>
      <rPr>
        <b/>
        <sz val="8"/>
        <color rgb="FF0033CC"/>
        <rFont val="Arial"/>
        <family val="2"/>
      </rPr>
      <t>1/11/2023</t>
    </r>
  </si>
  <si>
    <t>AA</t>
  </si>
  <si>
    <t>Total Lamp Revenue Requirement Based on Inventory</t>
  </si>
  <si>
    <t>Schedule 50</t>
  </si>
  <si>
    <t>Schedule 51</t>
  </si>
  <si>
    <t>Schedule 52</t>
  </si>
  <si>
    <t>Schedule 53</t>
  </si>
  <si>
    <t>Schedule 54</t>
  </si>
  <si>
    <t>Schedule 55-56</t>
  </si>
  <si>
    <t>Schedule 57</t>
  </si>
  <si>
    <t>Schedule 58-59</t>
  </si>
  <si>
    <t>All Lighting</t>
  </si>
  <si>
    <t>Check</t>
  </si>
  <si>
    <t>Compact Flourescent</t>
  </si>
  <si>
    <t>50E</t>
  </si>
  <si>
    <t>0-30</t>
  </si>
  <si>
    <t>30 - 60</t>
  </si>
  <si>
    <t>Per kWh - All Lamps</t>
  </si>
  <si>
    <t>53E</t>
  </si>
  <si>
    <t>Smart LED (Company)</t>
  </si>
  <si>
    <t>Lighting Revenue Requirement Allocation</t>
  </si>
  <si>
    <t>Delivered Monthly Sales &amp; Transportation by Rate Schedule</t>
  </si>
  <si>
    <t>(After DSM Program Impacts)</t>
  </si>
  <si>
    <t>Lights</t>
  </si>
  <si>
    <t>Schedule 141CEI Clean Energy Implementation Plan</t>
  </si>
  <si>
    <t>Add:</t>
  </si>
  <si>
    <t>Net Adjustments</t>
  </si>
  <si>
    <t>% Change (Net)</t>
  </si>
  <si>
    <t>Total Sales</t>
  </si>
  <si>
    <t>Lighting Rate Design</t>
  </si>
  <si>
    <t>Sales Total</t>
  </si>
  <si>
    <t>Sales+Transport</t>
  </si>
  <si>
    <t>SCH_05E</t>
  </si>
  <si>
    <t>SCH_7AE</t>
  </si>
  <si>
    <t>SCH_10E</t>
  </si>
  <si>
    <t>SCH_11E</t>
  </si>
  <si>
    <t>SCH_12E</t>
  </si>
  <si>
    <t>SCH_25EC</t>
  </si>
  <si>
    <t>SCH_25EI</t>
  </si>
  <si>
    <t>SCH_25EL</t>
  </si>
  <si>
    <t>SCH_26EC</t>
  </si>
  <si>
    <t>SCH_26EI</t>
  </si>
  <si>
    <t>SCH_29E</t>
  </si>
  <si>
    <t>SCH_31EC</t>
  </si>
  <si>
    <t>SCH_31EI</t>
  </si>
  <si>
    <t>SCH_35E</t>
  </si>
  <si>
    <t>SCH_43E</t>
  </si>
  <si>
    <t>SCH_46EC</t>
  </si>
  <si>
    <t>SCH_46EI</t>
  </si>
  <si>
    <t>SCH_49EC</t>
  </si>
  <si>
    <t>SCH_49EI</t>
  </si>
  <si>
    <t>SCH_449EC</t>
  </si>
  <si>
    <t>SCH_449EI</t>
  </si>
  <si>
    <t>SCH_459EI</t>
  </si>
  <si>
    <t>Cross Check</t>
  </si>
  <si>
    <t>Difference due to rounding adjustment</t>
  </si>
  <si>
    <t>PUGET SOUND ENERGY</t>
  </si>
  <si>
    <t xml:space="preserve">Reconciled to LFG's F23 Final Forecast as of May 26th, 2023; </t>
  </si>
  <si>
    <t>Monthly kWh Sales Projections, 2023 - 2028</t>
  </si>
  <si>
    <t>SCH_03E</t>
  </si>
  <si>
    <t>SCH_7E</t>
  </si>
  <si>
    <t>SCH_8E</t>
  </si>
  <si>
    <t>SCH_24EC</t>
  </si>
  <si>
    <t>SCH_24EI</t>
  </si>
  <si>
    <t>SCH_24EL</t>
  </si>
  <si>
    <t>SCH_50E</t>
  </si>
  <si>
    <t>SCH_51E</t>
  </si>
  <si>
    <t>SCH_52E</t>
  </si>
  <si>
    <t>SCH_53E</t>
  </si>
  <si>
    <t>SCH_54E</t>
  </si>
  <si>
    <t>SCH_55E</t>
  </si>
  <si>
    <t>SCH_56E</t>
  </si>
  <si>
    <t>SCH_57E</t>
  </si>
  <si>
    <t>SCH_58E</t>
  </si>
  <si>
    <t>SCH_59E</t>
  </si>
  <si>
    <t>SCH_SC</t>
  </si>
  <si>
    <t>For the Forecasted Period January 1, 2024 to December 31, 2024</t>
  </si>
  <si>
    <t>Proposed Rate Effective Janaury 1, 2024</t>
  </si>
  <si>
    <t>Presentational purpose ONLY, rates will only be set for 2023 in 2022 GRC</t>
  </si>
  <si>
    <t>a</t>
  </si>
  <si>
    <t>c</t>
  </si>
  <si>
    <t>Total TY January 2024 to December 2024</t>
  </si>
  <si>
    <t>Schedule 129D - Bill Discount Rate Rider</t>
  </si>
  <si>
    <t>Month No.</t>
  </si>
  <si>
    <t>Forecast kWh</t>
  </si>
  <si>
    <t>Forecast Customer Count</t>
  </si>
  <si>
    <t>Average Use per Customer</t>
  </si>
  <si>
    <t>Average</t>
  </si>
  <si>
    <t>CUSTOMER CLASS</t>
  </si>
  <si>
    <t>SCHEDULE</t>
  </si>
  <si>
    <t>Tariff Reference</t>
  </si>
  <si>
    <t>Secondary Service:</t>
  </si>
  <si>
    <t>Sec Gen Svc - Small</t>
  </si>
  <si>
    <t>Sec Gen Svc - Medium</t>
  </si>
  <si>
    <t>11, 25 &amp; 7A</t>
  </si>
  <si>
    <t>Sec Gen Svc - Large</t>
  </si>
  <si>
    <t>12, 26 &amp; 26P</t>
  </si>
  <si>
    <t>Sec Irrigation Svc</t>
  </si>
  <si>
    <t>Primary Service:</t>
  </si>
  <si>
    <t>Pri Gen Svc</t>
  </si>
  <si>
    <t>10 &amp; 31</t>
  </si>
  <si>
    <t>Pri Irrigation Svc</t>
  </si>
  <si>
    <t>Pri Interruptible Svc</t>
  </si>
  <si>
    <t>High Voltage Service:</t>
  </si>
  <si>
    <t>HV Interruptible Svc</t>
  </si>
  <si>
    <t>HV Gen Svc</t>
  </si>
  <si>
    <t>Small Firm Resale</t>
  </si>
  <si>
    <t>Excluded Schedules:</t>
  </si>
  <si>
    <t>Transportation/Special Contract</t>
  </si>
  <si>
    <t xml:space="preserve">449 / 459 </t>
  </si>
  <si>
    <t>Allocation of SCH 139 Energy Charge Credit Recovery</t>
  </si>
  <si>
    <t>Schedule 141A</t>
  </si>
  <si>
    <t>12 MONTHS ENDED DECEMBER 2023, 2024 &amp; 2025</t>
  </si>
  <si>
    <t>Line</t>
  </si>
  <si>
    <t>YE 2023</t>
  </si>
  <si>
    <t>YE 2024</t>
  </si>
  <si>
    <t>Voltage Level</t>
  </si>
  <si>
    <t>SCH 141A - SCH 139 Energy Charge Credit Recovery</t>
  </si>
  <si>
    <t>No.</t>
  </si>
  <si>
    <t>Description</t>
  </si>
  <si>
    <t>Bill Determinants</t>
  </si>
  <si>
    <t>Sch 141A</t>
  </si>
  <si>
    <t>ECOS Energy Allocation Factor_3 (Note 2)</t>
  </si>
  <si>
    <t>MYRP 2023 Increase</t>
  </si>
  <si>
    <t>MYRP 2024 Increase</t>
  </si>
  <si>
    <t>MYRP 2025 Increase</t>
  </si>
  <si>
    <t>b</t>
  </si>
  <si>
    <t>d</t>
  </si>
  <si>
    <t>Residential Service</t>
  </si>
  <si>
    <t>Energy Charge</t>
  </si>
  <si>
    <t>Secondary Voltage</t>
  </si>
  <si>
    <t>Demand &lt;= 50 kW</t>
  </si>
  <si>
    <t>8 / 24</t>
  </si>
  <si>
    <t xml:space="preserve">Excluding Green Direct Load </t>
  </si>
  <si>
    <t>Demand &gt; 50 kW but &lt;= 350 kW</t>
  </si>
  <si>
    <t>7A / 11/ 25 / 29</t>
  </si>
  <si>
    <t>Demand &gt; 350 kW</t>
  </si>
  <si>
    <t>12 / 26 / 26P</t>
  </si>
  <si>
    <t>Subtotal Base Revenue</t>
  </si>
  <si>
    <t>Total Secondary Voltage</t>
  </si>
  <si>
    <t>MYRP Increase</t>
  </si>
  <si>
    <t>Primary Voltage</t>
  </si>
  <si>
    <t>Secondary Voltage Service</t>
  </si>
  <si>
    <t>General Service</t>
  </si>
  <si>
    <t>10 / 31</t>
  </si>
  <si>
    <t>8, 24</t>
  </si>
  <si>
    <t>Irrigation</t>
  </si>
  <si>
    <t>Winter (October to March) kWh</t>
  </si>
  <si>
    <t>Interruptible Total Electric Schools</t>
  </si>
  <si>
    <t>Summer (April to September) kWh</t>
  </si>
  <si>
    <t>Total Primary Voltage</t>
  </si>
  <si>
    <t>46 / 49</t>
  </si>
  <si>
    <t>Choice / Retail Wheeling / Special Contract</t>
  </si>
  <si>
    <t>449 / 459 / SC</t>
  </si>
  <si>
    <t>7A, 11, 25</t>
  </si>
  <si>
    <t>Energy Charges</t>
  </si>
  <si>
    <t>Lighting</t>
  </si>
  <si>
    <t>First 20,000 kWh (Winter Oct to Mar)</t>
  </si>
  <si>
    <t>First 20,000 kWh (Summer Apr to Sep)</t>
  </si>
  <si>
    <t>Total Jurisdictional Retail Sales</t>
  </si>
  <si>
    <t>All additional kWh</t>
  </si>
  <si>
    <t>Firm Resale</t>
  </si>
  <si>
    <t>12, 26, 26P</t>
  </si>
  <si>
    <t>All kWh</t>
  </si>
  <si>
    <t>Green Direct Credit (SCH 139) Exhibit JAP-5</t>
  </si>
  <si>
    <t>Green Direct Load (Exhibit BDJ-3, Production Adjustment Factor)</t>
  </si>
  <si>
    <t>cross check</t>
  </si>
  <si>
    <t xml:space="preserve">Note 2:  Excluding Sch 139 Loads, Retail Wheeling and Special Contracts </t>
  </si>
  <si>
    <t>Over 20,000 kWh (Winter Oct to Mar)</t>
  </si>
  <si>
    <t>Over 20,000 kWh (Summer Apr to Sep)</t>
  </si>
  <si>
    <t>Primary Voltage Service</t>
  </si>
  <si>
    <t>10, 31</t>
  </si>
  <si>
    <t>High Voltage Service</t>
  </si>
  <si>
    <t>3, 50-59</t>
  </si>
  <si>
    <t>Lighting - kWh</t>
  </si>
  <si>
    <t>449, 459</t>
  </si>
  <si>
    <t>Rounding Difference</t>
  </si>
  <si>
    <t>Note:  Amounts in bold and italics are different from the October 18, 2022 PSE Response to WUTC Bench Request 002.</t>
  </si>
  <si>
    <t>2022 GRC Compliance filing (UE-220066)</t>
  </si>
  <si>
    <t>2022 Gas General Rate Case (GRC) - Compliance filing</t>
  </si>
  <si>
    <t>Schedule 139</t>
  </si>
  <si>
    <t>Voluntary Long Term Renewable Energy Purchase Rider</t>
  </si>
  <si>
    <t>Calculation of the Energy Charge Credit</t>
  </si>
  <si>
    <r>
      <t>Effective</t>
    </r>
    <r>
      <rPr>
        <sz val="8"/>
        <color rgb="FF0000FF"/>
        <rFont val="Arial"/>
        <family val="2"/>
      </rPr>
      <t xml:space="preserve"> January 1, 2023</t>
    </r>
  </si>
  <si>
    <r>
      <t xml:space="preserve">Effective </t>
    </r>
    <r>
      <rPr>
        <sz val="8"/>
        <color rgb="FF0000FF"/>
        <rFont val="Arial"/>
        <family val="2"/>
      </rPr>
      <t>January 1, 2024</t>
    </r>
  </si>
  <si>
    <r>
      <t xml:space="preserve">Effective </t>
    </r>
    <r>
      <rPr>
        <sz val="8"/>
        <color rgb="FF0000FF"/>
        <rFont val="Arial"/>
        <family val="2"/>
      </rPr>
      <t>January 1, 2025</t>
    </r>
  </si>
  <si>
    <t>Source:</t>
  </si>
  <si>
    <t>GRC Amount</t>
  </si>
  <si>
    <t xml:space="preserve">Energy Charge Credit ($/MWh) </t>
  </si>
  <si>
    <t>Note 1</t>
  </si>
  <si>
    <t>Energy Charge Credit ($/kWh)</t>
  </si>
  <si>
    <t>Sheet 139-F</t>
  </si>
  <si>
    <t>Note 1: Per Docketts UE-220066/UG-220067 Settlement Stipulation and Agreement (Green Direct)</t>
  </si>
  <si>
    <t>Sheet No. 141A-A</t>
  </si>
  <si>
    <t>Sheet No. 141A-B</t>
  </si>
  <si>
    <t>Allocation of Revenue Requirement to Rate Schedule 141A</t>
  </si>
  <si>
    <t>Schedule 141A Energy Charge Credit Recovery Adjustment</t>
  </si>
  <si>
    <t>ELECTRIC COST OF SERVICE SUMMARY</t>
  </si>
  <si>
    <t>Delivery Costs</t>
  </si>
  <si>
    <t>Total Company</t>
  </si>
  <si>
    <t>Residential Sch 7</t>
  </si>
  <si>
    <t>Sec Volt Sch 24 (kW&lt; 50)</t>
  </si>
  <si>
    <t>Sec Volt Sch 25 (kW &gt; 50 &amp; &lt; 350)</t>
  </si>
  <si>
    <t>Sec Volt Sch 26 (kW &gt; 350)</t>
  </si>
  <si>
    <t>Pri Volt Sch 31 (General Service)</t>
  </si>
  <si>
    <t>Pri Volt Sch 35 (Irrigation)</t>
  </si>
  <si>
    <t>Pri Svc 43</t>
  </si>
  <si>
    <t>High Volt 46/49</t>
  </si>
  <si>
    <t>Choice/Retail Wheeling</t>
  </si>
  <si>
    <t>Lighting 50-59</t>
  </si>
  <si>
    <t>(a)</t>
  </si>
  <si>
    <t>(b)</t>
  </si>
  <si>
    <t>(c)</t>
  </si>
  <si>
    <t>(d)</t>
  </si>
  <si>
    <t>(e)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</si>
  <si>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</si>
  <si>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</si>
  <si>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</si>
  <si>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</si>
  <si>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</si>
  <si>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</si>
  <si>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</si>
  <si>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</si>
  <si>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</si>
  <si>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2022 GRC Test Year Load</t>
  </si>
  <si>
    <t>Total Load - Energy excluding SC &amp; RW</t>
  </si>
  <si>
    <t xml:space="preserve">Excluding Sch 139 Test Year Loads </t>
  </si>
  <si>
    <t>Adjusted Load - Energy excluding SC, RW &amp; Sch 139</t>
  </si>
  <si>
    <t>Allocation Factor - excluding SC &amp; RW &amp; Sch 139</t>
  </si>
  <si>
    <t xml:space="preserve">2022 GRC Forecasted Green Direct Loads ((JAP-5) Exhibit A-1) Allocations </t>
  </si>
  <si>
    <t xml:space="preserve">2023 Sch 139 Green Direct Load </t>
  </si>
  <si>
    <t xml:space="preserve">2024 Sch 139 Green Direct Load </t>
  </si>
  <si>
    <t xml:space="preserve">2022 GRC Test Year SCH 139 Green Direct Customers Loads Allocation (Exhibit BDJ-3) </t>
  </si>
  <si>
    <t>Schedule 7</t>
  </si>
  <si>
    <t>Schedule 8, 24</t>
  </si>
  <si>
    <t>Schedule 7A, 11, 25</t>
  </si>
  <si>
    <t>Schedule 12, 26</t>
  </si>
  <si>
    <t>Schedule 29</t>
  </si>
  <si>
    <t>Schedule 10, 31</t>
  </si>
  <si>
    <t>Schedule 43</t>
  </si>
  <si>
    <t>High Voltage (46/49)</t>
  </si>
  <si>
    <t>Grand Total</t>
  </si>
  <si>
    <t xml:space="preserve">2022 GRC Forecasted Green Direct Loads ((JAP-5) Exhibit A-1) </t>
  </si>
  <si>
    <t xml:space="preserve">2023 Forecasted Sch 139 Green Direct Loads </t>
  </si>
  <si>
    <t xml:space="preserve">2024 Forecasted Sch 139 Green Direct Loads </t>
  </si>
  <si>
    <t>F2023 Load</t>
  </si>
  <si>
    <t>F2023 2024 Load</t>
  </si>
  <si>
    <t xml:space="preserve">cross check </t>
  </si>
  <si>
    <t>Proposed Schedule 141A Lamp Charge</t>
  </si>
  <si>
    <t>Proposed Schedule 141A Lamp Revenue</t>
  </si>
  <si>
    <r>
      <t xml:space="preserve">Annual Lamp Inventory @ </t>
    </r>
    <r>
      <rPr>
        <b/>
        <sz val="8"/>
        <color rgb="FF0000FF"/>
        <rFont val="Arial"/>
        <family val="2"/>
      </rPr>
      <t>8/2023</t>
    </r>
  </si>
  <si>
    <t>Base Lamp Energy Cost</t>
  </si>
  <si>
    <t>Ratio of Schedule SCH 141A Revenue Requirement to Base Energy Light Charge Cost</t>
  </si>
  <si>
    <t>Current Rate
$ per kWh</t>
  </si>
  <si>
    <t>Proposed Rate
$ per kWh</t>
  </si>
  <si>
    <t>7 / 7BDR / 307 / 317 / 327</t>
  </si>
  <si>
    <t>8 / 24 / 324</t>
  </si>
  <si>
    <t>GD load</t>
  </si>
  <si>
    <t xml:space="preserve">SCH 141A Total Revenue Requirement </t>
  </si>
  <si>
    <t>Total Billed Amount Incl Tax</t>
  </si>
  <si>
    <t>001/2023</t>
  </si>
  <si>
    <t>002/2023</t>
  </si>
  <si>
    <t>003/2023</t>
  </si>
  <si>
    <t>004/2023</t>
  </si>
  <si>
    <t>005/2023</t>
  </si>
  <si>
    <t>006/2023</t>
  </si>
  <si>
    <t>007/2023</t>
  </si>
  <si>
    <t>008/2023</t>
  </si>
  <si>
    <t>Jan 2023 - Aug 2023</t>
  </si>
  <si>
    <t xml:space="preserve">January - August 2023 True-up Adjustments for SCH 141A </t>
  </si>
  <si>
    <t xml:space="preserve">SCH 141A January 2023 - August 2023 True-up </t>
  </si>
  <si>
    <t xml:space="preserve">2023 Janury - August 2023 SCH 141A True - Up </t>
  </si>
  <si>
    <t xml:space="preserve">SCH 139 </t>
  </si>
  <si>
    <t xml:space="preserve">Billed: </t>
  </si>
  <si>
    <t xml:space="preserve">SCH 141A </t>
  </si>
  <si>
    <t xml:space="preserve">SCH 139 Billed + Change in Unbilled: </t>
  </si>
  <si>
    <t xml:space="preserve">SCH 141A Billed + Change in Unbilled: </t>
  </si>
  <si>
    <t xml:space="preserve">Conversion Factor </t>
  </si>
  <si>
    <t>Post Conversion Factor</t>
  </si>
  <si>
    <t>Green Direct Energy Credit (Billed)</t>
  </si>
  <si>
    <t>Energy Chg Credit Recovery Adj  (Billed)</t>
  </si>
  <si>
    <t>Post-Conversion Green Direct Energy Credit (Change in Unbilled)</t>
  </si>
  <si>
    <t>Post-Conversion Energy Chg Credit Recovery Adj (Change in Unbilled)</t>
  </si>
  <si>
    <t>See "Street &amp; Area Lighting" tab</t>
  </si>
  <si>
    <t>Difference between SCH 139 and SCH 141A</t>
  </si>
  <si>
    <t>Rate Impacts</t>
  </si>
  <si>
    <t>Test Year Ended December 31, 2024</t>
  </si>
  <si>
    <t>Proposed Effective date January 1, 2024</t>
  </si>
  <si>
    <t>Annual kWh Delivered Sales  01/01/24 to 12/31/24 (F2023)</t>
  </si>
  <si>
    <t>Estimated Annual
Base Revenue
Rates Effective
01/11/23</t>
  </si>
  <si>
    <t>Schedule 95
PCA Supplemental*</t>
  </si>
  <si>
    <t>Schedule 95</t>
  </si>
  <si>
    <t>Schedule 95A
Federal Incentive Credit</t>
  </si>
  <si>
    <t>Schedule 120
Conservation</t>
  </si>
  <si>
    <t>Schedule 129
Low Income*</t>
  </si>
  <si>
    <t>Schedule 129D
Bill Discount*</t>
  </si>
  <si>
    <t xml:space="preserve">Schedule 139 Green Direct </t>
  </si>
  <si>
    <t>Schedule 139 Green Direct Supplemental</t>
  </si>
  <si>
    <t>Schedule 140
Property Tax</t>
  </si>
  <si>
    <t>Schedule 141A
Energy Charge Credit</t>
  </si>
  <si>
    <t>Schedule 141COL
Colstrip Adjustment</t>
  </si>
  <si>
    <t>Schedule 141N
Rates Not Subject to Refund*</t>
  </si>
  <si>
    <t>Schedule 141R
Rates Subject to Refund*</t>
  </si>
  <si>
    <t>Schedule 141TEP</t>
  </si>
  <si>
    <t>Schedule 141Z (Unprotected)
EDIT</t>
  </si>
  <si>
    <t>Schedule 142
 Deferral</t>
  </si>
  <si>
    <t>Schedule 142
Supplemental</t>
  </si>
  <si>
    <t>Schedule 194
BPA Res &amp; Farm Credit*</t>
  </si>
  <si>
    <t>Subtotal
Rider
Rates</t>
  </si>
  <si>
    <t>Annual Estimated Revenue @ Rates Effective 09/01/23</t>
  </si>
  <si>
    <t>7, 7BDR, 307, 317, 327</t>
  </si>
  <si>
    <t>24 (8), 324</t>
  </si>
  <si>
    <t>25 (11, 7A)</t>
  </si>
  <si>
    <t>26 (12, 26P)</t>
  </si>
  <si>
    <t>31 (10)</t>
  </si>
  <si>
    <t>Transportation 449-459</t>
  </si>
  <si>
    <t>Retail Sales</t>
  </si>
  <si>
    <t>Total 
Proposed
Rates at 01/01/2024</t>
  </si>
  <si>
    <t>Current  Average 
Rates per KWHs</t>
  </si>
  <si>
    <t>Proposed Average 
Rates per KWHs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</si>
  <si>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</si>
  <si>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</si>
  <si>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</si>
  <si>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</si>
  <si>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</si>
  <si>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</si>
  <si>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</si>
  <si>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</si>
  <si>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</si>
  <si>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</si>
  <si>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</si>
  <si>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</si>
  <si>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Present Rates Effective 09/01/2023</t>
  </si>
  <si>
    <t>Proposed Rates Effective 01/01/2024</t>
  </si>
  <si>
    <t>Average Residential Usage Test Year Ended December 31, 2024</t>
  </si>
  <si>
    <t>UE-22xxxx Adjusted Test Year Twelve Months ended June 2021 @ Proforma Rev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</si>
</sst>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&quot;$&quot;* #,##0.000000_);_(&quot;$&quot;* \(#,##0.000000\);_(&quot;$&quot;* &quot;-&quot;??_);_(@_)"/>
    <numFmt numFmtId="167" formatCode="0.000000"/>
    <numFmt numFmtId="168" formatCode="_(&quot;$&quot;* #,##0.000000_);_(&quot;$&quot;* \(#,##0.000000\);_(&quot;$&quot;* &quot;-&quot;??????_);_(@_)"/>
    <numFmt numFmtId="169" formatCode="0.0%"/>
    <numFmt numFmtId="170" formatCode="_(&quot;$&quot;* #,##0.00000_);_(&quot;$&quot;* \(#,##0.00000\);_(&quot;$&quot;* &quot;-&quot;??_);_(@_)"/>
    <numFmt numFmtId="171" formatCode="_(* #,##0.000000_);_(* \(#,##0.000000\);_(* &quot;-&quot;??_);_(@_)"/>
    <numFmt numFmtId="172" formatCode="0.0000\ \¢"/>
    <numFmt numFmtId="173" formatCode="0.0000"/>
    <numFmt numFmtId="174" formatCode="_(* #,##0.0000_);_(* \(#,##0.0000\);_(* &quot;-&quot;??_);_(@_)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8080"/>
      <name val="Arial"/>
      <family val="2"/>
    </font>
    <font>
      <sz val="8"/>
      <color rgb="FF008080"/>
      <name val="Arial"/>
      <family val="2"/>
    </font>
    <font>
      <b/>
      <sz val="8"/>
      <color rgb="FF0033CC"/>
      <name val="Arial"/>
      <family val="2"/>
    </font>
    <font>
      <sz val="12"/>
      <name val="Times New Roman"/>
      <family val="1"/>
    </font>
    <font>
      <b/>
      <i/>
      <sz val="8"/>
      <color rgb="FF0000FF"/>
      <name val="Arial"/>
      <family val="2"/>
    </font>
    <font>
      <b/>
      <i/>
      <sz val="8"/>
      <color rgb="FFFF0000"/>
      <name val="Arial"/>
      <family val="2"/>
    </font>
    <font>
      <b/>
      <u/>
      <sz val="8"/>
      <color theme="1"/>
      <name val="Arial"/>
      <family val="2"/>
    </font>
    <font>
      <sz val="10"/>
      <name val="Arial"/>
      <family val="2"/>
    </font>
    <font>
      <sz val="8"/>
      <color rgb="FF0033CC"/>
      <name val="Arial"/>
      <family val="2"/>
    </font>
    <font>
      <b/>
      <sz val="8"/>
      <color rgb="FF0000FF"/>
      <name val="Arial"/>
      <family val="2"/>
    </font>
    <font>
      <sz val="11"/>
      <color rgb="FF0033CC"/>
      <name val="Calibri"/>
      <family val="2"/>
      <scheme val="minor"/>
    </font>
    <font>
      <b/>
      <sz val="11"/>
      <color rgb="FF008080"/>
      <name val="Calibri"/>
      <family val="2"/>
      <scheme val="minor"/>
    </font>
    <font>
      <sz val="12"/>
      <name val="Times New Roman"/>
      <family val="1"/>
    </font>
    <font>
      <b/>
      <i/>
      <sz val="8"/>
      <color rgb="FF0033CC"/>
      <name val="Arial"/>
      <family val="2"/>
    </font>
    <font>
      <b/>
      <sz val="8"/>
      <color rgb="FF000000"/>
      <name val="Arial"/>
      <family val="2"/>
    </font>
    <font>
      <u/>
      <sz val="8"/>
      <name val="Arial"/>
      <family val="2"/>
    </font>
    <font>
      <sz val="12"/>
      <name val="Times New Roman"/>
    </font>
    <font>
      <b/>
      <u/>
      <sz val="8"/>
      <name val="Arial"/>
      <family val="2"/>
    </font>
    <font>
      <sz val="8"/>
      <color rgb="FF006666"/>
      <name val="Arial"/>
      <family val="2"/>
    </font>
    <font>
      <b/>
      <i/>
      <sz val="8"/>
      <color rgb="FF00808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43" fontId="2" fillId="0" borderId="0" applyFont="0" applyFill="0" applyBorder="0" applyAlignment="0" applyProtection="0"/>
    <xf numFmtId="167" fontId="3" fillId="0" borderId="0">
      <alignment horizontal="left" wrapText="1"/>
    </xf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>
      <alignment horizontal="left" wrapText="1"/>
    </xf>
    <xf numFmtId="9" fontId="1" fillId="0" borderId="0" applyFont="0" applyFill="0" applyBorder="0" applyAlignment="0" applyProtection="0"/>
    <xf numFmtId="0" fontId="14" fillId="0" borderId="0"/>
    <xf numFmtId="0" fontId="18" fillId="0" borderId="0"/>
    <xf numFmtId="0" fontId="2" fillId="0" borderId="0"/>
    <xf numFmtId="0" fontId="23" fillId="0" borderId="0"/>
    <xf numFmtId="44" fontId="14" fillId="0" borderId="0" applyFont="0" applyFill="0" applyBorder="0" applyAlignment="0" applyProtection="0"/>
    <xf numFmtId="0" fontId="27" fillId="0" borderId="0"/>
    <xf numFmtId="43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447">
    <xf numFmtId="0" fontId="0" fillId="0" borderId="0" xfId="0"/>
    <xf numFmtId="44" fontId="5" fillId="0" borderId="0" xfId="4" applyFont="1"/>
    <xf numFmtId="44" fontId="5" fillId="0" borderId="3" xfId="4" applyFont="1" applyBorder="1"/>
    <xf numFmtId="0" fontId="5" fillId="0" borderId="0" xfId="6" applyFont="1" applyFill="1"/>
    <xf numFmtId="0" fontId="4" fillId="0" borderId="0" xfId="6" applyFont="1" applyFill="1"/>
    <xf numFmtId="165" fontId="5" fillId="0" borderId="0" xfId="4" applyNumberFormat="1" applyFont="1" applyFill="1"/>
    <xf numFmtId="165" fontId="5" fillId="0" borderId="2" xfId="4" applyNumberFormat="1" applyFont="1" applyFill="1" applyBorder="1"/>
    <xf numFmtId="165" fontId="5" fillId="0" borderId="0" xfId="4" applyNumberFormat="1" applyFont="1" applyFill="1" applyBorder="1"/>
    <xf numFmtId="165" fontId="5" fillId="0" borderId="3" xfId="4" applyNumberFormat="1" applyFont="1" applyFill="1" applyBorder="1"/>
    <xf numFmtId="0" fontId="7" fillId="0" borderId="0" xfId="0" applyFont="1"/>
    <xf numFmtId="0" fontId="4" fillId="0" borderId="0" xfId="6" applyFont="1" applyAlignment="1">
      <alignment horizontal="centerContinuous" vertical="center"/>
    </xf>
    <xf numFmtId="0" fontId="4" fillId="0" borderId="0" xfId="6" applyFont="1" applyAlignment="1">
      <alignment horizontal="centerContinuous"/>
    </xf>
    <xf numFmtId="0" fontId="4" fillId="0" borderId="0" xfId="6" applyFont="1"/>
    <xf numFmtId="0" fontId="5" fillId="0" borderId="0" xfId="6" applyFont="1" applyAlignment="1">
      <alignment horizontal="centerContinuous" vertical="center"/>
    </xf>
    <xf numFmtId="0" fontId="5" fillId="0" borderId="0" xfId="6" applyFont="1"/>
    <xf numFmtId="0" fontId="5" fillId="0" borderId="0" xfId="6" applyFont="1" applyBorder="1" applyAlignment="1"/>
    <xf numFmtId="0" fontId="5" fillId="0" borderId="0" xfId="6" quotePrefix="1" applyFont="1" applyBorder="1" applyAlignment="1">
      <alignment horizontal="center"/>
    </xf>
    <xf numFmtId="0" fontId="5" fillId="0" borderId="0" xfId="6" applyFont="1" applyAlignment="1"/>
    <xf numFmtId="0" fontId="5" fillId="0" borderId="1" xfId="6" applyFont="1" applyBorder="1" applyAlignment="1">
      <alignment horizontal="center" wrapText="1"/>
    </xf>
    <xf numFmtId="0" fontId="5" fillId="0" borderId="1" xfId="6" quotePrefix="1" applyFont="1" applyBorder="1" applyAlignment="1">
      <alignment horizontal="center" wrapText="1"/>
    </xf>
    <xf numFmtId="44" fontId="5" fillId="0" borderId="0" xfId="6" applyNumberFormat="1" applyFont="1"/>
    <xf numFmtId="10" fontId="5" fillId="0" borderId="0" xfId="9" applyNumberFormat="1" applyFont="1"/>
    <xf numFmtId="0" fontId="5" fillId="0" borderId="0" xfId="6" quotePrefix="1" applyFont="1" applyAlignment="1">
      <alignment horizontal="left"/>
    </xf>
    <xf numFmtId="164" fontId="5" fillId="0" borderId="3" xfId="6" applyNumberFormat="1" applyFont="1" applyBorder="1"/>
    <xf numFmtId="10" fontId="5" fillId="0" borderId="3" xfId="9" applyNumberFormat="1" applyFont="1" applyBorder="1"/>
    <xf numFmtId="0" fontId="5" fillId="0" borderId="0" xfId="6" applyFont="1" applyFill="1" applyAlignment="1">
      <alignment horizontal="left"/>
    </xf>
    <xf numFmtId="44" fontId="5" fillId="0" borderId="3" xfId="6" applyNumberFormat="1" applyFont="1" applyBorder="1"/>
    <xf numFmtId="0" fontId="5" fillId="0" borderId="0" xfId="6" applyFont="1" applyAlignment="1">
      <alignment horizontal="left"/>
    </xf>
    <xf numFmtId="0" fontId="5" fillId="0" borderId="1" xfId="6" quotePrefix="1" applyFont="1" applyBorder="1" applyAlignment="1">
      <alignment horizontal="left"/>
    </xf>
    <xf numFmtId="0" fontId="5" fillId="0" borderId="1" xfId="6" applyFont="1" applyBorder="1"/>
    <xf numFmtId="0" fontId="11" fillId="2" borderId="4" xfId="6" quotePrefix="1" applyFont="1" applyFill="1" applyBorder="1" applyAlignment="1">
      <alignment horizontal="center" wrapText="1"/>
    </xf>
    <xf numFmtId="0" fontId="5" fillId="0" borderId="8" xfId="6" quotePrefix="1" applyFont="1" applyBorder="1" applyAlignment="1">
      <alignment horizontal="center" wrapText="1"/>
    </xf>
    <xf numFmtId="166" fontId="5" fillId="0" borderId="8" xfId="6" applyNumberFormat="1" applyFont="1" applyFill="1" applyBorder="1"/>
    <xf numFmtId="166" fontId="5" fillId="0" borderId="9" xfId="6" applyNumberFormat="1" applyFont="1" applyFill="1" applyBorder="1"/>
    <xf numFmtId="0" fontId="5" fillId="0" borderId="8" xfId="6" applyFont="1" applyFill="1" applyBorder="1"/>
    <xf numFmtId="166" fontId="5" fillId="0" borderId="7" xfId="6" quotePrefix="1" applyNumberFormat="1" applyFont="1" applyFill="1" applyBorder="1" applyAlignment="1"/>
    <xf numFmtId="166" fontId="5" fillId="0" borderId="9" xfId="6" quotePrefix="1" applyNumberFormat="1" applyFont="1" applyFill="1" applyBorder="1" applyAlignment="1"/>
    <xf numFmtId="166" fontId="5" fillId="0" borderId="7" xfId="6" applyNumberFormat="1" applyFont="1" applyFill="1" applyBorder="1"/>
    <xf numFmtId="168" fontId="5" fillId="0" borderId="0" xfId="6" applyNumberFormat="1" applyFont="1"/>
    <xf numFmtId="166" fontId="5" fillId="0" borderId="6" xfId="6" applyNumberFormat="1" applyFont="1" applyFill="1" applyBorder="1"/>
    <xf numFmtId="165" fontId="12" fillId="0" borderId="0" xfId="4" applyNumberFormat="1" applyFont="1" applyFill="1"/>
    <xf numFmtId="166" fontId="5" fillId="3" borderId="7" xfId="6" quotePrefix="1" applyNumberFormat="1" applyFont="1" applyFill="1" applyBorder="1" applyAlignment="1"/>
    <xf numFmtId="0" fontId="5" fillId="0" borderId="0" xfId="0" applyFont="1" applyFill="1"/>
    <xf numFmtId="0" fontId="4" fillId="0" borderId="0" xfId="0" applyFont="1" applyFill="1"/>
    <xf numFmtId="44" fontId="12" fillId="0" borderId="0" xfId="4" applyFont="1" applyFill="1" applyBorder="1"/>
    <xf numFmtId="44" fontId="5" fillId="0" borderId="0" xfId="4" applyFont="1" applyFill="1" applyBorder="1"/>
    <xf numFmtId="166" fontId="12" fillId="0" borderId="0" xfId="4" applyNumberFormat="1" applyFont="1" applyFill="1" applyBorder="1"/>
    <xf numFmtId="44" fontId="12" fillId="0" borderId="0" xfId="4" quotePrefix="1" applyFont="1" applyFill="1" applyBorder="1"/>
    <xf numFmtId="166" fontId="12" fillId="0" borderId="0" xfId="4" applyNumberFormat="1" applyFont="1" applyFill="1"/>
    <xf numFmtId="0" fontId="5" fillId="0" borderId="0" xfId="0" applyFont="1" applyFill="1" applyAlignment="1">
      <alignment horizontal="center" wrapText="1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centerContinuous" wrapText="1"/>
    </xf>
    <xf numFmtId="0" fontId="5" fillId="3" borderId="0" xfId="6" applyFont="1" applyFill="1"/>
    <xf numFmtId="0" fontId="11" fillId="0" borderId="0" xfId="6" applyFont="1" applyAlignment="1">
      <alignment horizontal="centerContinuous" vertical="center"/>
    </xf>
    <xf numFmtId="164" fontId="6" fillId="0" borderId="0" xfId="7" applyNumberFormat="1" applyFont="1" applyFill="1"/>
    <xf numFmtId="165" fontId="12" fillId="0" borderId="2" xfId="4" applyNumberFormat="1" applyFont="1" applyFill="1" applyBorder="1"/>
    <xf numFmtId="41" fontId="12" fillId="3" borderId="0" xfId="5" applyNumberFormat="1" applyFont="1" applyFill="1"/>
    <xf numFmtId="0" fontId="8" fillId="0" borderId="0" xfId="6" applyFont="1" applyFill="1" applyAlignment="1">
      <alignment horizontal="center"/>
    </xf>
    <xf numFmtId="0" fontId="6" fillId="0" borderId="0" xfId="6" applyFont="1" applyFill="1" applyBorder="1"/>
    <xf numFmtId="0" fontId="9" fillId="0" borderId="0" xfId="6" applyFont="1" applyFill="1" applyBorder="1" applyAlignment="1">
      <alignment horizontal="center"/>
    </xf>
    <xf numFmtId="0" fontId="4" fillId="0" borderId="0" xfId="6" applyFont="1" applyAlignment="1">
      <alignment horizontal="center"/>
    </xf>
    <xf numFmtId="3" fontId="5" fillId="0" borderId="0" xfId="6" applyNumberFormat="1" applyFont="1"/>
    <xf numFmtId="0" fontId="20" fillId="2" borderId="0" xfId="6" quotePrefix="1" applyFont="1" applyFill="1" applyAlignment="1">
      <alignment horizontal="left"/>
    </xf>
    <xf numFmtId="0" fontId="5" fillId="2" borderId="0" xfId="6" applyFont="1" applyFill="1"/>
    <xf numFmtId="3" fontId="5" fillId="2" borderId="0" xfId="6" applyNumberFormat="1" applyFont="1" applyFill="1"/>
    <xf numFmtId="0" fontId="6" fillId="0" borderId="0" xfId="6" applyFont="1"/>
    <xf numFmtId="164" fontId="12" fillId="0" borderId="0" xfId="6" applyNumberFormat="1" applyFont="1"/>
    <xf numFmtId="0" fontId="8" fillId="4" borderId="0" xfId="0" applyFont="1" applyFill="1"/>
    <xf numFmtId="0" fontId="7" fillId="4" borderId="0" xfId="0" applyFont="1" applyFill="1"/>
    <xf numFmtId="0" fontId="16" fillId="4" borderId="0" xfId="0" applyFont="1" applyFill="1"/>
    <xf numFmtId="0" fontId="15" fillId="4" borderId="0" xfId="0" applyFont="1" applyFill="1"/>
    <xf numFmtId="0" fontId="9" fillId="4" borderId="0" xfId="0" applyFont="1" applyFill="1"/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5" fillId="0" borderId="0" xfId="0" quotePrefix="1" applyFont="1" applyAlignment="1">
      <alignment horizontal="center" vertical="top" wrapText="1"/>
    </xf>
    <xf numFmtId="0" fontId="5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165" fontId="5" fillId="0" borderId="0" xfId="0" applyNumberFormat="1" applyFont="1"/>
    <xf numFmtId="0" fontId="5" fillId="0" borderId="0" xfId="0" quotePrefix="1" applyFont="1" applyAlignment="1">
      <alignment horizontal="left" indent="1"/>
    </xf>
    <xf numFmtId="0" fontId="5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left"/>
    </xf>
    <xf numFmtId="0" fontId="8" fillId="0" borderId="0" xfId="0" applyFont="1"/>
    <xf numFmtId="0" fontId="25" fillId="0" borderId="0" xfId="0" applyFont="1" applyAlignment="1">
      <alignment horizontal="center"/>
    </xf>
    <xf numFmtId="0" fontId="5" fillId="0" borderId="0" xfId="6" quotePrefix="1" applyFont="1" applyAlignment="1">
      <alignment horizontal="center"/>
    </xf>
    <xf numFmtId="0" fontId="5" fillId="0" borderId="0" xfId="6" applyFont="1" applyAlignment="1">
      <alignment horizontal="center"/>
    </xf>
    <xf numFmtId="0" fontId="12" fillId="0" borderId="0" xfId="6" applyFont="1"/>
    <xf numFmtId="0" fontId="17" fillId="4" borderId="33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37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3" fontId="12" fillId="4" borderId="0" xfId="0" applyNumberFormat="1" applyFont="1" applyFill="1" applyBorder="1" applyAlignment="1">
      <alignment horizontal="right"/>
    </xf>
    <xf numFmtId="0" fontId="7" fillId="4" borderId="0" xfId="0" applyFont="1" applyFill="1" applyBorder="1"/>
    <xf numFmtId="0" fontId="7" fillId="4" borderId="1" xfId="0" applyFont="1" applyFill="1" applyBorder="1"/>
    <xf numFmtId="0" fontId="7" fillId="4" borderId="1" xfId="0" applyFont="1" applyFill="1" applyBorder="1" applyAlignment="1">
      <alignment horizontal="center"/>
    </xf>
    <xf numFmtId="3" fontId="12" fillId="4" borderId="1" xfId="0" applyNumberFormat="1" applyFont="1" applyFill="1" applyBorder="1" applyAlignment="1">
      <alignment horizontal="right"/>
    </xf>
    <xf numFmtId="166" fontId="12" fillId="0" borderId="8" xfId="6" applyNumberFormat="1" applyFont="1" applyFill="1" applyBorder="1"/>
    <xf numFmtId="166" fontId="12" fillId="0" borderId="7" xfId="6" applyNumberFormat="1" applyFont="1" applyFill="1" applyBorder="1"/>
    <xf numFmtId="166" fontId="12" fillId="0" borderId="6" xfId="6" applyNumberFormat="1" applyFont="1" applyFill="1" applyBorder="1"/>
    <xf numFmtId="166" fontId="12" fillId="3" borderId="7" xfId="6" applyNumberFormat="1" applyFont="1" applyFill="1" applyBorder="1"/>
    <xf numFmtId="0" fontId="11" fillId="4" borderId="15" xfId="6" quotePrefix="1" applyFont="1" applyFill="1" applyBorder="1" applyAlignment="1">
      <alignment horizontal="centerContinuous"/>
    </xf>
    <xf numFmtId="0" fontId="4" fillId="4" borderId="35" xfId="6" quotePrefix="1" applyFont="1" applyFill="1" applyBorder="1" applyAlignment="1">
      <alignment horizontal="centerContinuous"/>
    </xf>
    <xf numFmtId="0" fontId="4" fillId="4" borderId="36" xfId="6" quotePrefix="1" applyFont="1" applyFill="1" applyBorder="1" applyAlignment="1">
      <alignment horizontal="centerContinuous"/>
    </xf>
    <xf numFmtId="0" fontId="4" fillId="4" borderId="24" xfId="6" applyFont="1" applyFill="1" applyBorder="1" applyAlignment="1">
      <alignment horizontal="center" vertical="center" wrapText="1"/>
    </xf>
    <xf numFmtId="0" fontId="4" fillId="4" borderId="10" xfId="6" applyFont="1" applyFill="1" applyBorder="1" applyAlignment="1">
      <alignment horizontal="center" vertical="center" wrapText="1"/>
    </xf>
    <xf numFmtId="0" fontId="10" fillId="4" borderId="0" xfId="6" applyFont="1" applyFill="1"/>
    <xf numFmtId="164" fontId="12" fillId="4" borderId="34" xfId="6" applyNumberFormat="1" applyFont="1" applyFill="1" applyBorder="1"/>
    <xf numFmtId="164" fontId="5" fillId="4" borderId="11" xfId="6" applyNumberFormat="1" applyFont="1" applyFill="1" applyBorder="1"/>
    <xf numFmtId="164" fontId="12" fillId="4" borderId="0" xfId="6" applyNumberFormat="1" applyFont="1" applyFill="1"/>
    <xf numFmtId="164" fontId="12" fillId="4" borderId="1" xfId="6" applyNumberFormat="1" applyFont="1" applyFill="1" applyBorder="1"/>
    <xf numFmtId="0" fontId="5" fillId="4" borderId="0" xfId="6" applyFont="1" applyFill="1"/>
    <xf numFmtId="164" fontId="5" fillId="4" borderId="5" xfId="6" applyNumberFormat="1" applyFont="1" applyFill="1" applyBorder="1"/>
    <xf numFmtId="164" fontId="5" fillId="4" borderId="38" xfId="6" applyNumberFormat="1" applyFont="1" applyFill="1" applyBorder="1"/>
    <xf numFmtId="0" fontId="5" fillId="4" borderId="24" xfId="6" applyFont="1" applyFill="1" applyBorder="1"/>
    <xf numFmtId="164" fontId="5" fillId="4" borderId="24" xfId="6" applyNumberFormat="1" applyFont="1" applyFill="1" applyBorder="1"/>
    <xf numFmtId="164" fontId="5" fillId="4" borderId="10" xfId="6" applyNumberFormat="1" applyFont="1" applyFill="1" applyBorder="1"/>
    <xf numFmtId="164" fontId="5" fillId="0" borderId="0" xfId="6" applyNumberFormat="1" applyFont="1"/>
    <xf numFmtId="164" fontId="10" fillId="4" borderId="3" xfId="6" applyNumberFormat="1" applyFont="1" applyFill="1" applyBorder="1"/>
    <xf numFmtId="10" fontId="5" fillId="4" borderId="3" xfId="9" applyNumberFormat="1" applyFont="1" applyFill="1" applyBorder="1"/>
    <xf numFmtId="166" fontId="5" fillId="0" borderId="20" xfId="6" quotePrefix="1" applyNumberFormat="1" applyFont="1" applyFill="1" applyBorder="1" applyAlignment="1"/>
    <xf numFmtId="14" fontId="5" fillId="0" borderId="0" xfId="6" applyNumberFormat="1" applyFont="1"/>
    <xf numFmtId="0" fontId="4" fillId="4" borderId="25" xfId="6" applyFont="1" applyFill="1" applyBorder="1" applyAlignment="1">
      <alignment horizontal="center" wrapText="1"/>
    </xf>
    <xf numFmtId="0" fontId="4" fillId="4" borderId="15" xfId="6" applyFont="1" applyFill="1" applyBorder="1" applyAlignment="1">
      <alignment horizontal="center" wrapText="1"/>
    </xf>
    <xf numFmtId="0" fontId="4" fillId="0" borderId="1" xfId="6" applyFont="1" applyBorder="1" applyAlignment="1">
      <alignment horizontal="center" wrapText="1"/>
    </xf>
    <xf numFmtId="17" fontId="4" fillId="0" borderId="0" xfId="6" quotePrefix="1" applyNumberFormat="1" applyFont="1" applyAlignment="1">
      <alignment horizontal="center" wrapText="1"/>
    </xf>
    <xf numFmtId="17" fontId="4" fillId="4" borderId="26" xfId="6" quotePrefix="1" applyNumberFormat="1" applyFont="1" applyFill="1" applyBorder="1" applyAlignment="1">
      <alignment horizontal="center" wrapText="1"/>
    </xf>
    <xf numFmtId="0" fontId="4" fillId="4" borderId="12" xfId="6" quotePrefix="1" applyFont="1" applyFill="1" applyBorder="1" applyAlignment="1">
      <alignment horizontal="center" wrapText="1"/>
    </xf>
    <xf numFmtId="0" fontId="12" fillId="0" borderId="0" xfId="6" applyFont="1" applyAlignment="1">
      <alignment horizontal="center"/>
    </xf>
    <xf numFmtId="165" fontId="5" fillId="0" borderId="0" xfId="6" applyNumberFormat="1" applyFont="1"/>
    <xf numFmtId="165" fontId="5" fillId="4" borderId="13" xfId="6" applyNumberFormat="1" applyFont="1" applyFill="1" applyBorder="1"/>
    <xf numFmtId="165" fontId="5" fillId="4" borderId="16" xfId="6" applyNumberFormat="1" applyFont="1" applyFill="1" applyBorder="1"/>
    <xf numFmtId="165" fontId="5" fillId="4" borderId="0" xfId="6" applyNumberFormat="1" applyFont="1" applyFill="1"/>
    <xf numFmtId="166" fontId="5" fillId="4" borderId="0" xfId="6" applyNumberFormat="1" applyFont="1" applyFill="1"/>
    <xf numFmtId="10" fontId="5" fillId="4" borderId="11" xfId="6" applyNumberFormat="1" applyFont="1" applyFill="1" applyBorder="1"/>
    <xf numFmtId="169" fontId="5" fillId="0" borderId="0" xfId="6" applyNumberFormat="1" applyFont="1"/>
    <xf numFmtId="164" fontId="5" fillId="0" borderId="2" xfId="6" applyNumberFormat="1" applyFont="1" applyBorder="1"/>
    <xf numFmtId="165" fontId="5" fillId="4" borderId="27" xfId="6" applyNumberFormat="1" applyFont="1" applyFill="1" applyBorder="1"/>
    <xf numFmtId="165" fontId="5" fillId="4" borderId="17" xfId="6" applyNumberFormat="1" applyFont="1" applyFill="1" applyBorder="1"/>
    <xf numFmtId="165" fontId="5" fillId="4" borderId="2" xfId="6" applyNumberFormat="1" applyFont="1" applyFill="1" applyBorder="1"/>
    <xf numFmtId="166" fontId="5" fillId="4" borderId="2" xfId="6" applyNumberFormat="1" applyFont="1" applyFill="1" applyBorder="1"/>
    <xf numFmtId="10" fontId="5" fillId="4" borderId="28" xfId="6" applyNumberFormat="1" applyFont="1" applyFill="1" applyBorder="1"/>
    <xf numFmtId="165" fontId="5" fillId="4" borderId="29" xfId="4" applyNumberFormat="1" applyFont="1" applyFill="1" applyBorder="1"/>
    <xf numFmtId="165" fontId="5" fillId="4" borderId="18" xfId="4" applyNumberFormat="1" applyFont="1" applyFill="1" applyBorder="1"/>
    <xf numFmtId="165" fontId="5" fillId="4" borderId="3" xfId="4" applyNumberFormat="1" applyFont="1" applyFill="1" applyBorder="1"/>
    <xf numFmtId="166" fontId="5" fillId="4" borderId="3" xfId="6" applyNumberFormat="1" applyFont="1" applyFill="1" applyBorder="1"/>
    <xf numFmtId="10" fontId="5" fillId="4" borderId="30" xfId="6" applyNumberFormat="1" applyFont="1" applyFill="1" applyBorder="1"/>
    <xf numFmtId="165" fontId="5" fillId="4" borderId="24" xfId="6" applyNumberFormat="1" applyFont="1" applyFill="1" applyBorder="1"/>
    <xf numFmtId="166" fontId="5" fillId="4" borderId="31" xfId="6" applyNumberFormat="1" applyFont="1" applyFill="1" applyBorder="1"/>
    <xf numFmtId="10" fontId="5" fillId="4" borderId="32" xfId="6" applyNumberFormat="1" applyFont="1" applyFill="1" applyBorder="1"/>
    <xf numFmtId="165" fontId="5" fillId="4" borderId="24" xfId="4" applyNumberFormat="1" applyFont="1" applyFill="1" applyBorder="1"/>
    <xf numFmtId="10" fontId="5" fillId="4" borderId="10" xfId="6" applyNumberFormat="1" applyFont="1" applyFill="1" applyBorder="1"/>
    <xf numFmtId="0" fontId="5" fillId="4" borderId="13" xfId="6" applyFont="1" applyFill="1" applyBorder="1"/>
    <xf numFmtId="0" fontId="5" fillId="4" borderId="16" xfId="6" applyFont="1" applyFill="1" applyBorder="1"/>
    <xf numFmtId="165" fontId="6" fillId="4" borderId="13" xfId="4" applyNumberFormat="1" applyFont="1" applyFill="1" applyBorder="1"/>
    <xf numFmtId="165" fontId="6" fillId="4" borderId="16" xfId="4" applyNumberFormat="1" applyFont="1" applyFill="1" applyBorder="1"/>
    <xf numFmtId="0" fontId="5" fillId="4" borderId="14" xfId="6" applyFont="1" applyFill="1" applyBorder="1"/>
    <xf numFmtId="0" fontId="5" fillId="4" borderId="19" xfId="6" applyFont="1" applyFill="1" applyBorder="1"/>
    <xf numFmtId="165" fontId="6" fillId="0" borderId="0" xfId="6" applyNumberFormat="1" applyFont="1"/>
    <xf numFmtId="0" fontId="11" fillId="0" borderId="1" xfId="6" quotePrefix="1" applyFont="1" applyBorder="1" applyAlignment="1">
      <alignment horizontal="center" wrapText="1"/>
    </xf>
    <xf numFmtId="164" fontId="12" fillId="0" borderId="2" xfId="6" applyNumberFormat="1" applyFont="1" applyBorder="1"/>
    <xf numFmtId="165" fontId="12" fillId="4" borderId="13" xfId="6" applyNumberFormat="1" applyFont="1" applyFill="1" applyBorder="1"/>
    <xf numFmtId="165" fontId="12" fillId="4" borderId="16" xfId="6" applyNumberFormat="1" applyFont="1" applyFill="1" applyBorder="1"/>
    <xf numFmtId="165" fontId="12" fillId="4" borderId="27" xfId="6" applyNumberFormat="1" applyFont="1" applyFill="1" applyBorder="1"/>
    <xf numFmtId="165" fontId="12" fillId="4" borderId="17" xfId="6" applyNumberFormat="1" applyFont="1" applyFill="1" applyBorder="1"/>
    <xf numFmtId="0" fontId="12" fillId="0" borderId="0" xfId="6" applyFont="1" applyAlignment="1">
      <alignment horizontal="centerContinuous" vertical="center"/>
    </xf>
    <xf numFmtId="164" fontId="5" fillId="0" borderId="0" xfId="0" applyNumberFormat="1" applyFont="1" applyAlignment="1">
      <alignment horizontal="center" vertical="top" wrapText="1"/>
    </xf>
    <xf numFmtId="164" fontId="5" fillId="0" borderId="0" xfId="0" applyNumberFormat="1" applyFont="1"/>
    <xf numFmtId="166" fontId="19" fillId="0" borderId="0" xfId="0" applyNumberFormat="1" applyFont="1"/>
    <xf numFmtId="166" fontId="12" fillId="0" borderId="0" xfId="0" applyNumberFormat="1" applyFont="1"/>
    <xf numFmtId="165" fontId="19" fillId="0" borderId="0" xfId="0" applyNumberFormat="1" applyFont="1"/>
    <xf numFmtId="165" fontId="12" fillId="0" borderId="0" xfId="0" applyNumberFormat="1" applyFont="1"/>
    <xf numFmtId="10" fontId="5" fillId="0" borderId="0" xfId="0" applyNumberFormat="1" applyFont="1"/>
    <xf numFmtId="172" fontId="5" fillId="0" borderId="0" xfId="0" applyNumberFormat="1" applyFont="1"/>
    <xf numFmtId="172" fontId="12" fillId="0" borderId="0" xfId="0" applyNumberFormat="1" applyFont="1"/>
    <xf numFmtId="0" fontId="26" fillId="0" borderId="0" xfId="0" applyFont="1" applyAlignment="1">
      <alignment horizontal="left"/>
    </xf>
    <xf numFmtId="0" fontId="4" fillId="0" borderId="0" xfId="0" applyFont="1"/>
    <xf numFmtId="0" fontId="20" fillId="0" borderId="0" xfId="0" applyFont="1"/>
    <xf numFmtId="0" fontId="6" fillId="0" borderId="0" xfId="0" applyFont="1"/>
    <xf numFmtId="41" fontId="12" fillId="0" borderId="0" xfId="5" applyNumberFormat="1" applyFont="1"/>
    <xf numFmtId="41" fontId="10" fillId="0" borderId="0" xfId="5" applyNumberFormat="1" applyFont="1"/>
    <xf numFmtId="41" fontId="19" fillId="0" borderId="0" xfId="5" applyNumberFormat="1" applyFont="1"/>
    <xf numFmtId="0" fontId="12" fillId="0" borderId="0" xfId="5" applyFont="1"/>
    <xf numFmtId="41" fontId="6" fillId="0" borderId="0" xfId="5" applyNumberFormat="1" applyFont="1"/>
    <xf numFmtId="0" fontId="4" fillId="0" borderId="0" xfId="15" applyFont="1"/>
    <xf numFmtId="0" fontId="5" fillId="0" borderId="0" xfId="15" applyFont="1"/>
    <xf numFmtId="0" fontId="4" fillId="0" borderId="0" xfId="15" quotePrefix="1" applyFont="1"/>
    <xf numFmtId="0" fontId="5" fillId="0" borderId="0" xfId="15" applyFont="1" applyAlignment="1">
      <alignment horizontal="center"/>
    </xf>
    <xf numFmtId="0" fontId="27" fillId="0" borderId="0" xfId="15"/>
    <xf numFmtId="0" fontId="4" fillId="0" borderId="39" xfId="15" applyFont="1" applyBorder="1" applyAlignment="1">
      <alignment horizontal="center" wrapText="1"/>
    </xf>
    <xf numFmtId="0" fontId="4" fillId="0" borderId="40" xfId="15" applyFont="1" applyBorder="1" applyAlignment="1">
      <alignment horizontal="center" wrapText="1"/>
    </xf>
    <xf numFmtId="0" fontId="4" fillId="0" borderId="26" xfId="15" applyFont="1" applyBorder="1" applyAlignment="1">
      <alignment horizontal="center" wrapText="1"/>
    </xf>
    <xf numFmtId="0" fontId="4" fillId="0" borderId="41" xfId="15" applyFont="1" applyBorder="1" applyAlignment="1">
      <alignment horizontal="center" wrapText="1"/>
    </xf>
    <xf numFmtId="0" fontId="4" fillId="0" borderId="26" xfId="15" quotePrefix="1" applyFont="1" applyBorder="1" applyAlignment="1">
      <alignment horizontal="center" wrapText="1"/>
    </xf>
    <xf numFmtId="0" fontId="4" fillId="0" borderId="26" xfId="15" quotePrefix="1" applyFont="1" applyBorder="1" applyAlignment="1">
      <alignment horizontal="center" wrapText="1"/>
    </xf>
    <xf numFmtId="0" fontId="4" fillId="0" borderId="12" xfId="15" quotePrefix="1" applyFont="1" applyBorder="1" applyAlignment="1">
      <alignment horizontal="center" wrapText="1"/>
    </xf>
    <xf numFmtId="0" fontId="5" fillId="0" borderId="42" xfId="15" applyFont="1" applyBorder="1" applyAlignment="1">
      <alignment horizontal="center" wrapText="1"/>
    </xf>
    <xf numFmtId="0" fontId="4" fillId="0" borderId="42" xfId="15" applyFont="1" applyBorder="1" applyAlignment="1">
      <alignment horizontal="center" wrapText="1"/>
    </xf>
    <xf numFmtId="0" fontId="4" fillId="0" borderId="42" xfId="15" quotePrefix="1" applyFont="1" applyBorder="1" applyAlignment="1">
      <alignment horizontal="center" wrapText="1"/>
    </xf>
    <xf numFmtId="0" fontId="5" fillId="0" borderId="0" xfId="15" applyFont="1" applyAlignment="1">
      <alignment wrapText="1"/>
    </xf>
    <xf numFmtId="0" fontId="4" fillId="0" borderId="13" xfId="15" applyFont="1" applyBorder="1" applyAlignment="1">
      <alignment horizontal="center" vertical="top" wrapText="1"/>
    </xf>
    <xf numFmtId="0" fontId="4" fillId="0" borderId="0" xfId="15" applyFont="1" applyAlignment="1">
      <alignment horizontal="left" vertical="top" wrapText="1"/>
    </xf>
    <xf numFmtId="0" fontId="4" fillId="0" borderId="0" xfId="15" applyFont="1" applyAlignment="1">
      <alignment horizontal="center" vertical="top" wrapText="1"/>
    </xf>
    <xf numFmtId="0" fontId="4" fillId="0" borderId="1" xfId="15" quotePrefix="1" applyFont="1" applyBorder="1" applyAlignment="1">
      <alignment horizontal="center" wrapText="1"/>
    </xf>
    <xf numFmtId="0" fontId="4" fillId="0" borderId="43" xfId="15" quotePrefix="1" applyFont="1" applyBorder="1" applyAlignment="1">
      <alignment horizontal="center" wrapText="1"/>
    </xf>
    <xf numFmtId="0" fontId="5" fillId="0" borderId="0" xfId="15" quotePrefix="1" applyFont="1"/>
    <xf numFmtId="0" fontId="5" fillId="0" borderId="0" xfId="15" quotePrefix="1" applyFont="1" applyAlignment="1">
      <alignment horizontal="center"/>
    </xf>
    <xf numFmtId="0" fontId="5" fillId="0" borderId="13" xfId="15" applyFont="1" applyBorder="1" applyAlignment="1">
      <alignment horizontal="center" vertical="top" wrapText="1"/>
    </xf>
    <xf numFmtId="0" fontId="5" fillId="0" borderId="0" xfId="15" applyFont="1" applyAlignment="1">
      <alignment horizontal="left" vertical="top" wrapText="1"/>
    </xf>
    <xf numFmtId="0" fontId="5" fillId="0" borderId="0" xfId="15" applyFont="1" applyAlignment="1">
      <alignment horizontal="center" vertical="top" wrapText="1"/>
    </xf>
    <xf numFmtId="0" fontId="5" fillId="0" borderId="11" xfId="15" applyFont="1" applyBorder="1"/>
    <xf numFmtId="0" fontId="28" fillId="0" borderId="0" xfId="15" quotePrefix="1" applyFont="1" applyAlignment="1">
      <alignment horizontal="left"/>
    </xf>
    <xf numFmtId="0" fontId="5" fillId="0" borderId="13" xfId="15" applyFont="1" applyBorder="1" applyAlignment="1">
      <alignment horizontal="center" wrapText="1"/>
    </xf>
    <xf numFmtId="0" fontId="5" fillId="0" borderId="0" xfId="15" applyFont="1" applyAlignment="1">
      <alignment horizontal="left"/>
    </xf>
    <xf numFmtId="10" fontId="5" fillId="0" borderId="0" xfId="15" applyNumberFormat="1" applyFont="1" applyAlignment="1">
      <alignment horizontal="center"/>
    </xf>
    <xf numFmtId="44" fontId="5" fillId="0" borderId="2" xfId="15" applyNumberFormat="1" applyFont="1" applyBorder="1"/>
    <xf numFmtId="44" fontId="15" fillId="0" borderId="28" xfId="15" applyNumberFormat="1" applyFont="1" applyBorder="1"/>
    <xf numFmtId="0" fontId="5" fillId="0" borderId="0" xfId="15" applyFont="1" applyAlignment="1">
      <alignment horizontal="left" indent="1"/>
    </xf>
    <xf numFmtId="164" fontId="5" fillId="0" borderId="0" xfId="15" applyNumberFormat="1" applyFont="1"/>
    <xf numFmtId="2" fontId="5" fillId="0" borderId="0" xfId="15" applyNumberFormat="1" applyFont="1" applyAlignment="1">
      <alignment horizontal="center"/>
    </xf>
    <xf numFmtId="165" fontId="5" fillId="0" borderId="0" xfId="15" applyNumberFormat="1" applyFont="1"/>
    <xf numFmtId="165" fontId="15" fillId="0" borderId="11" xfId="15" applyNumberFormat="1" applyFont="1" applyBorder="1"/>
    <xf numFmtId="0" fontId="5" fillId="0" borderId="0" xfId="15" quotePrefix="1" applyFont="1" applyAlignment="1">
      <alignment horizontal="left" indent="2"/>
    </xf>
    <xf numFmtId="166" fontId="5" fillId="0" borderId="0" xfId="15" applyNumberFormat="1" applyFont="1"/>
    <xf numFmtId="0" fontId="5" fillId="0" borderId="0" xfId="15" quotePrefix="1" applyFont="1" applyAlignment="1">
      <alignment horizontal="left" indent="1"/>
    </xf>
    <xf numFmtId="44" fontId="5" fillId="0" borderId="0" xfId="15" applyNumberFormat="1" applyFont="1"/>
    <xf numFmtId="44" fontId="15" fillId="0" borderId="11" xfId="15" applyNumberFormat="1" applyFont="1" applyBorder="1"/>
    <xf numFmtId="0" fontId="15" fillId="0" borderId="0" xfId="15" applyFont="1"/>
    <xf numFmtId="0" fontId="5" fillId="0" borderId="0" xfId="15" applyFont="1" applyAlignment="1">
      <alignment horizontal="left" indent="3"/>
    </xf>
    <xf numFmtId="164" fontId="5" fillId="0" borderId="2" xfId="15" applyNumberFormat="1" applyFont="1" applyBorder="1"/>
    <xf numFmtId="165" fontId="5" fillId="0" borderId="3" xfId="15" applyNumberFormat="1" applyFont="1" applyBorder="1"/>
    <xf numFmtId="0" fontId="5" fillId="0" borderId="0" xfId="15" quotePrefix="1" applyFont="1" applyAlignment="1">
      <alignment horizontal="left"/>
    </xf>
    <xf numFmtId="165" fontId="5" fillId="0" borderId="2" xfId="15" applyNumberFormat="1" applyFont="1" applyBorder="1"/>
    <xf numFmtId="165" fontId="15" fillId="0" borderId="28" xfId="15" applyNumberFormat="1" applyFont="1" applyBorder="1"/>
    <xf numFmtId="0" fontId="5" fillId="0" borderId="0" xfId="15" applyFont="1" applyAlignment="1">
      <alignment horizontal="left" indent="4"/>
    </xf>
    <xf numFmtId="165" fontId="6" fillId="0" borderId="0" xfId="15" applyNumberFormat="1" applyFont="1"/>
    <xf numFmtId="0" fontId="5" fillId="0" borderId="0" xfId="15" applyFont="1" applyAlignment="1">
      <alignment horizontal="left" indent="2"/>
    </xf>
    <xf numFmtId="0" fontId="15" fillId="0" borderId="11" xfId="15" applyFont="1" applyBorder="1"/>
    <xf numFmtId="165" fontId="15" fillId="0" borderId="30" xfId="15" applyNumberFormat="1" applyFont="1" applyBorder="1"/>
    <xf numFmtId="2" fontId="4" fillId="0" borderId="0" xfId="15" applyNumberFormat="1" applyFont="1" applyAlignment="1">
      <alignment horizontal="center"/>
    </xf>
    <xf numFmtId="10" fontId="5" fillId="0" borderId="3" xfId="15" applyNumberFormat="1" applyFont="1" applyBorder="1"/>
    <xf numFmtId="0" fontId="5" fillId="0" borderId="0" xfId="15" applyFont="1" applyAlignment="1">
      <alignment horizontal="left" indent="5"/>
    </xf>
    <xf numFmtId="0" fontId="5" fillId="0" borderId="13" xfId="15" applyFont="1" applyBorder="1"/>
    <xf numFmtId="0" fontId="5" fillId="0" borderId="0" xfId="15" applyFont="1" applyAlignment="1">
      <alignment horizontal="right"/>
    </xf>
    <xf numFmtId="0" fontId="29" fillId="0" borderId="11" xfId="15" applyFont="1" applyBorder="1"/>
    <xf numFmtId="41" fontId="12" fillId="0" borderId="0" xfId="15" applyNumberFormat="1" applyFont="1"/>
    <xf numFmtId="41" fontId="29" fillId="0" borderId="11" xfId="15" applyNumberFormat="1" applyFont="1" applyBorder="1"/>
    <xf numFmtId="0" fontId="6" fillId="0" borderId="0" xfId="15" applyFont="1"/>
    <xf numFmtId="165" fontId="6" fillId="0" borderId="11" xfId="15" applyNumberFormat="1" applyFont="1" applyBorder="1"/>
    <xf numFmtId="0" fontId="5" fillId="0" borderId="14" xfId="15" applyFont="1" applyBorder="1"/>
    <xf numFmtId="0" fontId="4" fillId="0" borderId="24" xfId="15" applyFont="1" applyBorder="1"/>
    <xf numFmtId="0" fontId="5" fillId="0" borderId="24" xfId="15" applyFont="1" applyBorder="1"/>
    <xf numFmtId="165" fontId="6" fillId="0" borderId="24" xfId="15" applyNumberFormat="1" applyFont="1" applyBorder="1"/>
    <xf numFmtId="165" fontId="6" fillId="0" borderId="10" xfId="15" applyNumberFormat="1" applyFont="1" applyBorder="1"/>
    <xf numFmtId="0" fontId="5" fillId="0" borderId="0" xfId="15" quotePrefix="1" applyFont="1" applyAlignment="1">
      <alignment horizontal="left" indent="5"/>
    </xf>
    <xf numFmtId="0" fontId="29" fillId="0" borderId="0" xfId="15" applyFont="1"/>
    <xf numFmtId="164" fontId="5" fillId="0" borderId="0" xfId="16" applyNumberFormat="1" applyFont="1" applyFill="1"/>
    <xf numFmtId="0" fontId="6" fillId="0" borderId="0" xfId="15" applyFont="1" applyAlignment="1">
      <alignment horizontal="center"/>
    </xf>
    <xf numFmtId="0" fontId="15" fillId="0" borderId="0" xfId="10" applyFont="1"/>
    <xf numFmtId="164" fontId="12" fillId="0" borderId="0" xfId="15" applyNumberFormat="1" applyFont="1"/>
    <xf numFmtId="10" fontId="12" fillId="0" borderId="0" xfId="15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quotePrefix="1" applyFont="1" applyAlignment="1">
      <alignment horizontal="left"/>
    </xf>
    <xf numFmtId="0" fontId="10" fillId="0" borderId="0" xfId="0" quotePrefix="1" applyFont="1" applyAlignment="1">
      <alignment horizontal="center"/>
    </xf>
    <xf numFmtId="173" fontId="5" fillId="0" borderId="0" xfId="0" applyNumberFormat="1" applyFont="1"/>
    <xf numFmtId="173" fontId="24" fillId="0" borderId="0" xfId="0" applyNumberFormat="1" applyFont="1"/>
    <xf numFmtId="9" fontId="5" fillId="0" borderId="0" xfId="0" applyNumberFormat="1" applyFont="1" applyAlignment="1">
      <alignment horizontal="right"/>
    </xf>
    <xf numFmtId="9" fontId="24" fillId="0" borderId="0" xfId="0" applyNumberFormat="1" applyFont="1" applyAlignment="1">
      <alignment horizontal="right"/>
    </xf>
    <xf numFmtId="0" fontId="20" fillId="0" borderId="0" xfId="0" applyFont="1" applyAlignment="1">
      <alignment horizontal="center"/>
    </xf>
    <xf numFmtId="174" fontId="20" fillId="0" borderId="2" xfId="0" applyNumberFormat="1" applyFont="1" applyBorder="1" applyAlignment="1">
      <alignment horizontal="right"/>
    </xf>
    <xf numFmtId="174" fontId="4" fillId="0" borderId="2" xfId="0" applyNumberFormat="1" applyFont="1" applyBorder="1" applyAlignment="1">
      <alignment horizontal="right"/>
    </xf>
    <xf numFmtId="174" fontId="24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66" fontId="24" fillId="0" borderId="3" xfId="0" applyNumberFormat="1" applyFont="1" applyBorder="1" applyAlignment="1">
      <alignment horizontal="right"/>
    </xf>
    <xf numFmtId="43" fontId="7" fillId="0" borderId="0" xfId="0" applyNumberFormat="1" applyFont="1"/>
    <xf numFmtId="173" fontId="7" fillId="0" borderId="0" xfId="0" applyNumberFormat="1" applyFont="1"/>
    <xf numFmtId="0" fontId="30" fillId="0" borderId="0" xfId="15" applyFont="1"/>
    <xf numFmtId="0" fontId="4" fillId="0" borderId="0" xfId="0" applyFont="1" applyAlignment="1">
      <alignment horizontal="center" wrapText="1"/>
    </xf>
    <xf numFmtId="0" fontId="4" fillId="0" borderId="12" xfId="15" quotePrefix="1" applyFont="1" applyBorder="1" applyAlignment="1">
      <alignment horizontal="center" wrapText="1"/>
    </xf>
    <xf numFmtId="0" fontId="5" fillId="0" borderId="0" xfId="15" applyFont="1" applyBorder="1" applyAlignment="1">
      <alignment horizontal="left" vertical="top" wrapText="1"/>
    </xf>
    <xf numFmtId="0" fontId="5" fillId="0" borderId="0" xfId="15" applyFont="1" applyBorder="1" applyAlignment="1">
      <alignment horizontal="center" vertical="top" wrapText="1"/>
    </xf>
    <xf numFmtId="0" fontId="5" fillId="0" borderId="0" xfId="15" applyFont="1" applyBorder="1"/>
    <xf numFmtId="0" fontId="5" fillId="0" borderId="0" xfId="15" applyFont="1" applyBorder="1" applyAlignment="1">
      <alignment horizontal="left"/>
    </xf>
    <xf numFmtId="0" fontId="5" fillId="0" borderId="0" xfId="15" applyFont="1" applyBorder="1" applyAlignment="1">
      <alignment horizontal="center"/>
    </xf>
    <xf numFmtId="10" fontId="12" fillId="0" borderId="0" xfId="15" applyNumberFormat="1" applyFont="1" applyBorder="1" applyAlignment="1">
      <alignment horizontal="center"/>
    </xf>
    <xf numFmtId="44" fontId="5" fillId="0" borderId="28" xfId="15" applyNumberFormat="1" applyFont="1" applyBorder="1"/>
    <xf numFmtId="2" fontId="5" fillId="0" borderId="0" xfId="15" applyNumberFormat="1" applyFont="1" applyBorder="1" applyAlignment="1">
      <alignment horizontal="center"/>
    </xf>
    <xf numFmtId="165" fontId="5" fillId="0" borderId="11" xfId="15" applyNumberFormat="1" applyFont="1" applyBorder="1"/>
    <xf numFmtId="0" fontId="5" fillId="0" borderId="0" xfId="15" quotePrefix="1" applyFont="1" applyBorder="1" applyAlignment="1">
      <alignment horizontal="left" indent="1"/>
    </xf>
    <xf numFmtId="0" fontId="5" fillId="0" borderId="0" xfId="15" quotePrefix="1" applyFont="1" applyBorder="1" applyAlignment="1">
      <alignment horizontal="center"/>
    </xf>
    <xf numFmtId="44" fontId="5" fillId="0" borderId="11" xfId="15" applyNumberFormat="1" applyFont="1" applyBorder="1"/>
    <xf numFmtId="0" fontId="5" fillId="0" borderId="0" xfId="15" quotePrefix="1" applyFont="1" applyBorder="1" applyAlignment="1">
      <alignment horizontal="left"/>
    </xf>
    <xf numFmtId="165" fontId="5" fillId="0" borderId="28" xfId="15" applyNumberFormat="1" applyFont="1" applyBorder="1"/>
    <xf numFmtId="0" fontId="5" fillId="0" borderId="0" xfId="15" applyFont="1" applyBorder="1" applyAlignment="1">
      <alignment horizontal="left" indent="1"/>
    </xf>
    <xf numFmtId="10" fontId="5" fillId="0" borderId="0" xfId="15" applyNumberFormat="1" applyFont="1" applyBorder="1" applyAlignment="1">
      <alignment horizontal="center"/>
    </xf>
    <xf numFmtId="165" fontId="5" fillId="0" borderId="30" xfId="15" applyNumberFormat="1" applyFont="1" applyBorder="1"/>
    <xf numFmtId="2" fontId="4" fillId="0" borderId="0" xfId="15" applyNumberFormat="1" applyFont="1" applyBorder="1" applyAlignment="1">
      <alignment horizontal="center"/>
    </xf>
    <xf numFmtId="165" fontId="5" fillId="0" borderId="0" xfId="15" applyNumberFormat="1" applyFont="1" applyBorder="1"/>
    <xf numFmtId="0" fontId="5" fillId="0" borderId="0" xfId="15" applyFont="1" applyBorder="1" applyAlignment="1">
      <alignment horizontal="right"/>
    </xf>
    <xf numFmtId="0" fontId="30" fillId="0" borderId="11" xfId="15" applyFont="1" applyBorder="1"/>
    <xf numFmtId="41" fontId="12" fillId="0" borderId="11" xfId="15" applyNumberFormat="1" applyFont="1" applyBorder="1"/>
    <xf numFmtId="0" fontId="6" fillId="0" borderId="0" xfId="15" applyFont="1" applyBorder="1"/>
    <xf numFmtId="44" fontId="5" fillId="0" borderId="43" xfId="15" applyNumberFormat="1" applyFont="1" applyBorder="1"/>
    <xf numFmtId="165" fontId="5" fillId="0" borderId="43" xfId="15" applyNumberFormat="1" applyFont="1" applyBorder="1"/>
    <xf numFmtId="0" fontId="5" fillId="5" borderId="0" xfId="0" applyFont="1" applyFill="1"/>
    <xf numFmtId="0" fontId="4" fillId="5" borderId="1" xfId="0" applyFont="1" applyFill="1" applyBorder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165" fontId="8" fillId="0" borderId="0" xfId="0" quotePrefix="1" applyNumberFormat="1" applyFont="1" applyAlignment="1">
      <alignment horizontal="left"/>
    </xf>
    <xf numFmtId="0" fontId="4" fillId="5" borderId="0" xfId="0" applyFont="1" applyFill="1" applyAlignment="1">
      <alignment horizontal="center"/>
    </xf>
    <xf numFmtId="0" fontId="28" fillId="5" borderId="0" xfId="0" applyFont="1" applyFill="1"/>
    <xf numFmtId="0" fontId="4" fillId="0" borderId="0" xfId="0" applyFont="1" applyAlignment="1">
      <alignment horizontal="center"/>
    </xf>
    <xf numFmtId="164" fontId="7" fillId="0" borderId="0" xfId="0" quotePrefix="1" applyNumberFormat="1" applyFont="1" applyAlignment="1">
      <alignment horizontal="left"/>
    </xf>
    <xf numFmtId="164" fontId="12" fillId="0" borderId="0" xfId="0" quotePrefix="1" applyNumberFormat="1" applyFont="1" applyAlignment="1">
      <alignment horizontal="left"/>
    </xf>
    <xf numFmtId="164" fontId="5" fillId="0" borderId="0" xfId="0" applyNumberFormat="1" applyFont="1" applyAlignment="1">
      <alignment horizontal="left" wrapText="1"/>
    </xf>
    <xf numFmtId="164" fontId="7" fillId="0" borderId="1" xfId="0" quotePrefix="1" applyNumberFormat="1" applyFont="1" applyBorder="1" applyAlignment="1">
      <alignment horizontal="left"/>
    </xf>
    <xf numFmtId="164" fontId="5" fillId="0" borderId="1" xfId="0" applyNumberFormat="1" applyFont="1" applyBorder="1"/>
    <xf numFmtId="164" fontId="10" fillId="0" borderId="1" xfId="0" quotePrefix="1" applyNumberFormat="1" applyFont="1" applyBorder="1" applyAlignment="1">
      <alignment horizontal="left"/>
    </xf>
    <xf numFmtId="164" fontId="4" fillId="0" borderId="0" xfId="0" quotePrefix="1" applyNumberFormat="1" applyFont="1" applyAlignment="1">
      <alignment horizontal="left"/>
    </xf>
    <xf numFmtId="164" fontId="4" fillId="0" borderId="0" xfId="0" applyNumberFormat="1" applyFont="1"/>
    <xf numFmtId="0" fontId="5" fillId="0" borderId="0" xfId="0" quotePrefix="1" applyFont="1" applyAlignment="1">
      <alignment horizontal="left" indent="2"/>
    </xf>
    <xf numFmtId="171" fontId="4" fillId="0" borderId="0" xfId="0" quotePrefix="1" applyNumberFormat="1" applyFont="1" applyAlignment="1">
      <alignment horizontal="left"/>
    </xf>
    <xf numFmtId="171" fontId="4" fillId="0" borderId="0" xfId="0" applyNumberFormat="1" applyFont="1"/>
    <xf numFmtId="0" fontId="28" fillId="0" borderId="0" xfId="0" quotePrefix="1" applyFont="1"/>
    <xf numFmtId="164" fontId="10" fillId="0" borderId="0" xfId="0" quotePrefix="1" applyNumberFormat="1" applyFont="1" applyAlignment="1">
      <alignment horizontal="left"/>
    </xf>
    <xf numFmtId="165" fontId="7" fillId="0" borderId="0" xfId="0" quotePrefix="1" applyNumberFormat="1" applyFont="1" applyAlignment="1">
      <alignment horizontal="left"/>
    </xf>
    <xf numFmtId="0" fontId="28" fillId="0" borderId="0" xfId="0" quotePrefix="1" applyFont="1" applyAlignment="1">
      <alignment horizontal="left"/>
    </xf>
    <xf numFmtId="164" fontId="12" fillId="0" borderId="0" xfId="1" applyNumberFormat="1" applyFont="1" applyFill="1" applyAlignment="1"/>
    <xf numFmtId="9" fontId="5" fillId="0" borderId="0" xfId="17" applyFont="1" applyFill="1" applyAlignment="1"/>
    <xf numFmtId="0" fontId="4" fillId="0" borderId="3" xfId="0" applyFont="1" applyBorder="1"/>
    <xf numFmtId="9" fontId="4" fillId="0" borderId="3" xfId="17" applyFont="1" applyFill="1" applyBorder="1" applyAlignment="1"/>
    <xf numFmtId="164" fontId="6" fillId="0" borderId="0" xfId="0" applyNumberFormat="1" applyFont="1"/>
    <xf numFmtId="41" fontId="29" fillId="0" borderId="0" xfId="0" applyNumberFormat="1" applyFont="1"/>
    <xf numFmtId="0" fontId="24" fillId="0" borderId="0" xfId="10" applyFont="1"/>
    <xf numFmtId="164" fontId="5" fillId="5" borderId="0" xfId="0" applyNumberFormat="1" applyFont="1" applyFill="1"/>
    <xf numFmtId="164" fontId="4" fillId="0" borderId="3" xfId="1" applyNumberFormat="1" applyFont="1" applyFill="1" applyBorder="1" applyAlignment="1"/>
    <xf numFmtId="17" fontId="11" fillId="4" borderId="25" xfId="6" quotePrefix="1" applyNumberFormat="1" applyFont="1" applyFill="1" applyBorder="1" applyAlignment="1">
      <alignment horizontal="center" wrapText="1"/>
    </xf>
    <xf numFmtId="17" fontId="11" fillId="4" borderId="15" xfId="6" quotePrefix="1" applyNumberFormat="1" applyFont="1" applyFill="1" applyBorder="1" applyAlignment="1">
      <alignment horizontal="center" wrapText="1"/>
    </xf>
    <xf numFmtId="44" fontId="11" fillId="0" borderId="0" xfId="5" applyNumberFormat="1" applyFont="1"/>
    <xf numFmtId="0" fontId="11" fillId="0" borderId="0" xfId="5" applyFont="1"/>
    <xf numFmtId="0" fontId="4" fillId="0" borderId="0" xfId="5" applyFont="1" applyAlignment="1">
      <alignment horizontal="center"/>
    </xf>
    <xf numFmtId="0" fontId="4" fillId="0" borderId="0" xfId="5" applyFont="1"/>
    <xf numFmtId="44" fontId="4" fillId="0" borderId="0" xfId="5" applyNumberFormat="1" applyFont="1"/>
    <xf numFmtId="0" fontId="4" fillId="0" borderId="44" xfId="5" applyFont="1" applyBorder="1" applyAlignment="1">
      <alignment horizontal="center" wrapText="1"/>
    </xf>
    <xf numFmtId="0" fontId="4" fillId="0" borderId="44" xfId="5" quotePrefix="1" applyFont="1" applyBorder="1" applyAlignment="1">
      <alignment horizontal="center" wrapText="1"/>
    </xf>
    <xf numFmtId="0" fontId="4" fillId="4" borderId="21" xfId="5" quotePrefix="1" applyFont="1" applyFill="1" applyBorder="1" applyAlignment="1">
      <alignment horizontal="center" wrapText="1"/>
    </xf>
    <xf numFmtId="0" fontId="5" fillId="0" borderId="0" xfId="5" applyFont="1" applyAlignment="1">
      <alignment horizontal="center"/>
    </xf>
    <xf numFmtId="0" fontId="5" fillId="0" borderId="0" xfId="5" applyFont="1"/>
    <xf numFmtId="0" fontId="5" fillId="4" borderId="16" xfId="5" applyFont="1" applyFill="1" applyBorder="1"/>
    <xf numFmtId="164" fontId="5" fillId="0" borderId="0" xfId="5" applyNumberFormat="1" applyFont="1"/>
    <xf numFmtId="44" fontId="5" fillId="0" borderId="0" xfId="5" applyNumberFormat="1" applyFont="1"/>
    <xf numFmtId="0" fontId="4" fillId="0" borderId="22" xfId="5" applyFont="1" applyBorder="1" applyAlignment="1">
      <alignment horizontal="center"/>
    </xf>
    <xf numFmtId="0" fontId="5" fillId="0" borderId="0" xfId="5" quotePrefix="1" applyFont="1" applyAlignment="1">
      <alignment horizontal="left"/>
    </xf>
    <xf numFmtId="41" fontId="5" fillId="0" borderId="0" xfId="5" applyNumberFormat="1" applyFont="1"/>
    <xf numFmtId="165" fontId="5" fillId="0" borderId="0" xfId="5" applyNumberFormat="1" applyFont="1"/>
    <xf numFmtId="171" fontId="4" fillId="0" borderId="19" xfId="5" applyNumberFormat="1" applyFont="1" applyBorder="1" applyAlignment="1">
      <alignment horizontal="center"/>
    </xf>
    <xf numFmtId="171" fontId="5" fillId="0" borderId="0" xfId="5" applyNumberFormat="1" applyFont="1"/>
    <xf numFmtId="0" fontId="6" fillId="0" borderId="0" xfId="5" quotePrefix="1" applyFont="1" applyAlignment="1">
      <alignment horizontal="left"/>
    </xf>
    <xf numFmtId="165" fontId="6" fillId="0" borderId="0" xfId="5" applyNumberFormat="1" applyFont="1"/>
    <xf numFmtId="171" fontId="6" fillId="0" borderId="0" xfId="5" applyNumberFormat="1" applyFont="1"/>
    <xf numFmtId="164" fontId="5" fillId="0" borderId="23" xfId="5" applyNumberFormat="1" applyFont="1" applyBorder="1"/>
    <xf numFmtId="165" fontId="5" fillId="0" borderId="5" xfId="5" applyNumberFormat="1" applyFont="1" applyBorder="1"/>
    <xf numFmtId="0" fontId="6" fillId="0" borderId="0" xfId="5" applyFont="1"/>
    <xf numFmtId="0" fontId="5" fillId="0" borderId="0" xfId="5" quotePrefix="1" applyFont="1" applyAlignment="1">
      <alignment horizontal="left" indent="1"/>
    </xf>
    <xf numFmtId="0" fontId="5" fillId="0" borderId="0" xfId="5" quotePrefix="1" applyFont="1" applyAlignment="1">
      <alignment horizontal="right" wrapText="1"/>
    </xf>
    <xf numFmtId="44" fontId="5" fillId="4" borderId="16" xfId="4" applyFont="1" applyFill="1" applyBorder="1"/>
    <xf numFmtId="0" fontId="5" fillId="0" borderId="0" xfId="5" applyFont="1" applyAlignment="1">
      <alignment horizontal="center" wrapText="1"/>
    </xf>
    <xf numFmtId="0" fontId="5" fillId="0" borderId="0" xfId="5" quotePrefix="1" applyFont="1" applyAlignment="1">
      <alignment horizontal="center"/>
    </xf>
    <xf numFmtId="164" fontId="5" fillId="0" borderId="0" xfId="5" applyNumberFormat="1" applyFont="1" applyAlignment="1">
      <alignment horizontal="right"/>
    </xf>
    <xf numFmtId="0" fontId="5" fillId="0" borderId="0" xfId="5" applyFont="1" applyAlignment="1">
      <alignment horizontal="right"/>
    </xf>
    <xf numFmtId="164" fontId="5" fillId="0" borderId="0" xfId="5" quotePrefix="1" applyNumberFormat="1" applyFont="1" applyAlignment="1">
      <alignment horizontal="right"/>
    </xf>
    <xf numFmtId="166" fontId="12" fillId="4" borderId="16" xfId="4" applyNumberFormat="1" applyFont="1" applyFill="1" applyBorder="1"/>
    <xf numFmtId="0" fontId="5" fillId="0" borderId="0" xfId="5" applyFont="1" applyAlignment="1">
      <alignment horizontal="left"/>
    </xf>
    <xf numFmtId="0" fontId="5" fillId="0" borderId="0" xfId="5" applyFont="1" applyAlignment="1">
      <alignment horizontal="left" indent="1"/>
    </xf>
    <xf numFmtId="170" fontId="5" fillId="4" borderId="16" xfId="4" applyNumberFormat="1" applyFont="1" applyFill="1" applyBorder="1"/>
    <xf numFmtId="17" fontId="5" fillId="0" borderId="0" xfId="5" applyNumberFormat="1" applyFont="1"/>
    <xf numFmtId="0" fontId="5" fillId="4" borderId="19" xfId="5" applyFont="1" applyFill="1" applyBorder="1"/>
    <xf numFmtId="43" fontId="4" fillId="0" borderId="44" xfId="1" applyFont="1" applyFill="1" applyBorder="1" applyAlignment="1">
      <alignment horizontal="center" wrapText="1"/>
    </xf>
    <xf numFmtId="164" fontId="4" fillId="0" borderId="44" xfId="0" quotePrefix="1" applyNumberFormat="1" applyFont="1" applyBorder="1" applyAlignment="1">
      <alignment horizontal="center" wrapText="1"/>
    </xf>
    <xf numFmtId="0" fontId="4" fillId="0" borderId="44" xfId="0" applyFont="1" applyBorder="1" applyAlignment="1">
      <alignment horizontal="center" wrapText="1"/>
    </xf>
    <xf numFmtId="164" fontId="5" fillId="0" borderId="0" xfId="0" applyNumberFormat="1" applyFont="1" applyFill="1"/>
    <xf numFmtId="164" fontId="5" fillId="0" borderId="44" xfId="0" applyNumberFormat="1" applyFont="1" applyFill="1" applyBorder="1"/>
    <xf numFmtId="0" fontId="12" fillId="0" borderId="0" xfId="15" applyFont="1" applyAlignment="1">
      <alignment horizontal="center"/>
    </xf>
    <xf numFmtId="0" fontId="12" fillId="0" borderId="0" xfId="15" quotePrefix="1" applyFont="1" applyAlignment="1">
      <alignment horizontal="center"/>
    </xf>
    <xf numFmtId="165" fontId="5" fillId="0" borderId="16" xfId="15" applyNumberFormat="1" applyFont="1" applyBorder="1"/>
    <xf numFmtId="165" fontId="5" fillId="0" borderId="45" xfId="15" applyNumberFormat="1" applyFont="1" applyBorder="1"/>
    <xf numFmtId="0" fontId="4" fillId="0" borderId="27" xfId="15" applyFont="1" applyBorder="1" applyAlignment="1">
      <alignment horizontal="center" vertical="top" wrapText="1"/>
    </xf>
    <xf numFmtId="0" fontId="4" fillId="0" borderId="2" xfId="15" applyFont="1" applyBorder="1" applyAlignment="1">
      <alignment horizontal="left" vertical="top" wrapText="1"/>
    </xf>
    <xf numFmtId="0" fontId="4" fillId="0" borderId="2" xfId="15" applyFont="1" applyBorder="1" applyAlignment="1">
      <alignment horizontal="center" vertical="top" wrapText="1"/>
    </xf>
    <xf numFmtId="0" fontId="4" fillId="0" borderId="2" xfId="15" quotePrefix="1" applyFont="1" applyBorder="1" applyAlignment="1">
      <alignment horizontal="center" wrapText="1"/>
    </xf>
    <xf numFmtId="0" fontId="4" fillId="0" borderId="2" xfId="15" applyFont="1" applyBorder="1"/>
    <xf numFmtId="0" fontId="4" fillId="0" borderId="28" xfId="15" quotePrefix="1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17" fillId="0" borderId="0" xfId="0" applyFont="1"/>
    <xf numFmtId="0" fontId="8" fillId="0" borderId="44" xfId="0" applyFont="1" applyBorder="1" applyAlignment="1">
      <alignment horizontal="center" wrapText="1"/>
    </xf>
    <xf numFmtId="165" fontId="8" fillId="0" borderId="3" xfId="0" applyNumberFormat="1" applyFont="1" applyBorder="1"/>
    <xf numFmtId="165" fontId="7" fillId="0" borderId="0" xfId="0" applyNumberFormat="1" applyFont="1"/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0" xfId="0" applyNumberFormat="1" applyFont="1" applyBorder="1"/>
    <xf numFmtId="165" fontId="8" fillId="6" borderId="3" xfId="0" applyNumberFormat="1" applyFont="1" applyFill="1" applyBorder="1"/>
    <xf numFmtId="0" fontId="8" fillId="0" borderId="0" xfId="0" applyFont="1" applyBorder="1" applyAlignment="1">
      <alignment horizontal="center" wrapText="1"/>
    </xf>
    <xf numFmtId="0" fontId="7" fillId="0" borderId="0" xfId="0" applyFont="1" applyFill="1" applyBorder="1"/>
    <xf numFmtId="165" fontId="7" fillId="0" borderId="0" xfId="20" applyNumberFormat="1" applyFont="1" applyFill="1" applyBorder="1"/>
    <xf numFmtId="0" fontId="7" fillId="0" borderId="0" xfId="0" applyFont="1" applyFill="1"/>
    <xf numFmtId="165" fontId="7" fillId="0" borderId="0" xfId="20" applyNumberFormat="1" applyFont="1" applyFill="1"/>
    <xf numFmtId="44" fontId="17" fillId="0" borderId="0" xfId="0" applyNumberFormat="1" applyFont="1" applyAlignment="1">
      <alignment horizontal="right"/>
    </xf>
    <xf numFmtId="165" fontId="12" fillId="0" borderId="0" xfId="20" applyNumberFormat="1" applyFont="1" applyFill="1" applyBorder="1"/>
    <xf numFmtId="0" fontId="5" fillId="0" borderId="0" xfId="0" applyFont="1" applyFill="1" applyProtection="1">
      <protection locked="0"/>
    </xf>
    <xf numFmtId="0" fontId="5" fillId="0" borderId="0" xfId="21" applyFont="1" applyFill="1"/>
    <xf numFmtId="166" fontId="12" fillId="0" borderId="0" xfId="20" applyNumberFormat="1" applyFont="1" applyFill="1" applyBorder="1"/>
    <xf numFmtId="166" fontId="5" fillId="0" borderId="0" xfId="20" applyNumberFormat="1" applyFont="1" applyFill="1" applyBorder="1"/>
    <xf numFmtId="165" fontId="4" fillId="0" borderId="0" xfId="21" applyNumberFormat="1" applyFont="1" applyBorder="1"/>
    <xf numFmtId="165" fontId="4" fillId="0" borderId="5" xfId="21" applyNumberFormat="1" applyFont="1" applyBorder="1"/>
    <xf numFmtId="0" fontId="5" fillId="0" borderId="0" xfId="0" applyFont="1" applyFill="1" applyAlignment="1">
      <alignment horizontal="right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11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6" quotePrefix="1" applyFont="1" applyAlignment="1">
      <alignment horizontal="left" indent="3"/>
    </xf>
    <xf numFmtId="0" fontId="5" fillId="0" borderId="0" xfId="6" quotePrefix="1" applyFont="1" applyFill="1" applyAlignment="1">
      <alignment horizontal="left" indent="2"/>
    </xf>
    <xf numFmtId="0" fontId="5" fillId="0" borderId="0" xfId="6" quotePrefix="1" applyFont="1" applyAlignment="1">
      <alignment horizontal="left" indent="1"/>
    </xf>
    <xf numFmtId="0" fontId="5" fillId="3" borderId="0" xfId="6" quotePrefix="1" applyFont="1" applyFill="1" applyAlignment="1">
      <alignment horizontal="left" indent="2"/>
    </xf>
    <xf numFmtId="0" fontId="5" fillId="0" borderId="0" xfId="6" quotePrefix="1" applyFont="1" applyFill="1" applyAlignment="1">
      <alignment horizontal="left" indent="3"/>
    </xf>
    <xf numFmtId="0" fontId="5" fillId="0" borderId="0" xfId="6" quotePrefix="1" applyFont="1" applyFill="1" applyAlignment="1">
      <alignment horizontal="left" indent="1"/>
    </xf>
    <xf numFmtId="0" fontId="5" fillId="0" borderId="0" xfId="6" quotePrefix="1" applyFont="1" applyAlignment="1">
      <alignment horizontal="left" indent="2"/>
    </xf>
    <xf numFmtId="0" fontId="5" fillId="0" borderId="1" xfId="6" quotePrefix="1" applyFont="1" applyBorder="1" applyAlignment="1">
      <alignment horizontal="center"/>
    </xf>
    <xf numFmtId="0" fontId="4" fillId="0" borderId="1" xfId="15" quotePrefix="1" applyFont="1" applyBorder="1" applyAlignment="1">
      <alignment horizontal="center"/>
    </xf>
    <xf numFmtId="0" fontId="4" fillId="0" borderId="1" xfId="15" applyFont="1" applyBorder="1" applyAlignment="1">
      <alignment horizontal="center"/>
    </xf>
    <xf numFmtId="0" fontId="11" fillId="0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3" fillId="0" borderId="13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4" fillId="0" borderId="25" xfId="15" applyFont="1" applyBorder="1" applyAlignment="1">
      <alignment horizontal="center" wrapText="1"/>
    </xf>
    <xf numFmtId="0" fontId="27" fillId="0" borderId="35" xfId="15" applyBorder="1" applyAlignment="1">
      <alignment wrapText="1"/>
    </xf>
    <xf numFmtId="0" fontId="27" fillId="0" borderId="36" xfId="15" applyBorder="1" applyAlignment="1">
      <alignment wrapText="1"/>
    </xf>
    <xf numFmtId="0" fontId="4" fillId="0" borderId="26" xfId="15" quotePrefix="1" applyFont="1" applyBorder="1" applyAlignment="1">
      <alignment horizontal="center" wrapText="1"/>
    </xf>
    <xf numFmtId="0" fontId="4" fillId="0" borderId="12" xfId="15" quotePrefix="1" applyFont="1" applyBorder="1" applyAlignment="1">
      <alignment horizontal="center" wrapText="1"/>
    </xf>
    <xf numFmtId="0" fontId="2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</cellXfs>
  <cellStyles count="22">
    <cellStyle name="Comma" xfId="1" builtinId="3"/>
    <cellStyle name="Comma 10" xfId="7" xr:uid="{00000000-0005-0000-0000-000001000000}"/>
    <cellStyle name="Comma 2" xfId="16" xr:uid="{DF052868-00BB-4B44-BE79-BCDD99EBF294}"/>
    <cellStyle name="Currency" xfId="20" builtinId="4"/>
    <cellStyle name="Currency 2" xfId="3" xr:uid="{00000000-0005-0000-0000-000003000000}"/>
    <cellStyle name="Currency 2 12" xfId="4" xr:uid="{00000000-0005-0000-0000-000004000000}"/>
    <cellStyle name="Currency 3" xfId="14" xr:uid="{340720FF-C0EC-462F-B59A-CAAF2B012E30}"/>
    <cellStyle name="Normal" xfId="0" builtinId="0"/>
    <cellStyle name="Normal 2" xfId="2" xr:uid="{00000000-0005-0000-0000-000006000000}"/>
    <cellStyle name="Normal 2 10" xfId="6" xr:uid="{00000000-0005-0000-0000-000007000000}"/>
    <cellStyle name="Normal 2 16 2" xfId="21" xr:uid="{6FB4B884-90F4-4F40-A7BE-A8DEB6544A73}"/>
    <cellStyle name="Normal 2 2" xfId="8" xr:uid="{00000000-0005-0000-0000-000008000000}"/>
    <cellStyle name="Normal 2 3" xfId="10" xr:uid="{00000000-0005-0000-0000-000009000000}"/>
    <cellStyle name="Normal 3" xfId="11" xr:uid="{00000000-0005-0000-0000-00000A000000}"/>
    <cellStyle name="Normal 31" xfId="12" xr:uid="{00000000-0005-0000-0000-00000B000000}"/>
    <cellStyle name="Normal 4" xfId="13" xr:uid="{52AF8F5E-826A-4121-A425-68307179E251}"/>
    <cellStyle name="Normal 5" xfId="15" xr:uid="{5B83B9AC-CA75-4BAA-9A2C-B7D9B479643A}"/>
    <cellStyle name="Normal 510" xfId="5" xr:uid="{00000000-0005-0000-0000-00000C000000}"/>
    <cellStyle name="Normal 513" xfId="18" xr:uid="{E017F922-1CE3-4203-A3E4-CFBB05F124AD}"/>
    <cellStyle name="Percent" xfId="17" builtinId="5"/>
    <cellStyle name="Percent 10 2 2" xfId="19" xr:uid="{35EE9F34-B0D1-4E6F-9B19-FD23122EE125}"/>
    <cellStyle name="Percent 2" xfId="9" xr:uid="{00000000-0005-0000-0000-00000E000000}"/>
  </cellStyles>
  <dxfs count="0"/>
  <tableStyles count="0" defaultTableStyle="TableStyleMedium2" defaultPivotStyle="PivotStyleLight16"/>
  <colors>
    <mruColors>
      <color rgb="FF008080"/>
      <color rgb="FF0033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customXml" Target="../customXml/item2.xml"/><Relationship Id="rId16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customXml" Target="../customXml/item5.xml"/><Relationship Id="rId61" Type="http://schemas.openxmlformats.org/officeDocument/2006/relationships/externalLink" Target="externalLinks/externalLink49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27</xdr:col>
      <xdr:colOff>312994</xdr:colOff>
      <xdr:row>21</xdr:row>
      <xdr:rowOff>118659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8B491-55D0-41AE-ADD7-98D6C59B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8775" y="142875"/>
          <a:ext cx="7866319" cy="313808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28</xdr:col>
      <xdr:colOff>504058</xdr:colOff>
      <xdr:row>62</xdr:row>
      <xdr:rowOff>3738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322E67-8E18-43DD-B17C-FB013BF7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8775" y="3629025"/>
          <a:ext cx="8638408" cy="59187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171721</xdr:colOff>
      <xdr:row>5</xdr:row>
      <xdr:rowOff>85724</xdr:rowOff>
    </xdr:from>
    <xdr:to>
      <xdr:col>18</xdr:col>
      <xdr:colOff>542030</xdr:colOff>
      <xdr:row>18</xdr:row>
      <xdr:rowOff>37756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1C43E-92FE-00E3-AEEB-5F8585C3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396" y="800099"/>
          <a:ext cx="5247109" cy="21142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617298</xdr:colOff>
      <xdr:row>8</xdr:row>
      <xdr:rowOff>28575</xdr:rowOff>
    </xdr:from>
    <xdr:to>
      <xdr:col>4</xdr:col>
      <xdr:colOff>676275</xdr:colOff>
      <xdr:row>9</xdr:row>
      <xdr:rowOff>116776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73C821-95B0-4C40-A7D6-DA400468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623" y="1457325"/>
          <a:ext cx="5745402" cy="383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93\WC-RB%20GRC%20TY0903%20RY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2F\Due%20Diligence\August%20New%20Model\Fred%20Value%209.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BDJ-4-COS-Model-22GRC-01-20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93\FCR%20for%20PSE%20S40%20V0%20%20HM%20edit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Documents%20and%20Settings\boljh\Local%20Settings\MSN%20Rate%20v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1%20GRC\RebuttalFiling2011%20GRC\Electric%20Model%202011%20GRC%20Rebuttal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C0\Aurora%20Prices%20for%20ROR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Documents%20and%20Settings\scartwri\My%20Documents\Projects\PSE\Projects\BHP\Due%20Diligence\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WUTC\Puget%20Sound%20Energy\Semi%20Annual%20Report\Jun_30_01\Proforma%20Adj_not%20us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02Inputs\General%20Accounting\Reports\SalesOfElectricity\2009%20SOE\04-2009\02-2009%20SOE%20preli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eneral Inputs"/>
      <sheetName val="Input-Allocators"/>
      <sheetName val="Input-Accounts"/>
      <sheetName val="Functionalization"/>
      <sheetName val="Classification"/>
      <sheetName val="Prod_Dem"/>
      <sheetName val="Prod_Energy"/>
      <sheetName val="Trans_Dem"/>
      <sheetName val="Trans_Energy"/>
      <sheetName val="Dist_Dem"/>
      <sheetName val="Dist_Cust"/>
      <sheetName val="Cust_Cust"/>
      <sheetName val="Template"/>
      <sheetName val="DemandTotal"/>
      <sheetName val="EnergyTotal"/>
      <sheetName val="CustomerTotal"/>
      <sheetName val="GrandTotal"/>
      <sheetName val="Summary"/>
      <sheetName val="B - COS Results"/>
      <sheetName val="C-COS Allocation Factors"/>
      <sheetName val="E-Summary of results"/>
      <sheetName val="UnitCost"/>
      <sheetName val="Basic Charge"/>
      <sheetName val="SC Feeder "/>
      <sheetName val="SC Substation O&amp;M"/>
      <sheetName val="SC Substation A&amp;G"/>
      <sheetName val="PCA Cost Alloc for Sch 142"/>
      <sheetName val="Alloc for Sch 141A"/>
      <sheetName val="ErrorCheck"/>
      <sheetName val="Required Sheets"/>
    </sheetNames>
    <sheetDataSet>
      <sheetData sheetId="0"/>
      <sheetData sheetId="1">
        <row r="19">
          <cell r="D19">
            <v>7.1599999999999997E-2</v>
          </cell>
        </row>
        <row r="31">
          <cell r="D31">
            <v>1</v>
          </cell>
        </row>
      </sheetData>
      <sheetData sheetId="2">
        <row r="9">
          <cell r="B9" t="str">
            <v>PRODUCTION</v>
          </cell>
        </row>
        <row r="10">
          <cell r="B10" t="str">
            <v>TRANSMISSION</v>
          </cell>
        </row>
        <row r="11">
          <cell r="B11" t="str">
            <v>DISTRIBUTION</v>
          </cell>
        </row>
        <row r="12">
          <cell r="B12" t="str">
            <v>CUSTOMER</v>
          </cell>
        </row>
        <row r="13">
          <cell r="B13"/>
        </row>
        <row r="14">
          <cell r="B14"/>
        </row>
        <row r="15">
          <cell r="B15"/>
        </row>
        <row r="16">
          <cell r="B16"/>
        </row>
        <row r="19">
          <cell r="B19" t="str">
            <v>DEMAND</v>
          </cell>
        </row>
        <row r="20">
          <cell r="B20" t="str">
            <v>ENERGY</v>
          </cell>
        </row>
        <row r="21">
          <cell r="B21" t="str">
            <v>CUSTOMER</v>
          </cell>
        </row>
        <row r="22">
          <cell r="B22" t="str">
            <v>REN PEAK CREDIT</v>
          </cell>
        </row>
        <row r="23">
          <cell r="B23"/>
        </row>
        <row r="24">
          <cell r="B24"/>
        </row>
        <row r="32">
          <cell r="B32"/>
        </row>
        <row r="33">
          <cell r="B33" t="str">
            <v>CUST_1</v>
          </cell>
        </row>
        <row r="34">
          <cell r="B34" t="str">
            <v>CUST_2</v>
          </cell>
        </row>
        <row r="35">
          <cell r="B35" t="str">
            <v>CUST_3</v>
          </cell>
        </row>
        <row r="36">
          <cell r="B36" t="str">
            <v>CUST_4</v>
          </cell>
        </row>
        <row r="37">
          <cell r="B37" t="str">
            <v>CUST_5</v>
          </cell>
        </row>
        <row r="38">
          <cell r="B38" t="str">
            <v>DEM_1A</v>
          </cell>
        </row>
        <row r="39">
          <cell r="B39" t="str">
            <v>DEM_1B</v>
          </cell>
        </row>
        <row r="40">
          <cell r="B40" t="str">
            <v>DEM_2B</v>
          </cell>
        </row>
        <row r="41">
          <cell r="B41" t="str">
            <v>DEM_3</v>
          </cell>
        </row>
        <row r="42">
          <cell r="B42" t="str">
            <v>DEM_4</v>
          </cell>
        </row>
        <row r="43">
          <cell r="B43" t="str">
            <v>DIR_449</v>
          </cell>
        </row>
        <row r="44">
          <cell r="B44" t="str">
            <v>DIR_SC</v>
          </cell>
        </row>
        <row r="45">
          <cell r="B45" t="str">
            <v>DIR_RESALE_SMALL</v>
          </cell>
        </row>
        <row r="46">
          <cell r="B46" t="str">
            <v>DIR108.360</v>
          </cell>
        </row>
        <row r="47">
          <cell r="B47" t="str">
            <v>DIR108.361</v>
          </cell>
        </row>
        <row r="48">
          <cell r="B48" t="str">
            <v>DIR108.362</v>
          </cell>
        </row>
        <row r="49">
          <cell r="B49" t="str">
            <v>DIR108.364</v>
          </cell>
        </row>
        <row r="50">
          <cell r="B50" t="str">
            <v>DIR108.366</v>
          </cell>
        </row>
        <row r="51">
          <cell r="B51" t="str">
            <v>DIR235.00</v>
          </cell>
        </row>
        <row r="52">
          <cell r="B52" t="str">
            <v>DIR252.00</v>
          </cell>
        </row>
        <row r="53">
          <cell r="B53" t="str">
            <v>DIR360.01</v>
          </cell>
        </row>
        <row r="54">
          <cell r="B54" t="str">
            <v>DIR361.01</v>
          </cell>
        </row>
        <row r="55">
          <cell r="B55" t="str">
            <v>DIR362.01</v>
          </cell>
        </row>
        <row r="56">
          <cell r="B56" t="str">
            <v>DIR364.01</v>
          </cell>
        </row>
        <row r="57">
          <cell r="B57" t="str">
            <v>DIR366.01</v>
          </cell>
        </row>
        <row r="58">
          <cell r="B58" t="str">
            <v>DIR368.03</v>
          </cell>
        </row>
        <row r="59">
          <cell r="B59" t="str">
            <v>DIR373.00</v>
          </cell>
        </row>
        <row r="60">
          <cell r="B60" t="str">
            <v>DIR450.01</v>
          </cell>
        </row>
        <row r="61">
          <cell r="B61" t="str">
            <v>DIR451.02</v>
          </cell>
        </row>
        <row r="62">
          <cell r="B62" t="str">
            <v>DIR451.05</v>
          </cell>
        </row>
        <row r="63">
          <cell r="B63" t="str">
            <v>DIR451.06</v>
          </cell>
        </row>
        <row r="64">
          <cell r="B64" t="str">
            <v>DIR454.05</v>
          </cell>
        </row>
        <row r="65">
          <cell r="B65" t="str">
            <v>ENERGY_1</v>
          </cell>
        </row>
        <row r="66">
          <cell r="B66" t="str">
            <v>ENERGY_2</v>
          </cell>
        </row>
        <row r="67">
          <cell r="B67" t="str">
            <v>METER</v>
          </cell>
        </row>
        <row r="68">
          <cell r="B68" t="str">
            <v>OH_SVC</v>
          </cell>
        </row>
        <row r="69">
          <cell r="B69" t="str">
            <v>OH_TFMR</v>
          </cell>
        </row>
        <row r="70">
          <cell r="B70" t="str">
            <v>PROFORMA</v>
          </cell>
        </row>
        <row r="71">
          <cell r="B71" t="str">
            <v>PROFORMA_RETAIL</v>
          </cell>
        </row>
        <row r="72">
          <cell r="B72" t="str">
            <v>RESID</v>
          </cell>
        </row>
        <row r="73">
          <cell r="B73" t="str">
            <v>UG_TFMR</v>
          </cell>
        </row>
        <row r="74">
          <cell r="B74" t="str">
            <v>DIR904</v>
          </cell>
        </row>
        <row r="75">
          <cell r="B75"/>
        </row>
        <row r="76">
          <cell r="B76"/>
        </row>
        <row r="77">
          <cell r="B77"/>
        </row>
        <row r="78">
          <cell r="B78"/>
        </row>
        <row r="79">
          <cell r="B79"/>
        </row>
        <row r="80">
          <cell r="B80"/>
        </row>
        <row r="81">
          <cell r="B81"/>
        </row>
        <row r="82">
          <cell r="B82"/>
        </row>
        <row r="83">
          <cell r="B83"/>
        </row>
      </sheetData>
      <sheetData sheetId="3"/>
      <sheetData sheetId="4">
        <row r="121">
          <cell r="D121">
            <v>9218672.4605200049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Q50">
            <v>2747908.2705871202</v>
          </cell>
        </row>
      </sheetData>
      <sheetData sheetId="15">
        <row r="50">
          <cell r="Q50">
            <v>2207924.9697952559</v>
          </cell>
        </row>
      </sheetData>
      <sheetData sheetId="16">
        <row r="425">
          <cell r="Q425">
            <v>0</v>
          </cell>
        </row>
      </sheetData>
      <sheetData sheetId="17">
        <row r="22">
          <cell r="Q22">
            <v>6356723.889055321</v>
          </cell>
        </row>
      </sheetData>
      <sheetData sheetId="18">
        <row r="17">
          <cell r="Q17">
            <v>17776464.154850233</v>
          </cell>
        </row>
      </sheetData>
      <sheetData sheetId="19"/>
      <sheetData sheetId="20"/>
      <sheetData sheetId="21">
        <row r="13">
          <cell r="N13">
            <v>7.1599999999999997E-2</v>
          </cell>
        </row>
      </sheetData>
      <sheetData sheetId="22">
        <row r="39">
          <cell r="G39">
            <v>3193663695.1851835</v>
          </cell>
        </row>
      </sheetData>
      <sheetData sheetId="23"/>
      <sheetData sheetId="24"/>
      <sheetData sheetId="25"/>
      <sheetData sheetId="26">
        <row r="2">
          <cell r="A2" t="str">
            <v>UE-22xxxx Adjusted Test Year Twelve Months ended June 2021 @ Proforma Rev Requirement</v>
          </cell>
        </row>
      </sheetData>
      <sheetData sheetId="27">
        <row r="3">
          <cell r="A3" t="str">
            <v>UE-22xxxx Adjusted Test Year Twelve Months ended June 2021 @ Proforma Rev Requirement</v>
          </cell>
        </row>
      </sheetData>
      <sheetData sheetId="28">
        <row r="10">
          <cell r="E10">
            <v>11289696775.032455</v>
          </cell>
        </row>
      </sheetData>
      <sheetData sheetId="29"/>
      <sheetData sheetId="30">
        <row r="24">
          <cell r="G24" t="str">
            <v>Prod_Dem</v>
          </cell>
          <cell r="H24" t="str">
            <v>Prod_Energy</v>
          </cell>
          <cell r="I24" t="str">
            <v>Dist_Cust</v>
          </cell>
        </row>
        <row r="25">
          <cell r="G25" t="str">
            <v>Trans_Dem</v>
          </cell>
          <cell r="H25" t="str">
            <v>Trans_Energy</v>
          </cell>
          <cell r="I25" t="str">
            <v>Cust_Cust</v>
          </cell>
        </row>
        <row r="26">
          <cell r="G26" t="str">
            <v>Dist_Dem</v>
          </cell>
          <cell r="H26" t="str">
            <v/>
          </cell>
          <cell r="I26" t="str">
            <v/>
          </cell>
        </row>
        <row r="27">
          <cell r="G27" t="str">
            <v/>
          </cell>
          <cell r="H27" t="str">
            <v/>
          </cell>
          <cell r="I27" t="str">
            <v/>
          </cell>
        </row>
        <row r="28">
          <cell r="G28" t="str">
            <v/>
          </cell>
          <cell r="H28" t="str">
            <v/>
          </cell>
          <cell r="I28" t="str">
            <v/>
          </cell>
        </row>
        <row r="29">
          <cell r="G29" t="str">
            <v/>
          </cell>
          <cell r="H29" t="str">
            <v/>
          </cell>
          <cell r="I29" t="str">
            <v/>
          </cell>
        </row>
        <row r="30">
          <cell r="G30" t="str">
            <v/>
          </cell>
          <cell r="H30" t="str">
            <v/>
          </cell>
          <cell r="I30" t="str">
            <v/>
          </cell>
        </row>
        <row r="31">
          <cell r="G31" t="str">
            <v/>
          </cell>
          <cell r="H31" t="str">
            <v/>
          </cell>
          <cell r="I31" t="str">
            <v/>
          </cell>
        </row>
        <row r="32">
          <cell r="G32" t="str">
            <v/>
          </cell>
          <cell r="H32" t="str">
            <v/>
          </cell>
          <cell r="I32" t="str">
            <v/>
          </cell>
        </row>
        <row r="33">
          <cell r="G33" t="str">
            <v/>
          </cell>
          <cell r="H33" t="str">
            <v/>
          </cell>
          <cell r="I33" t="str">
            <v/>
          </cell>
        </row>
        <row r="34">
          <cell r="G34" t="str">
            <v/>
          </cell>
          <cell r="H34" t="str">
            <v/>
          </cell>
          <cell r="I34" t="str">
            <v/>
          </cell>
        </row>
        <row r="35">
          <cell r="G35" t="str">
            <v/>
          </cell>
          <cell r="H35" t="str">
            <v/>
          </cell>
          <cell r="I35" t="str">
            <v/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E0943-239B-434A-A45A-C67122CEABAE}">
  <sheetPr>
    <pageSetUpPr fitToPage="1"/>
  </sheetPr>
  <dimension ref="A1:G32"/>
  <sheetViews>
    <sheetView tabSelected="1" zoomScaleNormal="100" workbookViewId="0">
      <pane ySplit="6" topLeftCell="A7" activePane="bottomLeft" state="frozen"/>
      <selection pane="bottomLeft" activeCell="F13" sqref="F13"/>
    </sheetView>
  </sheetViews>
  <sheetFormatPr defaultColWidth="5.7109375" defaultRowHeight="11.25" x14ac:dyDescent="0.2"/>
  <cols>
    <col min="1" max="1" width="4.42578125" style="72" customWidth="1"/>
    <col min="2" max="2" width="28.85546875" style="72" bestFit="1" customWidth="1"/>
    <col min="3" max="3" width="18.85546875" style="72" bestFit="1" customWidth="1"/>
    <col min="4" max="4" width="12.85546875" style="72" bestFit="1" customWidth="1"/>
    <col min="5" max="5" width="1.140625" style="72" customWidth="1"/>
    <col min="6" max="6" width="12.7109375" style="72" customWidth="1"/>
    <col min="7" max="7" width="23.42578125" style="72" bestFit="1" customWidth="1"/>
    <col min="8" max="16384" width="5.7109375" style="72"/>
  </cols>
  <sheetData>
    <row r="1" spans="1:7" s="177" customFormat="1" ht="11.25" customHeight="1" x14ac:dyDescent="0.25">
      <c r="A1" s="418" t="s">
        <v>0</v>
      </c>
      <c r="B1" s="419"/>
      <c r="C1" s="419"/>
      <c r="D1" s="419"/>
      <c r="E1" s="419"/>
      <c r="F1" s="419"/>
      <c r="G1" s="419"/>
    </row>
    <row r="2" spans="1:7" s="177" customFormat="1" ht="11.25" customHeight="1" x14ac:dyDescent="0.25">
      <c r="A2" s="420" t="s">
        <v>295</v>
      </c>
      <c r="B2" s="421"/>
      <c r="C2" s="421"/>
      <c r="D2" s="421"/>
      <c r="E2" s="421"/>
      <c r="F2" s="421"/>
      <c r="G2" s="421"/>
    </row>
    <row r="3" spans="1:7" s="178" customFormat="1" ht="11.25" customHeight="1" x14ac:dyDescent="0.25">
      <c r="A3" s="420" t="s">
        <v>175</v>
      </c>
      <c r="B3" s="421"/>
      <c r="C3" s="421"/>
      <c r="D3" s="421"/>
      <c r="E3" s="421"/>
      <c r="F3" s="421"/>
      <c r="G3" s="421"/>
    </row>
    <row r="4" spans="1:7" s="178" customFormat="1" ht="11.25" customHeight="1" x14ac:dyDescent="0.25">
      <c r="A4" s="420" t="s">
        <v>176</v>
      </c>
      <c r="B4" s="421"/>
      <c r="C4" s="421"/>
      <c r="D4" s="421"/>
      <c r="E4" s="421"/>
      <c r="F4" s="421"/>
      <c r="G4" s="421"/>
    </row>
    <row r="5" spans="1:7" s="177" customFormat="1" x14ac:dyDescent="0.2"/>
    <row r="6" spans="1:7" s="280" customFormat="1" ht="54.75" customHeight="1" x14ac:dyDescent="0.2">
      <c r="A6" s="382" t="s">
        <v>1</v>
      </c>
      <c r="B6" s="382" t="s">
        <v>187</v>
      </c>
      <c r="C6" s="382" t="s">
        <v>188</v>
      </c>
      <c r="D6" s="381" t="s">
        <v>352</v>
      </c>
      <c r="E6" s="381"/>
      <c r="F6" s="381" t="s">
        <v>353</v>
      </c>
      <c r="G6" s="380" t="s">
        <v>189</v>
      </c>
    </row>
    <row r="7" spans="1:7" s="73" customFormat="1" x14ac:dyDescent="0.2">
      <c r="A7" s="74"/>
      <c r="B7" s="74"/>
      <c r="C7" s="74"/>
      <c r="D7" s="167"/>
      <c r="E7" s="167"/>
      <c r="F7" s="167"/>
      <c r="G7" s="75"/>
    </row>
    <row r="8" spans="1:7" x14ac:dyDescent="0.2">
      <c r="A8" s="81"/>
      <c r="C8" s="81"/>
      <c r="D8" s="168"/>
      <c r="E8" s="168"/>
      <c r="F8" s="168"/>
    </row>
    <row r="9" spans="1:7" x14ac:dyDescent="0.2">
      <c r="A9" s="81">
        <v>1</v>
      </c>
      <c r="B9" s="72" t="s">
        <v>3</v>
      </c>
      <c r="C9" s="266" t="s">
        <v>354</v>
      </c>
      <c r="D9" s="170">
        <f>'Exhibit No.__(BDJ-141A)'!E17</f>
        <v>1.828E-3</v>
      </c>
      <c r="E9" s="169"/>
      <c r="F9" s="170">
        <f>'Rate Spread and Design'!$E$13</f>
        <v>1.7420000000000001E-3</v>
      </c>
      <c r="G9" s="72" t="s">
        <v>292</v>
      </c>
    </row>
    <row r="10" spans="1:7" x14ac:dyDescent="0.2">
      <c r="A10" s="81">
        <f t="shared" ref="A10:A32" si="0">+A9+1</f>
        <v>2</v>
      </c>
      <c r="C10" s="81"/>
      <c r="D10" s="172"/>
      <c r="E10" s="171"/>
      <c r="F10" s="172"/>
      <c r="G10" s="173"/>
    </row>
    <row r="11" spans="1:7" x14ac:dyDescent="0.2">
      <c r="A11" s="81">
        <f t="shared" si="0"/>
        <v>3</v>
      </c>
      <c r="B11" s="72" t="s">
        <v>190</v>
      </c>
      <c r="C11" s="81"/>
      <c r="D11" s="172"/>
      <c r="E11" s="171"/>
      <c r="F11" s="172"/>
      <c r="G11" s="173"/>
    </row>
    <row r="12" spans="1:7" x14ac:dyDescent="0.2">
      <c r="A12" s="81">
        <f t="shared" si="0"/>
        <v>4</v>
      </c>
      <c r="B12" s="79" t="s">
        <v>191</v>
      </c>
      <c r="C12" s="266" t="s">
        <v>355</v>
      </c>
      <c r="D12" s="170">
        <f>'Exhibit No.__(BDJ-141A)'!$E$26</f>
        <v>1.748E-3</v>
      </c>
      <c r="E12" s="169"/>
      <c r="F12" s="170">
        <f>'Rate Spread and Design'!$E$20</f>
        <v>1.6659999999999999E-3</v>
      </c>
      <c r="G12" s="72" t="s">
        <v>292</v>
      </c>
    </row>
    <row r="13" spans="1:7" x14ac:dyDescent="0.2">
      <c r="A13" s="81">
        <f t="shared" si="0"/>
        <v>5</v>
      </c>
      <c r="B13" s="76" t="s">
        <v>192</v>
      </c>
      <c r="C13" s="80" t="s">
        <v>193</v>
      </c>
      <c r="D13" s="170">
        <f>'Exhibit No.__(BDJ-141A)'!$E$35</f>
        <v>1.7420000000000001E-3</v>
      </c>
      <c r="E13" s="169"/>
      <c r="F13" s="170">
        <f>'Rate Spread and Design'!$E$26</f>
        <v>1.6720000000000001E-3</v>
      </c>
      <c r="G13" s="72" t="s">
        <v>292</v>
      </c>
    </row>
    <row r="14" spans="1:7" x14ac:dyDescent="0.2">
      <c r="A14" s="81">
        <f t="shared" si="0"/>
        <v>6</v>
      </c>
      <c r="B14" s="76" t="s">
        <v>194</v>
      </c>
      <c r="C14" s="81" t="s">
        <v>195</v>
      </c>
      <c r="D14" s="170">
        <f>'Exhibit No.__(BDJ-141A)'!$E$40</f>
        <v>1.72E-3</v>
      </c>
      <c r="E14" s="169"/>
      <c r="F14" s="170">
        <f>'Rate Spread and Design'!$E$32</f>
        <v>1.549E-3</v>
      </c>
      <c r="G14" s="72" t="s">
        <v>292</v>
      </c>
    </row>
    <row r="15" spans="1:7" x14ac:dyDescent="0.2">
      <c r="A15" s="81">
        <f t="shared" si="0"/>
        <v>7</v>
      </c>
      <c r="B15" s="76" t="s">
        <v>196</v>
      </c>
      <c r="C15" s="81">
        <v>29</v>
      </c>
      <c r="D15" s="170">
        <f>'Exhibit No.__(BDJ-141A)'!$E$51</f>
        <v>1.7420000000000001E-3</v>
      </c>
      <c r="E15" s="169"/>
      <c r="F15" s="170">
        <f>'Rate Spread and Design'!$E$38</f>
        <v>1.6720000000000001E-3</v>
      </c>
      <c r="G15" s="72" t="s">
        <v>292</v>
      </c>
    </row>
    <row r="16" spans="1:7" ht="10.5" customHeight="1" x14ac:dyDescent="0.2">
      <c r="A16" s="81">
        <f t="shared" si="0"/>
        <v>8</v>
      </c>
      <c r="C16" s="81"/>
      <c r="D16" s="175"/>
      <c r="E16" s="174"/>
      <c r="F16" s="175"/>
      <c r="G16" s="173"/>
    </row>
    <row r="17" spans="1:7" x14ac:dyDescent="0.2">
      <c r="A17" s="81">
        <f t="shared" si="0"/>
        <v>9</v>
      </c>
      <c r="B17" s="82" t="s">
        <v>197</v>
      </c>
      <c r="C17" s="81"/>
      <c r="D17" s="175"/>
      <c r="E17" s="174"/>
      <c r="F17" s="175"/>
      <c r="G17" s="173"/>
    </row>
    <row r="18" spans="1:7" x14ac:dyDescent="0.2">
      <c r="A18" s="81">
        <f t="shared" si="0"/>
        <v>10</v>
      </c>
      <c r="B18" s="76" t="s">
        <v>198</v>
      </c>
      <c r="C18" s="81" t="s">
        <v>199</v>
      </c>
      <c r="D18" s="170">
        <f>'Exhibit No.__(BDJ-141A)'!$E$57</f>
        <v>1.6620000000000001E-3</v>
      </c>
      <c r="E18" s="169"/>
      <c r="F18" s="170">
        <f>'Rate Spread and Design'!$E$45</f>
        <v>1.518E-3</v>
      </c>
      <c r="G18" s="72" t="s">
        <v>292</v>
      </c>
    </row>
    <row r="19" spans="1:7" x14ac:dyDescent="0.2">
      <c r="A19" s="81">
        <f t="shared" si="0"/>
        <v>11</v>
      </c>
      <c r="B19" s="76" t="s">
        <v>200</v>
      </c>
      <c r="C19" s="81">
        <v>35</v>
      </c>
      <c r="D19" s="170">
        <f>'Exhibit No.__(BDJ-141A)'!$E$63</f>
        <v>1.5900000000000001E-3</v>
      </c>
      <c r="E19" s="169"/>
      <c r="F19" s="170">
        <f>'Rate Spread and Design'!$E$51</f>
        <v>1.6299999999999999E-3</v>
      </c>
      <c r="G19" s="72" t="s">
        <v>293</v>
      </c>
    </row>
    <row r="20" spans="1:7" x14ac:dyDescent="0.2">
      <c r="A20" s="81">
        <f t="shared" si="0"/>
        <v>12</v>
      </c>
      <c r="B20" s="76" t="s">
        <v>201</v>
      </c>
      <c r="C20" s="81">
        <v>43</v>
      </c>
      <c r="D20" s="170">
        <f>'Exhibit No.__(BDJ-141A)'!$E$69</f>
        <v>1.5989999999999999E-3</v>
      </c>
      <c r="E20" s="169"/>
      <c r="F20" s="170">
        <f>'Rate Spread and Design'!$E$57</f>
        <v>1.493E-3</v>
      </c>
      <c r="G20" s="72" t="s">
        <v>293</v>
      </c>
    </row>
    <row r="21" spans="1:7" x14ac:dyDescent="0.2">
      <c r="A21" s="81">
        <f t="shared" si="0"/>
        <v>13</v>
      </c>
      <c r="D21" s="175"/>
      <c r="E21" s="174"/>
      <c r="F21" s="175"/>
      <c r="G21" s="173"/>
    </row>
    <row r="22" spans="1:7" x14ac:dyDescent="0.2">
      <c r="A22" s="81">
        <f t="shared" si="0"/>
        <v>14</v>
      </c>
      <c r="B22" s="77" t="s">
        <v>202</v>
      </c>
      <c r="C22" s="81"/>
      <c r="D22" s="175"/>
      <c r="E22" s="174"/>
      <c r="F22" s="175"/>
    </row>
    <row r="23" spans="1:7" x14ac:dyDescent="0.2">
      <c r="A23" s="81">
        <f t="shared" si="0"/>
        <v>15</v>
      </c>
      <c r="B23" s="76" t="s">
        <v>203</v>
      </c>
      <c r="C23" s="81">
        <v>46</v>
      </c>
      <c r="D23" s="170">
        <f>'Exhibit No.__(BDJ-141A)'!$E$76</f>
        <v>1.7340000000000001E-3</v>
      </c>
      <c r="E23" s="169"/>
      <c r="F23" s="170">
        <f>'Rate Spread and Design'!$E$64</f>
        <v>1.5560000000000001E-3</v>
      </c>
      <c r="G23" s="72" t="s">
        <v>293</v>
      </c>
    </row>
    <row r="24" spans="1:7" x14ac:dyDescent="0.2">
      <c r="A24" s="81">
        <f t="shared" si="0"/>
        <v>16</v>
      </c>
      <c r="B24" s="79" t="s">
        <v>204</v>
      </c>
      <c r="C24" s="81">
        <v>49</v>
      </c>
      <c r="D24" s="170">
        <f>'Exhibit No.__(BDJ-141A)'!$E$82</f>
        <v>1.7340000000000001E-3</v>
      </c>
      <c r="E24" s="169"/>
      <c r="F24" s="170">
        <f>'Rate Spread and Design'!$E$70</f>
        <v>1.5560000000000001E-3</v>
      </c>
      <c r="G24" s="72" t="s">
        <v>293</v>
      </c>
    </row>
    <row r="25" spans="1:7" ht="13.15" customHeight="1" x14ac:dyDescent="0.2">
      <c r="A25" s="81">
        <f t="shared" si="0"/>
        <v>17</v>
      </c>
      <c r="B25" s="77"/>
      <c r="C25" s="81"/>
      <c r="D25" s="175"/>
      <c r="E25" s="174"/>
      <c r="F25" s="175"/>
      <c r="G25" s="173"/>
    </row>
    <row r="26" spans="1:7" ht="13.15" customHeight="1" x14ac:dyDescent="0.2">
      <c r="A26" s="81">
        <f t="shared" si="0"/>
        <v>18</v>
      </c>
      <c r="B26" s="72" t="s">
        <v>122</v>
      </c>
      <c r="C26" s="81" t="s">
        <v>5</v>
      </c>
      <c r="D26" s="170">
        <f>'Exhibit No.__(BDJ-141A)'!$E$87</f>
        <v>1.98E-3</v>
      </c>
      <c r="E26" s="174"/>
      <c r="F26" s="170">
        <f>'Rate Spread and Design'!$E$76</f>
        <v>1.7960000000000001E-3</v>
      </c>
      <c r="G26" s="72" t="s">
        <v>382</v>
      </c>
    </row>
    <row r="27" spans="1:7" ht="13.15" customHeight="1" x14ac:dyDescent="0.2">
      <c r="A27" s="81">
        <f t="shared" si="0"/>
        <v>19</v>
      </c>
      <c r="C27" s="81"/>
      <c r="D27" s="174"/>
      <c r="E27" s="174"/>
      <c r="F27" s="174"/>
      <c r="G27" s="173"/>
    </row>
    <row r="28" spans="1:7" ht="13.15" customHeight="1" x14ac:dyDescent="0.2">
      <c r="A28" s="81">
        <f t="shared" si="0"/>
        <v>20</v>
      </c>
      <c r="B28" s="77" t="s">
        <v>205</v>
      </c>
      <c r="C28" s="81">
        <v>5</v>
      </c>
      <c r="D28" s="170">
        <f>'Exhibit No.__(BDJ-141A)'!$E$100</f>
        <v>1.6360000000000001E-3</v>
      </c>
      <c r="E28" s="174"/>
      <c r="F28" s="170">
        <f>'Rate Spread and Design'!$E$94</f>
        <v>1.7719999999999999E-3</v>
      </c>
    </row>
    <row r="29" spans="1:7" ht="13.15" customHeight="1" x14ac:dyDescent="0.2">
      <c r="A29" s="81">
        <f t="shared" si="0"/>
        <v>21</v>
      </c>
      <c r="B29" s="77"/>
      <c r="C29" s="81"/>
      <c r="D29" s="174"/>
      <c r="E29" s="174"/>
      <c r="F29" s="174"/>
      <c r="G29" s="173"/>
    </row>
    <row r="30" spans="1:7" x14ac:dyDescent="0.2">
      <c r="A30" s="81">
        <f t="shared" si="0"/>
        <v>22</v>
      </c>
      <c r="B30" s="176" t="s">
        <v>206</v>
      </c>
      <c r="C30" s="81"/>
      <c r="D30" s="78"/>
      <c r="E30" s="78"/>
      <c r="F30" s="78"/>
      <c r="G30" s="173"/>
    </row>
    <row r="31" spans="1:7" ht="13.15" customHeight="1" x14ac:dyDescent="0.2">
      <c r="A31" s="81">
        <f t="shared" si="0"/>
        <v>23</v>
      </c>
      <c r="B31" s="72" t="s">
        <v>207</v>
      </c>
      <c r="C31" s="80" t="s">
        <v>208</v>
      </c>
      <c r="D31" s="169"/>
      <c r="E31" s="169"/>
      <c r="F31" s="169"/>
      <c r="G31" s="173"/>
    </row>
    <row r="32" spans="1:7" ht="13.15" customHeight="1" x14ac:dyDescent="0.2">
      <c r="A32" s="81">
        <f t="shared" si="0"/>
        <v>24</v>
      </c>
      <c r="B32" s="77" t="s">
        <v>73</v>
      </c>
      <c r="C32" s="81" t="s">
        <v>74</v>
      </c>
      <c r="D32" s="78"/>
      <c r="E32" s="78"/>
      <c r="F32" s="78"/>
      <c r="G32" s="173"/>
    </row>
  </sheetData>
  <mergeCells count="4">
    <mergeCell ref="A1:G1"/>
    <mergeCell ref="A2:G2"/>
    <mergeCell ref="A3:G3"/>
    <mergeCell ref="A4:G4"/>
  </mergeCells>
  <printOptions horizontalCentered="1"/>
  <pageMargins left="0.7" right="0.7" top="0.75" bottom="0.75" header="0.3" footer="0.3"/>
  <pageSetup scale="96" orientation="landscape" r:id="rId1"/>
  <headerFooter alignWithMargins="0">
    <oddFooter>&amp;L&amp;F
&amp;A&amp;RPage 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18D80-7741-48FB-850C-E5685FE4295D}">
  <sheetPr>
    <tabColor theme="5" tint="0.79998168889431442"/>
  </sheetPr>
  <dimension ref="A1:Q108"/>
  <sheetViews>
    <sheetView zoomScaleNormal="100" workbookViewId="0">
      <pane xSplit="3" ySplit="11" topLeftCell="D85" activePane="bottomRight" state="frozen"/>
      <selection activeCell="Q42" sqref="Q42"/>
      <selection pane="topRight" activeCell="Q42" sqref="Q42"/>
      <selection pane="bottomLeft" activeCell="Q42" sqref="Q42"/>
      <selection pane="bottomRight" activeCell="E52" sqref="E52"/>
    </sheetView>
  </sheetViews>
  <sheetFormatPr defaultColWidth="3.85546875" defaultRowHeight="11.25" x14ac:dyDescent="0.2"/>
  <cols>
    <col min="1" max="1" width="6.42578125" style="186" customWidth="1"/>
    <col min="2" max="2" width="9.85546875" style="188" bestFit="1" customWidth="1"/>
    <col min="3" max="3" width="32" style="186" bestFit="1" customWidth="1"/>
    <col min="4" max="4" width="14.42578125" style="186" bestFit="1" customWidth="1"/>
    <col min="5" max="5" width="15.28515625" style="186" customWidth="1"/>
    <col min="6" max="6" width="1.140625" style="186" customWidth="1"/>
    <col min="7" max="7" width="14.42578125" style="186" bestFit="1" customWidth="1"/>
    <col min="8" max="8" width="15.28515625" style="186" customWidth="1"/>
    <col min="9" max="9" width="1.140625" style="186" customWidth="1"/>
    <col min="10" max="10" width="5.5703125" style="186" customWidth="1"/>
    <col min="11" max="11" width="35.140625" style="186" bestFit="1" customWidth="1"/>
    <col min="12" max="12" width="11.5703125" style="186" bestFit="1" customWidth="1"/>
    <col min="13" max="13" width="8.85546875" style="186" customWidth="1"/>
    <col min="14" max="14" width="1.140625" style="186" customWidth="1"/>
    <col min="15" max="17" width="13.42578125" style="186" bestFit="1" customWidth="1"/>
    <col min="18" max="16384" width="3.85546875" style="186"/>
  </cols>
  <sheetData>
    <row r="1" spans="1:17" x14ac:dyDescent="0.2">
      <c r="A1" s="185" t="s">
        <v>155</v>
      </c>
      <c r="B1" s="185"/>
      <c r="C1" s="185"/>
      <c r="D1" s="185"/>
      <c r="E1" s="185"/>
      <c r="F1" s="185"/>
      <c r="G1" s="185"/>
      <c r="H1" s="185"/>
      <c r="I1" s="185"/>
    </row>
    <row r="2" spans="1:17" x14ac:dyDescent="0.2">
      <c r="A2" s="185" t="s">
        <v>277</v>
      </c>
      <c r="B2" s="185"/>
      <c r="C2" s="185"/>
      <c r="D2" s="185"/>
      <c r="E2" s="185"/>
      <c r="F2" s="185"/>
      <c r="G2" s="185"/>
      <c r="H2" s="185"/>
      <c r="I2" s="185"/>
    </row>
    <row r="3" spans="1:17" x14ac:dyDescent="0.2">
      <c r="A3" s="187" t="s">
        <v>209</v>
      </c>
      <c r="B3" s="185"/>
      <c r="C3" s="185"/>
      <c r="D3" s="185"/>
      <c r="E3" s="185"/>
      <c r="F3" s="185"/>
      <c r="G3" s="185"/>
      <c r="H3" s="185"/>
      <c r="I3" s="185"/>
    </row>
    <row r="4" spans="1:17" x14ac:dyDescent="0.2">
      <c r="A4" s="187" t="s">
        <v>210</v>
      </c>
      <c r="B4" s="185"/>
      <c r="C4" s="185"/>
      <c r="D4" s="185"/>
      <c r="E4" s="185"/>
      <c r="F4" s="185"/>
      <c r="G4" s="185"/>
      <c r="H4" s="185"/>
      <c r="I4" s="185"/>
    </row>
    <row r="5" spans="1:17" x14ac:dyDescent="0.2">
      <c r="A5" s="187" t="s">
        <v>211</v>
      </c>
      <c r="B5" s="187"/>
      <c r="C5" s="187"/>
      <c r="D5" s="187"/>
      <c r="E5" s="187"/>
      <c r="F5" s="187"/>
      <c r="G5" s="187"/>
      <c r="H5" s="187"/>
      <c r="I5" s="187"/>
    </row>
    <row r="6" spans="1:17" ht="12" thickBot="1" x14ac:dyDescent="0.25"/>
    <row r="7" spans="1:17" ht="27" customHeight="1" thickBot="1" x14ac:dyDescent="0.3">
      <c r="G7" s="439" t="s">
        <v>177</v>
      </c>
      <c r="H7" s="440"/>
      <c r="I7" s="441"/>
      <c r="J7" s="189"/>
      <c r="K7" s="189"/>
      <c r="L7" s="189"/>
    </row>
    <row r="8" spans="1:17" ht="12" thickBot="1" x14ac:dyDescent="0.25"/>
    <row r="9" spans="1:17" ht="22.5" x14ac:dyDescent="0.2">
      <c r="A9" s="188" t="s">
        <v>212</v>
      </c>
      <c r="D9" s="434" t="s">
        <v>213</v>
      </c>
      <c r="E9" s="434"/>
      <c r="G9" s="433" t="s">
        <v>214</v>
      </c>
      <c r="H9" s="434"/>
      <c r="J9" s="190" t="s">
        <v>1</v>
      </c>
      <c r="K9" s="191" t="s">
        <v>215</v>
      </c>
      <c r="L9" s="192" t="s">
        <v>2</v>
      </c>
      <c r="M9" s="193"/>
      <c r="N9" s="194"/>
      <c r="O9" s="442" t="s">
        <v>216</v>
      </c>
      <c r="P9" s="442"/>
      <c r="Q9" s="443"/>
    </row>
    <row r="10" spans="1:17" s="200" customFormat="1" ht="56.25" x14ac:dyDescent="0.2">
      <c r="A10" s="197" t="s">
        <v>217</v>
      </c>
      <c r="B10" s="197" t="s">
        <v>6</v>
      </c>
      <c r="C10" s="197" t="s">
        <v>218</v>
      </c>
      <c r="D10" s="198" t="s">
        <v>219</v>
      </c>
      <c r="E10" s="199" t="s">
        <v>220</v>
      </c>
      <c r="G10" s="198" t="s">
        <v>219</v>
      </c>
      <c r="H10" s="199" t="s">
        <v>220</v>
      </c>
      <c r="J10" s="201"/>
      <c r="K10" s="202"/>
      <c r="L10" s="203"/>
      <c r="M10" s="204" t="s">
        <v>221</v>
      </c>
      <c r="N10" s="185"/>
      <c r="O10" s="204" t="s">
        <v>222</v>
      </c>
      <c r="P10" s="204" t="s">
        <v>223</v>
      </c>
      <c r="Q10" s="205" t="s">
        <v>224</v>
      </c>
    </row>
    <row r="11" spans="1:17" x14ac:dyDescent="0.2">
      <c r="A11" s="206"/>
      <c r="C11" s="207"/>
      <c r="D11" s="188" t="s">
        <v>178</v>
      </c>
      <c r="E11" s="188" t="s">
        <v>225</v>
      </c>
      <c r="F11" s="188"/>
      <c r="G11" s="188" t="s">
        <v>179</v>
      </c>
      <c r="H11" s="188" t="s">
        <v>226</v>
      </c>
      <c r="I11" s="188"/>
      <c r="J11" s="208"/>
      <c r="K11" s="209"/>
      <c r="L11" s="210"/>
      <c r="Q11" s="211"/>
    </row>
    <row r="12" spans="1:17" x14ac:dyDescent="0.2">
      <c r="A12" s="188">
        <v>1</v>
      </c>
      <c r="B12" s="188">
        <v>7</v>
      </c>
      <c r="C12" s="212" t="s">
        <v>227</v>
      </c>
      <c r="J12" s="213">
        <v>1</v>
      </c>
      <c r="K12" s="214" t="s">
        <v>3</v>
      </c>
      <c r="L12" s="188">
        <v>7</v>
      </c>
      <c r="M12" s="261">
        <v>0.56752866730222584</v>
      </c>
      <c r="O12" s="216">
        <f>+$M12*O$38/1000</f>
        <v>20042.712207478326</v>
      </c>
      <c r="P12" s="216">
        <f>+$M12*P$38/1000</f>
        <v>20443.767607941605</v>
      </c>
      <c r="Q12" s="217"/>
    </row>
    <row r="13" spans="1:17" x14ac:dyDescent="0.2">
      <c r="A13" s="188">
        <f>A12+1</f>
        <v>2</v>
      </c>
      <c r="B13" s="188">
        <f>B12</f>
        <v>7</v>
      </c>
      <c r="C13" s="218" t="s">
        <v>228</v>
      </c>
      <c r="D13" s="219"/>
      <c r="G13" s="219"/>
      <c r="J13" s="213">
        <f>+J12+1</f>
        <v>2</v>
      </c>
      <c r="L13" s="188"/>
      <c r="M13" s="220"/>
      <c r="O13" s="221"/>
      <c r="P13" s="221"/>
      <c r="Q13" s="222"/>
    </row>
    <row r="14" spans="1:17" x14ac:dyDescent="0.2">
      <c r="A14" s="188">
        <f t="shared" ref="A14:A77" si="0">A13+1</f>
        <v>3</v>
      </c>
      <c r="B14" s="188">
        <f t="shared" ref="B14:B19" si="1">+B13</f>
        <v>7</v>
      </c>
      <c r="C14" s="223" t="s">
        <v>78</v>
      </c>
      <c r="D14" s="260">
        <v>6280127130.0109262</v>
      </c>
      <c r="E14" s="224"/>
      <c r="G14" s="260">
        <v>6338147287.3603191</v>
      </c>
      <c r="H14" s="224"/>
      <c r="J14" s="213">
        <f t="shared" ref="J14:J36" si="2">+J13+1</f>
        <v>3</v>
      </c>
      <c r="K14" s="186" t="s">
        <v>229</v>
      </c>
      <c r="L14" s="188"/>
      <c r="M14" s="220"/>
      <c r="O14" s="221"/>
      <c r="P14" s="221"/>
      <c r="Q14" s="222"/>
    </row>
    <row r="15" spans="1:17" x14ac:dyDescent="0.2">
      <c r="A15" s="188">
        <f t="shared" si="0"/>
        <v>4</v>
      </c>
      <c r="B15" s="188">
        <f t="shared" si="1"/>
        <v>7</v>
      </c>
      <c r="C15" s="223" t="s">
        <v>79</v>
      </c>
      <c r="D15" s="260">
        <v>4682923245.4890728</v>
      </c>
      <c r="G15" s="260">
        <v>4726293582.1396818</v>
      </c>
      <c r="J15" s="213">
        <f t="shared" si="2"/>
        <v>4</v>
      </c>
      <c r="K15" s="225" t="s">
        <v>230</v>
      </c>
      <c r="L15" s="207" t="s">
        <v>231</v>
      </c>
      <c r="M15" s="261">
        <v>0.12899396970328134</v>
      </c>
      <c r="O15" s="226">
        <f t="shared" ref="O15:P17" si="3">+$M15*O$38/1000</f>
        <v>4555.5214392126027</v>
      </c>
      <c r="P15" s="226">
        <f t="shared" si="3"/>
        <v>4646.6775889497012</v>
      </c>
      <c r="Q15" s="227"/>
    </row>
    <row r="16" spans="1:17" x14ac:dyDescent="0.2">
      <c r="A16" s="188">
        <f t="shared" si="0"/>
        <v>5</v>
      </c>
      <c r="B16" s="188">
        <f t="shared" si="1"/>
        <v>7</v>
      </c>
      <c r="C16" s="223" t="s">
        <v>232</v>
      </c>
      <c r="D16" s="260">
        <v>0</v>
      </c>
      <c r="G16" s="260">
        <v>0</v>
      </c>
      <c r="I16" s="228"/>
      <c r="J16" s="213">
        <f t="shared" si="2"/>
        <v>5</v>
      </c>
      <c r="K16" s="225" t="s">
        <v>233</v>
      </c>
      <c r="L16" s="207" t="s">
        <v>234</v>
      </c>
      <c r="M16" s="261">
        <v>0.13762287279751242</v>
      </c>
      <c r="O16" s="226">
        <f t="shared" si="3"/>
        <v>4860.2578011764881</v>
      </c>
      <c r="P16" s="226">
        <f t="shared" si="3"/>
        <v>4957.5117366033674</v>
      </c>
      <c r="Q16" s="227"/>
    </row>
    <row r="17" spans="1:17" x14ac:dyDescent="0.2">
      <c r="A17" s="188">
        <f t="shared" si="0"/>
        <v>6</v>
      </c>
      <c r="B17" s="188">
        <f t="shared" si="1"/>
        <v>7</v>
      </c>
      <c r="C17" s="229" t="s">
        <v>98</v>
      </c>
      <c r="D17" s="230">
        <f>SUM(D14:D16)</f>
        <v>10963050375.5</v>
      </c>
      <c r="E17" s="224">
        <f>ROUND(+E$19/D$17,6)</f>
        <v>1.828E-3</v>
      </c>
      <c r="G17" s="230">
        <f>SUM(G14:G16)</f>
        <v>11064440869.5</v>
      </c>
      <c r="H17" s="224">
        <f>ROUND(+H$19/G$17,6)</f>
        <v>1.848E-3</v>
      </c>
      <c r="I17" s="228"/>
      <c r="J17" s="213">
        <f t="shared" si="2"/>
        <v>6</v>
      </c>
      <c r="K17" s="225" t="s">
        <v>235</v>
      </c>
      <c r="L17" s="207" t="s">
        <v>236</v>
      </c>
      <c r="M17" s="261">
        <v>7.7371217508168041E-2</v>
      </c>
      <c r="O17" s="226">
        <f t="shared" si="3"/>
        <v>2732.4241663947719</v>
      </c>
      <c r="P17" s="226">
        <f t="shared" si="3"/>
        <v>2787.1000733750716</v>
      </c>
      <c r="Q17" s="227"/>
    </row>
    <row r="18" spans="1:17" ht="12" thickBot="1" x14ac:dyDescent="0.25">
      <c r="A18" s="188">
        <f t="shared" si="0"/>
        <v>7</v>
      </c>
      <c r="B18" s="188">
        <f t="shared" si="1"/>
        <v>7</v>
      </c>
      <c r="C18" s="229" t="s">
        <v>237</v>
      </c>
      <c r="D18" s="219"/>
      <c r="E18" s="231">
        <f>+E17*D17</f>
        <v>20040456.086413998</v>
      </c>
      <c r="G18" s="219"/>
      <c r="H18" s="231">
        <f>+H17*G17</f>
        <v>20447086.726836</v>
      </c>
      <c r="I18" s="228"/>
      <c r="J18" s="213">
        <f t="shared" si="2"/>
        <v>7</v>
      </c>
      <c r="K18" s="232" t="s">
        <v>238</v>
      </c>
      <c r="L18" s="188"/>
      <c r="M18" s="220"/>
      <c r="O18" s="233">
        <f t="shared" ref="O18" si="4">SUM(O15:O17)</f>
        <v>12148.203406783863</v>
      </c>
      <c r="P18" s="233">
        <f t="shared" ref="P18" si="5">SUM(P15:P17)</f>
        <v>12391.28939892814</v>
      </c>
      <c r="Q18" s="234"/>
    </row>
    <row r="19" spans="1:17" ht="12" thickTop="1" x14ac:dyDescent="0.2">
      <c r="A19" s="188">
        <f t="shared" si="0"/>
        <v>8</v>
      </c>
      <c r="B19" s="188">
        <f t="shared" si="1"/>
        <v>7</v>
      </c>
      <c r="C19" s="235" t="s">
        <v>239</v>
      </c>
      <c r="E19" s="221">
        <f>$O$12*1000</f>
        <v>20042712.207478326</v>
      </c>
      <c r="H19" s="221">
        <f>$P$12*1000</f>
        <v>20443767.607941605</v>
      </c>
      <c r="I19" s="228"/>
      <c r="J19" s="213">
        <f t="shared" si="2"/>
        <v>8</v>
      </c>
      <c r="L19" s="188"/>
      <c r="M19" s="220"/>
      <c r="O19" s="221"/>
      <c r="P19" s="221"/>
      <c r="Q19" s="222"/>
    </row>
    <row r="20" spans="1:17" x14ac:dyDescent="0.2">
      <c r="A20" s="188">
        <f t="shared" si="0"/>
        <v>9</v>
      </c>
      <c r="E20" s="221"/>
      <c r="H20" s="221"/>
      <c r="J20" s="213">
        <f t="shared" si="2"/>
        <v>9</v>
      </c>
      <c r="K20" s="186" t="s">
        <v>240</v>
      </c>
      <c r="L20" s="188"/>
      <c r="M20" s="220"/>
      <c r="O20" s="221"/>
      <c r="P20" s="221"/>
      <c r="Q20" s="222"/>
    </row>
    <row r="21" spans="1:17" x14ac:dyDescent="0.2">
      <c r="A21" s="188">
        <f t="shared" si="0"/>
        <v>10</v>
      </c>
      <c r="C21" s="212" t="s">
        <v>241</v>
      </c>
      <c r="J21" s="213">
        <f t="shared" si="2"/>
        <v>10</v>
      </c>
      <c r="K21" s="225" t="s">
        <v>242</v>
      </c>
      <c r="L21" s="207" t="s">
        <v>243</v>
      </c>
      <c r="M21" s="261">
        <v>5.750384760956908E-2</v>
      </c>
      <c r="O21" s="226">
        <f t="shared" ref="O21:P23" si="6">+$M21*O$38/1000</f>
        <v>2030.7926891867921</v>
      </c>
      <c r="P21" s="226">
        <f t="shared" si="6"/>
        <v>2071.4289247814845</v>
      </c>
      <c r="Q21" s="227"/>
    </row>
    <row r="22" spans="1:17" x14ac:dyDescent="0.2">
      <c r="A22" s="188">
        <f t="shared" si="0"/>
        <v>11</v>
      </c>
      <c r="B22" s="207" t="s">
        <v>244</v>
      </c>
      <c r="C22" s="218" t="s">
        <v>228</v>
      </c>
      <c r="D22" s="219"/>
      <c r="G22" s="219"/>
      <c r="J22" s="213">
        <f t="shared" si="2"/>
        <v>11</v>
      </c>
      <c r="K22" s="225" t="s">
        <v>245</v>
      </c>
      <c r="L22" s="207">
        <v>35</v>
      </c>
      <c r="M22" s="261">
        <v>2.0990512948198327E-4</v>
      </c>
      <c r="O22" s="226">
        <f t="shared" si="6"/>
        <v>7.4129613946716733</v>
      </c>
      <c r="P22" s="226">
        <f t="shared" si="6"/>
        <v>7.5612950218765578</v>
      </c>
      <c r="Q22" s="227"/>
    </row>
    <row r="23" spans="1:17" x14ac:dyDescent="0.2">
      <c r="A23" s="188">
        <f t="shared" si="0"/>
        <v>12</v>
      </c>
      <c r="B23" s="188" t="str">
        <f t="shared" ref="B23:B28" si="7">+B22</f>
        <v>8, 24</v>
      </c>
      <c r="C23" s="237" t="s">
        <v>246</v>
      </c>
      <c r="D23" s="260">
        <v>1418426000</v>
      </c>
      <c r="E23" s="224"/>
      <c r="G23" s="260">
        <v>1441422000</v>
      </c>
      <c r="H23" s="224"/>
      <c r="J23" s="213">
        <f t="shared" si="2"/>
        <v>12</v>
      </c>
      <c r="K23" s="218" t="s">
        <v>247</v>
      </c>
      <c r="L23" s="188">
        <v>43</v>
      </c>
      <c r="M23" s="261">
        <v>5.0156981366476124E-3</v>
      </c>
      <c r="O23" s="226">
        <f t="shared" si="6"/>
        <v>177.13324465225497</v>
      </c>
      <c r="P23" s="226">
        <f t="shared" si="6"/>
        <v>180.67768732218781</v>
      </c>
      <c r="Q23" s="227"/>
    </row>
    <row r="24" spans="1:17" x14ac:dyDescent="0.2">
      <c r="A24" s="188">
        <f t="shared" si="0"/>
        <v>13</v>
      </c>
      <c r="B24" s="188" t="str">
        <f t="shared" si="7"/>
        <v>8, 24</v>
      </c>
      <c r="C24" s="237" t="s">
        <v>248</v>
      </c>
      <c r="D24" s="260">
        <v>1279207000</v>
      </c>
      <c r="G24" s="260">
        <v>1288950000</v>
      </c>
      <c r="J24" s="213">
        <f t="shared" si="2"/>
        <v>13</v>
      </c>
      <c r="K24" s="214" t="s">
        <v>249</v>
      </c>
      <c r="L24" s="188"/>
      <c r="M24" s="220"/>
      <c r="O24" s="233">
        <f t="shared" ref="O24" si="8">SUM(O21:O23)</f>
        <v>2215.3388952337186</v>
      </c>
      <c r="P24" s="233">
        <f t="shared" ref="P24" si="9">SUM(P21:P23)</f>
        <v>2259.6679071255489</v>
      </c>
      <c r="Q24" s="234"/>
    </row>
    <row r="25" spans="1:17" x14ac:dyDescent="0.2">
      <c r="A25" s="188">
        <f t="shared" si="0"/>
        <v>14</v>
      </c>
      <c r="B25" s="188" t="str">
        <f t="shared" si="7"/>
        <v>8, 24</v>
      </c>
      <c r="C25" s="223" t="s">
        <v>232</v>
      </c>
      <c r="D25" s="260">
        <v>-92177443.54216142</v>
      </c>
      <c r="G25" s="260">
        <v>-92177443.54216142</v>
      </c>
      <c r="I25" s="228"/>
      <c r="J25" s="213">
        <f t="shared" si="2"/>
        <v>14</v>
      </c>
      <c r="L25" s="188"/>
      <c r="M25" s="215"/>
      <c r="Q25" s="238"/>
    </row>
    <row r="26" spans="1:17" x14ac:dyDescent="0.2">
      <c r="A26" s="188">
        <f t="shared" si="0"/>
        <v>15</v>
      </c>
      <c r="B26" s="188" t="str">
        <f t="shared" si="7"/>
        <v>8, 24</v>
      </c>
      <c r="C26" s="229" t="s">
        <v>98</v>
      </c>
      <c r="D26" s="230">
        <f>SUM(D23:D25)</f>
        <v>2605455556.4578385</v>
      </c>
      <c r="E26" s="224">
        <f>ROUND(+E$28/D$26,6)</f>
        <v>1.748E-3</v>
      </c>
      <c r="G26" s="230">
        <f>SUM(G23:G25)</f>
        <v>2638194556.4578385</v>
      </c>
      <c r="H26" s="224">
        <f>ROUND(+H$28/G$26,6)</f>
        <v>1.761E-3</v>
      </c>
      <c r="I26" s="228"/>
      <c r="J26" s="213">
        <f t="shared" si="2"/>
        <v>15</v>
      </c>
      <c r="K26" s="232" t="s">
        <v>4</v>
      </c>
      <c r="L26" s="188" t="s">
        <v>250</v>
      </c>
      <c r="M26" s="261">
        <v>2.189074021831227E-2</v>
      </c>
      <c r="O26" s="216">
        <f>+$M26*O$38/1000</f>
        <v>773.08835920116917</v>
      </c>
      <c r="P26" s="216">
        <f>+$M26*P$38/1000</f>
        <v>788.55788539519597</v>
      </c>
      <c r="Q26" s="217"/>
    </row>
    <row r="27" spans="1:17" ht="12" thickBot="1" x14ac:dyDescent="0.25">
      <c r="A27" s="188">
        <f t="shared" si="0"/>
        <v>16</v>
      </c>
      <c r="B27" s="188" t="str">
        <f t="shared" si="7"/>
        <v>8, 24</v>
      </c>
      <c r="C27" s="229" t="s">
        <v>237</v>
      </c>
      <c r="D27" s="219"/>
      <c r="E27" s="231">
        <f>+E26*D26</f>
        <v>4554336.3126883013</v>
      </c>
      <c r="G27" s="219"/>
      <c r="H27" s="231">
        <f>+H26*G26</f>
        <v>4645860.6139222533</v>
      </c>
      <c r="I27" s="228"/>
      <c r="J27" s="213">
        <f t="shared" si="2"/>
        <v>16</v>
      </c>
      <c r="L27" s="188"/>
      <c r="M27" s="220"/>
      <c r="Q27" s="238"/>
    </row>
    <row r="28" spans="1:17" ht="12" thickTop="1" x14ac:dyDescent="0.2">
      <c r="A28" s="188">
        <f t="shared" si="0"/>
        <v>17</v>
      </c>
      <c r="B28" s="188" t="str">
        <f t="shared" si="7"/>
        <v>8, 24</v>
      </c>
      <c r="C28" s="235" t="s">
        <v>239</v>
      </c>
      <c r="E28" s="221">
        <f>$O$15*1000</f>
        <v>4555521.4392126026</v>
      </c>
      <c r="H28" s="221">
        <f>$P$15*1000</f>
        <v>4646677.5889497008</v>
      </c>
      <c r="I28" s="228"/>
      <c r="J28" s="213">
        <f t="shared" si="2"/>
        <v>17</v>
      </c>
      <c r="K28" s="232" t="s">
        <v>251</v>
      </c>
      <c r="L28" s="207" t="s">
        <v>252</v>
      </c>
      <c r="M28" s="261">
        <v>0</v>
      </c>
      <c r="O28" s="233">
        <f>+$M28*O$38/1000</f>
        <v>0</v>
      </c>
      <c r="P28" s="233">
        <f>+$M28*P$38/1000</f>
        <v>0</v>
      </c>
      <c r="Q28" s="234"/>
    </row>
    <row r="29" spans="1:17" x14ac:dyDescent="0.2">
      <c r="A29" s="188">
        <f t="shared" si="0"/>
        <v>18</v>
      </c>
      <c r="E29" s="221"/>
      <c r="H29" s="221"/>
      <c r="J29" s="213">
        <f t="shared" si="2"/>
        <v>18</v>
      </c>
      <c r="L29" s="188"/>
      <c r="M29" s="215"/>
      <c r="Q29" s="238"/>
    </row>
    <row r="30" spans="1:17" x14ac:dyDescent="0.2">
      <c r="A30" s="188">
        <f t="shared" si="0"/>
        <v>19</v>
      </c>
      <c r="B30" s="188" t="s">
        <v>253</v>
      </c>
      <c r="C30" s="218" t="s">
        <v>254</v>
      </c>
      <c r="D30" s="219"/>
      <c r="G30" s="219"/>
      <c r="J30" s="213">
        <f t="shared" si="2"/>
        <v>19</v>
      </c>
      <c r="K30" s="186" t="s">
        <v>255</v>
      </c>
      <c r="L30" s="188" t="s">
        <v>5</v>
      </c>
      <c r="M30" s="261">
        <v>3.5146183995530111E-3</v>
      </c>
      <c r="O30" s="216">
        <f>+$M30*O$38/1000</f>
        <v>124.12145704674396</v>
      </c>
      <c r="P30" s="216">
        <f>+$M30*P$38/1000</f>
        <v>126.6051319180218</v>
      </c>
      <c r="Q30" s="217"/>
    </row>
    <row r="31" spans="1:17" x14ac:dyDescent="0.2">
      <c r="A31" s="188">
        <f t="shared" si="0"/>
        <v>20</v>
      </c>
      <c r="B31" s="188" t="str">
        <f t="shared" ref="B31:B37" si="10">+B30</f>
        <v>7A, 11, 25</v>
      </c>
      <c r="C31" s="237" t="s">
        <v>256</v>
      </c>
      <c r="D31" s="260">
        <v>781769926.84073794</v>
      </c>
      <c r="E31" s="224"/>
      <c r="G31" s="260">
        <v>794849277.88484299</v>
      </c>
      <c r="H31" s="224"/>
      <c r="J31" s="213">
        <f t="shared" si="2"/>
        <v>20</v>
      </c>
      <c r="L31" s="188"/>
      <c r="M31" s="220"/>
      <c r="Q31" s="238"/>
    </row>
    <row r="32" spans="1:17" ht="12" thickBot="1" x14ac:dyDescent="0.25">
      <c r="A32" s="188">
        <f t="shared" si="0"/>
        <v>21</v>
      </c>
      <c r="B32" s="188" t="str">
        <f t="shared" si="10"/>
        <v>7A, 11, 25</v>
      </c>
      <c r="C32" s="237" t="s">
        <v>257</v>
      </c>
      <c r="D32" s="260">
        <v>772193281.14606547</v>
      </c>
      <c r="E32" s="224"/>
      <c r="G32" s="260">
        <v>778561276.60693872</v>
      </c>
      <c r="H32" s="224"/>
      <c r="J32" s="213">
        <f t="shared" si="2"/>
        <v>21</v>
      </c>
      <c r="K32" s="232" t="s">
        <v>258</v>
      </c>
      <c r="L32" s="188"/>
      <c r="M32" s="220"/>
      <c r="O32" s="231">
        <f t="shared" ref="O32:P32" si="11">SUM(O30,O28,O26,O24,O18,O12)</f>
        <v>35303.464325743822</v>
      </c>
      <c r="P32" s="231">
        <f t="shared" si="11"/>
        <v>36009.887931308513</v>
      </c>
      <c r="Q32" s="239"/>
    </row>
    <row r="33" spans="1:17" ht="12" thickTop="1" x14ac:dyDescent="0.2">
      <c r="A33" s="188">
        <f t="shared" si="0"/>
        <v>22</v>
      </c>
      <c r="B33" s="188" t="str">
        <f t="shared" si="10"/>
        <v>7A, 11, 25</v>
      </c>
      <c r="C33" s="237" t="s">
        <v>259</v>
      </c>
      <c r="D33" s="260">
        <v>1357735792.0131969</v>
      </c>
      <c r="E33" s="224"/>
      <c r="G33" s="260">
        <v>1374761445.5082183</v>
      </c>
      <c r="H33" s="224"/>
      <c r="J33" s="213">
        <f t="shared" si="2"/>
        <v>22</v>
      </c>
      <c r="L33" s="188"/>
      <c r="M33" s="220"/>
      <c r="Q33" s="238"/>
    </row>
    <row r="34" spans="1:17" x14ac:dyDescent="0.2">
      <c r="A34" s="188">
        <f t="shared" si="0"/>
        <v>23</v>
      </c>
      <c r="B34" s="188" t="str">
        <f t="shared" si="10"/>
        <v>7A, 11, 25</v>
      </c>
      <c r="C34" s="223" t="s">
        <v>232</v>
      </c>
      <c r="D34" s="219">
        <v>-137339587.44648561</v>
      </c>
      <c r="G34" s="219">
        <v>-137339587.44648561</v>
      </c>
      <c r="I34" s="228"/>
      <c r="J34" s="213">
        <f t="shared" si="2"/>
        <v>23</v>
      </c>
      <c r="K34" s="232" t="s">
        <v>260</v>
      </c>
      <c r="L34" s="207"/>
      <c r="M34" s="261">
        <v>3.4846319524841561E-4</v>
      </c>
      <c r="O34" s="216">
        <f>+$M34*O$38/1000</f>
        <v>12.306246256179085</v>
      </c>
      <c r="P34" s="216">
        <f>+$M34*P$38/1000</f>
        <v>12.552494691489658</v>
      </c>
      <c r="Q34" s="217"/>
    </row>
    <row r="35" spans="1:17" x14ac:dyDescent="0.2">
      <c r="A35" s="188">
        <f t="shared" si="0"/>
        <v>24</v>
      </c>
      <c r="B35" s="188" t="str">
        <f t="shared" si="10"/>
        <v>7A, 11, 25</v>
      </c>
      <c r="C35" s="229" t="s">
        <v>98</v>
      </c>
      <c r="D35" s="230">
        <f>SUM(D31:D34)</f>
        <v>2774359412.553515</v>
      </c>
      <c r="E35" s="224">
        <f>ROUND(+E$37/(D$35),6)</f>
        <v>1.7420000000000001E-3</v>
      </c>
      <c r="G35" s="230">
        <f>SUM(G31:G34)</f>
        <v>2810832412.5535145</v>
      </c>
      <c r="H35" s="224">
        <f>ROUND(+H$37/(G$35),6)</f>
        <v>1.7539999999999999E-3</v>
      </c>
      <c r="I35" s="228"/>
      <c r="J35" s="213">
        <f t="shared" si="2"/>
        <v>24</v>
      </c>
      <c r="L35" s="188"/>
      <c r="M35" s="240"/>
      <c r="Q35" s="238"/>
    </row>
    <row r="36" spans="1:17" ht="12" thickBot="1" x14ac:dyDescent="0.25">
      <c r="A36" s="188">
        <f t="shared" si="0"/>
        <v>25</v>
      </c>
      <c r="B36" s="188" t="str">
        <f t="shared" si="10"/>
        <v>7A, 11, 25</v>
      </c>
      <c r="C36" s="229" t="s">
        <v>237</v>
      </c>
      <c r="D36" s="219"/>
      <c r="E36" s="231">
        <f>+E35*D35</f>
        <v>4832934.0966682229</v>
      </c>
      <c r="G36" s="219"/>
      <c r="H36" s="231">
        <f>+H35*G35</f>
        <v>4930200.0516188638</v>
      </c>
      <c r="I36" s="228"/>
      <c r="J36" s="213">
        <f t="shared" si="2"/>
        <v>25</v>
      </c>
      <c r="K36" s="186" t="s">
        <v>127</v>
      </c>
      <c r="L36" s="188"/>
      <c r="M36" s="241">
        <f>SUM(M12:M35)</f>
        <v>0.99999999999999989</v>
      </c>
      <c r="O36" s="231">
        <f t="shared" ref="O36:P36" si="12">SUM(O34,O32)</f>
        <v>35315.770572000001</v>
      </c>
      <c r="P36" s="231">
        <f t="shared" si="12"/>
        <v>36022.440426000001</v>
      </c>
      <c r="Q36" s="239"/>
    </row>
    <row r="37" spans="1:17" ht="12" thickTop="1" x14ac:dyDescent="0.2">
      <c r="A37" s="188">
        <f t="shared" si="0"/>
        <v>26</v>
      </c>
      <c r="B37" s="188" t="str">
        <f t="shared" si="10"/>
        <v>7A, 11, 25</v>
      </c>
      <c r="C37" s="242" t="s">
        <v>239</v>
      </c>
      <c r="D37" s="219"/>
      <c r="E37" s="221">
        <f>$O$16*1000*$D$35/SUM($D$35,$D$51)</f>
        <v>4833946.4074789612</v>
      </c>
      <c r="H37" s="221">
        <f>$P$16*1000*$G$35/SUM($G$35,$G$51)</f>
        <v>4930789.0687095989</v>
      </c>
      <c r="I37" s="228"/>
      <c r="J37" s="243"/>
      <c r="Q37" s="238"/>
    </row>
    <row r="38" spans="1:17" ht="12" thickBot="1" x14ac:dyDescent="0.25">
      <c r="A38" s="188">
        <f t="shared" si="0"/>
        <v>27</v>
      </c>
      <c r="E38" s="221"/>
      <c r="H38" s="221"/>
      <c r="J38" s="243"/>
      <c r="M38" s="221"/>
      <c r="O38" s="231">
        <f>O40*O41</f>
        <v>35315770.571999997</v>
      </c>
      <c r="P38" s="231">
        <f>P40*P41</f>
        <v>36022440.425999999</v>
      </c>
      <c r="Q38" s="239"/>
    </row>
    <row r="39" spans="1:17" ht="12" thickTop="1" x14ac:dyDescent="0.2">
      <c r="A39" s="188">
        <f t="shared" si="0"/>
        <v>28</v>
      </c>
      <c r="B39" s="207" t="s">
        <v>261</v>
      </c>
      <c r="C39" s="225" t="s">
        <v>228</v>
      </c>
      <c r="D39" s="219"/>
      <c r="G39" s="219"/>
      <c r="J39" s="243"/>
      <c r="Q39" s="211"/>
    </row>
    <row r="40" spans="1:17" x14ac:dyDescent="0.2">
      <c r="A40" s="188">
        <f t="shared" si="0"/>
        <v>29</v>
      </c>
      <c r="B40" s="188" t="str">
        <f t="shared" ref="B40:B43" si="13">+B39</f>
        <v>12, 26, 26P</v>
      </c>
      <c r="C40" s="237" t="s">
        <v>262</v>
      </c>
      <c r="D40" s="260">
        <v>1831289000</v>
      </c>
      <c r="E40" s="224">
        <f>ROUND(+E$43/D$42,6)</f>
        <v>1.72E-3</v>
      </c>
      <c r="G40" s="260">
        <v>1853862000</v>
      </c>
      <c r="H40" s="224">
        <f>ROUND(+H$43/G$42,6)</f>
        <v>1.73E-3</v>
      </c>
      <c r="J40" s="243"/>
      <c r="M40" s="244" t="s">
        <v>263</v>
      </c>
      <c r="O40" s="279">
        <f>'Sch 139 Credit Calculation'!E12</f>
        <v>4.7826E-2</v>
      </c>
      <c r="P40" s="279">
        <f>'Sch 139 Credit Calculation'!F12</f>
        <v>4.8783E-2</v>
      </c>
      <c r="Q40" s="245"/>
    </row>
    <row r="41" spans="1:17" x14ac:dyDescent="0.2">
      <c r="A41" s="188">
        <f t="shared" si="0"/>
        <v>30</v>
      </c>
      <c r="B41" s="188" t="str">
        <f t="shared" si="13"/>
        <v>12, 26, 26P</v>
      </c>
      <c r="C41" s="223" t="s">
        <v>232</v>
      </c>
      <c r="D41" s="260">
        <v>-242830708.31372479</v>
      </c>
      <c r="G41" s="260">
        <v>-242830708.31372479</v>
      </c>
      <c r="I41" s="228"/>
      <c r="J41" s="243"/>
      <c r="M41" s="244" t="s">
        <v>264</v>
      </c>
      <c r="O41" s="246">
        <v>738422000</v>
      </c>
      <c r="P41" s="246">
        <v>738422000</v>
      </c>
      <c r="Q41" s="247"/>
    </row>
    <row r="42" spans="1:17" ht="12" thickBot="1" x14ac:dyDescent="0.25">
      <c r="A42" s="188">
        <f t="shared" si="0"/>
        <v>31</v>
      </c>
      <c r="B42" s="188" t="str">
        <f t="shared" si="13"/>
        <v>12, 26, 26P</v>
      </c>
      <c r="C42" s="229" t="s">
        <v>98</v>
      </c>
      <c r="D42" s="230">
        <f>SUM(D40:D41)</f>
        <v>1588458291.6862752</v>
      </c>
      <c r="E42" s="231">
        <f>+E40*D42</f>
        <v>2732148.2617003932</v>
      </c>
      <c r="G42" s="230">
        <f>SUM(G40:G41)</f>
        <v>1611031291.6862752</v>
      </c>
      <c r="H42" s="231">
        <f>+H40*G42</f>
        <v>2787084.134617256</v>
      </c>
      <c r="I42" s="228"/>
      <c r="J42" s="243"/>
      <c r="M42" s="248" t="s">
        <v>265</v>
      </c>
      <c r="O42" s="236">
        <f>O38-O36*1000</f>
        <v>0</v>
      </c>
      <c r="P42" s="236">
        <f t="shared" ref="P42" si="14">P38-P36*1000</f>
        <v>0</v>
      </c>
      <c r="Q42" s="249"/>
    </row>
    <row r="43" spans="1:17" ht="12.75" thickTop="1" thickBot="1" x14ac:dyDescent="0.25">
      <c r="A43" s="188">
        <f t="shared" si="0"/>
        <v>32</v>
      </c>
      <c r="B43" s="188" t="str">
        <f t="shared" si="13"/>
        <v>12, 26, 26P</v>
      </c>
      <c r="C43" s="242" t="s">
        <v>239</v>
      </c>
      <c r="E43" s="221">
        <f>$O$17*1000</f>
        <v>2732424.166394772</v>
      </c>
      <c r="H43" s="221">
        <f>$P$17*1000</f>
        <v>2787100.0733750714</v>
      </c>
      <c r="I43" s="228"/>
      <c r="J43" s="250"/>
      <c r="K43" s="251" t="s">
        <v>266</v>
      </c>
      <c r="L43" s="251"/>
      <c r="M43" s="252"/>
      <c r="N43" s="252"/>
      <c r="O43" s="253"/>
      <c r="P43" s="253"/>
      <c r="Q43" s="254"/>
    </row>
    <row r="44" spans="1:17" x14ac:dyDescent="0.2">
      <c r="A44" s="188">
        <f t="shared" si="0"/>
        <v>33</v>
      </c>
      <c r="E44" s="221"/>
      <c r="H44" s="221"/>
    </row>
    <row r="45" spans="1:17" x14ac:dyDescent="0.2">
      <c r="A45" s="188">
        <f t="shared" si="0"/>
        <v>34</v>
      </c>
      <c r="B45" s="188">
        <v>29</v>
      </c>
      <c r="C45" s="218" t="s">
        <v>254</v>
      </c>
      <c r="D45" s="219"/>
      <c r="G45" s="219"/>
    </row>
    <row r="46" spans="1:17" x14ac:dyDescent="0.2">
      <c r="A46" s="188">
        <f t="shared" si="0"/>
        <v>35</v>
      </c>
      <c r="B46" s="188">
        <f t="shared" ref="B46:B53" si="15">+B45</f>
        <v>29</v>
      </c>
      <c r="C46" s="237" t="s">
        <v>256</v>
      </c>
      <c r="D46" s="260">
        <v>2290130.0821588552</v>
      </c>
      <c r="E46" s="224"/>
      <c r="G46" s="260">
        <v>2319496.799318599</v>
      </c>
      <c r="H46" s="224"/>
    </row>
    <row r="47" spans="1:17" x14ac:dyDescent="0.2">
      <c r="A47" s="188">
        <f t="shared" si="0"/>
        <v>36</v>
      </c>
      <c r="B47" s="188">
        <f t="shared" si="15"/>
        <v>29</v>
      </c>
      <c r="C47" s="237" t="s">
        <v>267</v>
      </c>
      <c r="D47" s="260">
        <v>11755258.298124935</v>
      </c>
      <c r="E47" s="224"/>
      <c r="G47" s="260">
        <v>11848731.977769069</v>
      </c>
      <c r="H47" s="224"/>
    </row>
    <row r="48" spans="1:17" x14ac:dyDescent="0.2">
      <c r="A48" s="188">
        <f t="shared" si="0"/>
        <v>37</v>
      </c>
      <c r="B48" s="188">
        <f t="shared" si="15"/>
        <v>29</v>
      </c>
      <c r="C48" s="237" t="s">
        <v>257</v>
      </c>
      <c r="D48" s="260">
        <v>162181.22156353388</v>
      </c>
      <c r="E48" s="224"/>
      <c r="G48" s="260">
        <v>164778.51026321203</v>
      </c>
      <c r="H48" s="224"/>
    </row>
    <row r="49" spans="1:9" x14ac:dyDescent="0.2">
      <c r="A49" s="188">
        <f t="shared" si="0"/>
        <v>38</v>
      </c>
      <c r="B49" s="188">
        <f t="shared" si="15"/>
        <v>29</v>
      </c>
      <c r="C49" s="237" t="s">
        <v>268</v>
      </c>
      <c r="D49" s="260">
        <v>893396.89815267397</v>
      </c>
      <c r="E49" s="224"/>
      <c r="G49" s="260">
        <v>900445.21264912025</v>
      </c>
      <c r="H49" s="224"/>
    </row>
    <row r="50" spans="1:9" x14ac:dyDescent="0.2">
      <c r="A50" s="188">
        <f t="shared" si="0"/>
        <v>39</v>
      </c>
      <c r="B50" s="188">
        <f t="shared" si="15"/>
        <v>29</v>
      </c>
      <c r="C50" s="223" t="s">
        <v>232</v>
      </c>
      <c r="D50" s="260">
        <v>0</v>
      </c>
      <c r="G50" s="260">
        <v>0</v>
      </c>
      <c r="I50" s="228"/>
    </row>
    <row r="51" spans="1:9" x14ac:dyDescent="0.2">
      <c r="A51" s="188">
        <f t="shared" si="0"/>
        <v>40</v>
      </c>
      <c r="B51" s="188">
        <f t="shared" si="15"/>
        <v>29</v>
      </c>
      <c r="C51" s="229" t="s">
        <v>98</v>
      </c>
      <c r="D51" s="230">
        <f>SUM(D46:D50)</f>
        <v>15100966.499999998</v>
      </c>
      <c r="E51" s="224">
        <f>ROUND(+E$53/(D$51),6)</f>
        <v>1.7420000000000001E-3</v>
      </c>
      <c r="G51" s="230">
        <f>SUM(G46:G50)</f>
        <v>15233452.5</v>
      </c>
      <c r="H51" s="224">
        <f>ROUND(+H$53/(G$51),6)</f>
        <v>1.7539999999999999E-3</v>
      </c>
      <c r="I51" s="228"/>
    </row>
    <row r="52" spans="1:9" ht="12" thickBot="1" x14ac:dyDescent="0.25">
      <c r="A52" s="188">
        <f t="shared" si="0"/>
        <v>41</v>
      </c>
      <c r="B52" s="188">
        <f t="shared" si="15"/>
        <v>29</v>
      </c>
      <c r="C52" s="229" t="s">
        <v>237</v>
      </c>
      <c r="D52" s="219"/>
      <c r="E52" s="231">
        <f>+E51*D51</f>
        <v>26305.883642999997</v>
      </c>
      <c r="G52" s="219"/>
      <c r="H52" s="231">
        <f>+H51*G51</f>
        <v>26719.475684999998</v>
      </c>
      <c r="I52" s="228"/>
    </row>
    <row r="53" spans="1:9" ht="12" thickTop="1" x14ac:dyDescent="0.2">
      <c r="A53" s="188">
        <f t="shared" si="0"/>
        <v>42</v>
      </c>
      <c r="B53" s="188">
        <f t="shared" si="15"/>
        <v>29</v>
      </c>
      <c r="C53" s="242" t="s">
        <v>239</v>
      </c>
      <c r="E53" s="221">
        <f>$O$16*1000*$D$51/SUM($D$35,$D$51)</f>
        <v>26311.393697526953</v>
      </c>
      <c r="H53" s="221">
        <f>$P$16*1000*$G$51/SUM($G$35,$G$51)</f>
        <v>26722.667893768237</v>
      </c>
      <c r="I53" s="228"/>
    </row>
    <row r="54" spans="1:9" x14ac:dyDescent="0.2">
      <c r="A54" s="188">
        <f t="shared" si="0"/>
        <v>43</v>
      </c>
      <c r="E54" s="221"/>
      <c r="H54" s="221"/>
    </row>
    <row r="55" spans="1:9" x14ac:dyDescent="0.2">
      <c r="A55" s="188">
        <f t="shared" si="0"/>
        <v>44</v>
      </c>
      <c r="C55" s="212" t="s">
        <v>269</v>
      </c>
    </row>
    <row r="56" spans="1:9" x14ac:dyDescent="0.2">
      <c r="A56" s="188">
        <f t="shared" si="0"/>
        <v>45</v>
      </c>
      <c r="B56" s="188" t="s">
        <v>270</v>
      </c>
      <c r="C56" s="225" t="s">
        <v>228</v>
      </c>
      <c r="D56" s="219"/>
      <c r="G56" s="219"/>
    </row>
    <row r="57" spans="1:9" x14ac:dyDescent="0.2">
      <c r="A57" s="188">
        <f t="shared" si="0"/>
        <v>46</v>
      </c>
      <c r="B57" s="188" t="str">
        <f t="shared" ref="B57:B60" si="16">+B56</f>
        <v>10, 31</v>
      </c>
      <c r="C57" s="237" t="s">
        <v>262</v>
      </c>
      <c r="D57" s="260">
        <v>1332008000</v>
      </c>
      <c r="E57" s="224">
        <f>ROUND(+E$60/D$59,6)</f>
        <v>1.6620000000000001E-3</v>
      </c>
      <c r="G57" s="260">
        <v>1335448000</v>
      </c>
      <c r="H57" s="224">
        <f>ROUND(+H$60/G$59,6)</f>
        <v>1.691E-3</v>
      </c>
    </row>
    <row r="58" spans="1:9" x14ac:dyDescent="0.2">
      <c r="A58" s="188">
        <f t="shared" si="0"/>
        <v>47</v>
      </c>
      <c r="B58" s="188" t="str">
        <f t="shared" si="16"/>
        <v>10, 31</v>
      </c>
      <c r="C58" s="223" t="s">
        <v>232</v>
      </c>
      <c r="D58" s="260">
        <v>-110277530.61509895</v>
      </c>
      <c r="G58" s="260">
        <v>-110277530.61509895</v>
      </c>
      <c r="I58" s="228"/>
    </row>
    <row r="59" spans="1:9" ht="12" thickBot="1" x14ac:dyDescent="0.25">
      <c r="A59" s="188">
        <f t="shared" si="0"/>
        <v>48</v>
      </c>
      <c r="B59" s="188" t="str">
        <f t="shared" si="16"/>
        <v>10, 31</v>
      </c>
      <c r="C59" s="229" t="s">
        <v>98</v>
      </c>
      <c r="D59" s="230">
        <f>SUM(D57:D58)</f>
        <v>1221730469.384901</v>
      </c>
      <c r="E59" s="231">
        <f>+E57*D59</f>
        <v>2030516.0401177057</v>
      </c>
      <c r="G59" s="230">
        <f>SUM(G57:G58)</f>
        <v>1225170469.384901</v>
      </c>
      <c r="H59" s="231">
        <f>+H57*G59</f>
        <v>2071763.2637298678</v>
      </c>
      <c r="I59" s="228"/>
    </row>
    <row r="60" spans="1:9" ht="12" thickTop="1" x14ac:dyDescent="0.2">
      <c r="A60" s="188">
        <f t="shared" si="0"/>
        <v>49</v>
      </c>
      <c r="B60" s="188" t="str">
        <f t="shared" si="16"/>
        <v>10, 31</v>
      </c>
      <c r="C60" s="242" t="s">
        <v>239</v>
      </c>
      <c r="E60" s="221">
        <f>$O$21*1000</f>
        <v>2030792.6891867921</v>
      </c>
      <c r="H60" s="221">
        <f>$P$21*1000</f>
        <v>2071428.9247814845</v>
      </c>
      <c r="I60" s="228"/>
    </row>
    <row r="61" spans="1:9" x14ac:dyDescent="0.2">
      <c r="A61" s="188">
        <f t="shared" si="0"/>
        <v>50</v>
      </c>
      <c r="E61" s="221"/>
      <c r="H61" s="221"/>
    </row>
    <row r="62" spans="1:9" x14ac:dyDescent="0.2">
      <c r="A62" s="188">
        <f t="shared" si="0"/>
        <v>51</v>
      </c>
      <c r="B62" s="188">
        <v>35</v>
      </c>
      <c r="C62" s="225" t="s">
        <v>228</v>
      </c>
      <c r="D62" s="219"/>
      <c r="G62" s="219"/>
    </row>
    <row r="63" spans="1:9" x14ac:dyDescent="0.2">
      <c r="A63" s="188">
        <f t="shared" si="0"/>
        <v>52</v>
      </c>
      <c r="B63" s="188">
        <f t="shared" ref="B63:B66" si="17">+B62</f>
        <v>35</v>
      </c>
      <c r="C63" s="237" t="s">
        <v>262</v>
      </c>
      <c r="D63" s="260">
        <v>4663000</v>
      </c>
      <c r="E63" s="224">
        <f>ROUND(+E$66/D$65,6)</f>
        <v>1.5900000000000001E-3</v>
      </c>
      <c r="G63" s="260">
        <v>4695000</v>
      </c>
      <c r="H63" s="224">
        <f>ROUND(+H$66/G$65,6)</f>
        <v>1.6100000000000001E-3</v>
      </c>
    </row>
    <row r="64" spans="1:9" x14ac:dyDescent="0.2">
      <c r="A64" s="188">
        <f t="shared" si="0"/>
        <v>53</v>
      </c>
      <c r="B64" s="188">
        <f t="shared" si="17"/>
        <v>35</v>
      </c>
      <c r="C64" s="223" t="s">
        <v>232</v>
      </c>
      <c r="D64" s="260">
        <v>0</v>
      </c>
      <c r="G64" s="260">
        <v>0</v>
      </c>
      <c r="I64" s="228"/>
    </row>
    <row r="65" spans="1:9" ht="12" thickBot="1" x14ac:dyDescent="0.25">
      <c r="A65" s="188">
        <f t="shared" si="0"/>
        <v>54</v>
      </c>
      <c r="B65" s="188">
        <f t="shared" si="17"/>
        <v>35</v>
      </c>
      <c r="C65" s="229" t="s">
        <v>98</v>
      </c>
      <c r="D65" s="230">
        <f>SUM(D63:D64)</f>
        <v>4663000</v>
      </c>
      <c r="E65" s="231">
        <f>+E63*D65</f>
        <v>7414.17</v>
      </c>
      <c r="G65" s="230">
        <f>SUM(G63:G64)</f>
        <v>4695000</v>
      </c>
      <c r="H65" s="231">
        <f>+H63*G65</f>
        <v>7558.9500000000007</v>
      </c>
      <c r="I65" s="228"/>
    </row>
    <row r="66" spans="1:9" ht="12" thickTop="1" x14ac:dyDescent="0.2">
      <c r="A66" s="188">
        <f t="shared" si="0"/>
        <v>55</v>
      </c>
      <c r="B66" s="188">
        <f t="shared" si="17"/>
        <v>35</v>
      </c>
      <c r="C66" s="242" t="s">
        <v>239</v>
      </c>
      <c r="E66" s="221">
        <f>$O$22*1000</f>
        <v>7412.9613946716736</v>
      </c>
      <c r="H66" s="221">
        <f>$P$22*1000</f>
        <v>7561.2950218765582</v>
      </c>
      <c r="I66" s="228"/>
    </row>
    <row r="67" spans="1:9" x14ac:dyDescent="0.2">
      <c r="A67" s="188">
        <f t="shared" si="0"/>
        <v>56</v>
      </c>
      <c r="E67" s="221"/>
      <c r="H67" s="221"/>
    </row>
    <row r="68" spans="1:9" x14ac:dyDescent="0.2">
      <c r="A68" s="188">
        <f t="shared" si="0"/>
        <v>57</v>
      </c>
      <c r="B68" s="188">
        <v>43</v>
      </c>
      <c r="C68" s="225" t="s">
        <v>228</v>
      </c>
      <c r="D68" s="219"/>
      <c r="G68" s="219"/>
    </row>
    <row r="69" spans="1:9" x14ac:dyDescent="0.2">
      <c r="A69" s="188">
        <f t="shared" si="0"/>
        <v>58</v>
      </c>
      <c r="B69" s="188">
        <f t="shared" ref="B69:B72" si="18">+B68</f>
        <v>43</v>
      </c>
      <c r="C69" s="237" t="s">
        <v>262</v>
      </c>
      <c r="D69" s="260">
        <v>118190000</v>
      </c>
      <c r="E69" s="224">
        <f>ROUND(+E$72/D$71,6)</f>
        <v>1.5989999999999999E-3</v>
      </c>
      <c r="G69" s="260">
        <v>119782000</v>
      </c>
      <c r="H69" s="224">
        <f>ROUND(+H$72/G$71,6)</f>
        <v>1.6080000000000001E-3</v>
      </c>
    </row>
    <row r="70" spans="1:9" x14ac:dyDescent="0.2">
      <c r="A70" s="188">
        <f t="shared" si="0"/>
        <v>59</v>
      </c>
      <c r="B70" s="188">
        <f t="shared" si="18"/>
        <v>43</v>
      </c>
      <c r="C70" s="223" t="s">
        <v>232</v>
      </c>
      <c r="D70" s="260">
        <v>-7391764.9333909638</v>
      </c>
      <c r="G70" s="260">
        <v>-7391764.9333909638</v>
      </c>
      <c r="I70" s="228"/>
    </row>
    <row r="71" spans="1:9" ht="12" thickBot="1" x14ac:dyDescent="0.25">
      <c r="A71" s="188">
        <f t="shared" si="0"/>
        <v>60</v>
      </c>
      <c r="B71" s="188">
        <f t="shared" si="18"/>
        <v>43</v>
      </c>
      <c r="C71" s="229" t="s">
        <v>98</v>
      </c>
      <c r="D71" s="230">
        <f>SUM(D69:D70)</f>
        <v>110798235.06660904</v>
      </c>
      <c r="E71" s="231">
        <f>+E69*D71</f>
        <v>177166.37787150784</v>
      </c>
      <c r="G71" s="230">
        <f>SUM(G69:G70)</f>
        <v>112390235.06660904</v>
      </c>
      <c r="H71" s="231">
        <f>+H69*G71</f>
        <v>180723.49798710734</v>
      </c>
      <c r="I71" s="228"/>
    </row>
    <row r="72" spans="1:9" ht="12" thickTop="1" x14ac:dyDescent="0.2">
      <c r="A72" s="188">
        <f t="shared" si="0"/>
        <v>61</v>
      </c>
      <c r="B72" s="188">
        <f t="shared" si="18"/>
        <v>43</v>
      </c>
      <c r="C72" s="242" t="s">
        <v>239</v>
      </c>
      <c r="D72" s="219"/>
      <c r="E72" s="221">
        <f>$O$23*1000</f>
        <v>177133.24465225497</v>
      </c>
      <c r="H72" s="221">
        <f>$P$23*1000</f>
        <v>180677.68732218782</v>
      </c>
      <c r="I72" s="228"/>
    </row>
    <row r="73" spans="1:9" x14ac:dyDescent="0.2">
      <c r="A73" s="188">
        <f t="shared" si="0"/>
        <v>62</v>
      </c>
      <c r="E73" s="221"/>
      <c r="H73" s="221"/>
    </row>
    <row r="74" spans="1:9" x14ac:dyDescent="0.2">
      <c r="A74" s="188">
        <f t="shared" si="0"/>
        <v>63</v>
      </c>
      <c r="C74" s="212" t="s">
        <v>271</v>
      </c>
    </row>
    <row r="75" spans="1:9" x14ac:dyDescent="0.2">
      <c r="A75" s="188">
        <f t="shared" si="0"/>
        <v>64</v>
      </c>
      <c r="B75" s="188">
        <v>46</v>
      </c>
      <c r="C75" s="225" t="s">
        <v>228</v>
      </c>
    </row>
    <row r="76" spans="1:9" x14ac:dyDescent="0.2">
      <c r="A76" s="188">
        <f t="shared" si="0"/>
        <v>65</v>
      </c>
      <c r="B76" s="188">
        <f t="shared" ref="B76:B79" si="19">+B75</f>
        <v>46</v>
      </c>
      <c r="C76" s="237" t="s">
        <v>262</v>
      </c>
      <c r="D76" s="260">
        <v>89530525.500000015</v>
      </c>
      <c r="E76" s="224">
        <f>ROUND(+E$79/D$78,6)</f>
        <v>1.7340000000000001E-3</v>
      </c>
      <c r="G76" s="260">
        <v>89210525.500000015</v>
      </c>
      <c r="H76" s="224">
        <f>ROUND(+H$79/G$78,6)</f>
        <v>1.7899999999999999E-3</v>
      </c>
    </row>
    <row r="77" spans="1:9" x14ac:dyDescent="0.2">
      <c r="A77" s="188">
        <f t="shared" si="0"/>
        <v>66</v>
      </c>
      <c r="B77" s="188">
        <f t="shared" si="19"/>
        <v>46</v>
      </c>
      <c r="C77" s="223" t="s">
        <v>232</v>
      </c>
      <c r="D77" s="260">
        <v>-22359065.312998384</v>
      </c>
      <c r="G77" s="260">
        <v>-22481627.585433222</v>
      </c>
      <c r="I77" s="228"/>
    </row>
    <row r="78" spans="1:9" ht="12" thickBot="1" x14ac:dyDescent="0.25">
      <c r="A78" s="188">
        <f t="shared" ref="A78:A107" si="20">A77+1</f>
        <v>67</v>
      </c>
      <c r="B78" s="188">
        <f t="shared" si="19"/>
        <v>46</v>
      </c>
      <c r="C78" s="229" t="s">
        <v>98</v>
      </c>
      <c r="D78" s="230">
        <f>SUM(D76:D77)</f>
        <v>67171460.187001631</v>
      </c>
      <c r="E78" s="231">
        <f>+E76*D78</f>
        <v>116475.31196426084</v>
      </c>
      <c r="G78" s="230">
        <f>SUM(G76:G77)</f>
        <v>66728897.914566793</v>
      </c>
      <c r="H78" s="231">
        <f>+H76*G78</f>
        <v>119444.72726707456</v>
      </c>
      <c r="I78" s="228"/>
    </row>
    <row r="79" spans="1:9" ht="12" thickTop="1" x14ac:dyDescent="0.2">
      <c r="A79" s="188">
        <f t="shared" si="20"/>
        <v>68</v>
      </c>
      <c r="B79" s="188">
        <f t="shared" si="19"/>
        <v>46</v>
      </c>
      <c r="C79" s="242" t="s">
        <v>239</v>
      </c>
      <c r="E79" s="221">
        <f>$O$26*1000*$D$76/SUM($D$82,$D$76)</f>
        <v>116475.43664544338</v>
      </c>
      <c r="H79" s="221">
        <f>$P$26*1000*G76/SUM(G82,G76)</f>
        <v>119457.3556969327</v>
      </c>
      <c r="I79" s="228"/>
    </row>
    <row r="80" spans="1:9" x14ac:dyDescent="0.2">
      <c r="A80" s="188">
        <f t="shared" si="20"/>
        <v>69</v>
      </c>
      <c r="E80" s="221"/>
      <c r="H80" s="221"/>
    </row>
    <row r="81" spans="1:9" x14ac:dyDescent="0.2">
      <c r="A81" s="188">
        <f t="shared" si="20"/>
        <v>70</v>
      </c>
      <c r="B81" s="188">
        <v>49</v>
      </c>
      <c r="C81" s="225" t="s">
        <v>228</v>
      </c>
    </row>
    <row r="82" spans="1:9" x14ac:dyDescent="0.2">
      <c r="A82" s="188">
        <f t="shared" si="20"/>
        <v>71</v>
      </c>
      <c r="B82" s="188">
        <f t="shared" ref="B82:B85" si="21">+B81</f>
        <v>49</v>
      </c>
      <c r="C82" s="237" t="s">
        <v>262</v>
      </c>
      <c r="D82" s="260">
        <v>504715000</v>
      </c>
      <c r="E82" s="224">
        <f>ROUND(+E$85/D$84,6)</f>
        <v>1.7340000000000001E-3</v>
      </c>
      <c r="G82" s="260">
        <v>499683000</v>
      </c>
      <c r="H82" s="224">
        <f>ROUND(+H$85/G$84,6)</f>
        <v>1.7899999999999999E-3</v>
      </c>
    </row>
    <row r="83" spans="1:9" x14ac:dyDescent="0.2">
      <c r="A83" s="188">
        <f t="shared" si="20"/>
        <v>72</v>
      </c>
      <c r="B83" s="188">
        <f t="shared" si="21"/>
        <v>49</v>
      </c>
      <c r="C83" s="223" t="s">
        <v>232</v>
      </c>
      <c r="D83" s="260">
        <v>-126045899.83613996</v>
      </c>
      <c r="G83" s="260">
        <v>-125923337.56370513</v>
      </c>
      <c r="I83" s="228"/>
    </row>
    <row r="84" spans="1:9" ht="12" thickBot="1" x14ac:dyDescent="0.25">
      <c r="A84" s="188">
        <f t="shared" si="20"/>
        <v>73</v>
      </c>
      <c r="B84" s="188">
        <f t="shared" si="21"/>
        <v>49</v>
      </c>
      <c r="C84" s="229" t="s">
        <v>98</v>
      </c>
      <c r="D84" s="230">
        <f>SUM(D82:D83)</f>
        <v>378669100.16386002</v>
      </c>
      <c r="E84" s="231">
        <f>+E82*D84</f>
        <v>656612.21968413331</v>
      </c>
      <c r="G84" s="230">
        <f>SUM(G82:G83)</f>
        <v>373759662.43629485</v>
      </c>
      <c r="H84" s="231">
        <f>+H82*G84</f>
        <v>669029.79576096777</v>
      </c>
      <c r="I84" s="228"/>
    </row>
    <row r="85" spans="1:9" ht="12" thickTop="1" x14ac:dyDescent="0.2">
      <c r="A85" s="188">
        <f t="shared" si="20"/>
        <v>74</v>
      </c>
      <c r="B85" s="188">
        <f t="shared" si="21"/>
        <v>49</v>
      </c>
      <c r="C85" s="242" t="s">
        <v>239</v>
      </c>
      <c r="E85" s="221">
        <f>$O$26*1000*$D$82/SUM($D$76,$D$82)</f>
        <v>656612.92255572591</v>
      </c>
      <c r="H85" s="221">
        <f>$P$26*1000*G82/SUM(G76,G82)</f>
        <v>669100.52969826327</v>
      </c>
      <c r="I85" s="228"/>
    </row>
    <row r="86" spans="1:9" x14ac:dyDescent="0.2">
      <c r="A86" s="188">
        <f t="shared" si="20"/>
        <v>75</v>
      </c>
      <c r="E86" s="221"/>
      <c r="H86" s="221"/>
    </row>
    <row r="87" spans="1:9" x14ac:dyDescent="0.2">
      <c r="A87" s="188">
        <f t="shared" si="20"/>
        <v>76</v>
      </c>
      <c r="B87" s="188" t="s">
        <v>272</v>
      </c>
      <c r="C87" s="225" t="s">
        <v>273</v>
      </c>
      <c r="D87" s="260">
        <v>62703000</v>
      </c>
      <c r="E87" s="224">
        <f>ROUND(+E$90/D$89,6)</f>
        <v>1.98E-3</v>
      </c>
      <c r="G87" s="260">
        <v>61382000</v>
      </c>
      <c r="H87" s="224">
        <f>ROUND(+H$90/G$89,6)</f>
        <v>2.0630000000000002E-3</v>
      </c>
    </row>
    <row r="88" spans="1:9" x14ac:dyDescent="0.2">
      <c r="A88" s="188">
        <f t="shared" si="20"/>
        <v>77</v>
      </c>
      <c r="B88" s="188" t="str">
        <f>+B87</f>
        <v>3, 50-59</v>
      </c>
      <c r="C88" s="223" t="s">
        <v>232</v>
      </c>
      <c r="D88" s="260">
        <v>0</v>
      </c>
      <c r="G88" s="260">
        <v>0</v>
      </c>
      <c r="I88" s="228"/>
    </row>
    <row r="89" spans="1:9" ht="12" thickBot="1" x14ac:dyDescent="0.25">
      <c r="A89" s="188">
        <f t="shared" si="20"/>
        <v>78</v>
      </c>
      <c r="B89" s="188" t="str">
        <f t="shared" ref="B89:B90" si="22">+B88</f>
        <v>3, 50-59</v>
      </c>
      <c r="C89" s="229" t="s">
        <v>98</v>
      </c>
      <c r="D89" s="230">
        <f>SUM(D87:D88)</f>
        <v>62703000</v>
      </c>
      <c r="E89" s="231">
        <f>+E87*D89</f>
        <v>124151.94</v>
      </c>
      <c r="G89" s="230">
        <f>SUM(G87:G88)</f>
        <v>61382000</v>
      </c>
      <c r="H89" s="231">
        <f>+H87*G89</f>
        <v>126631.06600000001</v>
      </c>
      <c r="I89" s="228"/>
    </row>
    <row r="90" spans="1:9" ht="12" thickTop="1" x14ac:dyDescent="0.2">
      <c r="A90" s="188">
        <f t="shared" si="20"/>
        <v>79</v>
      </c>
      <c r="B90" s="188" t="str">
        <f t="shared" si="22"/>
        <v>3, 50-59</v>
      </c>
      <c r="C90" s="255" t="s">
        <v>239</v>
      </c>
      <c r="D90" s="219"/>
      <c r="E90" s="221">
        <f>$O$30*1000</f>
        <v>124121.45704674396</v>
      </c>
      <c r="H90" s="221">
        <f>$P$30*1000</f>
        <v>126605.1319180218</v>
      </c>
      <c r="I90" s="228"/>
    </row>
    <row r="91" spans="1:9" x14ac:dyDescent="0.2">
      <c r="A91" s="188">
        <f t="shared" si="20"/>
        <v>80</v>
      </c>
      <c r="D91" s="219"/>
      <c r="E91" s="221"/>
      <c r="H91" s="221"/>
    </row>
    <row r="92" spans="1:9" x14ac:dyDescent="0.2">
      <c r="A92" s="188">
        <f t="shared" si="20"/>
        <v>81</v>
      </c>
      <c r="B92" s="188" t="s">
        <v>274</v>
      </c>
      <c r="C92" s="225" t="s">
        <v>21</v>
      </c>
      <c r="D92" s="260">
        <v>1895530000</v>
      </c>
      <c r="E92" s="226">
        <f>ROUND(+E$94/D$92,0)</f>
        <v>0</v>
      </c>
      <c r="G92" s="260">
        <v>1895104000</v>
      </c>
      <c r="H92" s="226">
        <f>ROUND(+H$94/G$92,0)</f>
        <v>0</v>
      </c>
    </row>
    <row r="93" spans="1:9" ht="12" thickBot="1" x14ac:dyDescent="0.25">
      <c r="A93" s="188">
        <f t="shared" si="20"/>
        <v>82</v>
      </c>
      <c r="B93" s="188" t="str">
        <f>B92</f>
        <v>449, 459</v>
      </c>
      <c r="C93" s="229" t="s">
        <v>237</v>
      </c>
      <c r="D93" s="230">
        <f>SUM(D91:D92)</f>
        <v>1895530000</v>
      </c>
      <c r="E93" s="231">
        <f>+E92*D92</f>
        <v>0</v>
      </c>
      <c r="G93" s="230">
        <f>SUM(G91:G92)</f>
        <v>1895104000</v>
      </c>
      <c r="H93" s="231">
        <f>+H92*G92</f>
        <v>0</v>
      </c>
    </row>
    <row r="94" spans="1:9" ht="12" thickTop="1" x14ac:dyDescent="0.2">
      <c r="A94" s="188">
        <f t="shared" si="20"/>
        <v>83</v>
      </c>
      <c r="B94" s="188" t="str">
        <f t="shared" ref="B94" si="23">+B93</f>
        <v>449, 459</v>
      </c>
      <c r="C94" s="255" t="s">
        <v>239</v>
      </c>
      <c r="E94" s="221">
        <f>$O$28*1000*$D$92/SUM($D$96,$D$92)</f>
        <v>0</v>
      </c>
      <c r="H94" s="221">
        <f>$P$28*1000*$G$92/SUM($G$96,$G$92)</f>
        <v>0</v>
      </c>
      <c r="I94" s="256"/>
    </row>
    <row r="95" spans="1:9" x14ac:dyDescent="0.2">
      <c r="A95" s="188">
        <f t="shared" si="20"/>
        <v>84</v>
      </c>
      <c r="D95" s="219"/>
      <c r="E95" s="221"/>
      <c r="H95" s="221"/>
    </row>
    <row r="96" spans="1:9" x14ac:dyDescent="0.2">
      <c r="A96" s="188">
        <f t="shared" si="20"/>
        <v>85</v>
      </c>
      <c r="B96" s="188" t="s">
        <v>74</v>
      </c>
      <c r="C96" s="225" t="s">
        <v>21</v>
      </c>
      <c r="D96" s="260">
        <v>289426000</v>
      </c>
      <c r="E96" s="224">
        <f>ROUND(+E$98/D$96,6)</f>
        <v>0</v>
      </c>
      <c r="G96" s="260">
        <v>289426000</v>
      </c>
      <c r="H96" s="224">
        <f>ROUND(+H$98/G$96,6)</f>
        <v>0</v>
      </c>
    </row>
    <row r="97" spans="1:9" ht="12" thickBot="1" x14ac:dyDescent="0.25">
      <c r="A97" s="188">
        <f t="shared" si="20"/>
        <v>86</v>
      </c>
      <c r="B97" s="188" t="str">
        <f>B96</f>
        <v>SC</v>
      </c>
      <c r="C97" s="229" t="s">
        <v>237</v>
      </c>
      <c r="D97" s="230">
        <f>SUM(D95:D96)</f>
        <v>289426000</v>
      </c>
      <c r="E97" s="231">
        <f>+E96*D96</f>
        <v>0</v>
      </c>
      <c r="G97" s="230">
        <f>SUM(G95:G96)</f>
        <v>289426000</v>
      </c>
      <c r="H97" s="231">
        <f>+H96*G96</f>
        <v>0</v>
      </c>
    </row>
    <row r="98" spans="1:9" ht="12" thickTop="1" x14ac:dyDescent="0.2">
      <c r="A98" s="188">
        <f t="shared" si="20"/>
        <v>87</v>
      </c>
      <c r="B98" s="188" t="str">
        <f t="shared" ref="B98" si="24">+B97</f>
        <v>SC</v>
      </c>
      <c r="C98" s="255" t="s">
        <v>239</v>
      </c>
      <c r="E98" s="221">
        <f>$O$28*1000*$D$96/SUM($D$96,$D$92)</f>
        <v>0</v>
      </c>
      <c r="H98" s="221">
        <f>$P$28*1000*$G$96/SUM($G$96,$G$92)</f>
        <v>0</v>
      </c>
      <c r="I98" s="256"/>
    </row>
    <row r="99" spans="1:9" x14ac:dyDescent="0.2">
      <c r="A99" s="188">
        <f t="shared" si="20"/>
        <v>88</v>
      </c>
      <c r="C99" s="223"/>
      <c r="E99" s="221"/>
      <c r="H99" s="221"/>
    </row>
    <row r="100" spans="1:9" x14ac:dyDescent="0.2">
      <c r="A100" s="188">
        <f t="shared" si="20"/>
        <v>89</v>
      </c>
      <c r="B100" s="207" t="s">
        <v>260</v>
      </c>
      <c r="C100" s="225" t="s">
        <v>21</v>
      </c>
      <c r="D100" s="260">
        <v>7521000</v>
      </c>
      <c r="E100" s="224">
        <f>ROUND(+E$103/D$102,6)</f>
        <v>1.6360000000000001E-3</v>
      </c>
      <c r="G100" s="260">
        <v>7552000</v>
      </c>
      <c r="H100" s="224">
        <f>ROUND(+H$103/G$102,6)</f>
        <v>1.6620000000000001E-3</v>
      </c>
    </row>
    <row r="101" spans="1:9" x14ac:dyDescent="0.2">
      <c r="A101" s="188">
        <f>A100+1</f>
        <v>90</v>
      </c>
      <c r="B101" s="188" t="str">
        <f>B100</f>
        <v>Firm Resale</v>
      </c>
      <c r="C101" s="223" t="s">
        <v>232</v>
      </c>
      <c r="D101" s="260">
        <v>0</v>
      </c>
      <c r="G101" s="260">
        <v>0</v>
      </c>
      <c r="I101" s="228"/>
    </row>
    <row r="102" spans="1:9" ht="12" thickBot="1" x14ac:dyDescent="0.25">
      <c r="A102" s="188">
        <f t="shared" ref="A102:A103" si="25">A101+1</f>
        <v>91</v>
      </c>
      <c r="B102" s="188" t="str">
        <f t="shared" ref="B102:B103" si="26">B101</f>
        <v>Firm Resale</v>
      </c>
      <c r="C102" s="229" t="s">
        <v>98</v>
      </c>
      <c r="D102" s="230">
        <f>SUM(D100:D101)</f>
        <v>7521000</v>
      </c>
      <c r="E102" s="231">
        <f>+E100*D102</f>
        <v>12304.356</v>
      </c>
      <c r="G102" s="230">
        <f>SUM(G100:G101)</f>
        <v>7552000</v>
      </c>
      <c r="H102" s="231">
        <f>+H100*G102</f>
        <v>12551.424000000001</v>
      </c>
      <c r="I102" s="228"/>
    </row>
    <row r="103" spans="1:9" ht="12" thickTop="1" x14ac:dyDescent="0.2">
      <c r="A103" s="188">
        <f t="shared" si="25"/>
        <v>92</v>
      </c>
      <c r="B103" s="188" t="str">
        <f t="shared" si="26"/>
        <v>Firm Resale</v>
      </c>
      <c r="C103" s="255" t="s">
        <v>239</v>
      </c>
      <c r="E103" s="221">
        <f>$O$34*1000</f>
        <v>12306.246256179085</v>
      </c>
      <c r="H103" s="221">
        <f>$P$34*1000</f>
        <v>12552.494691489657</v>
      </c>
      <c r="I103" s="228"/>
    </row>
    <row r="104" spans="1:9" x14ac:dyDescent="0.2">
      <c r="A104" s="188">
        <f t="shared" si="20"/>
        <v>93</v>
      </c>
      <c r="C104" s="255"/>
      <c r="E104" s="221"/>
      <c r="H104" s="221"/>
    </row>
    <row r="105" spans="1:9" x14ac:dyDescent="0.2">
      <c r="A105" s="188">
        <f t="shared" si="20"/>
        <v>94</v>
      </c>
      <c r="C105" s="232" t="s">
        <v>8</v>
      </c>
      <c r="D105" s="257">
        <f>SUM(D102,D97,D93,D89,D84,D78,D71,D65,D59,D51,D42,D35,D26,D17)</f>
        <v>21984636867.5</v>
      </c>
      <c r="E105" s="221">
        <f>SUM(E102,E97,E93,E89,E84,E78,E71,E65,E59,E52,E42,E36,E27,E18)</f>
        <v>35310821.056751519</v>
      </c>
      <c r="G105" s="257">
        <f>SUM(G102,G97,G93,G89,G84,G78,G71,G65,G59,G51,G42,G35,G26,G17)</f>
        <v>22175940847.5</v>
      </c>
      <c r="H105" s="221">
        <f>SUM(H102,H97,H93,H89,H84,H78,H71,H65,H59,H52,H42,H36,H27,H18)</f>
        <v>36024653.727424391</v>
      </c>
      <c r="I105" s="228"/>
    </row>
    <row r="106" spans="1:9" x14ac:dyDescent="0.2">
      <c r="A106" s="188">
        <f t="shared" si="20"/>
        <v>95</v>
      </c>
      <c r="E106" s="236">
        <f>$O$38-E105</f>
        <v>4949.515248477459</v>
      </c>
      <c r="F106" s="248"/>
      <c r="G106" s="248"/>
      <c r="H106" s="236">
        <f>$P$38-H105</f>
        <v>-2213.3014243915677</v>
      </c>
      <c r="I106" s="248"/>
    </row>
    <row r="107" spans="1:9" x14ac:dyDescent="0.2">
      <c r="A107" s="188">
        <f t="shared" si="20"/>
        <v>96</v>
      </c>
      <c r="E107" s="248" t="s">
        <v>275</v>
      </c>
      <c r="F107" s="258"/>
      <c r="G107" s="258"/>
      <c r="H107" s="248" t="s">
        <v>275</v>
      </c>
      <c r="I107" s="258"/>
    </row>
    <row r="108" spans="1:9" x14ac:dyDescent="0.2">
      <c r="D108" s="221"/>
      <c r="H108" s="221"/>
    </row>
  </sheetData>
  <mergeCells count="4">
    <mergeCell ref="G7:I7"/>
    <mergeCell ref="D9:E9"/>
    <mergeCell ref="G9:H9"/>
    <mergeCell ref="O9:Q9"/>
  </mergeCells>
  <pageMargins left="0.7" right="0.7" top="0.75" bottom="0.75" header="0.3" footer="0.3"/>
  <pageSetup scale="46" fitToWidth="2" fitToHeight="0" orientation="landscape" r:id="rId1"/>
  <headerFooter>
    <oddFooter>&amp;L&amp;A&amp;RExhibit No. ___(BDJ-5)
Page &amp;P of &amp;N</oddFooter>
  </headerFooter>
  <rowBreaks count="3" manualBreakCount="3">
    <brk id="37" max="24" man="1"/>
    <brk id="54" max="24" man="1"/>
    <brk id="85" max="24" man="1"/>
  </rowBreaks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8CEAE-3DAF-4CFA-B3A2-1473BB9B63BC}">
  <sheetPr>
    <tabColor theme="5" tint="0.79998168889431442"/>
    <pageSetUpPr fitToPage="1"/>
  </sheetPr>
  <dimension ref="A1:G20"/>
  <sheetViews>
    <sheetView zoomScaleNormal="100" workbookViewId="0">
      <selection activeCell="G28" sqref="G28"/>
    </sheetView>
  </sheetViews>
  <sheetFormatPr defaultRowHeight="11.25" x14ac:dyDescent="0.2"/>
  <cols>
    <col min="1" max="1" width="4.7109375" style="9" customWidth="1"/>
    <col min="2" max="2" width="62.5703125" style="9" bestFit="1" customWidth="1"/>
    <col min="3" max="3" width="13.28515625" style="9" bestFit="1" customWidth="1"/>
    <col min="4" max="4" width="9.42578125" style="9" bestFit="1" customWidth="1"/>
    <col min="5" max="7" width="12.140625" style="9" bestFit="1" customWidth="1"/>
    <col min="8" max="16384" width="9.140625" style="9"/>
  </cols>
  <sheetData>
    <row r="1" spans="1:7" x14ac:dyDescent="0.2">
      <c r="A1" s="444" t="s">
        <v>155</v>
      </c>
      <c r="B1" s="444"/>
      <c r="C1" s="444"/>
      <c r="D1" s="444"/>
      <c r="E1" s="444"/>
      <c r="F1" s="444"/>
      <c r="G1" s="444"/>
    </row>
    <row r="2" spans="1:7" x14ac:dyDescent="0.2">
      <c r="A2" s="445" t="s">
        <v>278</v>
      </c>
      <c r="B2" s="445"/>
      <c r="C2" s="445"/>
      <c r="D2" s="445"/>
      <c r="E2" s="445"/>
      <c r="F2" s="445"/>
      <c r="G2" s="445"/>
    </row>
    <row r="3" spans="1:7" x14ac:dyDescent="0.2">
      <c r="A3" s="444" t="s">
        <v>279</v>
      </c>
      <c r="B3" s="444"/>
      <c r="C3" s="444"/>
      <c r="D3" s="444"/>
      <c r="E3" s="444"/>
      <c r="F3" s="444"/>
      <c r="G3" s="444"/>
    </row>
    <row r="4" spans="1:7" x14ac:dyDescent="0.2">
      <c r="A4" s="444" t="s">
        <v>280</v>
      </c>
      <c r="B4" s="444"/>
      <c r="C4" s="444"/>
      <c r="D4" s="444"/>
      <c r="E4" s="444"/>
      <c r="F4" s="444"/>
      <c r="G4" s="444"/>
    </row>
    <row r="5" spans="1:7" x14ac:dyDescent="0.2">
      <c r="A5" s="444" t="s">
        <v>281</v>
      </c>
      <c r="B5" s="444"/>
      <c r="C5" s="444"/>
      <c r="D5" s="444"/>
      <c r="E5" s="444"/>
      <c r="F5" s="444"/>
      <c r="G5" s="444"/>
    </row>
    <row r="6" spans="1:7" x14ac:dyDescent="0.2">
      <c r="A6" s="84"/>
      <c r="B6" s="84"/>
      <c r="C6" s="84"/>
      <c r="D6" s="84"/>
      <c r="E6" s="84"/>
      <c r="F6" s="84"/>
      <c r="G6" s="84"/>
    </row>
    <row r="7" spans="1:7" ht="22.5" x14ac:dyDescent="0.2">
      <c r="E7" s="262" t="s">
        <v>282</v>
      </c>
      <c r="F7" s="262" t="s">
        <v>283</v>
      </c>
      <c r="G7" s="262" t="s">
        <v>284</v>
      </c>
    </row>
    <row r="8" spans="1:7" s="83" customFormat="1" ht="22.5" x14ac:dyDescent="0.2">
      <c r="A8" s="263" t="s">
        <v>1</v>
      </c>
      <c r="B8" s="263" t="s">
        <v>218</v>
      </c>
      <c r="C8" s="263" t="s">
        <v>285</v>
      </c>
      <c r="D8" s="263" t="s">
        <v>6</v>
      </c>
      <c r="E8" s="263" t="s">
        <v>286</v>
      </c>
      <c r="F8" s="263" t="s">
        <v>286</v>
      </c>
      <c r="G8" s="263" t="s">
        <v>286</v>
      </c>
    </row>
    <row r="9" spans="1:7" ht="23.25" customHeight="1" x14ac:dyDescent="0.2">
      <c r="A9" s="264">
        <v>1</v>
      </c>
      <c r="B9" s="265"/>
      <c r="C9" s="266"/>
      <c r="D9" s="266"/>
      <c r="E9" s="267"/>
      <c r="F9" s="267"/>
      <c r="G9" s="268"/>
    </row>
    <row r="10" spans="1:7" ht="23.25" customHeight="1" x14ac:dyDescent="0.2">
      <c r="A10" s="264">
        <f>+A9+1</f>
        <v>2</v>
      </c>
      <c r="B10" s="265"/>
      <c r="C10" s="266"/>
      <c r="D10" s="266"/>
      <c r="E10" s="269"/>
      <c r="F10" s="269"/>
      <c r="G10" s="270"/>
    </row>
    <row r="11" spans="1:7" x14ac:dyDescent="0.2">
      <c r="A11" s="264">
        <f>+A10+1</f>
        <v>3</v>
      </c>
      <c r="B11" s="265" t="s">
        <v>287</v>
      </c>
      <c r="C11" s="271" t="s">
        <v>288</v>
      </c>
      <c r="D11" s="266"/>
      <c r="E11" s="272">
        <v>47.826000000000001</v>
      </c>
      <c r="F11" s="273">
        <f>E11*1.02</f>
        <v>48.782519999999998</v>
      </c>
      <c r="G11" s="274"/>
    </row>
    <row r="12" spans="1:7" ht="12" thickBot="1" x14ac:dyDescent="0.25">
      <c r="A12" s="264">
        <f>+A11+1</f>
        <v>4</v>
      </c>
      <c r="B12" s="265" t="s">
        <v>289</v>
      </c>
      <c r="D12" s="271" t="s">
        <v>290</v>
      </c>
      <c r="E12" s="275">
        <f>ROUND(+E11/1000,6)</f>
        <v>4.7826E-2</v>
      </c>
      <c r="F12" s="275">
        <f t="shared" ref="F12" si="0">ROUND(+F11/1000,6)</f>
        <v>4.8783E-2</v>
      </c>
      <c r="G12" s="276"/>
    </row>
    <row r="13" spans="1:7" ht="12" thickTop="1" x14ac:dyDescent="0.2"/>
    <row r="14" spans="1:7" x14ac:dyDescent="0.2">
      <c r="F14" s="277"/>
    </row>
    <row r="15" spans="1:7" x14ac:dyDescent="0.2">
      <c r="B15" s="259" t="s">
        <v>291</v>
      </c>
      <c r="E15" s="278"/>
      <c r="F15" s="278"/>
      <c r="G15" s="278"/>
    </row>
    <row r="16" spans="1:7" x14ac:dyDescent="0.2">
      <c r="B16" s="259"/>
      <c r="E16" s="278"/>
      <c r="F16" s="278"/>
      <c r="G16" s="278"/>
    </row>
    <row r="17" spans="2:7" x14ac:dyDescent="0.2">
      <c r="B17" s="259" t="s">
        <v>276</v>
      </c>
      <c r="E17" s="278"/>
      <c r="F17" s="278"/>
      <c r="G17" s="278"/>
    </row>
    <row r="18" spans="2:7" x14ac:dyDescent="0.2">
      <c r="E18" s="278"/>
      <c r="F18" s="278"/>
      <c r="G18" s="278"/>
    </row>
    <row r="19" spans="2:7" x14ac:dyDescent="0.2">
      <c r="E19" s="278"/>
      <c r="F19" s="278"/>
      <c r="G19" s="278"/>
    </row>
    <row r="20" spans="2:7" x14ac:dyDescent="0.2">
      <c r="E20" s="278"/>
      <c r="F20" s="278"/>
      <c r="G20" s="278"/>
    </row>
  </sheetData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scale="96" orientation="landscape" horizontalDpi="1200" verticalDpi="1200" r:id="rId1"/>
  <headerFooter>
    <oddFooter>&amp;R&amp;F
&amp;A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C29E9-0BC3-40D2-B773-231181A54635}">
  <sheetPr>
    <tabColor theme="5" tint="0.79998168889431442"/>
  </sheetPr>
  <dimension ref="A1:Q37"/>
  <sheetViews>
    <sheetView workbookViewId="0">
      <pane xSplit="2" ySplit="7" topLeftCell="C8" activePane="bottomRight" state="frozen"/>
      <selection activeCell="B9" sqref="B9"/>
      <selection pane="topRight" activeCell="B9" sqref="B9"/>
      <selection pane="bottomLeft" activeCell="B9" sqref="B9"/>
      <selection pane="bottomRight" activeCell="P17" sqref="P17"/>
    </sheetView>
  </sheetViews>
  <sheetFormatPr defaultRowHeight="11.25" x14ac:dyDescent="0.2"/>
  <cols>
    <col min="1" max="1" width="4.7109375" style="307" bestFit="1" customWidth="1"/>
    <col min="2" max="2" width="69.7109375" style="307" bestFit="1" customWidth="1"/>
    <col min="3" max="3" width="13.5703125" style="307" bestFit="1" customWidth="1"/>
    <col min="4" max="4" width="1.7109375" style="307" customWidth="1"/>
    <col min="5" max="5" width="14.42578125" style="307" bestFit="1" customWidth="1"/>
    <col min="6" max="6" width="12.85546875" style="307" bestFit="1" customWidth="1"/>
    <col min="7" max="7" width="14" style="307" bestFit="1" customWidth="1"/>
    <col min="8" max="8" width="12.85546875" style="307" bestFit="1" customWidth="1"/>
    <col min="9" max="9" width="14.7109375" style="307" bestFit="1" customWidth="1"/>
    <col min="10" max="10" width="12.140625" style="307" bestFit="1" customWidth="1"/>
    <col min="11" max="11" width="11.28515625" style="307" bestFit="1" customWidth="1"/>
    <col min="12" max="12" width="7.7109375" style="307" bestFit="1" customWidth="1"/>
    <col min="13" max="13" width="12.5703125" style="307" bestFit="1" customWidth="1"/>
    <col min="14" max="14" width="11.140625" style="307" bestFit="1" customWidth="1"/>
    <col min="15" max="15" width="11.85546875" style="307" bestFit="1" customWidth="1"/>
    <col min="16" max="16" width="10.28515625" style="307" bestFit="1" customWidth="1"/>
    <col min="17" max="16384" width="9.140625" style="307"/>
  </cols>
  <sheetData>
    <row r="1" spans="1:17" x14ac:dyDescent="0.2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</row>
    <row r="2" spans="1:17" x14ac:dyDescent="0.2">
      <c r="A2" s="446" t="s">
        <v>296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</row>
    <row r="3" spans="1:17" x14ac:dyDescent="0.2">
      <c r="A3" s="446" t="s">
        <v>434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</row>
    <row r="4" spans="1:17" x14ac:dyDescent="0.2">
      <c r="A4" s="446" t="s">
        <v>297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</row>
    <row r="6" spans="1:17" ht="22.5" x14ac:dyDescent="0.2">
      <c r="A6" s="308" t="s">
        <v>1</v>
      </c>
      <c r="B6" s="308" t="s">
        <v>218</v>
      </c>
      <c r="C6" s="308" t="s">
        <v>298</v>
      </c>
      <c r="D6" s="308"/>
      <c r="E6" s="308" t="s">
        <v>299</v>
      </c>
      <c r="F6" s="308" t="s">
        <v>300</v>
      </c>
      <c r="G6" s="308" t="s">
        <v>301</v>
      </c>
      <c r="H6" s="308" t="s">
        <v>302</v>
      </c>
      <c r="I6" s="308" t="s">
        <v>303</v>
      </c>
      <c r="J6" s="308" t="s">
        <v>304</v>
      </c>
      <c r="K6" s="308" t="s">
        <v>305</v>
      </c>
      <c r="L6" s="308" t="s">
        <v>73</v>
      </c>
      <c r="M6" s="308" t="s">
        <v>306</v>
      </c>
      <c r="N6" s="308" t="s">
        <v>307</v>
      </c>
      <c r="O6" s="308" t="s">
        <v>308</v>
      </c>
      <c r="P6" s="308" t="s">
        <v>260</v>
      </c>
    </row>
    <row r="7" spans="1:17" x14ac:dyDescent="0.2">
      <c r="A7" s="309"/>
      <c r="B7" s="310" t="s">
        <v>309</v>
      </c>
      <c r="C7" s="310" t="s">
        <v>310</v>
      </c>
      <c r="D7" s="310"/>
      <c r="E7" s="310" t="s">
        <v>311</v>
      </c>
      <c r="F7" s="310" t="s">
        <v>312</v>
      </c>
      <c r="G7" s="310" t="s">
        <v>313</v>
      </c>
      <c r="H7" s="310" t="s">
        <v>314</v>
      </c>
      <c r="I7" s="310" t="s">
        <v>315</v>
      </c>
      <c r="J7" s="310" t="s">
        <v>316</v>
      </c>
      <c r="K7" s="310" t="s">
        <v>317</v>
      </c>
      <c r="L7" s="310" t="s">
        <v>318</v>
      </c>
      <c r="M7" s="310" t="s">
        <v>319</v>
      </c>
      <c r="N7" s="310" t="s">
        <v>320</v>
      </c>
      <c r="O7" s="310" t="s">
        <v>321</v>
      </c>
      <c r="P7" s="310" t="s">
        <v>322</v>
      </c>
    </row>
    <row r="8" spans="1:17" x14ac:dyDescent="0.2">
      <c r="C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</row>
    <row r="9" spans="1:17" x14ac:dyDescent="0.2">
      <c r="A9" s="312">
        <v>1</v>
      </c>
      <c r="B9" s="313" t="s">
        <v>323</v>
      </c>
      <c r="C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</row>
    <row r="10" spans="1:17" s="72" customFormat="1" x14ac:dyDescent="0.2">
      <c r="A10" s="314">
        <f t="shared" ref="A10:A34" si="0">+A9+1</f>
        <v>2</v>
      </c>
      <c r="B10" s="72" t="s">
        <v>324</v>
      </c>
      <c r="C10" s="315">
        <f t="shared" ref="C10:C16" si="1">SUM(E10:P10)</f>
        <v>20569393551.043995</v>
      </c>
      <c r="D10" s="168"/>
      <c r="E10" s="316">
        <v>11289696775.032455</v>
      </c>
      <c r="F10" s="316">
        <v>2650510344.8068762</v>
      </c>
      <c r="G10" s="316">
        <v>2863547553.8150382</v>
      </c>
      <c r="H10" s="316">
        <v>1761645141.2856119</v>
      </c>
      <c r="I10" s="316">
        <v>1244962544.6769378</v>
      </c>
      <c r="J10" s="316">
        <v>4175586.8908619308</v>
      </c>
      <c r="K10" s="316">
        <v>106549458.59440789</v>
      </c>
      <c r="L10" s="316">
        <v>0</v>
      </c>
      <c r="M10" s="316">
        <v>571458891.63510418</v>
      </c>
      <c r="N10" s="316">
        <v>0</v>
      </c>
      <c r="O10" s="316">
        <v>69915368.679998547</v>
      </c>
      <c r="P10" s="316">
        <v>6931885.6267018262</v>
      </c>
      <c r="Q10" s="317"/>
    </row>
    <row r="11" spans="1:17" s="72" customFormat="1" x14ac:dyDescent="0.2">
      <c r="A11" s="314">
        <f t="shared" si="0"/>
        <v>3</v>
      </c>
      <c r="B11" s="72" t="s">
        <v>325</v>
      </c>
      <c r="C11" s="318">
        <f t="shared" ref="C11:C13" si="2">SUM(E11:P11)</f>
        <v>676659623.26099992</v>
      </c>
      <c r="D11" s="319"/>
      <c r="E11" s="318">
        <f>$C$21</f>
        <v>0</v>
      </c>
      <c r="F11" s="318">
        <f>$C$22</f>
        <v>84467627.210999995</v>
      </c>
      <c r="G11" s="318">
        <f>$C$23</f>
        <v>125852362.877</v>
      </c>
      <c r="H11" s="318">
        <f>$C$24</f>
        <v>222520097.72699997</v>
      </c>
      <c r="I11" s="318">
        <f>$C$26</f>
        <v>101053804.35600001</v>
      </c>
      <c r="J11" s="320">
        <v>0</v>
      </c>
      <c r="K11" s="318">
        <f>$C$27</f>
        <v>6773510.0999999996</v>
      </c>
      <c r="L11" s="320">
        <v>0</v>
      </c>
      <c r="M11" s="318">
        <f>$C$29</f>
        <v>135992220.99000001</v>
      </c>
      <c r="N11" s="320">
        <v>0</v>
      </c>
      <c r="O11" s="320">
        <v>0</v>
      </c>
      <c r="P11" s="318">
        <f>$C$33*$E$28</f>
        <v>0</v>
      </c>
      <c r="Q11" s="317"/>
    </row>
    <row r="12" spans="1:17" s="72" customFormat="1" x14ac:dyDescent="0.2">
      <c r="A12" s="314">
        <f t="shared" si="0"/>
        <v>4</v>
      </c>
      <c r="B12" s="72" t="s">
        <v>326</v>
      </c>
      <c r="C12" s="321">
        <f t="shared" si="2"/>
        <v>19892733927.782993</v>
      </c>
      <c r="D12" s="322"/>
      <c r="E12" s="321">
        <f>E10-E11</f>
        <v>11289696775.032455</v>
      </c>
      <c r="F12" s="321">
        <f t="shared" ref="F12:P12" si="3">F10-F11</f>
        <v>2566042717.5958762</v>
      </c>
      <c r="G12" s="321">
        <f t="shared" si="3"/>
        <v>2737695190.9380383</v>
      </c>
      <c r="H12" s="321">
        <f t="shared" si="3"/>
        <v>1539125043.5586119</v>
      </c>
      <c r="I12" s="321">
        <f t="shared" si="3"/>
        <v>1143908740.3209379</v>
      </c>
      <c r="J12" s="321">
        <f t="shared" si="3"/>
        <v>4175586.8908619308</v>
      </c>
      <c r="K12" s="321">
        <f t="shared" si="3"/>
        <v>99775948.494407892</v>
      </c>
      <c r="L12" s="321">
        <f t="shared" si="3"/>
        <v>0</v>
      </c>
      <c r="M12" s="321">
        <f t="shared" si="3"/>
        <v>435466670.64510417</v>
      </c>
      <c r="N12" s="321">
        <f t="shared" si="3"/>
        <v>0</v>
      </c>
      <c r="O12" s="321">
        <f t="shared" si="3"/>
        <v>69915368.679998547</v>
      </c>
      <c r="P12" s="321">
        <f t="shared" si="3"/>
        <v>6931885.6267018262</v>
      </c>
      <c r="Q12" s="317"/>
    </row>
    <row r="13" spans="1:17" s="72" customFormat="1" x14ac:dyDescent="0.2">
      <c r="A13" s="314">
        <f t="shared" si="0"/>
        <v>5</v>
      </c>
      <c r="B13" s="323" t="s">
        <v>327</v>
      </c>
      <c r="C13" s="324">
        <f t="shared" si="2"/>
        <v>0.99999999999999989</v>
      </c>
      <c r="D13" s="325"/>
      <c r="E13" s="324">
        <f t="shared" ref="E13:P13" si="4">(+E12/$C12)</f>
        <v>0.56752866730222584</v>
      </c>
      <c r="F13" s="324">
        <f t="shared" si="4"/>
        <v>0.12899396970328134</v>
      </c>
      <c r="G13" s="324">
        <f t="shared" si="4"/>
        <v>0.13762287279751242</v>
      </c>
      <c r="H13" s="324">
        <f t="shared" si="4"/>
        <v>7.7371217508168041E-2</v>
      </c>
      <c r="I13" s="324">
        <f t="shared" si="4"/>
        <v>5.750384760956908E-2</v>
      </c>
      <c r="J13" s="324">
        <f t="shared" si="4"/>
        <v>2.0990512948198327E-4</v>
      </c>
      <c r="K13" s="324">
        <f t="shared" si="4"/>
        <v>5.0156981366476124E-3</v>
      </c>
      <c r="L13" s="324">
        <f t="shared" si="4"/>
        <v>0</v>
      </c>
      <c r="M13" s="324">
        <f t="shared" si="4"/>
        <v>2.189074021831227E-2</v>
      </c>
      <c r="N13" s="324">
        <f t="shared" si="4"/>
        <v>0</v>
      </c>
      <c r="O13" s="324">
        <f t="shared" si="4"/>
        <v>3.5146183995530111E-3</v>
      </c>
      <c r="P13" s="324">
        <f t="shared" si="4"/>
        <v>3.4846319524841561E-4</v>
      </c>
      <c r="Q13" s="317"/>
    </row>
    <row r="14" spans="1:17" s="72" customFormat="1" x14ac:dyDescent="0.2">
      <c r="A14" s="314">
        <f t="shared" si="0"/>
        <v>6</v>
      </c>
      <c r="C14" s="315"/>
      <c r="D14" s="168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7"/>
    </row>
    <row r="15" spans="1:17" s="72" customFormat="1" x14ac:dyDescent="0.2">
      <c r="A15" s="314">
        <f t="shared" si="0"/>
        <v>7</v>
      </c>
      <c r="B15" s="326" t="s">
        <v>328</v>
      </c>
      <c r="C15" s="315"/>
      <c r="D15" s="168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7"/>
    </row>
    <row r="16" spans="1:17" s="72" customFormat="1" x14ac:dyDescent="0.2">
      <c r="A16" s="314">
        <f t="shared" si="0"/>
        <v>8</v>
      </c>
      <c r="B16" s="72" t="s">
        <v>329</v>
      </c>
      <c r="C16" s="315">
        <f t="shared" si="1"/>
        <v>738422000.00000012</v>
      </c>
      <c r="D16" s="168"/>
      <c r="E16" s="315">
        <f>$C$33*$E$21</f>
        <v>0</v>
      </c>
      <c r="F16" s="315">
        <f>$C$33*$E$22</f>
        <v>92177443.54216142</v>
      </c>
      <c r="G16" s="315">
        <f>$C$33*$E$23</f>
        <v>137339587.44648561</v>
      </c>
      <c r="H16" s="315">
        <f>$C$33*$E$24</f>
        <v>242830708.31372479</v>
      </c>
      <c r="I16" s="315">
        <f>$C$33*$E$26</f>
        <v>110277530.61509895</v>
      </c>
      <c r="J16" s="327">
        <v>0</v>
      </c>
      <c r="K16" s="315">
        <f>$C$33*$E$27</f>
        <v>7391764.9333909638</v>
      </c>
      <c r="L16" s="327">
        <v>0</v>
      </c>
      <c r="M16" s="315">
        <f>$C$33*$E$29</f>
        <v>148404965.14913836</v>
      </c>
      <c r="N16" s="327">
        <v>0</v>
      </c>
      <c r="O16" s="327">
        <v>0</v>
      </c>
      <c r="P16" s="315">
        <f>$C$33*$E$28</f>
        <v>0</v>
      </c>
      <c r="Q16" s="317"/>
    </row>
    <row r="17" spans="1:17" s="72" customFormat="1" x14ac:dyDescent="0.2">
      <c r="A17" s="314">
        <f t="shared" si="0"/>
        <v>9</v>
      </c>
      <c r="B17" s="72" t="s">
        <v>330</v>
      </c>
      <c r="C17" s="315">
        <f t="shared" ref="C17" si="5">SUM(E17:P17)</f>
        <v>738422000.00000012</v>
      </c>
      <c r="D17" s="168"/>
      <c r="E17" s="315">
        <f>$C$34*$E$21</f>
        <v>0</v>
      </c>
      <c r="F17" s="315">
        <f>$C$34*$E$22</f>
        <v>92177443.54216142</v>
      </c>
      <c r="G17" s="315">
        <f>$C$34*$E$23</f>
        <v>137339587.44648561</v>
      </c>
      <c r="H17" s="315">
        <f>$C$34*$E$24</f>
        <v>242830708.31372479</v>
      </c>
      <c r="I17" s="315">
        <f>$C$34*$E$26</f>
        <v>110277530.61509895</v>
      </c>
      <c r="J17" s="327">
        <v>0</v>
      </c>
      <c r="K17" s="315">
        <f>$C$34*$E$27</f>
        <v>7391764.9333909638</v>
      </c>
      <c r="L17" s="327">
        <v>0</v>
      </c>
      <c r="M17" s="315">
        <f>$C$34*$E$29</f>
        <v>148404965.14913836</v>
      </c>
      <c r="N17" s="327">
        <v>0</v>
      </c>
      <c r="O17" s="327">
        <v>0</v>
      </c>
      <c r="P17" s="315">
        <f>$C$34*$E$28</f>
        <v>0</v>
      </c>
      <c r="Q17" s="317"/>
    </row>
    <row r="18" spans="1:17" s="72" customFormat="1" x14ac:dyDescent="0.2">
      <c r="A18" s="314">
        <f t="shared" si="0"/>
        <v>10</v>
      </c>
      <c r="C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</row>
    <row r="19" spans="1:17" s="72" customFormat="1" x14ac:dyDescent="0.2">
      <c r="A19" s="314">
        <f t="shared" si="0"/>
        <v>11</v>
      </c>
    </row>
    <row r="20" spans="1:17" s="72" customFormat="1" x14ac:dyDescent="0.2">
      <c r="A20" s="314">
        <f t="shared" si="0"/>
        <v>12</v>
      </c>
      <c r="B20" s="329" t="s">
        <v>331</v>
      </c>
    </row>
    <row r="21" spans="1:17" s="72" customFormat="1" x14ac:dyDescent="0.2">
      <c r="A21" s="314">
        <f t="shared" si="0"/>
        <v>13</v>
      </c>
      <c r="B21" s="72" t="s">
        <v>332</v>
      </c>
      <c r="C21" s="330">
        <v>0</v>
      </c>
      <c r="E21" s="331">
        <f>C21/$C$30</f>
        <v>0</v>
      </c>
    </row>
    <row r="22" spans="1:17" s="72" customFormat="1" x14ac:dyDescent="0.2">
      <c r="A22" s="314">
        <f t="shared" si="0"/>
        <v>14</v>
      </c>
      <c r="B22" s="72" t="s">
        <v>333</v>
      </c>
      <c r="C22" s="330">
        <v>84467627.210999995</v>
      </c>
      <c r="E22" s="331">
        <f t="shared" ref="E22:E30" si="6">C22/$C$30</f>
        <v>0.12483030508592841</v>
      </c>
    </row>
    <row r="23" spans="1:17" s="72" customFormat="1" x14ac:dyDescent="0.2">
      <c r="A23" s="314">
        <f t="shared" si="0"/>
        <v>15</v>
      </c>
      <c r="B23" s="72" t="s">
        <v>334</v>
      </c>
      <c r="C23" s="330">
        <v>125852362.877</v>
      </c>
      <c r="E23" s="331">
        <f t="shared" si="6"/>
        <v>0.18599064958314568</v>
      </c>
    </row>
    <row r="24" spans="1:17" s="72" customFormat="1" x14ac:dyDescent="0.2">
      <c r="A24" s="314">
        <f t="shared" si="0"/>
        <v>16</v>
      </c>
      <c r="B24" s="72" t="s">
        <v>335</v>
      </c>
      <c r="C24" s="330">
        <v>222520097.72699997</v>
      </c>
      <c r="E24" s="331">
        <f t="shared" si="6"/>
        <v>0.32885085806452785</v>
      </c>
    </row>
    <row r="25" spans="1:17" s="72" customFormat="1" x14ac:dyDescent="0.2">
      <c r="A25" s="314">
        <f t="shared" si="0"/>
        <v>17</v>
      </c>
      <c r="B25" s="72" t="s">
        <v>336</v>
      </c>
      <c r="C25" s="330">
        <v>0</v>
      </c>
      <c r="E25" s="331">
        <f t="shared" si="6"/>
        <v>0</v>
      </c>
    </row>
    <row r="26" spans="1:17" s="72" customFormat="1" x14ac:dyDescent="0.2">
      <c r="A26" s="314">
        <f t="shared" si="0"/>
        <v>18</v>
      </c>
      <c r="B26" s="72" t="s">
        <v>337</v>
      </c>
      <c r="C26" s="330">
        <v>101053804.35600001</v>
      </c>
      <c r="E26" s="331">
        <f t="shared" si="6"/>
        <v>0.1493421520690052</v>
      </c>
    </row>
    <row r="27" spans="1:17" s="72" customFormat="1" x14ac:dyDescent="0.2">
      <c r="A27" s="314">
        <f t="shared" si="0"/>
        <v>19</v>
      </c>
      <c r="B27" s="72" t="s">
        <v>338</v>
      </c>
      <c r="C27" s="330">
        <v>6773510.0999999996</v>
      </c>
      <c r="E27" s="331">
        <f t="shared" si="6"/>
        <v>1.0010217644369972E-2</v>
      </c>
    </row>
    <row r="28" spans="1:17" s="72" customFormat="1" x14ac:dyDescent="0.2">
      <c r="A28" s="314">
        <f t="shared" si="0"/>
        <v>20</v>
      </c>
      <c r="B28" s="72" t="s">
        <v>260</v>
      </c>
      <c r="C28" s="330">
        <v>0</v>
      </c>
      <c r="E28" s="331">
        <f t="shared" si="6"/>
        <v>0</v>
      </c>
    </row>
    <row r="29" spans="1:17" s="72" customFormat="1" x14ac:dyDescent="0.2">
      <c r="A29" s="314">
        <f t="shared" si="0"/>
        <v>21</v>
      </c>
      <c r="B29" s="72" t="s">
        <v>339</v>
      </c>
      <c r="C29" s="330">
        <v>135992220.99000001</v>
      </c>
      <c r="E29" s="331">
        <f t="shared" si="6"/>
        <v>0.20097581755302302</v>
      </c>
    </row>
    <row r="30" spans="1:17" s="72" customFormat="1" ht="12" thickBot="1" x14ac:dyDescent="0.25">
      <c r="A30" s="314">
        <f t="shared" si="0"/>
        <v>22</v>
      </c>
      <c r="B30" s="177" t="s">
        <v>340</v>
      </c>
      <c r="C30" s="338">
        <f>SUM(C21:C29)</f>
        <v>676659623.26099992</v>
      </c>
      <c r="D30" s="332"/>
      <c r="E30" s="333">
        <f t="shared" si="6"/>
        <v>1</v>
      </c>
    </row>
    <row r="31" spans="1:17" s="72" customFormat="1" ht="12" thickTop="1" x14ac:dyDescent="0.2">
      <c r="A31" s="314">
        <f t="shared" si="0"/>
        <v>23</v>
      </c>
      <c r="C31" s="334">
        <v>0</v>
      </c>
      <c r="D31" s="179"/>
      <c r="E31" s="179" t="s">
        <v>265</v>
      </c>
    </row>
    <row r="32" spans="1:17" s="72" customFormat="1" x14ac:dyDescent="0.2">
      <c r="A32" s="314">
        <f t="shared" si="0"/>
        <v>24</v>
      </c>
      <c r="B32" s="329" t="s">
        <v>341</v>
      </c>
    </row>
    <row r="33" spans="1:16" s="72" customFormat="1" x14ac:dyDescent="0.2">
      <c r="A33" s="314">
        <f t="shared" si="0"/>
        <v>25</v>
      </c>
      <c r="B33" s="72" t="s">
        <v>342</v>
      </c>
      <c r="C33" s="335">
        <v>738422000</v>
      </c>
    </row>
    <row r="34" spans="1:16" s="72" customFormat="1" x14ac:dyDescent="0.2">
      <c r="A34" s="314">
        <f t="shared" si="0"/>
        <v>26</v>
      </c>
      <c r="B34" s="72" t="s">
        <v>343</v>
      </c>
      <c r="C34" s="335">
        <v>738422000</v>
      </c>
    </row>
    <row r="35" spans="1:16" s="72" customFormat="1" x14ac:dyDescent="0.2"/>
    <row r="36" spans="1:16" s="72" customFormat="1" x14ac:dyDescent="0.2">
      <c r="B36" s="336"/>
    </row>
    <row r="37" spans="1:16" x14ac:dyDescent="0.2"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</row>
  </sheetData>
  <mergeCells count="4">
    <mergeCell ref="A1:P1"/>
    <mergeCell ref="A2:P2"/>
    <mergeCell ref="A3:P3"/>
    <mergeCell ref="A4:P4"/>
  </mergeCells>
  <printOptions horizontalCentered="1"/>
  <pageMargins left="0.25" right="0.25" top="0.53" bottom="0.79" header="0.22" footer="0.46"/>
  <pageSetup scale="55" fitToHeight="0" pageOrder="overThenDown" orientation="landscape" r:id="rId1"/>
  <headerFooter alignWithMargins="0">
    <oddHeader>&amp;RDocket No. UE-19xxxx
ECOS Model
Page &amp;P of &amp;N</oddHeader>
    <oddFooter>&amp;L&amp;F
&amp;A&amp;RExhibit No.___(BDJ-4)
Page 19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83"/>
  <sheetViews>
    <sheetView zoomScaleNormal="100" workbookViewId="0">
      <pane ySplit="6" topLeftCell="A7" activePane="bottomLeft" state="frozen"/>
      <selection activeCell="B28" sqref="B28"/>
      <selection pane="bottomLeft" activeCell="H14" sqref="H14"/>
    </sheetView>
  </sheetViews>
  <sheetFormatPr defaultColWidth="8.85546875" defaultRowHeight="11.25" x14ac:dyDescent="0.2"/>
  <cols>
    <col min="1" max="1" width="4.42578125" style="350" bestFit="1" customWidth="1"/>
    <col min="2" max="2" width="38.85546875" style="350" bestFit="1" customWidth="1"/>
    <col min="3" max="3" width="17.5703125" style="350" bestFit="1" customWidth="1"/>
    <col min="4" max="4" width="16.140625" style="350" bestFit="1" customWidth="1"/>
    <col min="5" max="5" width="9.42578125" style="350" bestFit="1" customWidth="1"/>
    <col min="6" max="6" width="10" style="350" bestFit="1" customWidth="1"/>
    <col min="7" max="7" width="11.28515625" style="350" bestFit="1" customWidth="1"/>
    <col min="8" max="8" width="10.5703125" style="350" bestFit="1" customWidth="1"/>
    <col min="9" max="9" width="9.85546875" style="350" bestFit="1" customWidth="1"/>
    <col min="10" max="10" width="11.28515625" style="350" bestFit="1" customWidth="1"/>
    <col min="11" max="11" width="1.85546875" style="353" customWidth="1"/>
    <col min="12" max="16384" width="8.85546875" style="350"/>
  </cols>
  <sheetData>
    <row r="1" spans="1:11" s="342" customFormat="1" x14ac:dyDescent="0.2">
      <c r="A1" s="422" t="str">
        <f>'Rate Summary'!A1</f>
        <v>Puget Sound Energy</v>
      </c>
      <c r="B1" s="422"/>
      <c r="C1" s="422"/>
      <c r="D1" s="422"/>
      <c r="E1" s="422"/>
      <c r="F1" s="422"/>
      <c r="G1" s="422"/>
      <c r="H1" s="422"/>
      <c r="I1" s="422"/>
      <c r="J1" s="422"/>
      <c r="K1" s="341"/>
    </row>
    <row r="2" spans="1:11" s="342" customFormat="1" x14ac:dyDescent="0.2">
      <c r="A2" s="422" t="str">
        <f>'Rate Summary'!A2</f>
        <v>Schedule 141A Energy Charge Credit Recovery Adjustment</v>
      </c>
      <c r="B2" s="422"/>
      <c r="C2" s="422"/>
      <c r="D2" s="422"/>
      <c r="E2" s="422"/>
      <c r="F2" s="422"/>
      <c r="G2" s="422"/>
      <c r="H2" s="422"/>
      <c r="I2" s="422"/>
      <c r="J2" s="422"/>
      <c r="K2" s="341"/>
    </row>
    <row r="3" spans="1:11" s="342" customFormat="1" x14ac:dyDescent="0.2">
      <c r="A3" s="422" t="str">
        <f>'Rate Summary'!A3</f>
        <v>For the Forecasted Period January 1, 2024 to December 31, 2024</v>
      </c>
      <c r="B3" s="422"/>
      <c r="C3" s="422"/>
      <c r="D3" s="422"/>
      <c r="E3" s="422"/>
      <c r="F3" s="422"/>
      <c r="G3" s="422"/>
      <c r="H3" s="422"/>
      <c r="I3" s="422"/>
      <c r="J3" s="422"/>
      <c r="K3" s="341"/>
    </row>
    <row r="4" spans="1:11" s="342" customFormat="1" x14ac:dyDescent="0.2">
      <c r="A4" s="423" t="s">
        <v>128</v>
      </c>
      <c r="B4" s="423"/>
      <c r="C4" s="423"/>
      <c r="D4" s="423"/>
      <c r="E4" s="423"/>
      <c r="F4" s="423"/>
      <c r="G4" s="423"/>
      <c r="H4" s="423"/>
      <c r="I4" s="423"/>
      <c r="J4" s="423"/>
      <c r="K4" s="341"/>
    </row>
    <row r="5" spans="1:11" s="344" customFormat="1" ht="12" thickBot="1" x14ac:dyDescent="0.25">
      <c r="A5" s="343"/>
      <c r="B5" s="424"/>
      <c r="C5" s="424"/>
      <c r="D5" s="424"/>
      <c r="E5" s="424"/>
      <c r="F5" s="424"/>
      <c r="K5" s="345"/>
    </row>
    <row r="6" spans="1:11" s="344" customFormat="1" ht="90" x14ac:dyDescent="0.2">
      <c r="A6" s="346" t="s">
        <v>1</v>
      </c>
      <c r="B6" s="346" t="s">
        <v>2</v>
      </c>
      <c r="C6" s="346" t="s">
        <v>23</v>
      </c>
      <c r="D6" s="346" t="s">
        <v>36</v>
      </c>
      <c r="E6" s="347" t="s">
        <v>99</v>
      </c>
      <c r="F6" s="348" t="s">
        <v>347</v>
      </c>
      <c r="G6" s="347" t="s">
        <v>349</v>
      </c>
      <c r="H6" s="347" t="s">
        <v>350</v>
      </c>
      <c r="I6" s="347" t="s">
        <v>348</v>
      </c>
      <c r="J6" s="347" t="s">
        <v>351</v>
      </c>
      <c r="K6" s="345"/>
    </row>
    <row r="7" spans="1:11" ht="12" thickBot="1" x14ac:dyDescent="0.25">
      <c r="A7" s="349"/>
      <c r="E7" s="14"/>
      <c r="F7" s="351"/>
      <c r="G7" s="352"/>
      <c r="H7" s="352"/>
      <c r="I7" s="352"/>
    </row>
    <row r="8" spans="1:11" x14ac:dyDescent="0.2">
      <c r="A8" s="349"/>
      <c r="E8" s="14"/>
      <c r="F8" s="351"/>
      <c r="J8" s="354" t="s">
        <v>100</v>
      </c>
      <c r="K8" s="350"/>
    </row>
    <row r="9" spans="1:11" ht="12" thickBot="1" x14ac:dyDescent="0.25">
      <c r="A9" s="349">
        <v>1</v>
      </c>
      <c r="B9" s="355" t="s">
        <v>101</v>
      </c>
      <c r="E9" s="14"/>
      <c r="F9" s="351"/>
      <c r="G9" s="356"/>
      <c r="H9" s="357">
        <f>SUM(H24:H175)</f>
        <v>3402252</v>
      </c>
      <c r="I9" s="357">
        <f>SUM(I24:I175)</f>
        <v>120728</v>
      </c>
      <c r="J9" s="358">
        <f>SUM(J10:J11)</f>
        <v>3.530739978561722E-2</v>
      </c>
      <c r="K9" s="350"/>
    </row>
    <row r="10" spans="1:11" x14ac:dyDescent="0.2">
      <c r="A10" s="349">
        <f>+A9+1</f>
        <v>2</v>
      </c>
      <c r="B10" s="355" t="s">
        <v>119</v>
      </c>
      <c r="E10" s="14"/>
      <c r="F10" s="351"/>
      <c r="G10" s="356"/>
      <c r="I10" s="56">
        <f>'Rate Spread and Design'!E77</f>
        <v>121213.39217541576</v>
      </c>
      <c r="J10" s="359">
        <f>+I10/H9</f>
        <v>3.5627399785617221E-2</v>
      </c>
      <c r="K10" s="350"/>
    </row>
    <row r="11" spans="1:11" x14ac:dyDescent="0.2">
      <c r="A11" s="349">
        <f t="shared" ref="A11:A74" si="0">+A10+1</f>
        <v>3</v>
      </c>
      <c r="B11" s="360" t="s">
        <v>154</v>
      </c>
      <c r="E11" s="14"/>
      <c r="F11" s="351"/>
      <c r="G11" s="356"/>
      <c r="H11" s="357"/>
      <c r="I11" s="361">
        <f>+I10-I9</f>
        <v>485.39217541576363</v>
      </c>
      <c r="J11" s="362">
        <v>-3.2000000000000003E-4</v>
      </c>
      <c r="K11" s="350"/>
    </row>
    <row r="12" spans="1:11" x14ac:dyDescent="0.2">
      <c r="A12" s="349">
        <f t="shared" si="0"/>
        <v>4</v>
      </c>
      <c r="E12" s="14"/>
      <c r="F12" s="351"/>
      <c r="K12" s="350"/>
    </row>
    <row r="13" spans="1:11" x14ac:dyDescent="0.2">
      <c r="A13" s="349">
        <f t="shared" si="0"/>
        <v>5</v>
      </c>
      <c r="B13" s="350" t="s">
        <v>102</v>
      </c>
      <c r="E13" s="14"/>
      <c r="F13" s="351"/>
      <c r="G13" s="352">
        <f>SUM(G24:G29)</f>
        <v>1200</v>
      </c>
      <c r="H13" s="357">
        <f>SUM(H24:H29)</f>
        <v>2818</v>
      </c>
      <c r="I13" s="357">
        <f>SUM(I24:I29)</f>
        <v>97</v>
      </c>
      <c r="J13" s="357"/>
      <c r="K13" s="350"/>
    </row>
    <row r="14" spans="1:11" x14ac:dyDescent="0.2">
      <c r="A14" s="349">
        <f t="shared" si="0"/>
        <v>6</v>
      </c>
      <c r="B14" s="350" t="s">
        <v>103</v>
      </c>
      <c r="E14" s="14"/>
      <c r="F14" s="351"/>
      <c r="G14" s="352">
        <f>SUM(G32:G42)</f>
        <v>140643</v>
      </c>
      <c r="H14" s="357">
        <f>SUM(H32:H42)</f>
        <v>177088</v>
      </c>
      <c r="I14" s="357">
        <f>SUM(I32:I42)</f>
        <v>6183</v>
      </c>
      <c r="J14" s="357"/>
      <c r="K14" s="350"/>
    </row>
    <row r="15" spans="1:11" x14ac:dyDescent="0.2">
      <c r="A15" s="349">
        <f t="shared" si="0"/>
        <v>7</v>
      </c>
      <c r="B15" s="350" t="s">
        <v>104</v>
      </c>
      <c r="E15" s="14"/>
      <c r="F15" s="351"/>
      <c r="G15" s="352">
        <f>SUM(G45:G60)</f>
        <v>218697</v>
      </c>
      <c r="H15" s="357">
        <f>SUM(H45:H60)</f>
        <v>593093</v>
      </c>
      <c r="I15" s="357">
        <f>SUM(I45:I60)</f>
        <v>21183</v>
      </c>
      <c r="J15" s="357"/>
      <c r="K15" s="350"/>
    </row>
    <row r="16" spans="1:11" x14ac:dyDescent="0.2">
      <c r="A16" s="349">
        <f t="shared" si="0"/>
        <v>8</v>
      </c>
      <c r="B16" s="350" t="s">
        <v>105</v>
      </c>
      <c r="E16" s="14"/>
      <c r="F16" s="351"/>
      <c r="G16" s="352">
        <f>SUM(G63:G90)</f>
        <v>1609916</v>
      </c>
      <c r="H16" s="357">
        <f>SUM(H63:H90)</f>
        <v>1807472</v>
      </c>
      <c r="I16" s="357">
        <f>SUM(I63:I90)</f>
        <v>64244</v>
      </c>
      <c r="J16" s="357"/>
      <c r="K16" s="350"/>
    </row>
    <row r="17" spans="1:11" x14ac:dyDescent="0.2">
      <c r="A17" s="349">
        <f t="shared" si="0"/>
        <v>9</v>
      </c>
      <c r="B17" s="355" t="s">
        <v>106</v>
      </c>
      <c r="E17" s="14"/>
      <c r="F17" s="351"/>
      <c r="G17" s="352">
        <f>SUM(G93:G112)</f>
        <v>120344</v>
      </c>
      <c r="H17" s="357">
        <f>SUM(H93:H112)</f>
        <v>276985</v>
      </c>
      <c r="I17" s="357">
        <f>SUM(I93:I112)</f>
        <v>9737</v>
      </c>
      <c r="J17" s="357"/>
      <c r="K17" s="350"/>
    </row>
    <row r="18" spans="1:11" x14ac:dyDescent="0.2">
      <c r="A18" s="349">
        <f t="shared" si="0"/>
        <v>10</v>
      </c>
      <c r="B18" s="355" t="s">
        <v>107</v>
      </c>
      <c r="E18" s="14"/>
      <c r="F18" s="351"/>
      <c r="G18" s="352">
        <f>SUM(G115:G133)</f>
        <v>73276</v>
      </c>
      <c r="H18" s="357">
        <f>SUM(H115:H133)</f>
        <v>163959</v>
      </c>
      <c r="I18" s="357">
        <f>SUM(I115:I133)</f>
        <v>5832</v>
      </c>
      <c r="J18" s="357"/>
      <c r="K18" s="350"/>
    </row>
    <row r="19" spans="1:11" x14ac:dyDescent="0.2">
      <c r="A19" s="349">
        <f t="shared" si="0"/>
        <v>11</v>
      </c>
      <c r="B19" s="350" t="s">
        <v>108</v>
      </c>
      <c r="E19" s="14"/>
      <c r="F19" s="351"/>
      <c r="G19" s="352">
        <f>SUM(G136)</f>
        <v>6934890</v>
      </c>
      <c r="H19" s="357">
        <f>SUM(H136)</f>
        <v>276217</v>
      </c>
      <c r="I19" s="357">
        <f>SUM(I136)</f>
        <v>9778</v>
      </c>
      <c r="J19" s="357"/>
      <c r="K19" s="350"/>
    </row>
    <row r="20" spans="1:11" x14ac:dyDescent="0.2">
      <c r="A20" s="349">
        <f t="shared" si="0"/>
        <v>12</v>
      </c>
      <c r="B20" s="355" t="s">
        <v>109</v>
      </c>
      <c r="E20" s="14"/>
      <c r="F20" s="351"/>
      <c r="G20" s="352">
        <f>SUM(G139:G175)</f>
        <v>17809</v>
      </c>
      <c r="H20" s="357">
        <f>SUM(H139:H175)</f>
        <v>104620</v>
      </c>
      <c r="I20" s="357">
        <f>SUM(I139:I175)</f>
        <v>3674</v>
      </c>
      <c r="J20" s="357"/>
      <c r="K20" s="350"/>
    </row>
    <row r="21" spans="1:11" x14ac:dyDescent="0.2">
      <c r="A21" s="349">
        <f t="shared" si="0"/>
        <v>13</v>
      </c>
      <c r="B21" s="350" t="s">
        <v>110</v>
      </c>
      <c r="E21" s="14"/>
      <c r="F21" s="351"/>
      <c r="G21" s="363">
        <f>SUM(G13:G20)</f>
        <v>9116775</v>
      </c>
      <c r="H21" s="364">
        <f>SUM(H13:H20)</f>
        <v>3402252</v>
      </c>
      <c r="I21" s="364">
        <f>SUM(I13:I20)</f>
        <v>120728</v>
      </c>
      <c r="J21" s="357"/>
      <c r="K21" s="350"/>
    </row>
    <row r="22" spans="1:11" x14ac:dyDescent="0.2">
      <c r="A22" s="349">
        <f t="shared" si="0"/>
        <v>14</v>
      </c>
      <c r="E22" s="14"/>
      <c r="F22" s="351"/>
      <c r="G22" s="184">
        <f>G21-SUM(G24:G175)</f>
        <v>0</v>
      </c>
      <c r="H22" s="184">
        <f t="shared" ref="H22:I22" si="1">H21-SUM(H24:H175)</f>
        <v>0</v>
      </c>
      <c r="I22" s="184">
        <f t="shared" si="1"/>
        <v>0</v>
      </c>
      <c r="J22" s="365" t="s">
        <v>153</v>
      </c>
      <c r="K22" s="350"/>
    </row>
    <row r="23" spans="1:11" x14ac:dyDescent="0.2">
      <c r="A23" s="349">
        <f t="shared" si="0"/>
        <v>15</v>
      </c>
      <c r="B23" s="350" t="s">
        <v>37</v>
      </c>
      <c r="E23" s="14"/>
      <c r="F23" s="351"/>
    </row>
    <row r="24" spans="1:11" x14ac:dyDescent="0.2">
      <c r="A24" s="349">
        <f t="shared" si="0"/>
        <v>16</v>
      </c>
      <c r="B24" s="366" t="s">
        <v>38</v>
      </c>
      <c r="C24" s="355" t="s">
        <v>112</v>
      </c>
      <c r="D24" s="367">
        <v>22</v>
      </c>
      <c r="E24" s="44">
        <v>0.42</v>
      </c>
      <c r="F24" s="368">
        <f>ROUND(+E24*$J$9,2)</f>
        <v>0.01</v>
      </c>
      <c r="G24" s="180">
        <v>708</v>
      </c>
      <c r="H24" s="357">
        <f>ROUND($G24*E24,0)</f>
        <v>297</v>
      </c>
      <c r="I24" s="357">
        <f>ROUND($G24*F24,0)</f>
        <v>7</v>
      </c>
      <c r="K24" s="350"/>
    </row>
    <row r="25" spans="1:11" x14ac:dyDescent="0.2">
      <c r="A25" s="349">
        <f t="shared" si="0"/>
        <v>17</v>
      </c>
      <c r="B25" s="369"/>
      <c r="C25" s="370"/>
      <c r="D25" s="367"/>
      <c r="E25" s="45"/>
      <c r="F25" s="368"/>
      <c r="G25" s="180"/>
      <c r="H25" s="352"/>
      <c r="I25" s="352"/>
      <c r="K25" s="350"/>
    </row>
    <row r="26" spans="1:11" x14ac:dyDescent="0.2">
      <c r="A26" s="349">
        <f t="shared" si="0"/>
        <v>18</v>
      </c>
      <c r="B26" s="366" t="s">
        <v>113</v>
      </c>
      <c r="C26" s="352" t="s">
        <v>24</v>
      </c>
      <c r="D26" s="371">
        <v>100</v>
      </c>
      <c r="E26" s="44">
        <v>1.91</v>
      </c>
      <c r="F26" s="368">
        <f>ROUND(+E26*$J$9,2)</f>
        <v>7.0000000000000007E-2</v>
      </c>
      <c r="G26" s="180">
        <v>36</v>
      </c>
      <c r="H26" s="357">
        <f t="shared" ref="H26:I29" si="2">ROUND($G26*E26,0)</f>
        <v>69</v>
      </c>
      <c r="I26" s="357">
        <f t="shared" si="2"/>
        <v>3</v>
      </c>
      <c r="K26" s="350"/>
    </row>
    <row r="27" spans="1:11" x14ac:dyDescent="0.2">
      <c r="A27" s="349">
        <f t="shared" si="0"/>
        <v>19</v>
      </c>
      <c r="B27" s="366" t="str">
        <f>+B26</f>
        <v>50E</v>
      </c>
      <c r="C27" s="352" t="s">
        <v>24</v>
      </c>
      <c r="D27" s="371">
        <v>175</v>
      </c>
      <c r="E27" s="44">
        <v>3.34</v>
      </c>
      <c r="F27" s="368">
        <f>ROUND(+E27*$J$9,2)</f>
        <v>0.12</v>
      </c>
      <c r="G27" s="180">
        <v>240</v>
      </c>
      <c r="H27" s="357">
        <f t="shared" si="2"/>
        <v>802</v>
      </c>
      <c r="I27" s="357">
        <f t="shared" si="2"/>
        <v>29</v>
      </c>
      <c r="K27" s="350"/>
    </row>
    <row r="28" spans="1:11" x14ac:dyDescent="0.2">
      <c r="A28" s="349">
        <f t="shared" si="0"/>
        <v>20</v>
      </c>
      <c r="B28" s="366" t="str">
        <f>+B27</f>
        <v>50E</v>
      </c>
      <c r="C28" s="352" t="s">
        <v>24</v>
      </c>
      <c r="D28" s="371">
        <v>400</v>
      </c>
      <c r="E28" s="44">
        <v>7.64</v>
      </c>
      <c r="F28" s="368">
        <f>ROUND(+E28*$J$9,2)</f>
        <v>0.27</v>
      </c>
      <c r="G28" s="180">
        <v>216</v>
      </c>
      <c r="H28" s="357">
        <f t="shared" si="2"/>
        <v>1650</v>
      </c>
      <c r="I28" s="357">
        <f t="shared" si="2"/>
        <v>58</v>
      </c>
      <c r="K28" s="350"/>
    </row>
    <row r="29" spans="1:11" x14ac:dyDescent="0.2">
      <c r="A29" s="349">
        <f t="shared" si="0"/>
        <v>21</v>
      </c>
      <c r="B29" s="366" t="str">
        <f>+B28</f>
        <v>50E</v>
      </c>
      <c r="C29" s="352" t="s">
        <v>24</v>
      </c>
      <c r="D29" s="371">
        <v>700</v>
      </c>
      <c r="E29" s="44">
        <v>13.37</v>
      </c>
      <c r="F29" s="368">
        <f>ROUND(+E29*$J$9,2)</f>
        <v>0.47</v>
      </c>
      <c r="G29" s="181">
        <v>0</v>
      </c>
      <c r="H29" s="357">
        <f t="shared" si="2"/>
        <v>0</v>
      </c>
      <c r="I29" s="357">
        <f t="shared" si="2"/>
        <v>0</v>
      </c>
      <c r="K29" s="350"/>
    </row>
    <row r="30" spans="1:11" x14ac:dyDescent="0.2">
      <c r="A30" s="349">
        <f t="shared" si="0"/>
        <v>22</v>
      </c>
      <c r="D30" s="372"/>
      <c r="E30" s="45"/>
      <c r="F30" s="368"/>
      <c r="G30" s="180"/>
      <c r="H30" s="357"/>
      <c r="I30" s="357"/>
      <c r="K30" s="350"/>
    </row>
    <row r="31" spans="1:11" x14ac:dyDescent="0.2">
      <c r="A31" s="349">
        <f t="shared" si="0"/>
        <v>23</v>
      </c>
      <c r="B31" s="350" t="s">
        <v>39</v>
      </c>
      <c r="D31" s="372"/>
      <c r="E31" s="45"/>
      <c r="F31" s="368"/>
      <c r="G31" s="180"/>
      <c r="H31" s="352"/>
      <c r="I31" s="352"/>
      <c r="K31" s="350"/>
    </row>
    <row r="32" spans="1:11" x14ac:dyDescent="0.2">
      <c r="A32" s="349">
        <f t="shared" si="0"/>
        <v>24</v>
      </c>
      <c r="B32" s="366" t="s">
        <v>40</v>
      </c>
      <c r="C32" s="352" t="s">
        <v>41</v>
      </c>
      <c r="D32" s="372" t="s">
        <v>114</v>
      </c>
      <c r="E32" s="44">
        <v>0.28999999999999998</v>
      </c>
      <c r="F32" s="368">
        <f t="shared" ref="F32:F41" si="3">ROUND(+E32*$J$9,2)</f>
        <v>0.01</v>
      </c>
      <c r="G32" s="180">
        <v>84</v>
      </c>
      <c r="H32" s="357">
        <f t="shared" ref="H32:I42" si="4">ROUND($G32*E32,0)</f>
        <v>24</v>
      </c>
      <c r="I32" s="357">
        <f t="shared" si="4"/>
        <v>1</v>
      </c>
      <c r="K32" s="350"/>
    </row>
    <row r="33" spans="1:11" x14ac:dyDescent="0.2">
      <c r="A33" s="349">
        <f t="shared" si="0"/>
        <v>25</v>
      </c>
      <c r="B33" s="366" t="s">
        <v>40</v>
      </c>
      <c r="C33" s="352" t="s">
        <v>41</v>
      </c>
      <c r="D33" s="373" t="s">
        <v>115</v>
      </c>
      <c r="E33" s="44">
        <v>0.86</v>
      </c>
      <c r="F33" s="368">
        <f t="shared" si="3"/>
        <v>0.03</v>
      </c>
      <c r="G33" s="180">
        <v>63075</v>
      </c>
      <c r="H33" s="357">
        <f t="shared" si="4"/>
        <v>54245</v>
      </c>
      <c r="I33" s="357">
        <f t="shared" si="4"/>
        <v>1892</v>
      </c>
      <c r="K33" s="350"/>
    </row>
    <row r="34" spans="1:11" x14ac:dyDescent="0.2">
      <c r="A34" s="349">
        <f t="shared" si="0"/>
        <v>26</v>
      </c>
      <c r="B34" s="366" t="s">
        <v>40</v>
      </c>
      <c r="C34" s="352" t="s">
        <v>41</v>
      </c>
      <c r="D34" s="371" t="s">
        <v>43</v>
      </c>
      <c r="E34" s="44">
        <v>1.43</v>
      </c>
      <c r="F34" s="368">
        <f t="shared" si="3"/>
        <v>0.05</v>
      </c>
      <c r="G34" s="180">
        <v>35642</v>
      </c>
      <c r="H34" s="357">
        <f t="shared" si="4"/>
        <v>50968</v>
      </c>
      <c r="I34" s="357">
        <f t="shared" si="4"/>
        <v>1782</v>
      </c>
      <c r="K34" s="350"/>
    </row>
    <row r="35" spans="1:11" x14ac:dyDescent="0.2">
      <c r="A35" s="349">
        <f t="shared" si="0"/>
        <v>27</v>
      </c>
      <c r="B35" s="366" t="s">
        <v>40</v>
      </c>
      <c r="C35" s="352" t="s">
        <v>41</v>
      </c>
      <c r="D35" s="371" t="s">
        <v>44</v>
      </c>
      <c r="E35" s="44">
        <v>2</v>
      </c>
      <c r="F35" s="368">
        <f t="shared" si="3"/>
        <v>7.0000000000000007E-2</v>
      </c>
      <c r="G35" s="180">
        <v>15405</v>
      </c>
      <c r="H35" s="357">
        <f t="shared" si="4"/>
        <v>30810</v>
      </c>
      <c r="I35" s="357">
        <f t="shared" si="4"/>
        <v>1078</v>
      </c>
      <c r="K35" s="350"/>
    </row>
    <row r="36" spans="1:11" x14ac:dyDescent="0.2">
      <c r="A36" s="349">
        <f t="shared" si="0"/>
        <v>28</v>
      </c>
      <c r="B36" s="366" t="s">
        <v>40</v>
      </c>
      <c r="C36" s="352" t="s">
        <v>41</v>
      </c>
      <c r="D36" s="371" t="s">
        <v>45</v>
      </c>
      <c r="E36" s="44">
        <v>2.58</v>
      </c>
      <c r="F36" s="368">
        <f t="shared" si="3"/>
        <v>0.09</v>
      </c>
      <c r="G36" s="180">
        <v>7136</v>
      </c>
      <c r="H36" s="357">
        <f t="shared" si="4"/>
        <v>18411</v>
      </c>
      <c r="I36" s="357">
        <f t="shared" si="4"/>
        <v>642</v>
      </c>
      <c r="K36" s="350"/>
    </row>
    <row r="37" spans="1:11" x14ac:dyDescent="0.2">
      <c r="A37" s="349">
        <f t="shared" si="0"/>
        <v>29</v>
      </c>
      <c r="B37" s="366" t="s">
        <v>40</v>
      </c>
      <c r="C37" s="352" t="s">
        <v>41</v>
      </c>
      <c r="D37" s="371" t="s">
        <v>46</v>
      </c>
      <c r="E37" s="44">
        <v>3.15</v>
      </c>
      <c r="F37" s="368">
        <f t="shared" si="3"/>
        <v>0.11</v>
      </c>
      <c r="G37" s="180">
        <v>921</v>
      </c>
      <c r="H37" s="357">
        <f t="shared" si="4"/>
        <v>2901</v>
      </c>
      <c r="I37" s="357">
        <f t="shared" si="4"/>
        <v>101</v>
      </c>
      <c r="K37" s="350"/>
    </row>
    <row r="38" spans="1:11" x14ac:dyDescent="0.2">
      <c r="A38" s="349">
        <f t="shared" si="0"/>
        <v>30</v>
      </c>
      <c r="B38" s="366" t="s">
        <v>40</v>
      </c>
      <c r="C38" s="352" t="s">
        <v>41</v>
      </c>
      <c r="D38" s="371" t="s">
        <v>47</v>
      </c>
      <c r="E38" s="44">
        <v>3.72</v>
      </c>
      <c r="F38" s="368">
        <f t="shared" si="3"/>
        <v>0.13</v>
      </c>
      <c r="G38" s="180">
        <v>2412</v>
      </c>
      <c r="H38" s="357">
        <f t="shared" si="4"/>
        <v>8973</v>
      </c>
      <c r="I38" s="357">
        <f t="shared" si="4"/>
        <v>314</v>
      </c>
      <c r="K38" s="350"/>
    </row>
    <row r="39" spans="1:11" x14ac:dyDescent="0.2">
      <c r="A39" s="349">
        <f t="shared" si="0"/>
        <v>31</v>
      </c>
      <c r="B39" s="366" t="s">
        <v>40</v>
      </c>
      <c r="C39" s="352" t="s">
        <v>41</v>
      </c>
      <c r="D39" s="371" t="s">
        <v>48</v>
      </c>
      <c r="E39" s="44">
        <v>4.3</v>
      </c>
      <c r="F39" s="368">
        <f t="shared" si="3"/>
        <v>0.15</v>
      </c>
      <c r="G39" s="180">
        <v>956</v>
      </c>
      <c r="H39" s="357">
        <f t="shared" si="4"/>
        <v>4111</v>
      </c>
      <c r="I39" s="357">
        <f t="shared" si="4"/>
        <v>143</v>
      </c>
      <c r="K39" s="350"/>
    </row>
    <row r="40" spans="1:11" x14ac:dyDescent="0.2">
      <c r="A40" s="349">
        <f t="shared" si="0"/>
        <v>32</v>
      </c>
      <c r="B40" s="366" t="s">
        <v>40</v>
      </c>
      <c r="C40" s="352" t="s">
        <v>41</v>
      </c>
      <c r="D40" s="371" t="s">
        <v>49</v>
      </c>
      <c r="E40" s="44">
        <v>4.87</v>
      </c>
      <c r="F40" s="368">
        <f t="shared" si="3"/>
        <v>0.17</v>
      </c>
      <c r="G40" s="180">
        <v>96</v>
      </c>
      <c r="H40" s="357">
        <f t="shared" si="4"/>
        <v>468</v>
      </c>
      <c r="I40" s="357">
        <f t="shared" si="4"/>
        <v>16</v>
      </c>
      <c r="K40" s="350"/>
    </row>
    <row r="41" spans="1:11" x14ac:dyDescent="0.2">
      <c r="A41" s="349">
        <f t="shared" si="0"/>
        <v>33</v>
      </c>
      <c r="B41" s="366" t="s">
        <v>40</v>
      </c>
      <c r="C41" s="352" t="s">
        <v>41</v>
      </c>
      <c r="D41" s="371" t="s">
        <v>50</v>
      </c>
      <c r="E41" s="44">
        <v>5.44</v>
      </c>
      <c r="F41" s="368">
        <f t="shared" si="3"/>
        <v>0.19</v>
      </c>
      <c r="G41" s="180">
        <v>996</v>
      </c>
      <c r="H41" s="357">
        <f t="shared" si="4"/>
        <v>5418</v>
      </c>
      <c r="I41" s="357">
        <f t="shared" si="4"/>
        <v>189</v>
      </c>
      <c r="K41" s="350"/>
    </row>
    <row r="42" spans="1:11" x14ac:dyDescent="0.2">
      <c r="A42" s="349">
        <f t="shared" si="0"/>
        <v>34</v>
      </c>
      <c r="B42" s="366" t="s">
        <v>40</v>
      </c>
      <c r="C42" s="352" t="s">
        <v>86</v>
      </c>
      <c r="D42" s="352" t="s">
        <v>116</v>
      </c>
      <c r="E42" s="46">
        <v>5.4556E-2</v>
      </c>
      <c r="F42" s="374">
        <f>'Rate Spread and Design'!E76</f>
        <v>1.7960000000000001E-3</v>
      </c>
      <c r="G42" s="180">
        <v>13920</v>
      </c>
      <c r="H42" s="357">
        <f t="shared" si="4"/>
        <v>759</v>
      </c>
      <c r="I42" s="357">
        <f t="shared" si="4"/>
        <v>25</v>
      </c>
      <c r="K42" s="350"/>
    </row>
    <row r="43" spans="1:11" x14ac:dyDescent="0.2">
      <c r="A43" s="349">
        <f t="shared" si="0"/>
        <v>35</v>
      </c>
      <c r="D43" s="372"/>
      <c r="E43" s="45"/>
      <c r="F43" s="368"/>
      <c r="G43" s="180"/>
      <c r="H43" s="352"/>
      <c r="I43" s="352"/>
      <c r="K43" s="350"/>
    </row>
    <row r="44" spans="1:11" x14ac:dyDescent="0.2">
      <c r="A44" s="349">
        <f t="shared" si="0"/>
        <v>36</v>
      </c>
      <c r="B44" s="350" t="s">
        <v>51</v>
      </c>
      <c r="D44" s="372"/>
      <c r="E44" s="45"/>
      <c r="F44" s="368"/>
      <c r="G44" s="180"/>
      <c r="H44" s="352"/>
      <c r="I44" s="352"/>
      <c r="K44" s="350"/>
    </row>
    <row r="45" spans="1:11" x14ac:dyDescent="0.2">
      <c r="A45" s="349">
        <f t="shared" si="0"/>
        <v>37</v>
      </c>
      <c r="B45" s="366" t="s">
        <v>52</v>
      </c>
      <c r="C45" s="352" t="s">
        <v>25</v>
      </c>
      <c r="D45" s="371">
        <v>50</v>
      </c>
      <c r="E45" s="47">
        <v>0.95</v>
      </c>
      <c r="F45" s="368">
        <f t="shared" ref="F45:F52" si="5">ROUND(+E45*$J$9,2)</f>
        <v>0.03</v>
      </c>
      <c r="G45" s="181">
        <v>0</v>
      </c>
      <c r="H45" s="357">
        <f t="shared" ref="H45:I52" si="6">ROUND($G45*E45,0)</f>
        <v>0</v>
      </c>
      <c r="I45" s="357">
        <f t="shared" si="6"/>
        <v>0</v>
      </c>
      <c r="K45" s="349"/>
    </row>
    <row r="46" spans="1:11" x14ac:dyDescent="0.2">
      <c r="A46" s="349">
        <f t="shared" si="0"/>
        <v>38</v>
      </c>
      <c r="B46" s="366" t="str">
        <f t="shared" ref="B46:B52" si="7">+B45</f>
        <v xml:space="preserve">52E </v>
      </c>
      <c r="C46" s="352" t="s">
        <v>25</v>
      </c>
      <c r="D46" s="371">
        <v>70</v>
      </c>
      <c r="E46" s="47">
        <v>1.34</v>
      </c>
      <c r="F46" s="368">
        <f t="shared" si="5"/>
        <v>0.05</v>
      </c>
      <c r="G46" s="180">
        <v>7903</v>
      </c>
      <c r="H46" s="357">
        <f t="shared" si="6"/>
        <v>10590</v>
      </c>
      <c r="I46" s="357">
        <f t="shared" si="6"/>
        <v>395</v>
      </c>
      <c r="K46" s="349"/>
    </row>
    <row r="47" spans="1:11" x14ac:dyDescent="0.2">
      <c r="A47" s="349">
        <f t="shared" si="0"/>
        <v>39</v>
      </c>
      <c r="B47" s="366" t="str">
        <f t="shared" si="7"/>
        <v xml:space="preserve">52E </v>
      </c>
      <c r="C47" s="352" t="s">
        <v>25</v>
      </c>
      <c r="D47" s="371">
        <v>100</v>
      </c>
      <c r="E47" s="47">
        <v>1.91</v>
      </c>
      <c r="F47" s="368">
        <f t="shared" si="5"/>
        <v>7.0000000000000007E-2</v>
      </c>
      <c r="G47" s="180">
        <v>114177</v>
      </c>
      <c r="H47" s="357">
        <f t="shared" si="6"/>
        <v>218078</v>
      </c>
      <c r="I47" s="357">
        <f t="shared" si="6"/>
        <v>7992</v>
      </c>
      <c r="K47" s="349"/>
    </row>
    <row r="48" spans="1:11" x14ac:dyDescent="0.2">
      <c r="A48" s="349">
        <f t="shared" si="0"/>
        <v>40</v>
      </c>
      <c r="B48" s="366" t="str">
        <f t="shared" si="7"/>
        <v xml:space="preserve">52E </v>
      </c>
      <c r="C48" s="352" t="s">
        <v>25</v>
      </c>
      <c r="D48" s="371">
        <v>150</v>
      </c>
      <c r="E48" s="47">
        <v>2.86</v>
      </c>
      <c r="F48" s="368">
        <f t="shared" si="5"/>
        <v>0.1</v>
      </c>
      <c r="G48" s="180">
        <v>53197</v>
      </c>
      <c r="H48" s="357">
        <f t="shared" si="6"/>
        <v>152143</v>
      </c>
      <c r="I48" s="357">
        <f t="shared" si="6"/>
        <v>5320</v>
      </c>
      <c r="K48" s="349"/>
    </row>
    <row r="49" spans="1:11" x14ac:dyDescent="0.2">
      <c r="A49" s="349">
        <f t="shared" si="0"/>
        <v>41</v>
      </c>
      <c r="B49" s="366" t="str">
        <f t="shared" si="7"/>
        <v xml:space="preserve">52E </v>
      </c>
      <c r="C49" s="352" t="s">
        <v>25</v>
      </c>
      <c r="D49" s="371">
        <v>200</v>
      </c>
      <c r="E49" s="47">
        <v>3.82</v>
      </c>
      <c r="F49" s="368">
        <f t="shared" si="5"/>
        <v>0.13</v>
      </c>
      <c r="G49" s="180">
        <v>11167</v>
      </c>
      <c r="H49" s="357">
        <f t="shared" si="6"/>
        <v>42658</v>
      </c>
      <c r="I49" s="357">
        <f t="shared" si="6"/>
        <v>1452</v>
      </c>
      <c r="K49" s="349"/>
    </row>
    <row r="50" spans="1:11" x14ac:dyDescent="0.2">
      <c r="A50" s="349">
        <f t="shared" si="0"/>
        <v>42</v>
      </c>
      <c r="B50" s="366" t="str">
        <f t="shared" si="7"/>
        <v xml:space="preserve">52E </v>
      </c>
      <c r="C50" s="352" t="s">
        <v>25</v>
      </c>
      <c r="D50" s="371">
        <v>250</v>
      </c>
      <c r="E50" s="47">
        <v>4.7699999999999996</v>
      </c>
      <c r="F50" s="368">
        <f t="shared" si="5"/>
        <v>0.17</v>
      </c>
      <c r="G50" s="180">
        <v>16521</v>
      </c>
      <c r="H50" s="357">
        <f t="shared" si="6"/>
        <v>78805</v>
      </c>
      <c r="I50" s="357">
        <f t="shared" si="6"/>
        <v>2809</v>
      </c>
      <c r="K50" s="349"/>
    </row>
    <row r="51" spans="1:11" x14ac:dyDescent="0.2">
      <c r="A51" s="349">
        <f t="shared" si="0"/>
        <v>43</v>
      </c>
      <c r="B51" s="366" t="str">
        <f t="shared" si="7"/>
        <v xml:space="preserve">52E </v>
      </c>
      <c r="C51" s="352" t="s">
        <v>25</v>
      </c>
      <c r="D51" s="371">
        <v>310</v>
      </c>
      <c r="E51" s="47">
        <v>5.92</v>
      </c>
      <c r="F51" s="368">
        <f t="shared" si="5"/>
        <v>0.21</v>
      </c>
      <c r="G51" s="180">
        <v>1688</v>
      </c>
      <c r="H51" s="357">
        <f t="shared" si="6"/>
        <v>9993</v>
      </c>
      <c r="I51" s="357">
        <f t="shared" si="6"/>
        <v>354</v>
      </c>
      <c r="K51" s="349"/>
    </row>
    <row r="52" spans="1:11" x14ac:dyDescent="0.2">
      <c r="A52" s="349">
        <f t="shared" si="0"/>
        <v>44</v>
      </c>
      <c r="B52" s="366" t="str">
        <f t="shared" si="7"/>
        <v xml:space="preserve">52E </v>
      </c>
      <c r="C52" s="352" t="s">
        <v>25</v>
      </c>
      <c r="D52" s="371">
        <v>400</v>
      </c>
      <c r="E52" s="47">
        <v>7.64</v>
      </c>
      <c r="F52" s="368">
        <f t="shared" si="5"/>
        <v>0.27</v>
      </c>
      <c r="G52" s="180">
        <v>6943</v>
      </c>
      <c r="H52" s="357">
        <f t="shared" si="6"/>
        <v>53045</v>
      </c>
      <c r="I52" s="357">
        <f t="shared" si="6"/>
        <v>1875</v>
      </c>
      <c r="K52" s="349"/>
    </row>
    <row r="53" spans="1:11" x14ac:dyDescent="0.2">
      <c r="A53" s="349">
        <f t="shared" si="0"/>
        <v>45</v>
      </c>
      <c r="B53" s="375"/>
      <c r="C53" s="352"/>
      <c r="D53" s="371"/>
      <c r="E53" s="45"/>
      <c r="F53" s="368"/>
      <c r="G53" s="180"/>
      <c r="H53" s="352"/>
      <c r="I53" s="352"/>
      <c r="K53" s="349"/>
    </row>
    <row r="54" spans="1:11" x14ac:dyDescent="0.2">
      <c r="A54" s="349">
        <f t="shared" si="0"/>
        <v>46</v>
      </c>
      <c r="B54" s="366" t="str">
        <f>+B49</f>
        <v xml:space="preserve">52E </v>
      </c>
      <c r="C54" s="352" t="s">
        <v>53</v>
      </c>
      <c r="D54" s="371">
        <v>70</v>
      </c>
      <c r="E54" s="47">
        <v>1.34</v>
      </c>
      <c r="F54" s="368">
        <f t="shared" ref="F54:F60" si="8">ROUND(+E54*$J$9,2)</f>
        <v>0.05</v>
      </c>
      <c r="G54" s="180">
        <v>841</v>
      </c>
      <c r="H54" s="357">
        <f t="shared" ref="H54:I60" si="9">ROUND($G54*E54,0)</f>
        <v>1127</v>
      </c>
      <c r="I54" s="357">
        <f t="shared" si="9"/>
        <v>42</v>
      </c>
      <c r="K54" s="349"/>
    </row>
    <row r="55" spans="1:11" x14ac:dyDescent="0.2">
      <c r="A55" s="349">
        <f t="shared" si="0"/>
        <v>47</v>
      </c>
      <c r="B55" s="366" t="str">
        <f>+B50</f>
        <v xml:space="preserve">52E </v>
      </c>
      <c r="C55" s="352" t="s">
        <v>53</v>
      </c>
      <c r="D55" s="371">
        <v>100</v>
      </c>
      <c r="E55" s="47">
        <v>1.91</v>
      </c>
      <c r="F55" s="368">
        <f t="shared" si="8"/>
        <v>7.0000000000000007E-2</v>
      </c>
      <c r="G55" s="180">
        <v>46</v>
      </c>
      <c r="H55" s="357">
        <f t="shared" si="9"/>
        <v>88</v>
      </c>
      <c r="I55" s="357">
        <f t="shared" si="9"/>
        <v>3</v>
      </c>
      <c r="K55" s="349"/>
    </row>
    <row r="56" spans="1:11" x14ac:dyDescent="0.2">
      <c r="A56" s="349">
        <f t="shared" si="0"/>
        <v>48</v>
      </c>
      <c r="B56" s="366" t="str">
        <f>+B51</f>
        <v xml:space="preserve">52E </v>
      </c>
      <c r="C56" s="352" t="s">
        <v>53</v>
      </c>
      <c r="D56" s="371">
        <v>150</v>
      </c>
      <c r="E56" s="47">
        <v>2.86</v>
      </c>
      <c r="F56" s="368">
        <f t="shared" si="8"/>
        <v>0.1</v>
      </c>
      <c r="G56" s="180">
        <v>2376</v>
      </c>
      <c r="H56" s="357">
        <f t="shared" si="9"/>
        <v>6795</v>
      </c>
      <c r="I56" s="357">
        <f t="shared" si="9"/>
        <v>238</v>
      </c>
      <c r="K56" s="349"/>
    </row>
    <row r="57" spans="1:11" x14ac:dyDescent="0.2">
      <c r="A57" s="349">
        <f t="shared" si="0"/>
        <v>49</v>
      </c>
      <c r="B57" s="366" t="str">
        <f>+B52</f>
        <v xml:space="preserve">52E </v>
      </c>
      <c r="C57" s="352" t="s">
        <v>53</v>
      </c>
      <c r="D57" s="371">
        <v>175</v>
      </c>
      <c r="E57" s="47">
        <v>3.34</v>
      </c>
      <c r="F57" s="368">
        <f t="shared" si="8"/>
        <v>0.12</v>
      </c>
      <c r="G57" s="180">
        <v>2512</v>
      </c>
      <c r="H57" s="357">
        <f t="shared" si="9"/>
        <v>8390</v>
      </c>
      <c r="I57" s="357">
        <f t="shared" si="9"/>
        <v>301</v>
      </c>
      <c r="K57" s="349"/>
    </row>
    <row r="58" spans="1:11" x14ac:dyDescent="0.2">
      <c r="A58" s="349">
        <f t="shared" si="0"/>
        <v>50</v>
      </c>
      <c r="B58" s="366" t="str">
        <f t="shared" ref="B58:C60" si="10">+B57</f>
        <v xml:space="preserve">52E </v>
      </c>
      <c r="C58" s="352" t="str">
        <f t="shared" si="10"/>
        <v>Metal Halide</v>
      </c>
      <c r="D58" s="371">
        <v>250</v>
      </c>
      <c r="E58" s="47">
        <v>4.7699999999999996</v>
      </c>
      <c r="F58" s="368">
        <f t="shared" si="8"/>
        <v>0.17</v>
      </c>
      <c r="G58" s="180">
        <v>426</v>
      </c>
      <c r="H58" s="357">
        <f t="shared" si="9"/>
        <v>2032</v>
      </c>
      <c r="I58" s="357">
        <f t="shared" si="9"/>
        <v>72</v>
      </c>
      <c r="K58" s="349"/>
    </row>
    <row r="59" spans="1:11" x14ac:dyDescent="0.2">
      <c r="A59" s="349">
        <f t="shared" si="0"/>
        <v>51</v>
      </c>
      <c r="B59" s="366" t="str">
        <f t="shared" si="10"/>
        <v xml:space="preserve">52E </v>
      </c>
      <c r="C59" s="352" t="str">
        <f t="shared" si="10"/>
        <v>Metal Halide</v>
      </c>
      <c r="D59" s="371">
        <v>400</v>
      </c>
      <c r="E59" s="47">
        <v>7.64</v>
      </c>
      <c r="F59" s="368">
        <f t="shared" si="8"/>
        <v>0.27</v>
      </c>
      <c r="G59" s="180">
        <v>684</v>
      </c>
      <c r="H59" s="357">
        <f t="shared" si="9"/>
        <v>5226</v>
      </c>
      <c r="I59" s="357">
        <f t="shared" si="9"/>
        <v>185</v>
      </c>
      <c r="K59" s="349"/>
    </row>
    <row r="60" spans="1:11" x14ac:dyDescent="0.2">
      <c r="A60" s="349">
        <f t="shared" si="0"/>
        <v>52</v>
      </c>
      <c r="B60" s="366" t="str">
        <f t="shared" si="10"/>
        <v xml:space="preserve">52E </v>
      </c>
      <c r="C60" s="352" t="str">
        <f t="shared" si="10"/>
        <v>Metal Halide</v>
      </c>
      <c r="D60" s="371">
        <v>1000</v>
      </c>
      <c r="E60" s="47">
        <v>19.09</v>
      </c>
      <c r="F60" s="368">
        <f t="shared" si="8"/>
        <v>0.67</v>
      </c>
      <c r="G60" s="180">
        <v>216</v>
      </c>
      <c r="H60" s="357">
        <f t="shared" si="9"/>
        <v>4123</v>
      </c>
      <c r="I60" s="357">
        <f t="shared" si="9"/>
        <v>145</v>
      </c>
      <c r="K60" s="349"/>
    </row>
    <row r="61" spans="1:11" x14ac:dyDescent="0.2">
      <c r="A61" s="349">
        <f t="shared" si="0"/>
        <v>53</v>
      </c>
      <c r="D61" s="372"/>
      <c r="E61" s="45"/>
      <c r="F61" s="368"/>
      <c r="G61" s="180"/>
      <c r="H61" s="352"/>
      <c r="I61" s="352"/>
      <c r="K61" s="349"/>
    </row>
    <row r="62" spans="1:11" x14ac:dyDescent="0.2">
      <c r="A62" s="349">
        <f t="shared" si="0"/>
        <v>54</v>
      </c>
      <c r="B62" s="350" t="s">
        <v>54</v>
      </c>
      <c r="D62" s="372"/>
      <c r="E62" s="45"/>
      <c r="F62" s="368"/>
      <c r="G62" s="180"/>
      <c r="H62" s="352"/>
      <c r="I62" s="352"/>
      <c r="K62" s="349"/>
    </row>
    <row r="63" spans="1:11" x14ac:dyDescent="0.2">
      <c r="A63" s="349">
        <f t="shared" si="0"/>
        <v>55</v>
      </c>
      <c r="B63" s="366" t="s">
        <v>117</v>
      </c>
      <c r="C63" s="352" t="s">
        <v>25</v>
      </c>
      <c r="D63" s="371">
        <v>50</v>
      </c>
      <c r="E63" s="47">
        <v>0.95</v>
      </c>
      <c r="F63" s="368">
        <f t="shared" ref="F63:F71" si="11">ROUND(+E63*$J$9,2)</f>
        <v>0.03</v>
      </c>
      <c r="G63" s="180">
        <v>0</v>
      </c>
      <c r="H63" s="357">
        <f t="shared" ref="H63:I71" si="12">ROUND($G63*E63,0)</f>
        <v>0</v>
      </c>
      <c r="I63" s="357">
        <f t="shared" si="12"/>
        <v>0</v>
      </c>
      <c r="K63" s="349"/>
    </row>
    <row r="64" spans="1:11" x14ac:dyDescent="0.2">
      <c r="A64" s="349">
        <f t="shared" si="0"/>
        <v>56</v>
      </c>
      <c r="B64" s="366" t="str">
        <f t="shared" ref="B64:B71" si="13">+B63</f>
        <v>53E</v>
      </c>
      <c r="C64" s="352" t="s">
        <v>25</v>
      </c>
      <c r="D64" s="371">
        <v>70</v>
      </c>
      <c r="E64" s="47">
        <v>1.34</v>
      </c>
      <c r="F64" s="368">
        <f t="shared" si="11"/>
        <v>0.05</v>
      </c>
      <c r="G64" s="180">
        <v>44824</v>
      </c>
      <c r="H64" s="357">
        <f t="shared" si="12"/>
        <v>60064</v>
      </c>
      <c r="I64" s="357">
        <f t="shared" si="12"/>
        <v>2241</v>
      </c>
      <c r="K64" s="349"/>
    </row>
    <row r="65" spans="1:11" x14ac:dyDescent="0.2">
      <c r="A65" s="349">
        <f t="shared" si="0"/>
        <v>57</v>
      </c>
      <c r="B65" s="366" t="str">
        <f t="shared" si="13"/>
        <v>53E</v>
      </c>
      <c r="C65" s="352" t="s">
        <v>25</v>
      </c>
      <c r="D65" s="371">
        <v>100</v>
      </c>
      <c r="E65" s="47">
        <v>1.91</v>
      </c>
      <c r="F65" s="368">
        <f t="shared" si="11"/>
        <v>7.0000000000000007E-2</v>
      </c>
      <c r="G65" s="180">
        <v>339597</v>
      </c>
      <c r="H65" s="357">
        <f t="shared" si="12"/>
        <v>648630</v>
      </c>
      <c r="I65" s="357">
        <f t="shared" si="12"/>
        <v>23772</v>
      </c>
      <c r="K65" s="349"/>
    </row>
    <row r="66" spans="1:11" x14ac:dyDescent="0.2">
      <c r="A66" s="349">
        <f t="shared" si="0"/>
        <v>58</v>
      </c>
      <c r="B66" s="366" t="str">
        <f t="shared" si="13"/>
        <v>53E</v>
      </c>
      <c r="C66" s="352" t="s">
        <v>25</v>
      </c>
      <c r="D66" s="371">
        <v>150</v>
      </c>
      <c r="E66" s="47">
        <v>2.86</v>
      </c>
      <c r="F66" s="368">
        <f t="shared" si="11"/>
        <v>0.1</v>
      </c>
      <c r="G66" s="180">
        <v>41152</v>
      </c>
      <c r="H66" s="357">
        <f t="shared" si="12"/>
        <v>117695</v>
      </c>
      <c r="I66" s="357">
        <f t="shared" si="12"/>
        <v>4115</v>
      </c>
      <c r="K66" s="349"/>
    </row>
    <row r="67" spans="1:11" x14ac:dyDescent="0.2">
      <c r="A67" s="349">
        <f t="shared" si="0"/>
        <v>59</v>
      </c>
      <c r="B67" s="366" t="str">
        <f t="shared" si="13"/>
        <v>53E</v>
      </c>
      <c r="C67" s="352" t="s">
        <v>25</v>
      </c>
      <c r="D67" s="371">
        <v>200</v>
      </c>
      <c r="E67" s="47">
        <v>3.82</v>
      </c>
      <c r="F67" s="368">
        <f t="shared" si="11"/>
        <v>0.13</v>
      </c>
      <c r="G67" s="180">
        <v>55212</v>
      </c>
      <c r="H67" s="357">
        <f t="shared" si="12"/>
        <v>210910</v>
      </c>
      <c r="I67" s="357">
        <f t="shared" si="12"/>
        <v>7178</v>
      </c>
      <c r="K67" s="349"/>
    </row>
    <row r="68" spans="1:11" x14ac:dyDescent="0.2">
      <c r="A68" s="349">
        <f t="shared" si="0"/>
        <v>60</v>
      </c>
      <c r="B68" s="366" t="str">
        <f t="shared" si="13"/>
        <v>53E</v>
      </c>
      <c r="C68" s="352" t="s">
        <v>25</v>
      </c>
      <c r="D68" s="371">
        <v>250</v>
      </c>
      <c r="E68" s="47">
        <v>4.7699999999999996</v>
      </c>
      <c r="F68" s="368">
        <f t="shared" si="11"/>
        <v>0.17</v>
      </c>
      <c r="G68" s="180">
        <v>21489</v>
      </c>
      <c r="H68" s="357">
        <f t="shared" si="12"/>
        <v>102503</v>
      </c>
      <c r="I68" s="357">
        <f t="shared" si="12"/>
        <v>3653</v>
      </c>
      <c r="K68" s="349"/>
    </row>
    <row r="69" spans="1:11" x14ac:dyDescent="0.2">
      <c r="A69" s="349">
        <f t="shared" si="0"/>
        <v>61</v>
      </c>
      <c r="B69" s="366" t="str">
        <f t="shared" si="13"/>
        <v>53E</v>
      </c>
      <c r="C69" s="352" t="s">
        <v>25</v>
      </c>
      <c r="D69" s="371">
        <v>310</v>
      </c>
      <c r="E69" s="47">
        <v>5.92</v>
      </c>
      <c r="F69" s="368">
        <f t="shared" si="11"/>
        <v>0.21</v>
      </c>
      <c r="G69" s="180">
        <v>240</v>
      </c>
      <c r="H69" s="357">
        <f t="shared" si="12"/>
        <v>1421</v>
      </c>
      <c r="I69" s="357">
        <f t="shared" si="12"/>
        <v>50</v>
      </c>
      <c r="K69" s="349"/>
    </row>
    <row r="70" spans="1:11" x14ac:dyDescent="0.2">
      <c r="A70" s="349">
        <f t="shared" si="0"/>
        <v>62</v>
      </c>
      <c r="B70" s="366" t="str">
        <f t="shared" si="13"/>
        <v>53E</v>
      </c>
      <c r="C70" s="352" t="s">
        <v>25</v>
      </c>
      <c r="D70" s="371">
        <v>400</v>
      </c>
      <c r="E70" s="47">
        <v>7.64</v>
      </c>
      <c r="F70" s="368">
        <f t="shared" si="11"/>
        <v>0.27</v>
      </c>
      <c r="G70" s="180">
        <v>14834</v>
      </c>
      <c r="H70" s="357">
        <f t="shared" si="12"/>
        <v>113332</v>
      </c>
      <c r="I70" s="357">
        <f>ROUND($G70*F70,0)</f>
        <v>4005</v>
      </c>
      <c r="K70" s="349"/>
    </row>
    <row r="71" spans="1:11" x14ac:dyDescent="0.2">
      <c r="A71" s="349">
        <f t="shared" si="0"/>
        <v>63</v>
      </c>
      <c r="B71" s="366" t="str">
        <f t="shared" si="13"/>
        <v>53E</v>
      </c>
      <c r="C71" s="352" t="s">
        <v>25</v>
      </c>
      <c r="D71" s="371">
        <v>1000</v>
      </c>
      <c r="E71" s="47">
        <v>19.09</v>
      </c>
      <c r="F71" s="368">
        <f t="shared" si="11"/>
        <v>0.67</v>
      </c>
      <c r="G71" s="181">
        <v>0</v>
      </c>
      <c r="H71" s="357">
        <f t="shared" si="12"/>
        <v>0</v>
      </c>
      <c r="I71" s="357">
        <f>ROUND($G71*F71,0)</f>
        <v>0</v>
      </c>
      <c r="K71" s="349"/>
    </row>
    <row r="72" spans="1:11" x14ac:dyDescent="0.2">
      <c r="A72" s="349">
        <f t="shared" si="0"/>
        <v>64</v>
      </c>
      <c r="B72" s="366"/>
      <c r="C72" s="352"/>
      <c r="D72" s="371"/>
      <c r="E72" s="45"/>
      <c r="F72" s="368"/>
      <c r="G72" s="180"/>
      <c r="H72" s="352"/>
      <c r="I72" s="352"/>
      <c r="K72" s="349"/>
    </row>
    <row r="73" spans="1:11" x14ac:dyDescent="0.2">
      <c r="A73" s="349">
        <f t="shared" si="0"/>
        <v>65</v>
      </c>
      <c r="B73" s="366" t="str">
        <f>+B71</f>
        <v>53E</v>
      </c>
      <c r="C73" s="352" t="s">
        <v>53</v>
      </c>
      <c r="D73" s="371">
        <v>70</v>
      </c>
      <c r="E73" s="47">
        <v>1.34</v>
      </c>
      <c r="F73" s="368">
        <f t="shared" ref="F73:F78" si="14">ROUND(+E73*$J$9,2)</f>
        <v>0.05</v>
      </c>
      <c r="G73" s="181">
        <v>0</v>
      </c>
      <c r="H73" s="357">
        <f t="shared" ref="H73:I78" si="15">ROUND($G73*E73,0)</f>
        <v>0</v>
      </c>
      <c r="I73" s="357">
        <f t="shared" si="15"/>
        <v>0</v>
      </c>
      <c r="K73" s="349"/>
    </row>
    <row r="74" spans="1:11" x14ac:dyDescent="0.2">
      <c r="A74" s="349">
        <f t="shared" si="0"/>
        <v>66</v>
      </c>
      <c r="B74" s="366" t="str">
        <f>+B73</f>
        <v>53E</v>
      </c>
      <c r="C74" s="352" t="s">
        <v>53</v>
      </c>
      <c r="D74" s="371">
        <v>100</v>
      </c>
      <c r="E74" s="47">
        <v>1.91</v>
      </c>
      <c r="F74" s="368">
        <f t="shared" si="14"/>
        <v>7.0000000000000007E-2</v>
      </c>
      <c r="G74" s="181">
        <v>0</v>
      </c>
      <c r="H74" s="357">
        <f t="shared" si="15"/>
        <v>0</v>
      </c>
      <c r="I74" s="357">
        <f t="shared" si="15"/>
        <v>0</v>
      </c>
      <c r="K74" s="349"/>
    </row>
    <row r="75" spans="1:11" x14ac:dyDescent="0.2">
      <c r="A75" s="349">
        <f t="shared" ref="A75:A138" si="16">+A74+1</f>
        <v>67</v>
      </c>
      <c r="B75" s="366" t="str">
        <f>+B74</f>
        <v>53E</v>
      </c>
      <c r="C75" s="352" t="s">
        <v>53</v>
      </c>
      <c r="D75" s="371">
        <v>150</v>
      </c>
      <c r="E75" s="47">
        <v>2.86</v>
      </c>
      <c r="F75" s="368">
        <f t="shared" si="14"/>
        <v>0.1</v>
      </c>
      <c r="G75" s="181">
        <v>0</v>
      </c>
      <c r="H75" s="357">
        <f t="shared" si="15"/>
        <v>0</v>
      </c>
      <c r="I75" s="357">
        <f t="shared" si="15"/>
        <v>0</v>
      </c>
      <c r="K75" s="349"/>
    </row>
    <row r="76" spans="1:11" x14ac:dyDescent="0.2">
      <c r="A76" s="349">
        <f t="shared" si="16"/>
        <v>68</v>
      </c>
      <c r="B76" s="366" t="str">
        <f>+B75</f>
        <v>53E</v>
      </c>
      <c r="C76" s="352" t="s">
        <v>53</v>
      </c>
      <c r="D76" s="371">
        <v>175</v>
      </c>
      <c r="E76" s="47">
        <v>3.34</v>
      </c>
      <c r="F76" s="368">
        <f t="shared" si="14"/>
        <v>0.12</v>
      </c>
      <c r="G76" s="180">
        <v>48</v>
      </c>
      <c r="H76" s="357">
        <f t="shared" si="15"/>
        <v>160</v>
      </c>
      <c r="I76" s="357">
        <f t="shared" si="15"/>
        <v>6</v>
      </c>
      <c r="K76" s="349"/>
    </row>
    <row r="77" spans="1:11" x14ac:dyDescent="0.2">
      <c r="A77" s="349">
        <f t="shared" si="16"/>
        <v>69</v>
      </c>
      <c r="B77" s="366" t="str">
        <f>+B76</f>
        <v>53E</v>
      </c>
      <c r="C77" s="352" t="s">
        <v>53</v>
      </c>
      <c r="D77" s="371">
        <v>250</v>
      </c>
      <c r="E77" s="47">
        <v>4.7699999999999996</v>
      </c>
      <c r="F77" s="368">
        <f t="shared" si="14"/>
        <v>0.17</v>
      </c>
      <c r="G77" s="181">
        <v>0</v>
      </c>
      <c r="H77" s="357">
        <f t="shared" si="15"/>
        <v>0</v>
      </c>
      <c r="I77" s="357">
        <f t="shared" si="15"/>
        <v>0</v>
      </c>
      <c r="K77" s="349"/>
    </row>
    <row r="78" spans="1:11" x14ac:dyDescent="0.2">
      <c r="A78" s="349">
        <f t="shared" si="16"/>
        <v>70</v>
      </c>
      <c r="B78" s="366" t="str">
        <f>+B77</f>
        <v>53E</v>
      </c>
      <c r="C78" s="352" t="s">
        <v>53</v>
      </c>
      <c r="D78" s="371">
        <v>400</v>
      </c>
      <c r="E78" s="47">
        <v>7.64</v>
      </c>
      <c r="F78" s="368">
        <f t="shared" si="14"/>
        <v>0.27</v>
      </c>
      <c r="G78" s="181">
        <v>0</v>
      </c>
      <c r="H78" s="357">
        <f t="shared" si="15"/>
        <v>0</v>
      </c>
      <c r="I78" s="357">
        <f t="shared" si="15"/>
        <v>0</v>
      </c>
      <c r="K78" s="349"/>
    </row>
    <row r="79" spans="1:11" x14ac:dyDescent="0.2">
      <c r="A79" s="349">
        <f t="shared" si="16"/>
        <v>71</v>
      </c>
      <c r="B79" s="366"/>
      <c r="C79" s="352"/>
      <c r="D79" s="371"/>
      <c r="E79" s="45"/>
      <c r="F79" s="368"/>
      <c r="G79" s="180"/>
      <c r="H79" s="352"/>
      <c r="I79" s="352"/>
      <c r="K79" s="349"/>
    </row>
    <row r="80" spans="1:11" x14ac:dyDescent="0.2">
      <c r="A80" s="349">
        <f t="shared" si="16"/>
        <v>72</v>
      </c>
      <c r="B80" s="366" t="str">
        <f>+B77</f>
        <v>53E</v>
      </c>
      <c r="C80" s="352" t="s">
        <v>41</v>
      </c>
      <c r="D80" s="372" t="s">
        <v>114</v>
      </c>
      <c r="E80" s="44">
        <v>0.28999999999999998</v>
      </c>
      <c r="F80" s="368">
        <f t="shared" ref="F80:F89" si="17">ROUND(+E80*$J$9,2)</f>
        <v>0.01</v>
      </c>
      <c r="G80" s="180">
        <v>135</v>
      </c>
      <c r="H80" s="357">
        <f t="shared" ref="H80:I90" si="18">ROUND($G80*E80,0)</f>
        <v>39</v>
      </c>
      <c r="I80" s="357">
        <f t="shared" si="18"/>
        <v>1</v>
      </c>
      <c r="K80" s="349"/>
    </row>
    <row r="81" spans="1:11" x14ac:dyDescent="0.2">
      <c r="A81" s="349">
        <f t="shared" si="16"/>
        <v>73</v>
      </c>
      <c r="B81" s="366" t="str">
        <f>+B78</f>
        <v>53E</v>
      </c>
      <c r="C81" s="352" t="s">
        <v>41</v>
      </c>
      <c r="D81" s="373" t="s">
        <v>115</v>
      </c>
      <c r="E81" s="44">
        <v>0.86</v>
      </c>
      <c r="F81" s="368">
        <f t="shared" si="17"/>
        <v>0.03</v>
      </c>
      <c r="G81" s="180">
        <v>276996</v>
      </c>
      <c r="H81" s="357">
        <f t="shared" si="18"/>
        <v>238217</v>
      </c>
      <c r="I81" s="357">
        <f t="shared" si="18"/>
        <v>8310</v>
      </c>
      <c r="K81" s="349"/>
    </row>
    <row r="82" spans="1:11" x14ac:dyDescent="0.2">
      <c r="A82" s="349">
        <f t="shared" si="16"/>
        <v>74</v>
      </c>
      <c r="B82" s="366" t="str">
        <f t="shared" ref="B82:B90" si="19">B81</f>
        <v>53E</v>
      </c>
      <c r="C82" s="352" t="s">
        <v>41</v>
      </c>
      <c r="D82" s="371" t="s">
        <v>43</v>
      </c>
      <c r="E82" s="44">
        <v>1.43</v>
      </c>
      <c r="F82" s="368">
        <f t="shared" si="17"/>
        <v>0.05</v>
      </c>
      <c r="G82" s="180">
        <v>17412</v>
      </c>
      <c r="H82" s="357">
        <f t="shared" si="18"/>
        <v>24899</v>
      </c>
      <c r="I82" s="357">
        <f t="shared" si="18"/>
        <v>871</v>
      </c>
      <c r="K82" s="349"/>
    </row>
    <row r="83" spans="1:11" x14ac:dyDescent="0.2">
      <c r="A83" s="349">
        <f t="shared" si="16"/>
        <v>75</v>
      </c>
      <c r="B83" s="366" t="str">
        <f t="shared" si="19"/>
        <v>53E</v>
      </c>
      <c r="C83" s="352" t="s">
        <v>41</v>
      </c>
      <c r="D83" s="371" t="s">
        <v>44</v>
      </c>
      <c r="E83" s="44">
        <v>2</v>
      </c>
      <c r="F83" s="368">
        <f t="shared" si="17"/>
        <v>7.0000000000000007E-2</v>
      </c>
      <c r="G83" s="180">
        <v>42936</v>
      </c>
      <c r="H83" s="357">
        <f t="shared" si="18"/>
        <v>85872</v>
      </c>
      <c r="I83" s="357">
        <f t="shared" si="18"/>
        <v>3006</v>
      </c>
      <c r="K83" s="349"/>
    </row>
    <row r="84" spans="1:11" x14ac:dyDescent="0.2">
      <c r="A84" s="349">
        <f t="shared" si="16"/>
        <v>76</v>
      </c>
      <c r="B84" s="366" t="str">
        <f t="shared" si="19"/>
        <v>53E</v>
      </c>
      <c r="C84" s="352" t="s">
        <v>41</v>
      </c>
      <c r="D84" s="371" t="s">
        <v>45</v>
      </c>
      <c r="E84" s="44">
        <v>2.58</v>
      </c>
      <c r="F84" s="368">
        <f t="shared" si="17"/>
        <v>0.09</v>
      </c>
      <c r="G84" s="180">
        <v>23604</v>
      </c>
      <c r="H84" s="357">
        <f t="shared" si="18"/>
        <v>60898</v>
      </c>
      <c r="I84" s="357">
        <f t="shared" si="18"/>
        <v>2124</v>
      </c>
      <c r="K84" s="349"/>
    </row>
    <row r="85" spans="1:11" x14ac:dyDescent="0.2">
      <c r="A85" s="349">
        <f t="shared" si="16"/>
        <v>77</v>
      </c>
      <c r="B85" s="366" t="str">
        <f t="shared" si="19"/>
        <v>53E</v>
      </c>
      <c r="C85" s="352" t="s">
        <v>41</v>
      </c>
      <c r="D85" s="371" t="s">
        <v>46</v>
      </c>
      <c r="E85" s="44">
        <v>3.15</v>
      </c>
      <c r="F85" s="368">
        <f t="shared" si="17"/>
        <v>0.11</v>
      </c>
      <c r="G85" s="180">
        <v>20733</v>
      </c>
      <c r="H85" s="357">
        <f t="shared" si="18"/>
        <v>65309</v>
      </c>
      <c r="I85" s="357">
        <f t="shared" si="18"/>
        <v>2281</v>
      </c>
      <c r="K85" s="349"/>
    </row>
    <row r="86" spans="1:11" x14ac:dyDescent="0.2">
      <c r="A86" s="349">
        <f t="shared" si="16"/>
        <v>78</v>
      </c>
      <c r="B86" s="366" t="str">
        <f t="shared" si="19"/>
        <v>53E</v>
      </c>
      <c r="C86" s="352" t="s">
        <v>41</v>
      </c>
      <c r="D86" s="371" t="s">
        <v>47</v>
      </c>
      <c r="E86" s="44">
        <v>3.72</v>
      </c>
      <c r="F86" s="368">
        <f t="shared" si="17"/>
        <v>0.13</v>
      </c>
      <c r="G86" s="180">
        <v>6199</v>
      </c>
      <c r="H86" s="357">
        <f t="shared" si="18"/>
        <v>23060</v>
      </c>
      <c r="I86" s="357">
        <f t="shared" si="18"/>
        <v>806</v>
      </c>
      <c r="K86" s="349"/>
    </row>
    <row r="87" spans="1:11" x14ac:dyDescent="0.2">
      <c r="A87" s="349">
        <f t="shared" si="16"/>
        <v>79</v>
      </c>
      <c r="B87" s="366" t="str">
        <f t="shared" si="19"/>
        <v>53E</v>
      </c>
      <c r="C87" s="352" t="s">
        <v>41</v>
      </c>
      <c r="D87" s="371" t="s">
        <v>48</v>
      </c>
      <c r="E87" s="44">
        <v>4.3</v>
      </c>
      <c r="F87" s="368">
        <f t="shared" si="17"/>
        <v>0.15</v>
      </c>
      <c r="G87" s="180">
        <v>1015</v>
      </c>
      <c r="H87" s="357">
        <f t="shared" si="18"/>
        <v>4365</v>
      </c>
      <c r="I87" s="357">
        <f t="shared" si="18"/>
        <v>152</v>
      </c>
      <c r="K87" s="349"/>
    </row>
    <row r="88" spans="1:11" x14ac:dyDescent="0.2">
      <c r="A88" s="349">
        <f t="shared" si="16"/>
        <v>80</v>
      </c>
      <c r="B88" s="366" t="str">
        <f t="shared" si="19"/>
        <v>53E</v>
      </c>
      <c r="C88" s="352" t="s">
        <v>41</v>
      </c>
      <c r="D88" s="371" t="s">
        <v>49</v>
      </c>
      <c r="E88" s="44">
        <v>4.87</v>
      </c>
      <c r="F88" s="368">
        <f t="shared" si="17"/>
        <v>0.17</v>
      </c>
      <c r="G88" s="180">
        <v>312</v>
      </c>
      <c r="H88" s="357">
        <f t="shared" si="18"/>
        <v>1519</v>
      </c>
      <c r="I88" s="357">
        <f t="shared" si="18"/>
        <v>53</v>
      </c>
      <c r="K88" s="349"/>
    </row>
    <row r="89" spans="1:11" x14ac:dyDescent="0.2">
      <c r="A89" s="349">
        <f t="shared" si="16"/>
        <v>81</v>
      </c>
      <c r="B89" s="366" t="str">
        <f t="shared" si="19"/>
        <v>53E</v>
      </c>
      <c r="C89" s="352" t="s">
        <v>41</v>
      </c>
      <c r="D89" s="371" t="s">
        <v>50</v>
      </c>
      <c r="E89" s="44">
        <v>5.44</v>
      </c>
      <c r="F89" s="368">
        <f t="shared" si="17"/>
        <v>0.19</v>
      </c>
      <c r="G89" s="180">
        <v>1897</v>
      </c>
      <c r="H89" s="357">
        <f t="shared" si="18"/>
        <v>10320</v>
      </c>
      <c r="I89" s="357">
        <f t="shared" si="18"/>
        <v>360</v>
      </c>
      <c r="K89" s="349"/>
    </row>
    <row r="90" spans="1:11" x14ac:dyDescent="0.2">
      <c r="A90" s="349">
        <f t="shared" si="16"/>
        <v>82</v>
      </c>
      <c r="B90" s="366" t="str">
        <f t="shared" si="19"/>
        <v>53E</v>
      </c>
      <c r="C90" s="352" t="s">
        <v>118</v>
      </c>
      <c r="D90" s="352" t="s">
        <v>116</v>
      </c>
      <c r="E90" s="46">
        <v>5.4556E-2</v>
      </c>
      <c r="F90" s="374">
        <f>'Rate Spread and Design'!E76</f>
        <v>1.7960000000000001E-3</v>
      </c>
      <c r="G90" s="180">
        <v>701281</v>
      </c>
      <c r="H90" s="357">
        <f t="shared" si="18"/>
        <v>38259</v>
      </c>
      <c r="I90" s="357">
        <f t="shared" si="18"/>
        <v>1260</v>
      </c>
      <c r="K90" s="349"/>
    </row>
    <row r="91" spans="1:11" x14ac:dyDescent="0.2">
      <c r="A91" s="349">
        <f t="shared" si="16"/>
        <v>83</v>
      </c>
      <c r="B91" s="376"/>
      <c r="C91" s="352"/>
      <c r="D91" s="371"/>
      <c r="E91" s="45"/>
      <c r="F91" s="368"/>
      <c r="G91" s="180"/>
      <c r="H91" s="352"/>
      <c r="I91" s="352"/>
      <c r="K91" s="349"/>
    </row>
    <row r="92" spans="1:11" x14ac:dyDescent="0.2">
      <c r="A92" s="349">
        <f t="shared" si="16"/>
        <v>84</v>
      </c>
      <c r="B92" s="350" t="s">
        <v>55</v>
      </c>
      <c r="D92" s="372"/>
      <c r="E92" s="45"/>
      <c r="F92" s="368"/>
      <c r="G92" s="180"/>
      <c r="H92" s="352"/>
      <c r="I92" s="352"/>
      <c r="K92" s="349"/>
    </row>
    <row r="93" spans="1:11" x14ac:dyDescent="0.2">
      <c r="A93" s="349">
        <f t="shared" si="16"/>
        <v>85</v>
      </c>
      <c r="B93" s="366" t="s">
        <v>56</v>
      </c>
      <c r="C93" s="352" t="s">
        <v>25</v>
      </c>
      <c r="D93" s="371">
        <v>50</v>
      </c>
      <c r="E93" s="44">
        <v>0.95</v>
      </c>
      <c r="F93" s="368">
        <f t="shared" ref="F93:F101" si="20">ROUND(+E93*$J$9,2)</f>
        <v>0.03</v>
      </c>
      <c r="G93" s="180">
        <v>456</v>
      </c>
      <c r="H93" s="357">
        <f t="shared" ref="H93:I101" si="21">ROUND($G93*E93,0)</f>
        <v>433</v>
      </c>
      <c r="I93" s="357">
        <f t="shared" si="21"/>
        <v>14</v>
      </c>
      <c r="K93" s="349"/>
    </row>
    <row r="94" spans="1:11" x14ac:dyDescent="0.2">
      <c r="A94" s="349">
        <f t="shared" si="16"/>
        <v>86</v>
      </c>
      <c r="B94" s="366" t="str">
        <f t="shared" ref="B94:B101" si="22">+B93</f>
        <v>54E</v>
      </c>
      <c r="C94" s="352" t="s">
        <v>25</v>
      </c>
      <c r="D94" s="371">
        <v>70</v>
      </c>
      <c r="E94" s="44">
        <v>1.34</v>
      </c>
      <c r="F94" s="368">
        <f t="shared" si="20"/>
        <v>0.05</v>
      </c>
      <c r="G94" s="180">
        <v>1807</v>
      </c>
      <c r="H94" s="357">
        <f t="shared" si="21"/>
        <v>2421</v>
      </c>
      <c r="I94" s="357">
        <f t="shared" si="21"/>
        <v>90</v>
      </c>
      <c r="K94" s="349"/>
    </row>
    <row r="95" spans="1:11" x14ac:dyDescent="0.2">
      <c r="A95" s="349">
        <f t="shared" si="16"/>
        <v>87</v>
      </c>
      <c r="B95" s="366" t="str">
        <f t="shared" si="22"/>
        <v>54E</v>
      </c>
      <c r="C95" s="352" t="s">
        <v>25</v>
      </c>
      <c r="D95" s="371">
        <v>100</v>
      </c>
      <c r="E95" s="44">
        <v>1.91</v>
      </c>
      <c r="F95" s="368">
        <f t="shared" si="20"/>
        <v>7.0000000000000007E-2</v>
      </c>
      <c r="G95" s="180">
        <v>10076</v>
      </c>
      <c r="H95" s="357">
        <f t="shared" si="21"/>
        <v>19245</v>
      </c>
      <c r="I95" s="357">
        <f t="shared" si="21"/>
        <v>705</v>
      </c>
      <c r="K95" s="349"/>
    </row>
    <row r="96" spans="1:11" x14ac:dyDescent="0.2">
      <c r="A96" s="349">
        <f t="shared" si="16"/>
        <v>88</v>
      </c>
      <c r="B96" s="366" t="str">
        <f t="shared" si="22"/>
        <v>54E</v>
      </c>
      <c r="C96" s="352" t="s">
        <v>25</v>
      </c>
      <c r="D96" s="371">
        <v>150</v>
      </c>
      <c r="E96" s="44">
        <v>2.86</v>
      </c>
      <c r="F96" s="368">
        <f t="shared" si="20"/>
        <v>0.1</v>
      </c>
      <c r="G96" s="180">
        <v>3609</v>
      </c>
      <c r="H96" s="357">
        <f t="shared" si="21"/>
        <v>10322</v>
      </c>
      <c r="I96" s="357">
        <f t="shared" si="21"/>
        <v>361</v>
      </c>
      <c r="K96" s="349"/>
    </row>
    <row r="97" spans="1:11" x14ac:dyDescent="0.2">
      <c r="A97" s="349">
        <f t="shared" si="16"/>
        <v>89</v>
      </c>
      <c r="B97" s="366" t="str">
        <f t="shared" si="22"/>
        <v>54E</v>
      </c>
      <c r="C97" s="352" t="s">
        <v>25</v>
      </c>
      <c r="D97" s="371">
        <v>200</v>
      </c>
      <c r="E97" s="44">
        <v>3.82</v>
      </c>
      <c r="F97" s="368">
        <f t="shared" si="20"/>
        <v>0.13</v>
      </c>
      <c r="G97" s="180">
        <v>3387</v>
      </c>
      <c r="H97" s="357">
        <f t="shared" si="21"/>
        <v>12938</v>
      </c>
      <c r="I97" s="357">
        <f t="shared" si="21"/>
        <v>440</v>
      </c>
      <c r="K97" s="349"/>
    </row>
    <row r="98" spans="1:11" x14ac:dyDescent="0.2">
      <c r="A98" s="349">
        <f t="shared" si="16"/>
        <v>90</v>
      </c>
      <c r="B98" s="366" t="str">
        <f t="shared" si="22"/>
        <v>54E</v>
      </c>
      <c r="C98" s="352" t="s">
        <v>25</v>
      </c>
      <c r="D98" s="371">
        <v>250</v>
      </c>
      <c r="E98" s="44">
        <v>4.7699999999999996</v>
      </c>
      <c r="F98" s="368">
        <f t="shared" si="20"/>
        <v>0.17</v>
      </c>
      <c r="G98" s="180">
        <v>3597</v>
      </c>
      <c r="H98" s="357">
        <f t="shared" si="21"/>
        <v>17158</v>
      </c>
      <c r="I98" s="357">
        <f t="shared" si="21"/>
        <v>611</v>
      </c>
      <c r="K98" s="349"/>
    </row>
    <row r="99" spans="1:11" x14ac:dyDescent="0.2">
      <c r="A99" s="349">
        <f t="shared" si="16"/>
        <v>91</v>
      </c>
      <c r="B99" s="366" t="str">
        <f t="shared" si="22"/>
        <v>54E</v>
      </c>
      <c r="C99" s="352" t="s">
        <v>25</v>
      </c>
      <c r="D99" s="371">
        <v>310</v>
      </c>
      <c r="E99" s="44">
        <v>5.92</v>
      </c>
      <c r="F99" s="368">
        <f t="shared" si="20"/>
        <v>0.21</v>
      </c>
      <c r="G99" s="180">
        <v>668</v>
      </c>
      <c r="H99" s="357">
        <f t="shared" si="21"/>
        <v>3955</v>
      </c>
      <c r="I99" s="357">
        <f t="shared" si="21"/>
        <v>140</v>
      </c>
      <c r="K99" s="349"/>
    </row>
    <row r="100" spans="1:11" x14ac:dyDescent="0.2">
      <c r="A100" s="349">
        <f t="shared" si="16"/>
        <v>92</v>
      </c>
      <c r="B100" s="366" t="str">
        <f t="shared" si="22"/>
        <v>54E</v>
      </c>
      <c r="C100" s="352" t="s">
        <v>25</v>
      </c>
      <c r="D100" s="371">
        <v>400</v>
      </c>
      <c r="E100" s="44">
        <v>7.64</v>
      </c>
      <c r="F100" s="368">
        <f t="shared" si="20"/>
        <v>0.27</v>
      </c>
      <c r="G100" s="180">
        <v>6796</v>
      </c>
      <c r="H100" s="357">
        <f t="shared" si="21"/>
        <v>51921</v>
      </c>
      <c r="I100" s="357">
        <f t="shared" si="21"/>
        <v>1835</v>
      </c>
      <c r="K100" s="349"/>
    </row>
    <row r="101" spans="1:11" x14ac:dyDescent="0.2">
      <c r="A101" s="349">
        <f t="shared" si="16"/>
        <v>93</v>
      </c>
      <c r="B101" s="366" t="str">
        <f t="shared" si="22"/>
        <v>54E</v>
      </c>
      <c r="C101" s="352" t="s">
        <v>25</v>
      </c>
      <c r="D101" s="371">
        <v>1000</v>
      </c>
      <c r="E101" s="44">
        <v>19.09</v>
      </c>
      <c r="F101" s="368">
        <f t="shared" si="20"/>
        <v>0.67</v>
      </c>
      <c r="G101" s="181">
        <v>0</v>
      </c>
      <c r="H101" s="357">
        <f t="shared" si="21"/>
        <v>0</v>
      </c>
      <c r="I101" s="357">
        <f t="shared" si="21"/>
        <v>0</v>
      </c>
      <c r="K101" s="349"/>
    </row>
    <row r="102" spans="1:11" x14ac:dyDescent="0.2">
      <c r="A102" s="349">
        <f t="shared" si="16"/>
        <v>94</v>
      </c>
      <c r="B102" s="376"/>
      <c r="C102" s="352"/>
      <c r="D102" s="371"/>
      <c r="E102" s="45"/>
      <c r="F102" s="368"/>
      <c r="G102" s="180"/>
      <c r="H102" s="352"/>
      <c r="I102" s="352"/>
      <c r="K102" s="349"/>
    </row>
    <row r="103" spans="1:11" x14ac:dyDescent="0.2">
      <c r="A103" s="349">
        <f t="shared" si="16"/>
        <v>95</v>
      </c>
      <c r="B103" s="366" t="str">
        <f>+B100</f>
        <v>54E</v>
      </c>
      <c r="C103" s="352" t="s">
        <v>41</v>
      </c>
      <c r="D103" s="373" t="s">
        <v>97</v>
      </c>
      <c r="E103" s="44">
        <v>0.28999999999999998</v>
      </c>
      <c r="F103" s="368">
        <f t="shared" ref="F103:F112" si="23">ROUND(+E103*$J$9,2)</f>
        <v>0.01</v>
      </c>
      <c r="G103" s="181">
        <v>0</v>
      </c>
      <c r="H103" s="357">
        <f t="shared" ref="H103:I112" si="24">ROUND($G103*E103,0)</f>
        <v>0</v>
      </c>
      <c r="I103" s="357">
        <f t="shared" si="24"/>
        <v>0</v>
      </c>
      <c r="K103" s="349"/>
    </row>
    <row r="104" spans="1:11" x14ac:dyDescent="0.2">
      <c r="A104" s="349">
        <f t="shared" si="16"/>
        <v>96</v>
      </c>
      <c r="B104" s="366" t="str">
        <f>+B101</f>
        <v>54E</v>
      </c>
      <c r="C104" s="352" t="s">
        <v>41</v>
      </c>
      <c r="D104" s="373" t="s">
        <v>42</v>
      </c>
      <c r="E104" s="44">
        <v>0.86</v>
      </c>
      <c r="F104" s="368">
        <f t="shared" si="23"/>
        <v>0.03</v>
      </c>
      <c r="G104" s="180">
        <v>33052</v>
      </c>
      <c r="H104" s="357">
        <f t="shared" si="24"/>
        <v>28425</v>
      </c>
      <c r="I104" s="357">
        <f t="shared" si="24"/>
        <v>992</v>
      </c>
      <c r="K104" s="349"/>
    </row>
    <row r="105" spans="1:11" x14ac:dyDescent="0.2">
      <c r="A105" s="349">
        <f t="shared" si="16"/>
        <v>97</v>
      </c>
      <c r="B105" s="366" t="str">
        <f t="shared" ref="B105:B112" si="25">+B104</f>
        <v>54E</v>
      </c>
      <c r="C105" s="352" t="s">
        <v>41</v>
      </c>
      <c r="D105" s="371" t="s">
        <v>43</v>
      </c>
      <c r="E105" s="44">
        <v>1.43</v>
      </c>
      <c r="F105" s="368">
        <f t="shared" si="23"/>
        <v>0.05</v>
      </c>
      <c r="G105" s="180">
        <v>2855</v>
      </c>
      <c r="H105" s="357">
        <f t="shared" si="24"/>
        <v>4083</v>
      </c>
      <c r="I105" s="357">
        <f t="shared" si="24"/>
        <v>143</v>
      </c>
      <c r="K105" s="349"/>
    </row>
    <row r="106" spans="1:11" x14ac:dyDescent="0.2">
      <c r="A106" s="349">
        <f t="shared" si="16"/>
        <v>98</v>
      </c>
      <c r="B106" s="366" t="str">
        <f t="shared" si="25"/>
        <v>54E</v>
      </c>
      <c r="C106" s="352" t="s">
        <v>41</v>
      </c>
      <c r="D106" s="371" t="s">
        <v>44</v>
      </c>
      <c r="E106" s="44">
        <v>2</v>
      </c>
      <c r="F106" s="368">
        <f t="shared" si="23"/>
        <v>7.0000000000000007E-2</v>
      </c>
      <c r="G106" s="180">
        <v>33778</v>
      </c>
      <c r="H106" s="357">
        <f t="shared" si="24"/>
        <v>67556</v>
      </c>
      <c r="I106" s="357">
        <f t="shared" si="24"/>
        <v>2364</v>
      </c>
      <c r="K106" s="349"/>
    </row>
    <row r="107" spans="1:11" x14ac:dyDescent="0.2">
      <c r="A107" s="349">
        <f t="shared" si="16"/>
        <v>99</v>
      </c>
      <c r="B107" s="366" t="str">
        <f t="shared" si="25"/>
        <v>54E</v>
      </c>
      <c r="C107" s="352" t="s">
        <v>41</v>
      </c>
      <c r="D107" s="371" t="s">
        <v>45</v>
      </c>
      <c r="E107" s="44">
        <v>2.58</v>
      </c>
      <c r="F107" s="368">
        <f t="shared" si="23"/>
        <v>0.09</v>
      </c>
      <c r="G107" s="180">
        <v>12548</v>
      </c>
      <c r="H107" s="357">
        <f t="shared" si="24"/>
        <v>32374</v>
      </c>
      <c r="I107" s="357">
        <f t="shared" si="24"/>
        <v>1129</v>
      </c>
      <c r="K107" s="349"/>
    </row>
    <row r="108" spans="1:11" x14ac:dyDescent="0.2">
      <c r="A108" s="349">
        <f t="shared" si="16"/>
        <v>100</v>
      </c>
      <c r="B108" s="366" t="str">
        <f t="shared" si="25"/>
        <v>54E</v>
      </c>
      <c r="C108" s="352" t="s">
        <v>41</v>
      </c>
      <c r="D108" s="371" t="s">
        <v>46</v>
      </c>
      <c r="E108" s="44">
        <v>3.15</v>
      </c>
      <c r="F108" s="368">
        <f t="shared" si="23"/>
        <v>0.11</v>
      </c>
      <c r="G108" s="180">
        <v>5036</v>
      </c>
      <c r="H108" s="357">
        <f t="shared" si="24"/>
        <v>15863</v>
      </c>
      <c r="I108" s="357">
        <f t="shared" si="24"/>
        <v>554</v>
      </c>
      <c r="K108" s="349"/>
    </row>
    <row r="109" spans="1:11" x14ac:dyDescent="0.2">
      <c r="A109" s="349">
        <f t="shared" si="16"/>
        <v>101</v>
      </c>
      <c r="B109" s="366" t="str">
        <f t="shared" si="25"/>
        <v>54E</v>
      </c>
      <c r="C109" s="352" t="s">
        <v>41</v>
      </c>
      <c r="D109" s="371" t="s">
        <v>47</v>
      </c>
      <c r="E109" s="44">
        <v>3.72</v>
      </c>
      <c r="F109" s="368">
        <f t="shared" si="23"/>
        <v>0.13</v>
      </c>
      <c r="G109" s="180">
        <v>2164</v>
      </c>
      <c r="H109" s="357">
        <f t="shared" si="24"/>
        <v>8050</v>
      </c>
      <c r="I109" s="357">
        <f t="shared" si="24"/>
        <v>281</v>
      </c>
      <c r="K109" s="349"/>
    </row>
    <row r="110" spans="1:11" x14ac:dyDescent="0.2">
      <c r="A110" s="349">
        <f t="shared" si="16"/>
        <v>102</v>
      </c>
      <c r="B110" s="366" t="str">
        <f t="shared" si="25"/>
        <v>54E</v>
      </c>
      <c r="C110" s="352" t="s">
        <v>41</v>
      </c>
      <c r="D110" s="371" t="s">
        <v>48</v>
      </c>
      <c r="E110" s="44">
        <v>4.3</v>
      </c>
      <c r="F110" s="368">
        <f t="shared" si="23"/>
        <v>0.15</v>
      </c>
      <c r="G110" s="180">
        <v>468</v>
      </c>
      <c r="H110" s="357">
        <f t="shared" si="24"/>
        <v>2012</v>
      </c>
      <c r="I110" s="357">
        <f t="shared" si="24"/>
        <v>70</v>
      </c>
      <c r="K110" s="349"/>
    </row>
    <row r="111" spans="1:11" x14ac:dyDescent="0.2">
      <c r="A111" s="349">
        <f t="shared" si="16"/>
        <v>103</v>
      </c>
      <c r="B111" s="366" t="str">
        <f t="shared" si="25"/>
        <v>54E</v>
      </c>
      <c r="C111" s="352" t="s">
        <v>41</v>
      </c>
      <c r="D111" s="371" t="s">
        <v>49</v>
      </c>
      <c r="E111" s="44">
        <v>4.87</v>
      </c>
      <c r="F111" s="368">
        <f t="shared" si="23"/>
        <v>0.17</v>
      </c>
      <c r="G111" s="180">
        <v>47</v>
      </c>
      <c r="H111" s="357">
        <f t="shared" si="24"/>
        <v>229</v>
      </c>
      <c r="I111" s="357">
        <f t="shared" si="24"/>
        <v>8</v>
      </c>
      <c r="K111" s="349"/>
    </row>
    <row r="112" spans="1:11" x14ac:dyDescent="0.2">
      <c r="A112" s="349">
        <f t="shared" si="16"/>
        <v>104</v>
      </c>
      <c r="B112" s="366" t="str">
        <f t="shared" si="25"/>
        <v>54E</v>
      </c>
      <c r="C112" s="352" t="s">
        <v>41</v>
      </c>
      <c r="D112" s="371" t="s">
        <v>50</v>
      </c>
      <c r="E112" s="44">
        <v>5.44</v>
      </c>
      <c r="F112" s="368">
        <f t="shared" si="23"/>
        <v>0.19</v>
      </c>
      <c r="G112" s="181">
        <v>0</v>
      </c>
      <c r="H112" s="357">
        <f t="shared" si="24"/>
        <v>0</v>
      </c>
      <c r="I112" s="357">
        <f t="shared" si="24"/>
        <v>0</v>
      </c>
      <c r="K112" s="349"/>
    </row>
    <row r="113" spans="1:11" x14ac:dyDescent="0.2">
      <c r="A113" s="349">
        <f t="shared" si="16"/>
        <v>105</v>
      </c>
      <c r="B113" s="376"/>
      <c r="C113" s="352"/>
      <c r="D113" s="371"/>
      <c r="E113" s="45"/>
      <c r="F113" s="368"/>
      <c r="G113" s="180"/>
      <c r="H113" s="352"/>
      <c r="I113" s="352"/>
      <c r="K113" s="349"/>
    </row>
    <row r="114" spans="1:11" x14ac:dyDescent="0.2">
      <c r="A114" s="349">
        <f t="shared" si="16"/>
        <v>106</v>
      </c>
      <c r="B114" s="350" t="s">
        <v>57</v>
      </c>
      <c r="C114" s="352"/>
      <c r="D114" s="371"/>
      <c r="E114" s="45"/>
      <c r="F114" s="368"/>
      <c r="G114" s="180"/>
      <c r="H114" s="352"/>
      <c r="I114" s="352"/>
      <c r="K114" s="349"/>
    </row>
    <row r="115" spans="1:11" x14ac:dyDescent="0.2">
      <c r="A115" s="349">
        <f t="shared" si="16"/>
        <v>107</v>
      </c>
      <c r="B115" s="366" t="s">
        <v>58</v>
      </c>
      <c r="C115" s="352" t="s">
        <v>25</v>
      </c>
      <c r="D115" s="371">
        <v>70</v>
      </c>
      <c r="E115" s="44">
        <v>1.34</v>
      </c>
      <c r="F115" s="368">
        <f t="shared" ref="F115:F120" si="26">ROUND(+E115*$J$9,2)</f>
        <v>0.05</v>
      </c>
      <c r="G115" s="180">
        <v>168</v>
      </c>
      <c r="H115" s="357">
        <f t="shared" ref="H115:I120" si="27">ROUND($G115*E115,0)</f>
        <v>225</v>
      </c>
      <c r="I115" s="357">
        <f t="shared" si="27"/>
        <v>8</v>
      </c>
      <c r="K115" s="349"/>
    </row>
    <row r="116" spans="1:11" x14ac:dyDescent="0.2">
      <c r="A116" s="349">
        <f t="shared" si="16"/>
        <v>108</v>
      </c>
      <c r="B116" s="376" t="str">
        <f>+B115</f>
        <v>55E &amp; 56E</v>
      </c>
      <c r="C116" s="352" t="s">
        <v>25</v>
      </c>
      <c r="D116" s="371">
        <v>100</v>
      </c>
      <c r="E116" s="44">
        <v>1.91</v>
      </c>
      <c r="F116" s="368">
        <f t="shared" si="26"/>
        <v>7.0000000000000007E-2</v>
      </c>
      <c r="G116" s="180">
        <v>42096</v>
      </c>
      <c r="H116" s="357">
        <f t="shared" si="27"/>
        <v>80403</v>
      </c>
      <c r="I116" s="357">
        <f t="shared" si="27"/>
        <v>2947</v>
      </c>
      <c r="K116" s="349"/>
    </row>
    <row r="117" spans="1:11" x14ac:dyDescent="0.2">
      <c r="A117" s="349">
        <f t="shared" si="16"/>
        <v>109</v>
      </c>
      <c r="B117" s="376" t="str">
        <f>+B116</f>
        <v>55E &amp; 56E</v>
      </c>
      <c r="C117" s="352" t="s">
        <v>25</v>
      </c>
      <c r="D117" s="371">
        <v>150</v>
      </c>
      <c r="E117" s="44">
        <v>2.86</v>
      </c>
      <c r="F117" s="368">
        <f t="shared" si="26"/>
        <v>0.1</v>
      </c>
      <c r="G117" s="180">
        <v>5603</v>
      </c>
      <c r="H117" s="357">
        <f t="shared" si="27"/>
        <v>16025</v>
      </c>
      <c r="I117" s="357">
        <f t="shared" si="27"/>
        <v>560</v>
      </c>
      <c r="K117" s="349"/>
    </row>
    <row r="118" spans="1:11" x14ac:dyDescent="0.2">
      <c r="A118" s="349">
        <f t="shared" si="16"/>
        <v>110</v>
      </c>
      <c r="B118" s="376" t="str">
        <f>+B117</f>
        <v>55E &amp; 56E</v>
      </c>
      <c r="C118" s="352" t="s">
        <v>25</v>
      </c>
      <c r="D118" s="371">
        <v>200</v>
      </c>
      <c r="E118" s="44">
        <v>3.82</v>
      </c>
      <c r="F118" s="368">
        <f t="shared" si="26"/>
        <v>0.13</v>
      </c>
      <c r="G118" s="180">
        <v>11751</v>
      </c>
      <c r="H118" s="357">
        <f t="shared" si="27"/>
        <v>44889</v>
      </c>
      <c r="I118" s="357">
        <f t="shared" si="27"/>
        <v>1528</v>
      </c>
      <c r="K118" s="349"/>
    </row>
    <row r="119" spans="1:11" x14ac:dyDescent="0.2">
      <c r="A119" s="349">
        <f t="shared" si="16"/>
        <v>111</v>
      </c>
      <c r="B119" s="376" t="str">
        <f>+B118</f>
        <v>55E &amp; 56E</v>
      </c>
      <c r="C119" s="352" t="s">
        <v>25</v>
      </c>
      <c r="D119" s="371">
        <v>250</v>
      </c>
      <c r="E119" s="44">
        <v>4.7699999999999996</v>
      </c>
      <c r="F119" s="368">
        <f t="shared" si="26"/>
        <v>0.17</v>
      </c>
      <c r="G119" s="180">
        <v>1233</v>
      </c>
      <c r="H119" s="357">
        <f t="shared" si="27"/>
        <v>5881</v>
      </c>
      <c r="I119" s="357">
        <f t="shared" si="27"/>
        <v>210</v>
      </c>
      <c r="K119" s="349"/>
    </row>
    <row r="120" spans="1:11" x14ac:dyDescent="0.2">
      <c r="A120" s="349">
        <f t="shared" si="16"/>
        <v>112</v>
      </c>
      <c r="B120" s="376" t="str">
        <f>+B119</f>
        <v>55E &amp; 56E</v>
      </c>
      <c r="C120" s="352" t="s">
        <v>25</v>
      </c>
      <c r="D120" s="371">
        <v>400</v>
      </c>
      <c r="E120" s="44">
        <v>7.64</v>
      </c>
      <c r="F120" s="368">
        <f t="shared" si="26"/>
        <v>0.27</v>
      </c>
      <c r="G120" s="180">
        <v>449</v>
      </c>
      <c r="H120" s="357">
        <f t="shared" si="27"/>
        <v>3430</v>
      </c>
      <c r="I120" s="357">
        <f t="shared" si="27"/>
        <v>121</v>
      </c>
      <c r="K120" s="349"/>
    </row>
    <row r="121" spans="1:11" x14ac:dyDescent="0.2">
      <c r="A121" s="349">
        <f t="shared" si="16"/>
        <v>113</v>
      </c>
      <c r="B121" s="376"/>
      <c r="C121" s="352"/>
      <c r="D121" s="371"/>
      <c r="E121" s="44"/>
      <c r="F121" s="368"/>
      <c r="G121" s="180"/>
      <c r="H121" s="352"/>
      <c r="I121" s="352"/>
      <c r="K121" s="349"/>
    </row>
    <row r="122" spans="1:11" x14ac:dyDescent="0.2">
      <c r="A122" s="349">
        <f t="shared" si="16"/>
        <v>114</v>
      </c>
      <c r="B122" s="376" t="str">
        <f>+B120</f>
        <v>55E &amp; 56E</v>
      </c>
      <c r="C122" s="352" t="s">
        <v>53</v>
      </c>
      <c r="D122" s="371">
        <v>250</v>
      </c>
      <c r="E122" s="44">
        <v>4.7699999999999996</v>
      </c>
      <c r="F122" s="368">
        <f>ROUND(+E122*$J$9,2)</f>
        <v>0.17</v>
      </c>
      <c r="G122" s="180">
        <v>82</v>
      </c>
      <c r="H122" s="357">
        <f>ROUND($G122*E122,0)</f>
        <v>391</v>
      </c>
      <c r="I122" s="357">
        <f>ROUND($G122*F122,0)</f>
        <v>14</v>
      </c>
      <c r="K122" s="349"/>
    </row>
    <row r="123" spans="1:11" x14ac:dyDescent="0.2">
      <c r="A123" s="349">
        <f t="shared" si="16"/>
        <v>115</v>
      </c>
      <c r="B123" s="376"/>
      <c r="C123" s="352"/>
      <c r="D123" s="371"/>
      <c r="E123" s="44"/>
      <c r="F123" s="368"/>
      <c r="G123" s="180"/>
      <c r="H123" s="352"/>
      <c r="I123" s="352"/>
      <c r="K123" s="349"/>
    </row>
    <row r="124" spans="1:11" x14ac:dyDescent="0.2">
      <c r="A124" s="349">
        <f t="shared" si="16"/>
        <v>116</v>
      </c>
      <c r="B124" s="376" t="s">
        <v>58</v>
      </c>
      <c r="C124" s="352" t="s">
        <v>41</v>
      </c>
      <c r="D124" s="372" t="s">
        <v>114</v>
      </c>
      <c r="E124" s="44">
        <v>0.28999999999999998</v>
      </c>
      <c r="F124" s="368">
        <f t="shared" ref="F124:F133" si="28">ROUND(+E124*$J$9,2)</f>
        <v>0.01</v>
      </c>
      <c r="G124" s="180">
        <v>1</v>
      </c>
      <c r="H124" s="357">
        <f t="shared" ref="H124:I133" si="29">ROUND($G124*E124,0)</f>
        <v>0</v>
      </c>
      <c r="I124" s="357">
        <f t="shared" si="29"/>
        <v>0</v>
      </c>
      <c r="K124" s="349"/>
    </row>
    <row r="125" spans="1:11" x14ac:dyDescent="0.2">
      <c r="A125" s="349">
        <f t="shared" si="16"/>
        <v>117</v>
      </c>
      <c r="B125" s="376" t="s">
        <v>58</v>
      </c>
      <c r="C125" s="352" t="s">
        <v>41</v>
      </c>
      <c r="D125" s="373" t="s">
        <v>42</v>
      </c>
      <c r="E125" s="44">
        <v>0.86</v>
      </c>
      <c r="F125" s="368">
        <f t="shared" si="28"/>
        <v>0.03</v>
      </c>
      <c r="G125" s="180">
        <v>9533</v>
      </c>
      <c r="H125" s="357">
        <f t="shared" si="29"/>
        <v>8198</v>
      </c>
      <c r="I125" s="357">
        <f t="shared" si="29"/>
        <v>286</v>
      </c>
      <c r="K125" s="349"/>
    </row>
    <row r="126" spans="1:11" x14ac:dyDescent="0.2">
      <c r="A126" s="349">
        <f t="shared" si="16"/>
        <v>118</v>
      </c>
      <c r="B126" s="376" t="s">
        <v>58</v>
      </c>
      <c r="C126" s="352" t="s">
        <v>41</v>
      </c>
      <c r="D126" s="371" t="s">
        <v>43</v>
      </c>
      <c r="E126" s="44">
        <v>1.43</v>
      </c>
      <c r="F126" s="368">
        <f t="shared" si="28"/>
        <v>0.05</v>
      </c>
      <c r="G126" s="180">
        <v>356</v>
      </c>
      <c r="H126" s="357">
        <f t="shared" si="29"/>
        <v>509</v>
      </c>
      <c r="I126" s="357">
        <f t="shared" si="29"/>
        <v>18</v>
      </c>
      <c r="K126" s="349"/>
    </row>
    <row r="127" spans="1:11" x14ac:dyDescent="0.2">
      <c r="A127" s="349">
        <f t="shared" si="16"/>
        <v>119</v>
      </c>
      <c r="B127" s="376" t="s">
        <v>58</v>
      </c>
      <c r="C127" s="352" t="s">
        <v>41</v>
      </c>
      <c r="D127" s="371" t="s">
        <v>44</v>
      </c>
      <c r="E127" s="44">
        <v>2</v>
      </c>
      <c r="F127" s="368">
        <f t="shared" si="28"/>
        <v>7.0000000000000007E-2</v>
      </c>
      <c r="G127" s="180">
        <v>2004</v>
      </c>
      <c r="H127" s="357">
        <f t="shared" si="29"/>
        <v>4008</v>
      </c>
      <c r="I127" s="357">
        <f t="shared" si="29"/>
        <v>140</v>
      </c>
      <c r="K127" s="349"/>
    </row>
    <row r="128" spans="1:11" x14ac:dyDescent="0.2">
      <c r="A128" s="349">
        <f t="shared" si="16"/>
        <v>120</v>
      </c>
      <c r="B128" s="376" t="s">
        <v>58</v>
      </c>
      <c r="C128" s="352" t="s">
        <v>41</v>
      </c>
      <c r="D128" s="371" t="s">
        <v>45</v>
      </c>
      <c r="E128" s="44">
        <v>2.58</v>
      </c>
      <c r="F128" s="368">
        <f t="shared" si="28"/>
        <v>0.09</v>
      </c>
      <c r="G128" s="181">
        <v>0</v>
      </c>
      <c r="H128" s="357">
        <f t="shared" si="29"/>
        <v>0</v>
      </c>
      <c r="I128" s="357">
        <f t="shared" si="29"/>
        <v>0</v>
      </c>
      <c r="K128" s="349"/>
    </row>
    <row r="129" spans="1:13" x14ac:dyDescent="0.2">
      <c r="A129" s="349">
        <f t="shared" si="16"/>
        <v>121</v>
      </c>
      <c r="B129" s="376" t="s">
        <v>58</v>
      </c>
      <c r="C129" s="352" t="s">
        <v>41</v>
      </c>
      <c r="D129" s="371" t="s">
        <v>46</v>
      </c>
      <c r="E129" s="44">
        <v>3.15</v>
      </c>
      <c r="F129" s="368">
        <f t="shared" si="28"/>
        <v>0.11</v>
      </c>
      <c r="G129" s="181">
        <v>0</v>
      </c>
      <c r="H129" s="357">
        <f t="shared" si="29"/>
        <v>0</v>
      </c>
      <c r="I129" s="357">
        <f t="shared" si="29"/>
        <v>0</v>
      </c>
      <c r="K129" s="349"/>
    </row>
    <row r="130" spans="1:13" x14ac:dyDescent="0.2">
      <c r="A130" s="349">
        <f t="shared" si="16"/>
        <v>122</v>
      </c>
      <c r="B130" s="376" t="s">
        <v>58</v>
      </c>
      <c r="C130" s="352" t="s">
        <v>41</v>
      </c>
      <c r="D130" s="371" t="s">
        <v>47</v>
      </c>
      <c r="E130" s="44">
        <v>3.72</v>
      </c>
      <c r="F130" s="368">
        <f t="shared" si="28"/>
        <v>0.13</v>
      </c>
      <c r="G130" s="181">
        <v>0</v>
      </c>
      <c r="H130" s="357">
        <f t="shared" si="29"/>
        <v>0</v>
      </c>
      <c r="I130" s="357">
        <f t="shared" si="29"/>
        <v>0</v>
      </c>
      <c r="K130" s="349"/>
    </row>
    <row r="131" spans="1:13" x14ac:dyDescent="0.2">
      <c r="A131" s="349">
        <f t="shared" si="16"/>
        <v>123</v>
      </c>
      <c r="B131" s="376" t="s">
        <v>58</v>
      </c>
      <c r="C131" s="352" t="s">
        <v>41</v>
      </c>
      <c r="D131" s="371" t="s">
        <v>48</v>
      </c>
      <c r="E131" s="44">
        <v>4.3</v>
      </c>
      <c r="F131" s="368">
        <f t="shared" si="28"/>
        <v>0.15</v>
      </c>
      <c r="G131" s="181">
        <v>0</v>
      </c>
      <c r="H131" s="357">
        <f t="shared" si="29"/>
        <v>0</v>
      </c>
      <c r="I131" s="357">
        <f t="shared" si="29"/>
        <v>0</v>
      </c>
      <c r="K131" s="349"/>
    </row>
    <row r="132" spans="1:13" x14ac:dyDescent="0.2">
      <c r="A132" s="349">
        <f t="shared" si="16"/>
        <v>124</v>
      </c>
      <c r="B132" s="376" t="s">
        <v>58</v>
      </c>
      <c r="C132" s="352" t="s">
        <v>41</v>
      </c>
      <c r="D132" s="371" t="s">
        <v>49</v>
      </c>
      <c r="E132" s="44">
        <v>4.87</v>
      </c>
      <c r="F132" s="368">
        <f t="shared" si="28"/>
        <v>0.17</v>
      </c>
      <c r="G132" s="181">
        <v>0</v>
      </c>
      <c r="H132" s="357">
        <f t="shared" si="29"/>
        <v>0</v>
      </c>
      <c r="I132" s="357">
        <f t="shared" si="29"/>
        <v>0</v>
      </c>
      <c r="K132" s="349"/>
    </row>
    <row r="133" spans="1:13" x14ac:dyDescent="0.2">
      <c r="A133" s="349">
        <f t="shared" si="16"/>
        <v>125</v>
      </c>
      <c r="B133" s="376" t="s">
        <v>58</v>
      </c>
      <c r="C133" s="352" t="s">
        <v>41</v>
      </c>
      <c r="D133" s="371" t="s">
        <v>50</v>
      </c>
      <c r="E133" s="44">
        <v>5.44</v>
      </c>
      <c r="F133" s="368">
        <f t="shared" si="28"/>
        <v>0.19</v>
      </c>
      <c r="G133" s="181">
        <v>0</v>
      </c>
      <c r="H133" s="357">
        <f t="shared" si="29"/>
        <v>0</v>
      </c>
      <c r="I133" s="357">
        <f t="shared" si="29"/>
        <v>0</v>
      </c>
      <c r="K133" s="349"/>
    </row>
    <row r="134" spans="1:13" x14ac:dyDescent="0.2">
      <c r="A134" s="349">
        <f t="shared" si="16"/>
        <v>126</v>
      </c>
      <c r="B134" s="376"/>
      <c r="C134" s="352"/>
      <c r="D134" s="371"/>
      <c r="E134" s="44"/>
      <c r="F134" s="368"/>
      <c r="G134" s="180"/>
      <c r="H134" s="352"/>
      <c r="I134" s="352"/>
      <c r="K134" s="349"/>
    </row>
    <row r="135" spans="1:13" x14ac:dyDescent="0.2">
      <c r="A135" s="349">
        <f t="shared" si="16"/>
        <v>127</v>
      </c>
      <c r="B135" s="350" t="s">
        <v>69</v>
      </c>
      <c r="C135" s="352"/>
      <c r="D135" s="371"/>
      <c r="E135" s="44"/>
      <c r="F135" s="368"/>
      <c r="G135" s="180"/>
      <c r="H135" s="352"/>
      <c r="I135" s="352"/>
      <c r="K135" s="349"/>
    </row>
    <row r="136" spans="1:13" x14ac:dyDescent="0.2">
      <c r="A136" s="349">
        <f t="shared" si="16"/>
        <v>128</v>
      </c>
      <c r="B136" s="376" t="s">
        <v>70</v>
      </c>
      <c r="C136" s="352" t="s">
        <v>71</v>
      </c>
      <c r="D136" s="371">
        <v>0</v>
      </c>
      <c r="E136" s="48">
        <v>3.9829999999999997E-2</v>
      </c>
      <c r="F136" s="377">
        <f>ROUND(+E136*$J$9,5)</f>
        <v>1.41E-3</v>
      </c>
      <c r="G136" s="180">
        <v>6934890</v>
      </c>
      <c r="H136" s="357">
        <f>ROUND($G136*E136,0)</f>
        <v>276217</v>
      </c>
      <c r="I136" s="357">
        <f>ROUND($G136*F136,0)</f>
        <v>9778</v>
      </c>
      <c r="K136" s="349"/>
    </row>
    <row r="137" spans="1:13" x14ac:dyDescent="0.2">
      <c r="A137" s="349">
        <f t="shared" si="16"/>
        <v>129</v>
      </c>
      <c r="B137" s="376"/>
      <c r="C137" s="352"/>
      <c r="D137" s="371"/>
      <c r="E137" s="45"/>
      <c r="F137" s="368"/>
      <c r="G137" s="180"/>
      <c r="H137" s="352"/>
      <c r="I137" s="352"/>
      <c r="K137" s="349"/>
    </row>
    <row r="138" spans="1:13" x14ac:dyDescent="0.2">
      <c r="A138" s="349">
        <f t="shared" si="16"/>
        <v>130</v>
      </c>
      <c r="B138" s="350" t="s">
        <v>59</v>
      </c>
      <c r="C138" s="352"/>
      <c r="D138" s="371"/>
      <c r="E138" s="45"/>
      <c r="F138" s="368"/>
      <c r="G138" s="180"/>
      <c r="H138" s="352"/>
      <c r="I138" s="352"/>
      <c r="K138" s="349"/>
    </row>
    <row r="139" spans="1:13" x14ac:dyDescent="0.2">
      <c r="A139" s="349">
        <f t="shared" ref="A139:A175" si="30">+A138+1</f>
        <v>131</v>
      </c>
      <c r="B139" s="366" t="s">
        <v>60</v>
      </c>
      <c r="C139" s="352" t="s">
        <v>25</v>
      </c>
      <c r="D139" s="371">
        <v>70</v>
      </c>
      <c r="E139" s="44">
        <v>1.34</v>
      </c>
      <c r="F139" s="368">
        <f t="shared" ref="F139:F144" si="31">ROUND(+E139*$J$9,2)</f>
        <v>0.05</v>
      </c>
      <c r="G139" s="180">
        <v>610</v>
      </c>
      <c r="H139" s="357">
        <f t="shared" ref="H139:I144" si="32">ROUND($G139*E139,0)</f>
        <v>817</v>
      </c>
      <c r="I139" s="357">
        <f t="shared" si="32"/>
        <v>31</v>
      </c>
      <c r="K139" s="349"/>
    </row>
    <row r="140" spans="1:13" x14ac:dyDescent="0.2">
      <c r="A140" s="349">
        <f t="shared" si="30"/>
        <v>132</v>
      </c>
      <c r="B140" s="376" t="str">
        <f>+B139</f>
        <v>58E &amp; 59E - Directional</v>
      </c>
      <c r="C140" s="352" t="s">
        <v>25</v>
      </c>
      <c r="D140" s="371">
        <v>100</v>
      </c>
      <c r="E140" s="44">
        <v>1.91</v>
      </c>
      <c r="F140" s="368">
        <f t="shared" si="31"/>
        <v>7.0000000000000007E-2</v>
      </c>
      <c r="G140" s="180">
        <v>121</v>
      </c>
      <c r="H140" s="357">
        <f t="shared" si="32"/>
        <v>231</v>
      </c>
      <c r="I140" s="357">
        <f t="shared" si="32"/>
        <v>8</v>
      </c>
      <c r="K140" s="349"/>
      <c r="M140" s="378"/>
    </row>
    <row r="141" spans="1:13" x14ac:dyDescent="0.2">
      <c r="A141" s="349">
        <f t="shared" si="30"/>
        <v>133</v>
      </c>
      <c r="B141" s="376" t="str">
        <f>+B140</f>
        <v>58E &amp; 59E - Directional</v>
      </c>
      <c r="C141" s="352" t="s">
        <v>25</v>
      </c>
      <c r="D141" s="371">
        <v>150</v>
      </c>
      <c r="E141" s="44">
        <v>2.86</v>
      </c>
      <c r="F141" s="368">
        <f t="shared" si="31"/>
        <v>0.1</v>
      </c>
      <c r="G141" s="180">
        <v>1699</v>
      </c>
      <c r="H141" s="357">
        <f t="shared" si="32"/>
        <v>4859</v>
      </c>
      <c r="I141" s="357">
        <f t="shared" si="32"/>
        <v>170</v>
      </c>
      <c r="K141" s="349"/>
      <c r="M141" s="378"/>
    </row>
    <row r="142" spans="1:13" x14ac:dyDescent="0.2">
      <c r="A142" s="349">
        <f t="shared" si="30"/>
        <v>134</v>
      </c>
      <c r="B142" s="376" t="str">
        <f>+B141</f>
        <v>58E &amp; 59E - Directional</v>
      </c>
      <c r="C142" s="352" t="s">
        <v>25</v>
      </c>
      <c r="D142" s="371">
        <v>200</v>
      </c>
      <c r="E142" s="44">
        <v>3.82</v>
      </c>
      <c r="F142" s="368">
        <f t="shared" si="31"/>
        <v>0.13</v>
      </c>
      <c r="G142" s="180">
        <v>3055</v>
      </c>
      <c r="H142" s="357">
        <f t="shared" si="32"/>
        <v>11670</v>
      </c>
      <c r="I142" s="357">
        <f t="shared" si="32"/>
        <v>397</v>
      </c>
      <c r="K142" s="349"/>
      <c r="M142" s="378"/>
    </row>
    <row r="143" spans="1:13" x14ac:dyDescent="0.2">
      <c r="A143" s="349">
        <f t="shared" si="30"/>
        <v>135</v>
      </c>
      <c r="B143" s="376" t="str">
        <f>+B142</f>
        <v>58E &amp; 59E - Directional</v>
      </c>
      <c r="C143" s="352" t="s">
        <v>25</v>
      </c>
      <c r="D143" s="371">
        <v>250</v>
      </c>
      <c r="E143" s="44">
        <v>4.7699999999999996</v>
      </c>
      <c r="F143" s="368">
        <f t="shared" si="31"/>
        <v>0.17</v>
      </c>
      <c r="G143" s="180">
        <v>456</v>
      </c>
      <c r="H143" s="357">
        <f t="shared" si="32"/>
        <v>2175</v>
      </c>
      <c r="I143" s="357">
        <f t="shared" si="32"/>
        <v>78</v>
      </c>
      <c r="K143" s="349"/>
      <c r="M143" s="378"/>
    </row>
    <row r="144" spans="1:13" x14ac:dyDescent="0.2">
      <c r="A144" s="349">
        <f t="shared" si="30"/>
        <v>136</v>
      </c>
      <c r="B144" s="376" t="str">
        <f>+B143</f>
        <v>58E &amp; 59E - Directional</v>
      </c>
      <c r="C144" s="352" t="s">
        <v>25</v>
      </c>
      <c r="D144" s="371">
        <v>400</v>
      </c>
      <c r="E144" s="44">
        <v>7.64</v>
      </c>
      <c r="F144" s="368">
        <f t="shared" si="31"/>
        <v>0.27</v>
      </c>
      <c r="G144" s="180">
        <v>3997</v>
      </c>
      <c r="H144" s="357">
        <f t="shared" si="32"/>
        <v>30537</v>
      </c>
      <c r="I144" s="357">
        <f t="shared" si="32"/>
        <v>1079</v>
      </c>
      <c r="K144" s="349"/>
      <c r="M144" s="378"/>
    </row>
    <row r="145" spans="1:13" x14ac:dyDescent="0.2">
      <c r="A145" s="349">
        <f t="shared" si="30"/>
        <v>137</v>
      </c>
      <c r="B145" s="376"/>
      <c r="C145" s="352"/>
      <c r="D145" s="371"/>
      <c r="E145" s="45"/>
      <c r="F145" s="368"/>
      <c r="G145" s="180"/>
      <c r="H145" s="352"/>
      <c r="I145" s="352"/>
      <c r="K145" s="349"/>
      <c r="M145" s="378"/>
    </row>
    <row r="146" spans="1:13" x14ac:dyDescent="0.2">
      <c r="A146" s="349">
        <f t="shared" si="30"/>
        <v>138</v>
      </c>
      <c r="B146" s="366" t="s">
        <v>61</v>
      </c>
      <c r="C146" s="352" t="s">
        <v>25</v>
      </c>
      <c r="D146" s="371">
        <v>100</v>
      </c>
      <c r="E146" s="44">
        <v>1.91</v>
      </c>
      <c r="F146" s="368">
        <f>ROUND(+E146*$J$9,2)</f>
        <v>7.0000000000000007E-2</v>
      </c>
      <c r="G146" s="181">
        <v>0</v>
      </c>
      <c r="H146" s="357">
        <f>ROUND($G146*E146,0)</f>
        <v>0</v>
      </c>
      <c r="I146" s="357">
        <f t="shared" ref="I146:I150" si="33">ROUND($G146*F146,0)</f>
        <v>0</v>
      </c>
      <c r="K146" s="349"/>
      <c r="M146" s="378"/>
    </row>
    <row r="147" spans="1:13" x14ac:dyDescent="0.2">
      <c r="A147" s="349">
        <f t="shared" si="30"/>
        <v>139</v>
      </c>
      <c r="B147" s="376" t="str">
        <f>B146</f>
        <v>58E &amp; 59E - Horizontal</v>
      </c>
      <c r="C147" s="352" t="s">
        <v>25</v>
      </c>
      <c r="D147" s="371">
        <v>150</v>
      </c>
      <c r="E147" s="44">
        <v>2.86</v>
      </c>
      <c r="F147" s="368">
        <f>ROUND(+E147*$J$9,2)</f>
        <v>0.1</v>
      </c>
      <c r="G147" s="180">
        <v>168</v>
      </c>
      <c r="H147" s="357">
        <f>ROUND($G147*E147,0)</f>
        <v>480</v>
      </c>
      <c r="I147" s="357">
        <f t="shared" si="33"/>
        <v>17</v>
      </c>
      <c r="K147" s="349"/>
      <c r="M147" s="378"/>
    </row>
    <row r="148" spans="1:13" x14ac:dyDescent="0.2">
      <c r="A148" s="349">
        <f t="shared" si="30"/>
        <v>140</v>
      </c>
      <c r="B148" s="376" t="str">
        <f>B147</f>
        <v>58E &amp; 59E - Horizontal</v>
      </c>
      <c r="C148" s="352" t="s">
        <v>25</v>
      </c>
      <c r="D148" s="371">
        <v>200</v>
      </c>
      <c r="E148" s="44">
        <v>3.82</v>
      </c>
      <c r="F148" s="368">
        <f>ROUND(+E148*$J$9,2)</f>
        <v>0.13</v>
      </c>
      <c r="G148" s="180">
        <v>95</v>
      </c>
      <c r="H148" s="357">
        <f>ROUND($G148*E148,0)</f>
        <v>363</v>
      </c>
      <c r="I148" s="357">
        <f t="shared" si="33"/>
        <v>12</v>
      </c>
      <c r="K148" s="349"/>
      <c r="M148" s="378"/>
    </row>
    <row r="149" spans="1:13" x14ac:dyDescent="0.2">
      <c r="A149" s="349">
        <f t="shared" si="30"/>
        <v>141</v>
      </c>
      <c r="B149" s="376" t="str">
        <f>B148</f>
        <v>58E &amp; 59E - Horizontal</v>
      </c>
      <c r="C149" s="352" t="s">
        <v>25</v>
      </c>
      <c r="D149" s="371">
        <v>250</v>
      </c>
      <c r="E149" s="44">
        <v>4.7699999999999996</v>
      </c>
      <c r="F149" s="368">
        <f>ROUND(+E149*$J$9,2)</f>
        <v>0.17</v>
      </c>
      <c r="G149" s="180">
        <v>377</v>
      </c>
      <c r="H149" s="357">
        <f>ROUND($G149*E149,0)</f>
        <v>1798</v>
      </c>
      <c r="I149" s="357">
        <f t="shared" si="33"/>
        <v>64</v>
      </c>
      <c r="K149" s="349"/>
      <c r="M149" s="378"/>
    </row>
    <row r="150" spans="1:13" x14ac:dyDescent="0.2">
      <c r="A150" s="349">
        <f t="shared" si="30"/>
        <v>142</v>
      </c>
      <c r="B150" s="376" t="str">
        <f>B149</f>
        <v>58E &amp; 59E - Horizontal</v>
      </c>
      <c r="C150" s="352" t="s">
        <v>25</v>
      </c>
      <c r="D150" s="371">
        <v>400</v>
      </c>
      <c r="E150" s="44">
        <v>7.64</v>
      </c>
      <c r="F150" s="368">
        <f>ROUND(+E150*$J$9,2)</f>
        <v>0.27</v>
      </c>
      <c r="G150" s="180">
        <v>502</v>
      </c>
      <c r="H150" s="357">
        <f>ROUND($G150*E150,0)</f>
        <v>3835</v>
      </c>
      <c r="I150" s="357">
        <f t="shared" si="33"/>
        <v>136</v>
      </c>
      <c r="K150" s="349"/>
      <c r="M150" s="378"/>
    </row>
    <row r="151" spans="1:13" x14ac:dyDescent="0.2">
      <c r="A151" s="349">
        <f t="shared" si="30"/>
        <v>143</v>
      </c>
      <c r="B151" s="376"/>
      <c r="C151" s="352"/>
      <c r="D151" s="371"/>
      <c r="E151" s="44"/>
      <c r="F151" s="368"/>
      <c r="G151" s="180"/>
      <c r="H151" s="352"/>
      <c r="I151" s="352"/>
      <c r="K151" s="349"/>
      <c r="M151" s="378"/>
    </row>
    <row r="152" spans="1:13" x14ac:dyDescent="0.2">
      <c r="A152" s="349">
        <f t="shared" si="30"/>
        <v>144</v>
      </c>
      <c r="B152" s="376" t="str">
        <f>B140</f>
        <v>58E &amp; 59E - Directional</v>
      </c>
      <c r="C152" s="352" t="s">
        <v>53</v>
      </c>
      <c r="D152" s="371">
        <v>175</v>
      </c>
      <c r="E152" s="44">
        <v>3.34</v>
      </c>
      <c r="F152" s="368">
        <f>ROUND(+E152*$J$9,2)</f>
        <v>0.12</v>
      </c>
      <c r="G152" s="180">
        <v>36</v>
      </c>
      <c r="H152" s="357">
        <f>ROUND($G152*E152,0)</f>
        <v>120</v>
      </c>
      <c r="I152" s="357">
        <f t="shared" ref="I152:I155" si="34">ROUND($G152*F152,0)</f>
        <v>4</v>
      </c>
      <c r="K152" s="349"/>
      <c r="M152" s="378"/>
    </row>
    <row r="153" spans="1:13" x14ac:dyDescent="0.2">
      <c r="A153" s="349">
        <f t="shared" si="30"/>
        <v>145</v>
      </c>
      <c r="B153" s="376" t="str">
        <f>B152</f>
        <v>58E &amp; 59E - Directional</v>
      </c>
      <c r="C153" s="352" t="s">
        <v>53</v>
      </c>
      <c r="D153" s="371">
        <v>250</v>
      </c>
      <c r="E153" s="44">
        <v>4.7699999999999996</v>
      </c>
      <c r="F153" s="368">
        <f>ROUND(+E153*$J$9,2)</f>
        <v>0.17</v>
      </c>
      <c r="G153" s="180">
        <v>189</v>
      </c>
      <c r="H153" s="357">
        <f>ROUND($G153*E153,0)</f>
        <v>902</v>
      </c>
      <c r="I153" s="357">
        <f t="shared" si="34"/>
        <v>32</v>
      </c>
      <c r="K153" s="349"/>
      <c r="M153" s="378"/>
    </row>
    <row r="154" spans="1:13" x14ac:dyDescent="0.2">
      <c r="A154" s="349">
        <f t="shared" si="30"/>
        <v>146</v>
      </c>
      <c r="B154" s="376" t="str">
        <f>B153</f>
        <v>58E &amp; 59E - Directional</v>
      </c>
      <c r="C154" s="352" t="s">
        <v>53</v>
      </c>
      <c r="D154" s="371">
        <v>400</v>
      </c>
      <c r="E154" s="44">
        <v>7.64</v>
      </c>
      <c r="F154" s="368">
        <f>ROUND(+E154*$J$9,2)</f>
        <v>0.27</v>
      </c>
      <c r="G154" s="180">
        <v>928</v>
      </c>
      <c r="H154" s="357">
        <f>ROUND($G154*E154,0)</f>
        <v>7090</v>
      </c>
      <c r="I154" s="357">
        <f t="shared" si="34"/>
        <v>251</v>
      </c>
      <c r="K154" s="349"/>
      <c r="M154" s="378"/>
    </row>
    <row r="155" spans="1:13" x14ac:dyDescent="0.2">
      <c r="A155" s="349">
        <f t="shared" si="30"/>
        <v>147</v>
      </c>
      <c r="B155" s="376" t="str">
        <f>B154</f>
        <v>58E &amp; 59E - Directional</v>
      </c>
      <c r="C155" s="352" t="s">
        <v>53</v>
      </c>
      <c r="D155" s="371">
        <v>1000</v>
      </c>
      <c r="E155" s="44">
        <v>19.09</v>
      </c>
      <c r="F155" s="368">
        <f>ROUND(+E155*$J$9,2)</f>
        <v>0.67</v>
      </c>
      <c r="G155" s="180">
        <v>1385</v>
      </c>
      <c r="H155" s="357">
        <f>ROUND($G155*E155,0)</f>
        <v>26440</v>
      </c>
      <c r="I155" s="357">
        <f t="shared" si="34"/>
        <v>928</v>
      </c>
      <c r="K155" s="349"/>
      <c r="M155" s="378"/>
    </row>
    <row r="156" spans="1:13" x14ac:dyDescent="0.2">
      <c r="A156" s="349">
        <f t="shared" si="30"/>
        <v>148</v>
      </c>
      <c r="B156" s="376"/>
      <c r="C156" s="352"/>
      <c r="D156" s="371"/>
      <c r="E156" s="44"/>
      <c r="F156" s="368"/>
      <c r="G156" s="180"/>
      <c r="H156" s="352"/>
      <c r="I156" s="352"/>
      <c r="K156" s="349"/>
      <c r="M156" s="378"/>
    </row>
    <row r="157" spans="1:13" x14ac:dyDescent="0.2">
      <c r="A157" s="349">
        <f t="shared" si="30"/>
        <v>149</v>
      </c>
      <c r="B157" s="376" t="str">
        <f>B146</f>
        <v>58E &amp; 59E - Horizontal</v>
      </c>
      <c r="C157" s="352" t="s">
        <v>53</v>
      </c>
      <c r="D157" s="371">
        <v>250</v>
      </c>
      <c r="E157" s="44">
        <v>4.7699999999999996</v>
      </c>
      <c r="F157" s="368">
        <f>ROUND(+E157*$J$9,2)</f>
        <v>0.17</v>
      </c>
      <c r="G157" s="180">
        <v>86</v>
      </c>
      <c r="H157" s="357">
        <f>ROUND($G157*E157,0)</f>
        <v>410</v>
      </c>
      <c r="I157" s="357">
        <f t="shared" ref="I157:I158" si="35">ROUND($G157*F157,0)</f>
        <v>15</v>
      </c>
      <c r="K157" s="349"/>
      <c r="M157" s="378"/>
    </row>
    <row r="158" spans="1:13" x14ac:dyDescent="0.2">
      <c r="A158" s="349">
        <f t="shared" si="30"/>
        <v>150</v>
      </c>
      <c r="B158" s="376" t="str">
        <f>B157</f>
        <v>58E &amp; 59E - Horizontal</v>
      </c>
      <c r="C158" s="352" t="s">
        <v>53</v>
      </c>
      <c r="D158" s="371">
        <v>400</v>
      </c>
      <c r="E158" s="44">
        <v>7.64</v>
      </c>
      <c r="F158" s="368">
        <f>ROUND(+E158*$J$9,2)</f>
        <v>0.27</v>
      </c>
      <c r="G158" s="180">
        <v>468</v>
      </c>
      <c r="H158" s="357">
        <f>ROUND($G158*E158,0)</f>
        <v>3576</v>
      </c>
      <c r="I158" s="357">
        <f t="shared" si="35"/>
        <v>126</v>
      </c>
      <c r="K158" s="349"/>
    </row>
    <row r="159" spans="1:13" x14ac:dyDescent="0.2">
      <c r="A159" s="349">
        <f t="shared" si="30"/>
        <v>151</v>
      </c>
      <c r="B159" s="376"/>
      <c r="C159" s="352"/>
      <c r="D159" s="371"/>
      <c r="E159" s="44"/>
      <c r="F159" s="368"/>
      <c r="G159" s="180"/>
      <c r="H159" s="352"/>
      <c r="I159" s="352"/>
      <c r="K159" s="349"/>
    </row>
    <row r="160" spans="1:13" x14ac:dyDescent="0.2">
      <c r="A160" s="349">
        <f t="shared" si="30"/>
        <v>152</v>
      </c>
      <c r="B160" s="376" t="s">
        <v>62</v>
      </c>
      <c r="C160" s="352" t="s">
        <v>41</v>
      </c>
      <c r="D160" s="372" t="s">
        <v>114</v>
      </c>
      <c r="E160" s="44">
        <v>0.28999999999999998</v>
      </c>
      <c r="F160" s="368">
        <f t="shared" ref="F160:F175" si="36">ROUND(+E160*$J$9,2)</f>
        <v>0.01</v>
      </c>
      <c r="G160" s="182">
        <v>0</v>
      </c>
      <c r="H160" s="357">
        <f t="shared" ref="H160:I175" si="37">ROUND($G160*E160,0)</f>
        <v>0</v>
      </c>
      <c r="I160" s="357">
        <f t="shared" si="37"/>
        <v>0</v>
      </c>
      <c r="K160" s="349"/>
    </row>
    <row r="161" spans="1:11" x14ac:dyDescent="0.2">
      <c r="A161" s="349">
        <f t="shared" si="30"/>
        <v>153</v>
      </c>
      <c r="B161" s="376" t="s">
        <v>62</v>
      </c>
      <c r="C161" s="352" t="s">
        <v>41</v>
      </c>
      <c r="D161" s="373" t="s">
        <v>115</v>
      </c>
      <c r="E161" s="44">
        <v>0.86</v>
      </c>
      <c r="F161" s="368">
        <f t="shared" si="36"/>
        <v>0.03</v>
      </c>
      <c r="G161" s="180">
        <v>58</v>
      </c>
      <c r="H161" s="357">
        <f t="shared" si="37"/>
        <v>50</v>
      </c>
      <c r="I161" s="357">
        <f t="shared" si="37"/>
        <v>2</v>
      </c>
      <c r="K161" s="349"/>
    </row>
    <row r="162" spans="1:11" x14ac:dyDescent="0.2">
      <c r="A162" s="349">
        <f t="shared" si="30"/>
        <v>154</v>
      </c>
      <c r="B162" s="376" t="str">
        <f t="shared" ref="B162:B175" si="38">B161</f>
        <v>58E &amp; 59E</v>
      </c>
      <c r="C162" s="352" t="s">
        <v>41</v>
      </c>
      <c r="D162" s="371" t="s">
        <v>43</v>
      </c>
      <c r="E162" s="44">
        <v>1.43</v>
      </c>
      <c r="F162" s="368">
        <f t="shared" si="36"/>
        <v>0.05</v>
      </c>
      <c r="G162" s="180">
        <v>843</v>
      </c>
      <c r="H162" s="357">
        <f t="shared" si="37"/>
        <v>1205</v>
      </c>
      <c r="I162" s="357">
        <f t="shared" si="37"/>
        <v>42</v>
      </c>
      <c r="K162" s="349"/>
    </row>
    <row r="163" spans="1:11" x14ac:dyDescent="0.2">
      <c r="A163" s="349">
        <f t="shared" si="30"/>
        <v>155</v>
      </c>
      <c r="B163" s="376" t="str">
        <f t="shared" si="38"/>
        <v>58E &amp; 59E</v>
      </c>
      <c r="C163" s="352" t="s">
        <v>41</v>
      </c>
      <c r="D163" s="371" t="s">
        <v>44</v>
      </c>
      <c r="E163" s="44">
        <v>2</v>
      </c>
      <c r="F163" s="368">
        <f t="shared" si="36"/>
        <v>7.0000000000000007E-2</v>
      </c>
      <c r="G163" s="180">
        <v>196</v>
      </c>
      <c r="H163" s="357">
        <f t="shared" si="37"/>
        <v>392</v>
      </c>
      <c r="I163" s="357">
        <f t="shared" si="37"/>
        <v>14</v>
      </c>
      <c r="K163" s="349"/>
    </row>
    <row r="164" spans="1:11" x14ac:dyDescent="0.2">
      <c r="A164" s="349">
        <f t="shared" si="30"/>
        <v>156</v>
      </c>
      <c r="B164" s="376" t="str">
        <f t="shared" si="38"/>
        <v>58E &amp; 59E</v>
      </c>
      <c r="C164" s="352" t="s">
        <v>41</v>
      </c>
      <c r="D164" s="371" t="s">
        <v>45</v>
      </c>
      <c r="E164" s="44">
        <v>2.58</v>
      </c>
      <c r="F164" s="368">
        <f t="shared" si="36"/>
        <v>0.09</v>
      </c>
      <c r="G164" s="180">
        <v>1740</v>
      </c>
      <c r="H164" s="357">
        <f t="shared" si="37"/>
        <v>4489</v>
      </c>
      <c r="I164" s="357">
        <f t="shared" si="37"/>
        <v>157</v>
      </c>
      <c r="K164" s="349"/>
    </row>
    <row r="165" spans="1:11" x14ac:dyDescent="0.2">
      <c r="A165" s="349">
        <f t="shared" si="30"/>
        <v>157</v>
      </c>
      <c r="B165" s="376" t="str">
        <f t="shared" si="38"/>
        <v>58E &amp; 59E</v>
      </c>
      <c r="C165" s="352" t="s">
        <v>41</v>
      </c>
      <c r="D165" s="371" t="s">
        <v>46</v>
      </c>
      <c r="E165" s="44">
        <v>3.15</v>
      </c>
      <c r="F165" s="368">
        <f t="shared" si="36"/>
        <v>0.11</v>
      </c>
      <c r="G165" s="180">
        <v>356</v>
      </c>
      <c r="H165" s="357">
        <f t="shared" si="37"/>
        <v>1121</v>
      </c>
      <c r="I165" s="357">
        <f t="shared" si="37"/>
        <v>39</v>
      </c>
      <c r="K165" s="349"/>
    </row>
    <row r="166" spans="1:11" x14ac:dyDescent="0.2">
      <c r="A166" s="349">
        <f t="shared" si="30"/>
        <v>158</v>
      </c>
      <c r="B166" s="376" t="str">
        <f t="shared" si="38"/>
        <v>58E &amp; 59E</v>
      </c>
      <c r="C166" s="352" t="s">
        <v>41</v>
      </c>
      <c r="D166" s="371" t="s">
        <v>47</v>
      </c>
      <c r="E166" s="44">
        <v>3.72</v>
      </c>
      <c r="F166" s="368">
        <f t="shared" si="36"/>
        <v>0.13</v>
      </c>
      <c r="G166" s="182">
        <v>0</v>
      </c>
      <c r="H166" s="357">
        <f t="shared" si="37"/>
        <v>0</v>
      </c>
      <c r="I166" s="357">
        <f t="shared" si="37"/>
        <v>0</v>
      </c>
      <c r="K166" s="349"/>
    </row>
    <row r="167" spans="1:11" x14ac:dyDescent="0.2">
      <c r="A167" s="349">
        <f t="shared" si="30"/>
        <v>159</v>
      </c>
      <c r="B167" s="376" t="str">
        <f t="shared" si="38"/>
        <v>58E &amp; 59E</v>
      </c>
      <c r="C167" s="352" t="s">
        <v>41</v>
      </c>
      <c r="D167" s="371" t="s">
        <v>48</v>
      </c>
      <c r="E167" s="44">
        <v>4.3</v>
      </c>
      <c r="F167" s="368">
        <f t="shared" si="36"/>
        <v>0.15</v>
      </c>
      <c r="G167" s="180">
        <v>180</v>
      </c>
      <c r="H167" s="357">
        <f t="shared" si="37"/>
        <v>774</v>
      </c>
      <c r="I167" s="357">
        <f t="shared" si="37"/>
        <v>27</v>
      </c>
      <c r="K167" s="349"/>
    </row>
    <row r="168" spans="1:11" x14ac:dyDescent="0.2">
      <c r="A168" s="349">
        <f t="shared" si="30"/>
        <v>160</v>
      </c>
      <c r="B168" s="376" t="str">
        <f t="shared" si="38"/>
        <v>58E &amp; 59E</v>
      </c>
      <c r="C168" s="352" t="s">
        <v>41</v>
      </c>
      <c r="D168" s="371" t="s">
        <v>49</v>
      </c>
      <c r="E168" s="44">
        <v>4.87</v>
      </c>
      <c r="F168" s="368">
        <f t="shared" si="36"/>
        <v>0.17</v>
      </c>
      <c r="G168" s="180">
        <v>264</v>
      </c>
      <c r="H168" s="357">
        <f t="shared" si="37"/>
        <v>1286</v>
      </c>
      <c r="I168" s="357">
        <f t="shared" si="37"/>
        <v>45</v>
      </c>
      <c r="K168" s="349"/>
    </row>
    <row r="169" spans="1:11" x14ac:dyDescent="0.2">
      <c r="A169" s="349">
        <f t="shared" si="30"/>
        <v>161</v>
      </c>
      <c r="B169" s="376" t="str">
        <f t="shared" si="38"/>
        <v>58E &amp; 59E</v>
      </c>
      <c r="C169" s="352" t="s">
        <v>41</v>
      </c>
      <c r="D169" s="371" t="s">
        <v>50</v>
      </c>
      <c r="E169" s="44">
        <v>5.44</v>
      </c>
      <c r="F169" s="368">
        <f t="shared" si="36"/>
        <v>0.19</v>
      </c>
      <c r="G169" s="182">
        <v>0</v>
      </c>
      <c r="H169" s="357">
        <f t="shared" si="37"/>
        <v>0</v>
      </c>
      <c r="I169" s="357">
        <f t="shared" si="37"/>
        <v>0</v>
      </c>
      <c r="K169" s="349"/>
    </row>
    <row r="170" spans="1:11" x14ac:dyDescent="0.2">
      <c r="A170" s="349">
        <f t="shared" si="30"/>
        <v>162</v>
      </c>
      <c r="B170" s="376" t="str">
        <f t="shared" si="38"/>
        <v>58E &amp; 59E</v>
      </c>
      <c r="C170" s="352" t="s">
        <v>41</v>
      </c>
      <c r="D170" s="371" t="s">
        <v>63</v>
      </c>
      <c r="E170" s="44">
        <v>6.68</v>
      </c>
      <c r="F170" s="368">
        <f t="shared" si="36"/>
        <v>0.24</v>
      </c>
      <c r="G170" s="182">
        <v>0</v>
      </c>
      <c r="H170" s="357">
        <f t="shared" si="37"/>
        <v>0</v>
      </c>
      <c r="I170" s="357">
        <f t="shared" si="37"/>
        <v>0</v>
      </c>
      <c r="K170" s="349"/>
    </row>
    <row r="171" spans="1:11" x14ac:dyDescent="0.2">
      <c r="A171" s="349">
        <f t="shared" si="30"/>
        <v>163</v>
      </c>
      <c r="B171" s="376" t="str">
        <f t="shared" si="38"/>
        <v>58E &amp; 59E</v>
      </c>
      <c r="C171" s="352" t="s">
        <v>41</v>
      </c>
      <c r="D171" s="371" t="s">
        <v>64</v>
      </c>
      <c r="E171" s="44">
        <v>8.59</v>
      </c>
      <c r="F171" s="368">
        <f t="shared" si="36"/>
        <v>0.3</v>
      </c>
      <c r="G171" s="182">
        <v>0</v>
      </c>
      <c r="H171" s="357">
        <f t="shared" si="37"/>
        <v>0</v>
      </c>
      <c r="I171" s="357">
        <f t="shared" si="37"/>
        <v>0</v>
      </c>
      <c r="K171" s="349"/>
    </row>
    <row r="172" spans="1:11" x14ac:dyDescent="0.2">
      <c r="A172" s="349">
        <f t="shared" si="30"/>
        <v>164</v>
      </c>
      <c r="B172" s="376" t="str">
        <f t="shared" si="38"/>
        <v>58E &amp; 59E</v>
      </c>
      <c r="C172" s="352" t="s">
        <v>41</v>
      </c>
      <c r="D172" s="371" t="s">
        <v>65</v>
      </c>
      <c r="E172" s="44">
        <v>10.5</v>
      </c>
      <c r="F172" s="368">
        <f t="shared" si="36"/>
        <v>0.37</v>
      </c>
      <c r="G172" s="182">
        <v>0</v>
      </c>
      <c r="H172" s="357">
        <f t="shared" si="37"/>
        <v>0</v>
      </c>
      <c r="I172" s="357">
        <f t="shared" si="37"/>
        <v>0</v>
      </c>
      <c r="K172" s="349"/>
    </row>
    <row r="173" spans="1:11" x14ac:dyDescent="0.2">
      <c r="A173" s="349">
        <f t="shared" si="30"/>
        <v>165</v>
      </c>
      <c r="B173" s="376" t="str">
        <f t="shared" si="38"/>
        <v>58E &amp; 59E</v>
      </c>
      <c r="C173" s="352" t="s">
        <v>41</v>
      </c>
      <c r="D173" s="371" t="s">
        <v>66</v>
      </c>
      <c r="E173" s="44">
        <v>12.41</v>
      </c>
      <c r="F173" s="368">
        <f t="shared" si="36"/>
        <v>0.44</v>
      </c>
      <c r="G173" s="182">
        <v>0</v>
      </c>
      <c r="H173" s="357">
        <f t="shared" si="37"/>
        <v>0</v>
      </c>
      <c r="I173" s="357">
        <f t="shared" si="37"/>
        <v>0</v>
      </c>
      <c r="K173" s="349"/>
    </row>
    <row r="174" spans="1:11" x14ac:dyDescent="0.2">
      <c r="A174" s="349">
        <f t="shared" si="30"/>
        <v>166</v>
      </c>
      <c r="B174" s="376" t="str">
        <f t="shared" si="38"/>
        <v>58E &amp; 59E</v>
      </c>
      <c r="C174" s="352" t="s">
        <v>41</v>
      </c>
      <c r="D174" s="371" t="s">
        <v>67</v>
      </c>
      <c r="E174" s="44">
        <v>14.32</v>
      </c>
      <c r="F174" s="368">
        <f t="shared" si="36"/>
        <v>0.51</v>
      </c>
      <c r="G174" s="182">
        <v>0</v>
      </c>
      <c r="H174" s="357">
        <f t="shared" si="37"/>
        <v>0</v>
      </c>
      <c r="I174" s="357">
        <f t="shared" si="37"/>
        <v>0</v>
      </c>
      <c r="K174" s="349"/>
    </row>
    <row r="175" spans="1:11" x14ac:dyDescent="0.2">
      <c r="A175" s="349">
        <f t="shared" si="30"/>
        <v>167</v>
      </c>
      <c r="B175" s="376" t="str">
        <f t="shared" si="38"/>
        <v>58E &amp; 59E</v>
      </c>
      <c r="C175" s="352" t="s">
        <v>41</v>
      </c>
      <c r="D175" s="371" t="s">
        <v>68</v>
      </c>
      <c r="E175" s="44">
        <v>16.23</v>
      </c>
      <c r="F175" s="368">
        <f t="shared" si="36"/>
        <v>0.56999999999999995</v>
      </c>
      <c r="G175" s="182">
        <v>0</v>
      </c>
      <c r="H175" s="357">
        <f t="shared" si="37"/>
        <v>0</v>
      </c>
      <c r="I175" s="357">
        <f t="shared" si="37"/>
        <v>0</v>
      </c>
      <c r="K175" s="349"/>
    </row>
    <row r="176" spans="1:11" ht="12" thickBot="1" x14ac:dyDescent="0.25">
      <c r="F176" s="379"/>
      <c r="G176" s="183"/>
      <c r="K176" s="349"/>
    </row>
    <row r="177" spans="7:11" x14ac:dyDescent="0.2">
      <c r="G177" s="184">
        <v>0</v>
      </c>
      <c r="H177" s="365" t="s">
        <v>90</v>
      </c>
      <c r="K177" s="349"/>
    </row>
    <row r="178" spans="7:11" x14ac:dyDescent="0.2">
      <c r="G178" s="365"/>
    </row>
    <row r="179" spans="7:11" x14ac:dyDescent="0.2">
      <c r="K179" s="349"/>
    </row>
    <row r="180" spans="7:11" x14ac:dyDescent="0.2">
      <c r="K180" s="349"/>
    </row>
    <row r="181" spans="7:11" x14ac:dyDescent="0.2">
      <c r="K181" s="349"/>
    </row>
    <row r="182" spans="7:11" x14ac:dyDescent="0.2">
      <c r="G182" s="352"/>
      <c r="K182" s="349"/>
    </row>
    <row r="183" spans="7:11" x14ac:dyDescent="0.2">
      <c r="K183" s="349"/>
    </row>
  </sheetData>
  <mergeCells count="5">
    <mergeCell ref="A1:J1"/>
    <mergeCell ref="A2:J2"/>
    <mergeCell ref="A3:J3"/>
    <mergeCell ref="A4:J4"/>
    <mergeCell ref="B5:F5"/>
  </mergeCells>
  <printOptions horizontalCentered="1"/>
  <pageMargins left="0.7" right="0.7" top="0.75" bottom="0.75" header="0.3" footer="0.3"/>
  <pageSetup scale="55" fitToHeight="0" orientation="landscape" r:id="rId1"/>
  <headerFooter alignWithMargins="0">
    <oddHeader>&amp;RAdvice No. 2022-xx
Electric Schedule 120 Rate Design Workpapers
Page &amp;P of &amp;N</oddHeader>
    <oddFooter>&amp;L&amp;F
&amp;A&amp;R&amp;D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40"/>
  <sheetViews>
    <sheetView topLeftCell="M1" zoomScaleNormal="100" workbookViewId="0">
      <pane ySplit="7" topLeftCell="A23" activePane="bottomLeft" state="frozen"/>
      <selection pane="bottomLeft" activeCell="Y34" sqref="Y34"/>
    </sheetView>
  </sheetViews>
  <sheetFormatPr defaultColWidth="17.140625" defaultRowHeight="11.25" x14ac:dyDescent="0.2"/>
  <cols>
    <col min="1" max="1" width="5.140625" style="14" customWidth="1"/>
    <col min="2" max="2" width="17.42578125" style="14" bestFit="1" customWidth="1"/>
    <col min="3" max="3" width="15.5703125" style="14" bestFit="1" customWidth="1"/>
    <col min="4" max="4" width="14.85546875" style="14" bestFit="1" customWidth="1"/>
    <col min="5" max="5" width="12.42578125" style="14" bestFit="1" customWidth="1"/>
    <col min="6" max="6" width="10.42578125" style="14" bestFit="1" customWidth="1"/>
    <col min="7" max="7" width="11.28515625" style="14" customWidth="1"/>
    <col min="8" max="8" width="11.5703125" style="14" bestFit="1" customWidth="1"/>
    <col min="9" max="9" width="11.28515625" style="14" bestFit="1" customWidth="1"/>
    <col min="10" max="10" width="12.28515625" style="14" bestFit="1" customWidth="1"/>
    <col min="11" max="11" width="12.7109375" style="14" customWidth="1"/>
    <col min="12" max="12" width="13.42578125" style="14" customWidth="1"/>
    <col min="13" max="13" width="11.28515625" style="14" bestFit="1" customWidth="1"/>
    <col min="14" max="14" width="12.5703125" style="14" bestFit="1" customWidth="1"/>
    <col min="15" max="15" width="13.85546875" style="14" bestFit="1" customWidth="1"/>
    <col min="16" max="16" width="13" style="14" customWidth="1"/>
    <col min="17" max="17" width="13.140625" style="14" customWidth="1"/>
    <col min="18" max="18" width="12.28515625" style="14" bestFit="1" customWidth="1"/>
    <col min="19" max="19" width="12.85546875" style="14" customWidth="1"/>
    <col min="20" max="20" width="12.28515625" style="14" bestFit="1" customWidth="1"/>
    <col min="21" max="21" width="11.28515625" style="14" bestFit="1" customWidth="1"/>
    <col min="22" max="22" width="11.85546875" style="14" bestFit="1" customWidth="1"/>
    <col min="23" max="23" width="13.7109375" style="14" bestFit="1" customWidth="1"/>
    <col min="24" max="24" width="11.5703125" style="14" bestFit="1" customWidth="1"/>
    <col min="25" max="25" width="14.85546875" style="14" bestFit="1" customWidth="1"/>
    <col min="26" max="26" width="0.7109375" style="14" customWidth="1"/>
    <col min="27" max="27" width="11.28515625" style="14" bestFit="1" customWidth="1"/>
    <col min="28" max="28" width="10.7109375" style="14" bestFit="1" customWidth="1"/>
    <col min="29" max="29" width="11.28515625" style="14" bestFit="1" customWidth="1"/>
    <col min="30" max="30" width="13.7109375" style="14" customWidth="1"/>
    <col min="31" max="31" width="10.5703125" style="14" customWidth="1"/>
    <col min="32" max="32" width="12" style="14" customWidth="1"/>
    <col min="33" max="33" width="7.85546875" style="14" customWidth="1"/>
    <col min="34" max="16384" width="17.140625" style="14"/>
  </cols>
  <sheetData>
    <row r="1" spans="1:34" s="87" customFormat="1" x14ac:dyDescent="0.2">
      <c r="A1" s="53" t="s">
        <v>0</v>
      </c>
      <c r="B1" s="53"/>
      <c r="C1" s="53"/>
      <c r="D1" s="53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</row>
    <row r="2" spans="1:34" x14ac:dyDescent="0.2">
      <c r="A2" s="53" t="s">
        <v>384</v>
      </c>
      <c r="B2" s="10"/>
      <c r="C2" s="10"/>
      <c r="D2" s="1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34" x14ac:dyDescent="0.2">
      <c r="A3" s="53" t="s">
        <v>385</v>
      </c>
      <c r="B3" s="10"/>
      <c r="C3" s="10"/>
      <c r="D3" s="10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34" x14ac:dyDescent="0.2">
      <c r="A4" s="53" t="s">
        <v>386</v>
      </c>
      <c r="B4" s="10"/>
      <c r="C4" s="10"/>
      <c r="D4" s="10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34" ht="12" thickBot="1" x14ac:dyDescent="0.25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</row>
    <row r="6" spans="1:34" ht="12" thickBot="1" x14ac:dyDescent="0.25">
      <c r="A6" s="85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122"/>
      <c r="Z6" s="122"/>
      <c r="AA6" s="123" t="s">
        <v>87</v>
      </c>
      <c r="AB6" s="124" t="s">
        <v>124</v>
      </c>
      <c r="AC6" s="86"/>
    </row>
    <row r="7" spans="1:34" s="12" customFormat="1" ht="57" thickBot="1" x14ac:dyDescent="0.25">
      <c r="A7" s="125" t="s">
        <v>1</v>
      </c>
      <c r="B7" s="125" t="s">
        <v>6</v>
      </c>
      <c r="C7" s="160" t="s">
        <v>387</v>
      </c>
      <c r="D7" s="160" t="s">
        <v>388</v>
      </c>
      <c r="E7" s="160" t="s">
        <v>389</v>
      </c>
      <c r="F7" s="160" t="s">
        <v>390</v>
      </c>
      <c r="G7" s="160" t="s">
        <v>391</v>
      </c>
      <c r="H7" s="160" t="s">
        <v>392</v>
      </c>
      <c r="I7" s="160" t="s">
        <v>393</v>
      </c>
      <c r="J7" s="160" t="s">
        <v>394</v>
      </c>
      <c r="K7" s="160" t="s">
        <v>395</v>
      </c>
      <c r="L7" s="160" t="s">
        <v>396</v>
      </c>
      <c r="M7" s="160" t="s">
        <v>397</v>
      </c>
      <c r="N7" s="160" t="s">
        <v>398</v>
      </c>
      <c r="O7" s="160" t="s">
        <v>123</v>
      </c>
      <c r="P7" s="160" t="s">
        <v>399</v>
      </c>
      <c r="Q7" s="160" t="s">
        <v>400</v>
      </c>
      <c r="R7" s="160" t="s">
        <v>401</v>
      </c>
      <c r="S7" s="160" t="s">
        <v>402</v>
      </c>
      <c r="T7" s="160" t="s">
        <v>403</v>
      </c>
      <c r="U7" s="160" t="s">
        <v>404</v>
      </c>
      <c r="V7" s="160" t="s">
        <v>405</v>
      </c>
      <c r="W7" s="160" t="s">
        <v>406</v>
      </c>
      <c r="X7" s="160" t="s">
        <v>407</v>
      </c>
      <c r="Y7" s="160" t="s">
        <v>408</v>
      </c>
      <c r="Z7" s="126"/>
      <c r="AA7" s="339" t="s">
        <v>398</v>
      </c>
      <c r="AB7" s="340" t="s">
        <v>398</v>
      </c>
      <c r="AC7" s="127" t="s">
        <v>125</v>
      </c>
      <c r="AD7" s="127" t="s">
        <v>416</v>
      </c>
      <c r="AE7" s="127" t="s">
        <v>417</v>
      </c>
      <c r="AF7" s="127" t="s">
        <v>418</v>
      </c>
      <c r="AG7" s="128" t="s">
        <v>126</v>
      </c>
    </row>
    <row r="8" spans="1:34" x14ac:dyDescent="0.2">
      <c r="A8" s="86">
        <v>1</v>
      </c>
      <c r="B8" s="129" t="s">
        <v>409</v>
      </c>
      <c r="C8" s="66">
        <v>11231237165.043671</v>
      </c>
      <c r="D8" s="40">
        <v>1195987664.8649354</v>
      </c>
      <c r="E8" s="40">
        <v>23974494.502337527</v>
      </c>
      <c r="F8" s="40">
        <v>0</v>
      </c>
      <c r="G8" s="40">
        <v>572793.09541722725</v>
      </c>
      <c r="H8" s="40">
        <v>56650360.26048027</v>
      </c>
      <c r="I8" s="40">
        <v>30178334.262472346</v>
      </c>
      <c r="J8" s="40">
        <v>0</v>
      </c>
      <c r="K8" s="40">
        <v>0</v>
      </c>
      <c r="L8" s="40">
        <v>0</v>
      </c>
      <c r="M8" s="40">
        <v>29335991.475094069</v>
      </c>
      <c r="N8" s="40">
        <v>20530701.53769983</v>
      </c>
      <c r="O8" s="40">
        <v>14039046.456304589</v>
      </c>
      <c r="P8" s="40">
        <v>29976171.993501555</v>
      </c>
      <c r="Q8" s="40">
        <v>112390990.31059201</v>
      </c>
      <c r="R8" s="40">
        <v>56481891.703004614</v>
      </c>
      <c r="S8" s="40">
        <v>3582764.6556489309</v>
      </c>
      <c r="T8" s="40">
        <v>-9928413.6538986042</v>
      </c>
      <c r="U8" s="40">
        <v>-39039780.385691799</v>
      </c>
      <c r="V8" s="40">
        <v>0</v>
      </c>
      <c r="W8" s="40">
        <v>-75125745.396977112</v>
      </c>
      <c r="X8" s="130">
        <f>SUM(E8:W8)</f>
        <v>253619600.81598538</v>
      </c>
      <c r="Y8" s="130">
        <f>SUM(X8,D8)</f>
        <v>1449607265.6809208</v>
      </c>
      <c r="AA8" s="162">
        <v>-20530701.53769983</v>
      </c>
      <c r="AB8" s="163">
        <v>19564815.141506076</v>
      </c>
      <c r="AC8" s="133">
        <f>SUM(AA8:AB8)</f>
        <v>-965886.39619375393</v>
      </c>
      <c r="AD8" s="133">
        <f>SUM(Y8,AC8)</f>
        <v>1448641379.2847271</v>
      </c>
      <c r="AE8" s="134">
        <f>Y8/C8</f>
        <v>0.12906924182784668</v>
      </c>
      <c r="AF8" s="134">
        <f>AD8/C8</f>
        <v>0.12898324182784671</v>
      </c>
      <c r="AG8" s="135">
        <f>AC8/Y8</f>
        <v>-6.6630901973304486E-4</v>
      </c>
      <c r="AH8" s="136"/>
    </row>
    <row r="9" spans="1:34" x14ac:dyDescent="0.2">
      <c r="A9" s="86">
        <f t="shared" ref="A9:A36" si="0">+A8+1</f>
        <v>2</v>
      </c>
      <c r="B9" s="86" t="s">
        <v>3</v>
      </c>
      <c r="C9" s="137">
        <f t="shared" ref="C9:E9" si="1">SUM(C8:C8)</f>
        <v>11231237165.043671</v>
      </c>
      <c r="D9" s="6">
        <f t="shared" si="1"/>
        <v>1195987664.8649354</v>
      </c>
      <c r="E9" s="6">
        <f t="shared" si="1"/>
        <v>23974494.502337527</v>
      </c>
      <c r="F9" s="6">
        <f t="shared" ref="F9:Y9" si="2">SUM(F8:F8)</f>
        <v>0</v>
      </c>
      <c r="G9" s="6">
        <f t="shared" si="2"/>
        <v>572793.09541722725</v>
      </c>
      <c r="H9" s="6">
        <f t="shared" si="2"/>
        <v>56650360.26048027</v>
      </c>
      <c r="I9" s="6">
        <f t="shared" si="2"/>
        <v>30178334.262472346</v>
      </c>
      <c r="J9" s="6">
        <f t="shared" si="2"/>
        <v>0</v>
      </c>
      <c r="K9" s="6">
        <f t="shared" si="2"/>
        <v>0</v>
      </c>
      <c r="L9" s="6">
        <f t="shared" si="2"/>
        <v>0</v>
      </c>
      <c r="M9" s="6">
        <f t="shared" si="2"/>
        <v>29335991.475094069</v>
      </c>
      <c r="N9" s="6">
        <f t="shared" si="2"/>
        <v>20530701.53769983</v>
      </c>
      <c r="O9" s="6">
        <f t="shared" si="2"/>
        <v>14039046.456304589</v>
      </c>
      <c r="P9" s="6">
        <f t="shared" si="2"/>
        <v>29976171.993501555</v>
      </c>
      <c r="Q9" s="6">
        <f t="shared" si="2"/>
        <v>112390990.31059201</v>
      </c>
      <c r="R9" s="6">
        <f t="shared" si="2"/>
        <v>56481891.703004614</v>
      </c>
      <c r="S9" s="6">
        <f t="shared" si="2"/>
        <v>3582764.6556489309</v>
      </c>
      <c r="T9" s="6">
        <f t="shared" si="2"/>
        <v>-9928413.6538986042</v>
      </c>
      <c r="U9" s="6">
        <f t="shared" si="2"/>
        <v>-39039780.385691799</v>
      </c>
      <c r="V9" s="6">
        <f t="shared" si="2"/>
        <v>0</v>
      </c>
      <c r="W9" s="6">
        <f t="shared" si="2"/>
        <v>-75125745.396977112</v>
      </c>
      <c r="X9" s="6">
        <f t="shared" si="2"/>
        <v>253619600.81598538</v>
      </c>
      <c r="Y9" s="6">
        <f t="shared" si="2"/>
        <v>1449607265.6809208</v>
      </c>
      <c r="AA9" s="138">
        <f t="shared" ref="AA9:AD9" si="3">SUM(AA8:AA8)</f>
        <v>-20530701.53769983</v>
      </c>
      <c r="AB9" s="139">
        <f t="shared" si="3"/>
        <v>19564815.141506076</v>
      </c>
      <c r="AC9" s="140">
        <f t="shared" si="3"/>
        <v>-965886.39619375393</v>
      </c>
      <c r="AD9" s="140">
        <f t="shared" si="3"/>
        <v>1448641379.2847271</v>
      </c>
      <c r="AE9" s="141">
        <f>Y9/C9</f>
        <v>0.12906924182784668</v>
      </c>
      <c r="AF9" s="141">
        <f>AD9/C9</f>
        <v>0.12898324182784671</v>
      </c>
      <c r="AG9" s="142">
        <f>AC9/Y9</f>
        <v>-6.6630901973304486E-4</v>
      </c>
      <c r="AH9" s="136"/>
    </row>
    <row r="10" spans="1:34" x14ac:dyDescent="0.2">
      <c r="A10" s="86">
        <f t="shared" si="0"/>
        <v>3</v>
      </c>
      <c r="B10" s="86"/>
      <c r="C10" s="118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AA10" s="131"/>
      <c r="AB10" s="132"/>
      <c r="AC10" s="133"/>
      <c r="AD10" s="133"/>
      <c r="AE10" s="134"/>
      <c r="AF10" s="134"/>
      <c r="AG10" s="135"/>
    </row>
    <row r="11" spans="1:34" x14ac:dyDescent="0.2">
      <c r="A11" s="86">
        <f t="shared" si="0"/>
        <v>4</v>
      </c>
      <c r="B11" s="129" t="s">
        <v>410</v>
      </c>
      <c r="C11" s="66">
        <v>2762363777.023735</v>
      </c>
      <c r="D11" s="40">
        <v>275895023.98780704</v>
      </c>
      <c r="E11" s="40">
        <v>5952401.5927281398</v>
      </c>
      <c r="F11" s="40">
        <v>0</v>
      </c>
      <c r="G11" s="40">
        <v>140880.55262821048</v>
      </c>
      <c r="H11" s="40">
        <v>11811867.510553492</v>
      </c>
      <c r="I11" s="40">
        <v>7289878.0075656362</v>
      </c>
      <c r="J11" s="40">
        <v>0</v>
      </c>
      <c r="K11" s="40">
        <v>-153669.61779083172</v>
      </c>
      <c r="L11" s="40">
        <v>-177663.167065938</v>
      </c>
      <c r="M11" s="40">
        <v>5781627.3853106787</v>
      </c>
      <c r="N11" s="40">
        <v>4667485.7109257914</v>
      </c>
      <c r="O11" s="40">
        <v>2737502.5030305213</v>
      </c>
      <c r="P11" s="40">
        <v>6480505.4208976831</v>
      </c>
      <c r="Q11" s="40">
        <v>21554724.552116208</v>
      </c>
      <c r="R11" s="40">
        <v>10833990.733487088</v>
      </c>
      <c r="S11" s="40">
        <v>765174.76623557473</v>
      </c>
      <c r="T11" s="40">
        <v>-1969565.3730179232</v>
      </c>
      <c r="U11" s="40">
        <v>-6118635.7661075732</v>
      </c>
      <c r="V11" s="40">
        <v>0</v>
      </c>
      <c r="W11" s="40">
        <v>-1722752.565918843</v>
      </c>
      <c r="X11" s="130">
        <f>SUM(E11:W11)</f>
        <v>67873752.245577917</v>
      </c>
      <c r="Y11" s="130">
        <f>SUM(X11,D11)</f>
        <v>343768776.23338497</v>
      </c>
      <c r="AA11" s="162">
        <v>-4667485.7109257914</v>
      </c>
      <c r="AB11" s="163">
        <v>4448530.4315803014</v>
      </c>
      <c r="AC11" s="133">
        <f>SUM(AA11:AB11)</f>
        <v>-218955.27934549004</v>
      </c>
      <c r="AD11" s="133">
        <f>SUM(Y11,AC11)</f>
        <v>343549820.95403945</v>
      </c>
      <c r="AE11" s="134">
        <f>Y11/C11</f>
        <v>0.1244473226490731</v>
      </c>
      <c r="AF11" s="134">
        <f>AD11/C11</f>
        <v>0.12436805891083315</v>
      </c>
      <c r="AG11" s="135">
        <f>AC11/Y11</f>
        <v>-6.3692602261480858E-4</v>
      </c>
      <c r="AH11" s="136"/>
    </row>
    <row r="12" spans="1:34" x14ac:dyDescent="0.2">
      <c r="A12" s="86">
        <f t="shared" si="0"/>
        <v>5</v>
      </c>
      <c r="B12" s="129" t="s">
        <v>411</v>
      </c>
      <c r="C12" s="66">
        <v>2961290332.0764241</v>
      </c>
      <c r="D12" s="40">
        <v>271040737.09336877</v>
      </c>
      <c r="E12" s="40">
        <v>6584434.8775088107</v>
      </c>
      <c r="F12" s="40">
        <v>0</v>
      </c>
      <c r="G12" s="40">
        <v>153987.09726797405</v>
      </c>
      <c r="H12" s="40">
        <v>12875690.363868292</v>
      </c>
      <c r="I12" s="40">
        <v>7098212.9259871887</v>
      </c>
      <c r="J12" s="40">
        <v>0</v>
      </c>
      <c r="K12" s="40">
        <v>743341.87149714772</v>
      </c>
      <c r="L12" s="40">
        <v>-273140.04027007206</v>
      </c>
      <c r="M12" s="40">
        <v>5863354.8575113202</v>
      </c>
      <c r="N12" s="40">
        <v>4920531.1993182944</v>
      </c>
      <c r="O12" s="40">
        <v>3063786.3471302344</v>
      </c>
      <c r="P12" s="40">
        <v>6806061.8759456314</v>
      </c>
      <c r="Q12" s="40">
        <v>23909789.712634228</v>
      </c>
      <c r="R12" s="40">
        <v>12032275.141172472</v>
      </c>
      <c r="S12" s="40">
        <v>849890.32530593371</v>
      </c>
      <c r="T12" s="40">
        <v>-1981103.2321591277</v>
      </c>
      <c r="U12" s="40">
        <v>9360638.7396935765</v>
      </c>
      <c r="V12" s="40">
        <v>0</v>
      </c>
      <c r="W12" s="40">
        <v>-903314.8677437962</v>
      </c>
      <c r="X12" s="130">
        <f>SUM(E12:W12)</f>
        <v>91104437.194668129</v>
      </c>
      <c r="Y12" s="130">
        <f>SUM(X12,D12)</f>
        <v>362145174.28803688</v>
      </c>
      <c r="AA12" s="162">
        <v>-4920531.1993182944</v>
      </c>
      <c r="AB12" s="163">
        <v>4722806.0650173295</v>
      </c>
      <c r="AC12" s="133">
        <f>SUM(AA12:AB12)</f>
        <v>-197725.13430096488</v>
      </c>
      <c r="AD12" s="133">
        <f>SUM(Y12,AC12)</f>
        <v>361947449.15373594</v>
      </c>
      <c r="AE12" s="134">
        <f>Y12/C12</f>
        <v>0.12229303231949726</v>
      </c>
      <c r="AF12" s="134">
        <f>AD12/C12</f>
        <v>0.1222262623941849</v>
      </c>
      <c r="AG12" s="135">
        <f>AC12/Y12</f>
        <v>-5.459830707110337E-4</v>
      </c>
      <c r="AH12" s="136"/>
    </row>
    <row r="13" spans="1:34" x14ac:dyDescent="0.2">
      <c r="A13" s="86">
        <f t="shared" si="0"/>
        <v>6</v>
      </c>
      <c r="B13" s="129" t="s">
        <v>412</v>
      </c>
      <c r="C13" s="66">
        <v>1964892733.640949</v>
      </c>
      <c r="D13" s="40">
        <v>164185183.99574861</v>
      </c>
      <c r="E13" s="40">
        <v>4571813.0266122567</v>
      </c>
      <c r="F13" s="40">
        <v>0</v>
      </c>
      <c r="G13" s="40">
        <v>100209.5294156884</v>
      </c>
      <c r="H13" s="40">
        <v>7822237.9726246176</v>
      </c>
      <c r="I13" s="40">
        <v>4358132.0832156241</v>
      </c>
      <c r="J13" s="40">
        <v>0</v>
      </c>
      <c r="K13" s="40">
        <v>1280556.035166746</v>
      </c>
      <c r="L13" s="40">
        <v>-455534.03108758503</v>
      </c>
      <c r="M13" s="40">
        <v>3369791.038194227</v>
      </c>
      <c r="N13" s="40">
        <v>2961946.6835628254</v>
      </c>
      <c r="O13" s="40">
        <v>1713667.5693741031</v>
      </c>
      <c r="P13" s="40">
        <v>4269025.5467574112</v>
      </c>
      <c r="Q13" s="40">
        <v>14015863.821440812</v>
      </c>
      <c r="R13" s="40">
        <v>7033475.5162577396</v>
      </c>
      <c r="S13" s="40">
        <v>477468.93427475059</v>
      </c>
      <c r="T13" s="40">
        <v>-1133743.1073108276</v>
      </c>
      <c r="U13" s="40">
        <v>3601089.0162261976</v>
      </c>
      <c r="V13" s="40">
        <v>0</v>
      </c>
      <c r="W13" s="40">
        <v>-113351.42558024439</v>
      </c>
      <c r="X13" s="130">
        <f>SUM(E13:W13)</f>
        <v>53872648.209144354</v>
      </c>
      <c r="Y13" s="130">
        <f>SUM(X13,D13)</f>
        <v>218057832.20489296</v>
      </c>
      <c r="AA13" s="162">
        <v>-2961946.6835628254</v>
      </c>
      <c r="AB13" s="163">
        <v>2667474.07723187</v>
      </c>
      <c r="AC13" s="133">
        <f>SUM(AA13:AB13)</f>
        <v>-294472.6063309554</v>
      </c>
      <c r="AD13" s="133">
        <f>SUM(Y13,AC13)</f>
        <v>217763359.598562</v>
      </c>
      <c r="AE13" s="134">
        <f>Y13/C13</f>
        <v>0.11097696503810235</v>
      </c>
      <c r="AF13" s="134">
        <f>AD13/C13</f>
        <v>0.11082709802435178</v>
      </c>
      <c r="AG13" s="135">
        <f>AC13/Y13</f>
        <v>-1.3504335219395424E-3</v>
      </c>
      <c r="AH13" s="136"/>
    </row>
    <row r="14" spans="1:34" x14ac:dyDescent="0.2">
      <c r="A14" s="86">
        <f t="shared" si="0"/>
        <v>7</v>
      </c>
      <c r="B14" s="129">
        <v>29</v>
      </c>
      <c r="C14" s="66">
        <v>15040573.846487813</v>
      </c>
      <c r="D14" s="40">
        <v>1291170.0369053327</v>
      </c>
      <c r="E14" s="40">
        <v>27862.464465540641</v>
      </c>
      <c r="F14" s="40">
        <v>0</v>
      </c>
      <c r="G14" s="40">
        <v>646.74467539897591</v>
      </c>
      <c r="H14" s="40">
        <v>68133.799524589791</v>
      </c>
      <c r="I14" s="40">
        <v>31690.489094549819</v>
      </c>
      <c r="J14" s="40">
        <v>0</v>
      </c>
      <c r="K14" s="40">
        <v>0</v>
      </c>
      <c r="L14" s="40">
        <v>0</v>
      </c>
      <c r="M14" s="40">
        <v>29780.336216045867</v>
      </c>
      <c r="N14" s="40">
        <v>24991.677467639838</v>
      </c>
      <c r="O14" s="40">
        <v>12962.332427821304</v>
      </c>
      <c r="P14" s="40">
        <v>37190.957051109188</v>
      </c>
      <c r="Q14" s="40">
        <v>121801.58706911912</v>
      </c>
      <c r="R14" s="40">
        <v>61209.125298412575</v>
      </c>
      <c r="S14" s="40">
        <v>5565.0123232004908</v>
      </c>
      <c r="T14" s="40">
        <v>-10062.143903300346</v>
      </c>
      <c r="U14" s="40">
        <v>47543.253928747974</v>
      </c>
      <c r="V14" s="40">
        <v>0</v>
      </c>
      <c r="W14" s="40">
        <v>-100606.39845915698</v>
      </c>
      <c r="X14" s="130">
        <f>SUM(E14:W14)</f>
        <v>358709.23717971821</v>
      </c>
      <c r="Y14" s="130">
        <f>SUM(X14,D14)</f>
        <v>1649879.2740850509</v>
      </c>
      <c r="AA14" s="162">
        <v>-24991.677467639838</v>
      </c>
      <c r="AB14" s="163">
        <v>23987.41947525477</v>
      </c>
      <c r="AC14" s="133">
        <f>SUM(AA14:AB14)</f>
        <v>-1004.2579923850681</v>
      </c>
      <c r="AD14" s="133">
        <f>SUM(Y14,AC14)</f>
        <v>1648875.016092666</v>
      </c>
      <c r="AE14" s="134">
        <f>Y14/C14</f>
        <v>0.10969523443218365</v>
      </c>
      <c r="AF14" s="134">
        <f>AD14/C14</f>
        <v>0.1096284645068713</v>
      </c>
      <c r="AG14" s="135">
        <f>AC14/Y14</f>
        <v>-6.0868574335051545E-4</v>
      </c>
      <c r="AH14" s="136"/>
    </row>
    <row r="15" spans="1:34" x14ac:dyDescent="0.2">
      <c r="A15" s="86">
        <f t="shared" si="0"/>
        <v>8</v>
      </c>
      <c r="B15" s="85" t="s">
        <v>88</v>
      </c>
      <c r="C15" s="137">
        <f t="shared" ref="C15:E15" si="4">SUM(C11:C14)</f>
        <v>7703587416.5875959</v>
      </c>
      <c r="D15" s="6">
        <f t="shared" si="4"/>
        <v>712412115.11382973</v>
      </c>
      <c r="E15" s="6">
        <f t="shared" si="4"/>
        <v>17136511.961314745</v>
      </c>
      <c r="F15" s="6">
        <f t="shared" ref="F15:Y15" si="5">SUM(F11:F14)</f>
        <v>0</v>
      </c>
      <c r="G15" s="6">
        <f t="shared" si="5"/>
        <v>395723.92398727196</v>
      </c>
      <c r="H15" s="6">
        <f t="shared" si="5"/>
        <v>32577929.646570992</v>
      </c>
      <c r="I15" s="6">
        <f t="shared" si="5"/>
        <v>18777913.505863</v>
      </c>
      <c r="J15" s="6">
        <f t="shared" si="5"/>
        <v>0</v>
      </c>
      <c r="K15" s="6">
        <f t="shared" si="5"/>
        <v>1870228.288873062</v>
      </c>
      <c r="L15" s="6">
        <f t="shared" si="5"/>
        <v>-906337.23842359509</v>
      </c>
      <c r="M15" s="6">
        <f t="shared" si="5"/>
        <v>15044553.617232272</v>
      </c>
      <c r="N15" s="6">
        <f t="shared" si="5"/>
        <v>12574955.271274552</v>
      </c>
      <c r="O15" s="6">
        <f t="shared" si="5"/>
        <v>7527918.7519626794</v>
      </c>
      <c r="P15" s="6">
        <f t="shared" si="5"/>
        <v>17592783.800651837</v>
      </c>
      <c r="Q15" s="6">
        <f t="shared" si="5"/>
        <v>59602179.673260368</v>
      </c>
      <c r="R15" s="6">
        <f t="shared" si="5"/>
        <v>29960950.516215716</v>
      </c>
      <c r="S15" s="6">
        <f t="shared" si="5"/>
        <v>2098099.0381394597</v>
      </c>
      <c r="T15" s="6">
        <f t="shared" si="5"/>
        <v>-5094473.8563911784</v>
      </c>
      <c r="U15" s="6">
        <f t="shared" si="5"/>
        <v>6890635.2437409488</v>
      </c>
      <c r="V15" s="6">
        <f t="shared" si="5"/>
        <v>0</v>
      </c>
      <c r="W15" s="6">
        <f t="shared" si="5"/>
        <v>-2840025.2577020405</v>
      </c>
      <c r="X15" s="6">
        <f t="shared" si="5"/>
        <v>213209546.88657013</v>
      </c>
      <c r="Y15" s="6">
        <f t="shared" si="5"/>
        <v>925621662.00039995</v>
      </c>
      <c r="AA15" s="138">
        <f t="shared" ref="AA15:AD15" si="6">SUM(AA11:AA14)</f>
        <v>-12574955.271274552</v>
      </c>
      <c r="AB15" s="139">
        <f t="shared" si="6"/>
        <v>11862797.993304757</v>
      </c>
      <c r="AC15" s="140">
        <f t="shared" si="6"/>
        <v>-712157.2779697954</v>
      </c>
      <c r="AD15" s="140">
        <f t="shared" si="6"/>
        <v>924909504.72243011</v>
      </c>
      <c r="AE15" s="141">
        <f>Y15/C15</f>
        <v>0.12015462562381307</v>
      </c>
      <c r="AF15" s="141">
        <f>AD15/C15</f>
        <v>0.1200621807355476</v>
      </c>
      <c r="AG15" s="142">
        <f>AC15/Y15</f>
        <v>-7.6938268323444622E-4</v>
      </c>
      <c r="AH15" s="136"/>
    </row>
    <row r="16" spans="1:34" x14ac:dyDescent="0.2">
      <c r="A16" s="86">
        <f t="shared" si="0"/>
        <v>9</v>
      </c>
      <c r="B16" s="86"/>
      <c r="C16" s="118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AA16" s="131"/>
      <c r="AB16" s="132"/>
      <c r="AC16" s="133"/>
      <c r="AD16" s="133"/>
      <c r="AE16" s="134"/>
      <c r="AF16" s="134"/>
      <c r="AG16" s="135"/>
    </row>
    <row r="17" spans="1:34" x14ac:dyDescent="0.2">
      <c r="A17" s="86">
        <f t="shared" si="0"/>
        <v>10</v>
      </c>
      <c r="B17" s="129" t="s">
        <v>413</v>
      </c>
      <c r="C17" s="66">
        <v>1416593830.9637725</v>
      </c>
      <c r="D17" s="40">
        <v>115404202.61775398</v>
      </c>
      <c r="E17" s="40">
        <v>3016365.128124164</v>
      </c>
      <c r="F17" s="40">
        <v>0</v>
      </c>
      <c r="G17" s="40">
        <v>69413.097717224868</v>
      </c>
      <c r="H17" s="40">
        <v>5436887.1232389593</v>
      </c>
      <c r="I17" s="40">
        <v>3103757.0836416255</v>
      </c>
      <c r="J17" s="40">
        <v>0</v>
      </c>
      <c r="K17" s="40">
        <v>557156.35249099927</v>
      </c>
      <c r="L17" s="40">
        <v>-201374.64947077501</v>
      </c>
      <c r="M17" s="40">
        <v>2445040.9522434715</v>
      </c>
      <c r="N17" s="40">
        <v>2171097.6911794953</v>
      </c>
      <c r="O17" s="40">
        <v>1208628.5705919231</v>
      </c>
      <c r="P17" s="40">
        <v>2845931.9588103774</v>
      </c>
      <c r="Q17" s="40">
        <v>9635728.2641237341</v>
      </c>
      <c r="R17" s="40">
        <v>4851746.0587830842</v>
      </c>
      <c r="S17" s="40">
        <v>356981.64540287066</v>
      </c>
      <c r="T17" s="40">
        <v>-835790.3602686259</v>
      </c>
      <c r="U17" s="40">
        <v>485845.25408873515</v>
      </c>
      <c r="V17" s="40">
        <v>0</v>
      </c>
      <c r="W17" s="40">
        <v>-158698.69824052311</v>
      </c>
      <c r="X17" s="130">
        <f>SUM(E17:W17)</f>
        <v>34988715.472456746</v>
      </c>
      <c r="Y17" s="130">
        <f>SUM(X17,D17)</f>
        <v>150392918.09021074</v>
      </c>
      <c r="AA17" s="162">
        <v>-2171097.6911794953</v>
      </c>
      <c r="AB17" s="163">
        <v>1982988.1439292864</v>
      </c>
      <c r="AC17" s="133">
        <f>SUM(AA17:AB17)</f>
        <v>-188109.54725020891</v>
      </c>
      <c r="AD17" s="133">
        <f>SUM(Y17,AC17)</f>
        <v>150204808.54296052</v>
      </c>
      <c r="AE17" s="134">
        <f>Y17/C17</f>
        <v>0.10616516520327614</v>
      </c>
      <c r="AF17" s="134">
        <f>AD17/C17</f>
        <v>0.10603237516626021</v>
      </c>
      <c r="AG17" s="135">
        <f>AC17/Y17</f>
        <v>-1.2507872687022037E-3</v>
      </c>
      <c r="AH17" s="136"/>
    </row>
    <row r="18" spans="1:34" x14ac:dyDescent="0.2">
      <c r="A18" s="86">
        <f t="shared" si="0"/>
        <v>11</v>
      </c>
      <c r="B18" s="129">
        <v>35</v>
      </c>
      <c r="C18" s="66">
        <v>4440266.6219169199</v>
      </c>
      <c r="D18" s="40">
        <v>273910.58897433063</v>
      </c>
      <c r="E18" s="40">
        <v>7054.9009495967784</v>
      </c>
      <c r="F18" s="40">
        <v>0</v>
      </c>
      <c r="G18" s="40">
        <v>155.4093317670922</v>
      </c>
      <c r="H18" s="40">
        <v>11651.259615909998</v>
      </c>
      <c r="I18" s="40">
        <v>7366.4023257601702</v>
      </c>
      <c r="J18" s="40">
        <v>0</v>
      </c>
      <c r="K18" s="40">
        <v>0</v>
      </c>
      <c r="L18" s="40">
        <v>0</v>
      </c>
      <c r="M18" s="40">
        <v>7663.9001894286039</v>
      </c>
      <c r="N18" s="40">
        <v>7060.0239288479033</v>
      </c>
      <c r="O18" s="40">
        <v>5527.0378327727894</v>
      </c>
      <c r="P18" s="40">
        <v>6375.5139714292936</v>
      </c>
      <c r="Q18" s="40">
        <v>43095.682395905191</v>
      </c>
      <c r="R18" s="40">
        <v>21645.527063634767</v>
      </c>
      <c r="S18" s="40">
        <v>2628.6378401748166</v>
      </c>
      <c r="T18" s="40">
        <v>-4342.5807562347472</v>
      </c>
      <c r="U18" s="40">
        <v>14035.682791879382</v>
      </c>
      <c r="V18" s="40">
        <v>0</v>
      </c>
      <c r="W18" s="40">
        <v>-29700.943434002274</v>
      </c>
      <c r="X18" s="130">
        <f>SUM(E18:W18)</f>
        <v>100216.45404686978</v>
      </c>
      <c r="Y18" s="130">
        <f>SUM(X18,D18)</f>
        <v>374127.0430212004</v>
      </c>
      <c r="AA18" s="162">
        <v>-7060.0239288479033</v>
      </c>
      <c r="AB18" s="163">
        <v>7237.6345937245796</v>
      </c>
      <c r="AC18" s="133">
        <f>SUM(AA18:AB18)</f>
        <v>177.61066487667631</v>
      </c>
      <c r="AD18" s="133">
        <f>SUM(Y18,AC18)</f>
        <v>374304.6536860771</v>
      </c>
      <c r="AE18" s="134">
        <f>Y18/C18</f>
        <v>8.4257787848713683E-2</v>
      </c>
      <c r="AF18" s="134">
        <f>AD18/C18</f>
        <v>8.4297787848713682E-2</v>
      </c>
      <c r="AG18" s="135">
        <f>AC18/Y18</f>
        <v>4.7473356494738008E-4</v>
      </c>
      <c r="AH18" s="136"/>
    </row>
    <row r="19" spans="1:34" x14ac:dyDescent="0.2">
      <c r="A19" s="86">
        <f t="shared" si="0"/>
        <v>12</v>
      </c>
      <c r="B19" s="129">
        <v>43</v>
      </c>
      <c r="C19" s="66">
        <v>123233807.4336848</v>
      </c>
      <c r="D19" s="40">
        <v>10766322.383334879</v>
      </c>
      <c r="E19" s="40">
        <v>209534.23350390725</v>
      </c>
      <c r="F19" s="40">
        <v>0</v>
      </c>
      <c r="G19" s="40">
        <v>4682.8846824800221</v>
      </c>
      <c r="H19" s="40">
        <v>100435.55305845311</v>
      </c>
      <c r="I19" s="40">
        <v>284916.56278667925</v>
      </c>
      <c r="J19" s="40">
        <v>0</v>
      </c>
      <c r="K19" s="40">
        <v>43677.179999999993</v>
      </c>
      <c r="L19" s="40">
        <v>-14924.789999999999</v>
      </c>
      <c r="M19" s="40">
        <v>188424.49156610406</v>
      </c>
      <c r="N19" s="40">
        <v>185231.42595796983</v>
      </c>
      <c r="O19" s="40">
        <v>97196.747114446727</v>
      </c>
      <c r="P19" s="40">
        <v>51684.934629638068</v>
      </c>
      <c r="Q19" s="40">
        <v>753088.98677804938</v>
      </c>
      <c r="R19" s="40">
        <v>377900.06527079525</v>
      </c>
      <c r="S19" s="40">
        <v>52990.53719648446</v>
      </c>
      <c r="T19" s="40">
        <v>-100189.08544358575</v>
      </c>
      <c r="U19" s="40">
        <v>389542.06529787759</v>
      </c>
      <c r="V19" s="40">
        <v>0</v>
      </c>
      <c r="W19" s="40">
        <v>0</v>
      </c>
      <c r="X19" s="130">
        <f>SUM(E19:W19)</f>
        <v>2624191.7923992989</v>
      </c>
      <c r="Y19" s="130">
        <f>SUM(X19,D19)</f>
        <v>13390514.175734177</v>
      </c>
      <c r="AA19" s="162">
        <v>-185231.42595796983</v>
      </c>
      <c r="AB19" s="163">
        <v>172952.16945293869</v>
      </c>
      <c r="AC19" s="133">
        <f>SUM(AA19:AB19)</f>
        <v>-12279.256505031139</v>
      </c>
      <c r="AD19" s="133">
        <f>SUM(Y19,AC19)</f>
        <v>13378234.919229146</v>
      </c>
      <c r="AE19" s="134">
        <f>Y19/C19</f>
        <v>0.10865942110033359</v>
      </c>
      <c r="AF19" s="134">
        <f>AD19/C19</f>
        <v>0.10855977915336512</v>
      </c>
      <c r="AG19" s="135">
        <f>AC19/Y19</f>
        <v>-9.1701157579767768E-4</v>
      </c>
      <c r="AH19" s="136"/>
    </row>
    <row r="20" spans="1:34" x14ac:dyDescent="0.2">
      <c r="A20" s="86">
        <f t="shared" si="0"/>
        <v>13</v>
      </c>
      <c r="B20" s="85" t="s">
        <v>89</v>
      </c>
      <c r="C20" s="137">
        <f t="shared" ref="C20:E20" si="7">SUM(C17:C19)</f>
        <v>1544267905.0193744</v>
      </c>
      <c r="D20" s="6">
        <f t="shared" si="7"/>
        <v>126444435.59006318</v>
      </c>
      <c r="E20" s="6">
        <f t="shared" si="7"/>
        <v>3232954.2625776683</v>
      </c>
      <c r="F20" s="6">
        <f t="shared" ref="F20:Y20" si="8">SUM(F17:F19)</f>
        <v>0</v>
      </c>
      <c r="G20" s="6">
        <f t="shared" si="8"/>
        <v>74251.391731471987</v>
      </c>
      <c r="H20" s="6">
        <f t="shared" si="8"/>
        <v>5548973.9359133225</v>
      </c>
      <c r="I20" s="6">
        <f t="shared" si="8"/>
        <v>3396040.0487540648</v>
      </c>
      <c r="J20" s="6">
        <f t="shared" si="8"/>
        <v>0</v>
      </c>
      <c r="K20" s="6">
        <f t="shared" si="8"/>
        <v>600833.53249099921</v>
      </c>
      <c r="L20" s="6">
        <f t="shared" si="8"/>
        <v>-216299.43947077502</v>
      </c>
      <c r="M20" s="6">
        <f t="shared" si="8"/>
        <v>2641129.343999004</v>
      </c>
      <c r="N20" s="6">
        <f t="shared" si="8"/>
        <v>2363389.1410663133</v>
      </c>
      <c r="O20" s="6">
        <f t="shared" si="8"/>
        <v>1311352.3555391426</v>
      </c>
      <c r="P20" s="6">
        <f t="shared" si="8"/>
        <v>2903992.4074114449</v>
      </c>
      <c r="Q20" s="6">
        <f t="shared" si="8"/>
        <v>10431912.933297688</v>
      </c>
      <c r="R20" s="6">
        <f t="shared" si="8"/>
        <v>5251291.6511175148</v>
      </c>
      <c r="S20" s="6">
        <f t="shared" si="8"/>
        <v>412600.82043952995</v>
      </c>
      <c r="T20" s="6">
        <f t="shared" si="8"/>
        <v>-940322.02646844636</v>
      </c>
      <c r="U20" s="6">
        <f t="shared" si="8"/>
        <v>889423.00217849214</v>
      </c>
      <c r="V20" s="6">
        <f t="shared" si="8"/>
        <v>0</v>
      </c>
      <c r="W20" s="6">
        <f t="shared" si="8"/>
        <v>-188399.6416745254</v>
      </c>
      <c r="X20" s="6">
        <f t="shared" si="8"/>
        <v>37713123.718902916</v>
      </c>
      <c r="Y20" s="6">
        <f t="shared" si="8"/>
        <v>164157559.3089661</v>
      </c>
      <c r="AA20" s="138">
        <f t="shared" ref="AA20:AD20" si="9">SUM(AA17:AA19)</f>
        <v>-2363389.1410663133</v>
      </c>
      <c r="AB20" s="139">
        <f t="shared" si="9"/>
        <v>2163177.9479759494</v>
      </c>
      <c r="AC20" s="140">
        <f t="shared" si="9"/>
        <v>-200211.19309036338</v>
      </c>
      <c r="AD20" s="140">
        <f t="shared" si="9"/>
        <v>163957348.11587575</v>
      </c>
      <c r="AE20" s="141">
        <f>Y20/C20</f>
        <v>0.10630121805640103</v>
      </c>
      <c r="AF20" s="141">
        <f>AD20/C20</f>
        <v>0.10617157009024204</v>
      </c>
      <c r="AG20" s="142">
        <f>AC20/Y20</f>
        <v>-1.2196282274978248E-3</v>
      </c>
      <c r="AH20" s="136"/>
    </row>
    <row r="21" spans="1:34" x14ac:dyDescent="0.2">
      <c r="A21" s="86">
        <f t="shared" si="0"/>
        <v>14</v>
      </c>
      <c r="B21" s="86"/>
      <c r="C21" s="118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AA21" s="131"/>
      <c r="AB21" s="132"/>
      <c r="AC21" s="133"/>
      <c r="AD21" s="133"/>
      <c r="AE21" s="134"/>
      <c r="AF21" s="134"/>
      <c r="AG21" s="135"/>
    </row>
    <row r="22" spans="1:34" x14ac:dyDescent="0.2">
      <c r="A22" s="86">
        <f t="shared" si="0"/>
        <v>15</v>
      </c>
      <c r="B22" s="129">
        <v>46</v>
      </c>
      <c r="C22" s="66">
        <v>97204322.458226442</v>
      </c>
      <c r="D22" s="40">
        <v>6287794.4661451252</v>
      </c>
      <c r="E22" s="40">
        <v>176672.27830376479</v>
      </c>
      <c r="F22" s="40">
        <v>0</v>
      </c>
      <c r="G22" s="40">
        <v>3013.33399620502</v>
      </c>
      <c r="H22" s="40">
        <v>94579.805751854336</v>
      </c>
      <c r="I22" s="40">
        <v>166219.39140356722</v>
      </c>
      <c r="J22" s="40">
        <v>0</v>
      </c>
      <c r="K22" s="40">
        <v>66112.663426560059</v>
      </c>
      <c r="L22" s="40">
        <v>-26126.360827200006</v>
      </c>
      <c r="M22" s="40">
        <v>92344.106335315126</v>
      </c>
      <c r="N22" s="40">
        <v>129067.69678434927</v>
      </c>
      <c r="O22" s="40">
        <v>43726.831684315664</v>
      </c>
      <c r="P22" s="40">
        <v>55525.305336674341</v>
      </c>
      <c r="Q22" s="40">
        <v>372156.53421803116</v>
      </c>
      <c r="R22" s="40">
        <v>186855.90168868139</v>
      </c>
      <c r="S22" s="40">
        <v>30910.974541716005</v>
      </c>
      <c r="T22" s="40">
        <v>-43741.9451062019</v>
      </c>
      <c r="U22" s="40">
        <v>0</v>
      </c>
      <c r="V22" s="40">
        <v>0</v>
      </c>
      <c r="W22" s="40">
        <v>0</v>
      </c>
      <c r="X22" s="130">
        <f>SUM(E22:W22)</f>
        <v>1347316.5175376327</v>
      </c>
      <c r="Y22" s="130">
        <f>SUM(X22,D22)</f>
        <v>7635110.9836827582</v>
      </c>
      <c r="AA22" s="162">
        <v>-129067.69678434927</v>
      </c>
      <c r="AB22" s="163">
        <v>115818.53298526384</v>
      </c>
      <c r="AC22" s="133">
        <f>SUM(AA22:AB22)</f>
        <v>-13249.163799085436</v>
      </c>
      <c r="AD22" s="133">
        <f>SUM(Y22,AC22)</f>
        <v>7621861.8198836725</v>
      </c>
      <c r="AE22" s="134">
        <f>Y22/C22</f>
        <v>7.8547031557819322E-2</v>
      </c>
      <c r="AF22" s="134">
        <f>AD22/C22</f>
        <v>7.8410729349604469E-2</v>
      </c>
      <c r="AG22" s="135">
        <f>AC22/Y22</f>
        <v>-1.7352941990497128E-3</v>
      </c>
      <c r="AH22" s="136"/>
    </row>
    <row r="23" spans="1:34" x14ac:dyDescent="0.2">
      <c r="A23" s="86">
        <f t="shared" si="0"/>
        <v>16</v>
      </c>
      <c r="B23" s="129">
        <v>49</v>
      </c>
      <c r="C23" s="66">
        <v>536308452.81444013</v>
      </c>
      <c r="D23" s="40">
        <v>34548061.520480059</v>
      </c>
      <c r="E23" s="40">
        <v>1054899.3955997371</v>
      </c>
      <c r="F23" s="40">
        <v>0</v>
      </c>
      <c r="G23" s="40">
        <v>25742.805735093127</v>
      </c>
      <c r="H23" s="40">
        <v>1914084.8680947369</v>
      </c>
      <c r="I23" s="40">
        <v>902070.81763388822</v>
      </c>
      <c r="J23" s="40">
        <v>0</v>
      </c>
      <c r="K23" s="40">
        <v>726532.59202114865</v>
      </c>
      <c r="L23" s="40">
        <v>-268768.30364225997</v>
      </c>
      <c r="M23" s="40">
        <v>509493.03017371811</v>
      </c>
      <c r="N23" s="40">
        <v>712109.24596984859</v>
      </c>
      <c r="O23" s="40">
        <v>244067.87442438566</v>
      </c>
      <c r="P23" s="40">
        <v>1029644.4568286424</v>
      </c>
      <c r="Q23" s="40">
        <v>2007660.5710202232</v>
      </c>
      <c r="R23" s="40">
        <v>1001477.9949798215</v>
      </c>
      <c r="S23" s="40">
        <v>117987.85961917683</v>
      </c>
      <c r="T23" s="40">
        <v>-241338.80376649805</v>
      </c>
      <c r="U23" s="40">
        <v>0</v>
      </c>
      <c r="V23" s="40">
        <v>0</v>
      </c>
      <c r="W23" s="40">
        <v>0</v>
      </c>
      <c r="X23" s="130">
        <f>SUM(E23:W23)</f>
        <v>9735664.4046916608</v>
      </c>
      <c r="Y23" s="130">
        <f>SUM(X23,D23)</f>
        <v>44283725.925171718</v>
      </c>
      <c r="AA23" s="162">
        <v>-712109.24596984859</v>
      </c>
      <c r="AB23" s="163">
        <v>639009.21956694603</v>
      </c>
      <c r="AC23" s="133">
        <f>SUM(AA23:AB23)</f>
        <v>-73100.026402902557</v>
      </c>
      <c r="AD23" s="133">
        <f>SUM(Y23,AC23)</f>
        <v>44210625.898768812</v>
      </c>
      <c r="AE23" s="134">
        <f>Y23/C23</f>
        <v>8.2571374164959604E-2</v>
      </c>
      <c r="AF23" s="134">
        <f>AD23/C23</f>
        <v>8.2435071956744738E-2</v>
      </c>
      <c r="AG23" s="135">
        <f>AC23/Y23</f>
        <v>-1.6507198722714319E-3</v>
      </c>
      <c r="AH23" s="136"/>
    </row>
    <row r="24" spans="1:34" x14ac:dyDescent="0.2">
      <c r="A24" s="86">
        <f t="shared" si="0"/>
        <v>17</v>
      </c>
      <c r="B24" s="86" t="s">
        <v>4</v>
      </c>
      <c r="C24" s="137">
        <f t="shared" ref="C24:E24" si="10">SUM(C22:C23)</f>
        <v>633512775.27266657</v>
      </c>
      <c r="D24" s="6">
        <f t="shared" si="10"/>
        <v>40835855.986625187</v>
      </c>
      <c r="E24" s="6">
        <f t="shared" si="10"/>
        <v>1231571.6739035018</v>
      </c>
      <c r="F24" s="6">
        <f t="shared" ref="F24:Y24" si="11">SUM(F22:F23)</f>
        <v>0</v>
      </c>
      <c r="G24" s="6">
        <f t="shared" si="11"/>
        <v>28756.139731298146</v>
      </c>
      <c r="H24" s="6">
        <f t="shared" si="11"/>
        <v>2008664.6738465913</v>
      </c>
      <c r="I24" s="6">
        <f t="shared" si="11"/>
        <v>1068290.2090374555</v>
      </c>
      <c r="J24" s="6">
        <f t="shared" si="11"/>
        <v>0</v>
      </c>
      <c r="K24" s="6">
        <f t="shared" si="11"/>
        <v>792645.25544770877</v>
      </c>
      <c r="L24" s="6">
        <f t="shared" si="11"/>
        <v>-294894.66446945997</v>
      </c>
      <c r="M24" s="6">
        <f t="shared" si="11"/>
        <v>601837.13650903327</v>
      </c>
      <c r="N24" s="6">
        <f t="shared" si="11"/>
        <v>841176.94275419787</v>
      </c>
      <c r="O24" s="6">
        <f t="shared" si="11"/>
        <v>287794.7061087013</v>
      </c>
      <c r="P24" s="6">
        <f t="shared" si="11"/>
        <v>1085169.7621653168</v>
      </c>
      <c r="Q24" s="6">
        <f t="shared" si="11"/>
        <v>2379817.1052382542</v>
      </c>
      <c r="R24" s="6">
        <f t="shared" si="11"/>
        <v>1188333.8966685028</v>
      </c>
      <c r="S24" s="6">
        <f t="shared" si="11"/>
        <v>148898.83416089285</v>
      </c>
      <c r="T24" s="6">
        <f t="shared" si="11"/>
        <v>-285080.74887269997</v>
      </c>
      <c r="U24" s="6">
        <f t="shared" si="11"/>
        <v>0</v>
      </c>
      <c r="V24" s="6">
        <f t="shared" si="11"/>
        <v>0</v>
      </c>
      <c r="W24" s="6">
        <f t="shared" si="11"/>
        <v>0</v>
      </c>
      <c r="X24" s="6">
        <f t="shared" si="11"/>
        <v>11082980.922229294</v>
      </c>
      <c r="Y24" s="6">
        <f t="shared" si="11"/>
        <v>51918836.908854477</v>
      </c>
      <c r="AA24" s="138">
        <f t="shared" ref="AA24:AD24" si="12">SUM(AA22:AA23)</f>
        <v>-841176.94275419787</v>
      </c>
      <c r="AB24" s="139">
        <f t="shared" si="12"/>
        <v>754827.75255220989</v>
      </c>
      <c r="AC24" s="140">
        <f t="shared" si="12"/>
        <v>-86349.190201987993</v>
      </c>
      <c r="AD24" s="140">
        <f t="shared" si="12"/>
        <v>51832487.718652487</v>
      </c>
      <c r="AE24" s="141">
        <f>Y24/C24</f>
        <v>8.1953890963774784E-2</v>
      </c>
      <c r="AF24" s="141">
        <f>AD24/C24</f>
        <v>8.1817588755559931E-2</v>
      </c>
      <c r="AG24" s="142">
        <f>AC24/Y24</f>
        <v>-1.6631572535720962E-3</v>
      </c>
      <c r="AH24" s="136"/>
    </row>
    <row r="25" spans="1:34" x14ac:dyDescent="0.2">
      <c r="A25" s="86">
        <f t="shared" si="0"/>
        <v>18</v>
      </c>
      <c r="B25" s="86"/>
      <c r="C25" s="118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AA25" s="131"/>
      <c r="AB25" s="132"/>
      <c r="AC25" s="133"/>
      <c r="AD25" s="133"/>
      <c r="AE25" s="134"/>
      <c r="AF25" s="134"/>
      <c r="AG25" s="135"/>
    </row>
    <row r="26" spans="1:34" x14ac:dyDescent="0.2">
      <c r="A26" s="86">
        <f t="shared" si="0"/>
        <v>19</v>
      </c>
      <c r="B26" s="129" t="s">
        <v>5</v>
      </c>
      <c r="C26" s="66">
        <v>67490752.881634608</v>
      </c>
      <c r="D26" s="40">
        <v>16841951.461265463</v>
      </c>
      <c r="E26" s="40">
        <v>143785.15847152899</v>
      </c>
      <c r="F26" s="40">
        <v>0</v>
      </c>
      <c r="G26" s="40">
        <v>3509.5191498449994</v>
      </c>
      <c r="H26" s="40">
        <v>156781.01894403721</v>
      </c>
      <c r="I26" s="40">
        <v>399207.80329486873</v>
      </c>
      <c r="J26" s="40">
        <v>0</v>
      </c>
      <c r="K26" s="40">
        <v>0</v>
      </c>
      <c r="L26" s="40">
        <v>0</v>
      </c>
      <c r="M26" s="40">
        <v>579543.09499459644</v>
      </c>
      <c r="N26" s="40">
        <v>133631.69070563652</v>
      </c>
      <c r="O26" s="40">
        <v>282853.74532693066</v>
      </c>
      <c r="P26" s="40">
        <v>82541.190774239119</v>
      </c>
      <c r="Q26" s="40">
        <v>2374257.1956230239</v>
      </c>
      <c r="R26" s="40">
        <v>1193304.0017001815</v>
      </c>
      <c r="S26" s="40">
        <v>0</v>
      </c>
      <c r="T26" s="40">
        <v>-168929.35446273143</v>
      </c>
      <c r="U26" s="40">
        <v>0</v>
      </c>
      <c r="V26" s="40">
        <v>0</v>
      </c>
      <c r="W26" s="40">
        <v>-11768.370079575026</v>
      </c>
      <c r="X26" s="130">
        <f>SUM(E26:W26)</f>
        <v>5168716.6944425814</v>
      </c>
      <c r="Y26" s="130">
        <f>SUM(X26,D26)</f>
        <v>22010668.155708045</v>
      </c>
      <c r="AA26" s="162">
        <v>-133631.69070563652</v>
      </c>
      <c r="AB26" s="163">
        <v>121213.39217541576</v>
      </c>
      <c r="AC26" s="133">
        <f>SUM(AA26:AB26)</f>
        <v>-12418.298530220753</v>
      </c>
      <c r="AD26" s="133">
        <f>SUM(Y26,AC26)</f>
        <v>21998249.857177824</v>
      </c>
      <c r="AE26" s="134">
        <f>Y26/C26</f>
        <v>0.32612865045838785</v>
      </c>
      <c r="AF26" s="134">
        <f>AD26/C26</f>
        <v>0.32594465045838783</v>
      </c>
      <c r="AG26" s="135">
        <f>AC26/Y26</f>
        <v>-5.6419452796121984E-4</v>
      </c>
      <c r="AH26" s="136"/>
    </row>
    <row r="27" spans="1:34" x14ac:dyDescent="0.2">
      <c r="A27" s="86">
        <f t="shared" si="0"/>
        <v>20</v>
      </c>
      <c r="B27" s="129" t="s">
        <v>414</v>
      </c>
      <c r="C27" s="66">
        <v>1978304514.9769657</v>
      </c>
      <c r="D27" s="40">
        <v>9197506</v>
      </c>
      <c r="E27" s="40">
        <v>0</v>
      </c>
      <c r="F27" s="40">
        <v>0</v>
      </c>
      <c r="G27" s="40">
        <v>0</v>
      </c>
      <c r="H27" s="40">
        <v>2672689.3997338805</v>
      </c>
      <c r="I27" s="40">
        <v>233439.93276728195</v>
      </c>
      <c r="J27" s="40">
        <v>0</v>
      </c>
      <c r="K27" s="40">
        <v>0</v>
      </c>
      <c r="L27" s="40">
        <v>0</v>
      </c>
      <c r="M27" s="40">
        <v>33631.176754608416</v>
      </c>
      <c r="N27" s="40">
        <v>0</v>
      </c>
      <c r="O27" s="40">
        <v>0</v>
      </c>
      <c r="P27" s="40">
        <v>0</v>
      </c>
      <c r="Q27" s="40">
        <v>116160</v>
      </c>
      <c r="R27" s="40">
        <v>58320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130">
        <f>SUM(E27:W27)</f>
        <v>3114240.5092557706</v>
      </c>
      <c r="Y27" s="130">
        <f>SUM(X27,D27)</f>
        <v>12311746.509255771</v>
      </c>
      <c r="AA27" s="162">
        <v>0</v>
      </c>
      <c r="AB27" s="163">
        <v>0</v>
      </c>
      <c r="AC27" s="133">
        <f>SUM(AA27:AB27)</f>
        <v>0</v>
      </c>
      <c r="AD27" s="133">
        <f>SUM(Y27,AC27)</f>
        <v>12311746.509255771</v>
      </c>
      <c r="AE27" s="134">
        <f>Y27/C27</f>
        <v>6.2233829099859897E-3</v>
      </c>
      <c r="AF27" s="134">
        <f>AD27/C27</f>
        <v>6.2233829099859897E-3</v>
      </c>
      <c r="AG27" s="135">
        <f>AC27/Y27</f>
        <v>0</v>
      </c>
      <c r="AH27" s="130"/>
    </row>
    <row r="28" spans="1:34" x14ac:dyDescent="0.2">
      <c r="A28" s="86">
        <f t="shared" si="0"/>
        <v>21</v>
      </c>
      <c r="B28" s="129" t="s">
        <v>73</v>
      </c>
      <c r="C28" s="66">
        <v>304641655.46200001</v>
      </c>
      <c r="D28" s="40">
        <v>3297886.6134481477</v>
      </c>
      <c r="E28" s="40">
        <v>0</v>
      </c>
      <c r="F28" s="40">
        <v>0</v>
      </c>
      <c r="G28" s="40">
        <v>0</v>
      </c>
      <c r="H28" s="40">
        <v>1288938.8442597222</v>
      </c>
      <c r="I28" s="40">
        <v>187049.976453668</v>
      </c>
      <c r="J28" s="40">
        <v>0</v>
      </c>
      <c r="K28" s="40">
        <v>0</v>
      </c>
      <c r="L28" s="40">
        <v>0</v>
      </c>
      <c r="M28" s="40">
        <v>156890.45256293003</v>
      </c>
      <c r="N28" s="40">
        <v>0</v>
      </c>
      <c r="O28" s="40">
        <v>0</v>
      </c>
      <c r="P28" s="40">
        <v>0</v>
      </c>
      <c r="Q28" s="40">
        <v>549268.90479798603</v>
      </c>
      <c r="R28" s="40">
        <v>276005.33984857204</v>
      </c>
      <c r="S28" s="40">
        <v>0</v>
      </c>
      <c r="T28" s="40">
        <v>-85604.305184822006</v>
      </c>
      <c r="U28" s="40">
        <v>367397.83648717206</v>
      </c>
      <c r="V28" s="40">
        <v>0</v>
      </c>
      <c r="W28" s="40">
        <v>0</v>
      </c>
      <c r="X28" s="130">
        <f>SUM(E28:W28)</f>
        <v>2739947.0492252284</v>
      </c>
      <c r="Y28" s="130">
        <f>SUM(X28,D28)</f>
        <v>6037833.6626733765</v>
      </c>
      <c r="AA28" s="162">
        <v>0</v>
      </c>
      <c r="AB28" s="163">
        <v>0</v>
      </c>
      <c r="AC28" s="133">
        <f>SUM(AA28:AB28)</f>
        <v>0</v>
      </c>
      <c r="AD28" s="133">
        <f>SUM(Y28,AC28)</f>
        <v>6037833.6626733765</v>
      </c>
      <c r="AE28" s="134">
        <f>Y28/C28</f>
        <v>1.9819461831366379E-2</v>
      </c>
      <c r="AF28" s="134">
        <f>AD28/C28</f>
        <v>1.9819461831366379E-2</v>
      </c>
      <c r="AG28" s="135">
        <f>AC28/Y28</f>
        <v>0</v>
      </c>
      <c r="AH28" s="130"/>
    </row>
    <row r="29" spans="1:34" x14ac:dyDescent="0.2">
      <c r="A29" s="86">
        <f t="shared" si="0"/>
        <v>22</v>
      </c>
      <c r="B29" s="86"/>
      <c r="C29" s="118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AA29" s="131"/>
      <c r="AB29" s="132"/>
      <c r="AC29" s="133"/>
      <c r="AD29" s="133"/>
      <c r="AE29" s="134"/>
      <c r="AF29" s="134"/>
      <c r="AG29" s="135"/>
      <c r="AH29" s="130"/>
    </row>
    <row r="30" spans="1:34" ht="12" thickBot="1" x14ac:dyDescent="0.25">
      <c r="A30" s="86">
        <f t="shared" si="0"/>
        <v>23</v>
      </c>
      <c r="B30" s="129" t="s">
        <v>415</v>
      </c>
      <c r="C30" s="23">
        <f t="shared" ref="C30:Y30" si="13">SUM(C9,C15,C20,C24,C26:C28)</f>
        <v>23463042185.243912</v>
      </c>
      <c r="D30" s="8">
        <f t="shared" si="13"/>
        <v>2105017415.630167</v>
      </c>
      <c r="E30" s="8">
        <f t="shared" si="13"/>
        <v>45719317.558604971</v>
      </c>
      <c r="F30" s="8">
        <f t="shared" si="13"/>
        <v>0</v>
      </c>
      <c r="G30" s="8">
        <f t="shared" si="13"/>
        <v>1075034.0700171143</v>
      </c>
      <c r="H30" s="8">
        <f t="shared" si="13"/>
        <v>100904337.77974883</v>
      </c>
      <c r="I30" s="8">
        <f t="shared" si="13"/>
        <v>54240275.738642678</v>
      </c>
      <c r="J30" s="8">
        <f t="shared" si="13"/>
        <v>0</v>
      </c>
      <c r="K30" s="8">
        <f t="shared" si="13"/>
        <v>3263707.07681177</v>
      </c>
      <c r="L30" s="8">
        <f t="shared" si="13"/>
        <v>-1417531.3423638302</v>
      </c>
      <c r="M30" s="8">
        <f t="shared" si="13"/>
        <v>48393576.297146514</v>
      </c>
      <c r="N30" s="8">
        <f t="shared" si="13"/>
        <v>36443854.583500527</v>
      </c>
      <c r="O30" s="8">
        <f t="shared" si="13"/>
        <v>23448966.01524204</v>
      </c>
      <c r="P30" s="8">
        <f t="shared" si="13"/>
        <v>51640659.154504389</v>
      </c>
      <c r="Q30" s="8">
        <f t="shared" si="13"/>
        <v>187844586.12280932</v>
      </c>
      <c r="R30" s="8">
        <f t="shared" si="13"/>
        <v>94410097.108555108</v>
      </c>
      <c r="S30" s="8">
        <f t="shared" si="13"/>
        <v>6242363.3483888134</v>
      </c>
      <c r="T30" s="8">
        <f t="shared" si="13"/>
        <v>-16502823.945278483</v>
      </c>
      <c r="U30" s="8">
        <f t="shared" si="13"/>
        <v>-30892324.303285185</v>
      </c>
      <c r="V30" s="8">
        <f t="shared" si="13"/>
        <v>0</v>
      </c>
      <c r="W30" s="8">
        <f t="shared" si="13"/>
        <v>-78165938.666433245</v>
      </c>
      <c r="X30" s="8">
        <f t="shared" si="13"/>
        <v>526648156.59661132</v>
      </c>
      <c r="Y30" s="8">
        <f t="shared" si="13"/>
        <v>2631665572.2267785</v>
      </c>
      <c r="AA30" s="143">
        <f t="shared" ref="AA30:AD30" si="14">SUM(AA9,AA15,AA20,AA24,AA26:AA28)</f>
        <v>-36443854.583500527</v>
      </c>
      <c r="AB30" s="144">
        <f t="shared" si="14"/>
        <v>34466832.227514409</v>
      </c>
      <c r="AC30" s="145">
        <f t="shared" si="14"/>
        <v>-1977022.3559861213</v>
      </c>
      <c r="AD30" s="145">
        <f t="shared" si="14"/>
        <v>2629688549.8707924</v>
      </c>
      <c r="AE30" s="146">
        <f>Y30/C30</f>
        <v>0.1121621634334295</v>
      </c>
      <c r="AF30" s="146">
        <f>AD30/C30</f>
        <v>0.11207790230734119</v>
      </c>
      <c r="AG30" s="147">
        <f>AC30/Y30</f>
        <v>-7.5124376624848574E-4</v>
      </c>
      <c r="AH30" s="130"/>
    </row>
    <row r="31" spans="1:34" ht="12" thickTop="1" x14ac:dyDescent="0.2">
      <c r="A31" s="86">
        <f t="shared" si="0"/>
        <v>24</v>
      </c>
      <c r="B31" s="86"/>
      <c r="C31" s="118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AA31" s="131"/>
      <c r="AB31" s="132"/>
      <c r="AC31" s="133"/>
      <c r="AD31" s="133"/>
      <c r="AE31" s="134"/>
      <c r="AF31" s="134"/>
      <c r="AG31" s="135"/>
      <c r="AH31" s="130"/>
    </row>
    <row r="32" spans="1:34" x14ac:dyDescent="0.2">
      <c r="A32" s="86">
        <f t="shared" si="0"/>
        <v>25</v>
      </c>
      <c r="B32" s="129">
        <v>5</v>
      </c>
      <c r="C32" s="161">
        <v>6782580.058544145</v>
      </c>
      <c r="D32" s="55">
        <v>309992.4415824787</v>
      </c>
      <c r="E32" s="55">
        <v>13819.732893147968</v>
      </c>
      <c r="F32" s="55">
        <v>0</v>
      </c>
      <c r="G32" s="55">
        <v>345.91158298575141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11096.300975778222</v>
      </c>
      <c r="O32" s="55">
        <v>6330.1732094742101</v>
      </c>
      <c r="P32" s="55">
        <v>12900.467271350964</v>
      </c>
      <c r="Q32" s="55">
        <v>43607.121385287064</v>
      </c>
      <c r="R32" s="55">
        <v>21891.734233404608</v>
      </c>
      <c r="S32" s="55">
        <v>0</v>
      </c>
      <c r="T32" s="55">
        <v>-5133.7847306635476</v>
      </c>
      <c r="U32" s="55">
        <v>0</v>
      </c>
      <c r="V32" s="55">
        <v>0</v>
      </c>
      <c r="W32" s="55">
        <v>0</v>
      </c>
      <c r="X32" s="6">
        <f>SUM(E32:W32)</f>
        <v>104857.65682076525</v>
      </c>
      <c r="Y32" s="6">
        <f>SUM(X32,D32)</f>
        <v>414850.09840324393</v>
      </c>
      <c r="AA32" s="164">
        <v>-11096.300975778222</v>
      </c>
      <c r="AB32" s="165">
        <v>12018.731863740224</v>
      </c>
      <c r="AC32" s="140">
        <f>SUM(AA32:AB32)</f>
        <v>922.43088796200209</v>
      </c>
      <c r="AD32" s="140">
        <f>SUM(Y32,AC32)</f>
        <v>415772.52929120592</v>
      </c>
      <c r="AE32" s="141">
        <f>Y32/C32</f>
        <v>6.1164054802515654E-2</v>
      </c>
      <c r="AF32" s="141">
        <f>AD32/C32</f>
        <v>6.1300054802515658E-2</v>
      </c>
      <c r="AG32" s="142">
        <f>AC32/Y32</f>
        <v>2.2235281888866223E-3</v>
      </c>
      <c r="AH32" s="130"/>
    </row>
    <row r="33" spans="1:34" ht="12" thickBot="1" x14ac:dyDescent="0.25">
      <c r="A33" s="86">
        <f t="shared" si="0"/>
        <v>26</v>
      </c>
      <c r="B33" s="86"/>
      <c r="C33" s="118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AA33" s="131"/>
      <c r="AB33" s="132"/>
      <c r="AC33" s="148"/>
      <c r="AD33" s="148"/>
      <c r="AE33" s="149"/>
      <c r="AF33" s="149"/>
      <c r="AG33" s="150"/>
      <c r="AH33" s="130"/>
    </row>
    <row r="34" spans="1:34" ht="12" thickBot="1" x14ac:dyDescent="0.25">
      <c r="A34" s="86">
        <f t="shared" si="0"/>
        <v>27</v>
      </c>
      <c r="B34" s="86" t="s">
        <v>127</v>
      </c>
      <c r="C34" s="23">
        <f t="shared" ref="C34:Y34" si="15">SUM(C30,C32)</f>
        <v>23469824765.302456</v>
      </c>
      <c r="D34" s="8">
        <f t="shared" si="15"/>
        <v>2105327408.0717494</v>
      </c>
      <c r="E34" s="8">
        <f t="shared" si="15"/>
        <v>45733137.291498117</v>
      </c>
      <c r="F34" s="8">
        <f t="shared" si="15"/>
        <v>0</v>
      </c>
      <c r="G34" s="8">
        <f t="shared" si="15"/>
        <v>1075379.9816000999</v>
      </c>
      <c r="H34" s="8">
        <f t="shared" si="15"/>
        <v>100904337.77974883</v>
      </c>
      <c r="I34" s="8">
        <f t="shared" si="15"/>
        <v>54240275.738642678</v>
      </c>
      <c r="J34" s="8">
        <f t="shared" si="15"/>
        <v>0</v>
      </c>
      <c r="K34" s="8">
        <f t="shared" si="15"/>
        <v>3263707.07681177</v>
      </c>
      <c r="L34" s="8">
        <f t="shared" si="15"/>
        <v>-1417531.3423638302</v>
      </c>
      <c r="M34" s="8">
        <f t="shared" si="15"/>
        <v>48393576.297146514</v>
      </c>
      <c r="N34" s="8">
        <f t="shared" si="15"/>
        <v>36454950.884476304</v>
      </c>
      <c r="O34" s="8">
        <f t="shared" si="15"/>
        <v>23455296.188451514</v>
      </c>
      <c r="P34" s="8">
        <f t="shared" si="15"/>
        <v>51653559.621775739</v>
      </c>
      <c r="Q34" s="8">
        <f t="shared" si="15"/>
        <v>187888193.2441946</v>
      </c>
      <c r="R34" s="8">
        <f t="shared" si="15"/>
        <v>94431988.842788517</v>
      </c>
      <c r="S34" s="8">
        <f t="shared" si="15"/>
        <v>6242363.3483888134</v>
      </c>
      <c r="T34" s="8">
        <f t="shared" si="15"/>
        <v>-16507957.730009146</v>
      </c>
      <c r="U34" s="8">
        <f t="shared" si="15"/>
        <v>-30892324.303285185</v>
      </c>
      <c r="V34" s="8">
        <f t="shared" si="15"/>
        <v>0</v>
      </c>
      <c r="W34" s="8">
        <f t="shared" si="15"/>
        <v>-78165938.666433245</v>
      </c>
      <c r="X34" s="8">
        <f t="shared" si="15"/>
        <v>526753014.2534321</v>
      </c>
      <c r="Y34" s="8">
        <f t="shared" si="15"/>
        <v>2632080422.325182</v>
      </c>
      <c r="AA34" s="143">
        <f t="shared" ref="AA34:AD34" si="16">SUM(AA30,AA32)</f>
        <v>-36454950.884476304</v>
      </c>
      <c r="AB34" s="144">
        <f t="shared" si="16"/>
        <v>34478850.959378146</v>
      </c>
      <c r="AC34" s="151">
        <f t="shared" si="16"/>
        <v>-1976099.9250981594</v>
      </c>
      <c r="AD34" s="151">
        <f t="shared" si="16"/>
        <v>2630104322.4000835</v>
      </c>
      <c r="AE34" s="149">
        <f>Y34/C34</f>
        <v>0.11214742541309564</v>
      </c>
      <c r="AF34" s="149">
        <f>AD34/C34</f>
        <v>0.11206322794060236</v>
      </c>
      <c r="AG34" s="152">
        <f>AC34/Y34</f>
        <v>-7.5077490350863635E-4</v>
      </c>
      <c r="AH34" s="130"/>
    </row>
    <row r="35" spans="1:34" ht="12" thickTop="1" x14ac:dyDescent="0.2">
      <c r="A35" s="86">
        <f t="shared" si="0"/>
        <v>28</v>
      </c>
      <c r="D35" s="20"/>
      <c r="AA35" s="153"/>
      <c r="AB35" s="154"/>
    </row>
    <row r="36" spans="1:34" x14ac:dyDescent="0.2">
      <c r="A36" s="86">
        <f t="shared" si="0"/>
        <v>29</v>
      </c>
      <c r="B36" s="65" t="s">
        <v>111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65"/>
      <c r="AA36" s="155">
        <v>0</v>
      </c>
      <c r="AB36" s="156">
        <v>0</v>
      </c>
    </row>
    <row r="37" spans="1:34" ht="12" thickBot="1" x14ac:dyDescent="0.25">
      <c r="Y37" s="65" t="s">
        <v>90</v>
      </c>
      <c r="AA37" s="157"/>
      <c r="AB37" s="158"/>
    </row>
    <row r="38" spans="1:34" x14ac:dyDescent="0.2">
      <c r="Y38" s="159">
        <v>0</v>
      </c>
    </row>
    <row r="40" spans="1:34" x14ac:dyDescent="0.2"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</sheetData>
  <printOptions horizontalCentered="1"/>
  <pageMargins left="0.7" right="0.7" top="0.75" bottom="0.75" header="0.3" footer="0.3"/>
  <pageSetup scale="96" orientation="landscape" r:id="rId1"/>
  <headerFooter alignWithMargins="0"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89"/>
  <sheetViews>
    <sheetView zoomScaleNormal="100" zoomScaleSheetLayoutView="100" workbookViewId="0">
      <pane ySplit="6" topLeftCell="A7" activePane="bottomLeft" state="frozen"/>
      <selection pane="bottomLeft" activeCell="F34" sqref="F34"/>
    </sheetView>
  </sheetViews>
  <sheetFormatPr defaultColWidth="8.7109375" defaultRowHeight="11.25" x14ac:dyDescent="0.2"/>
  <cols>
    <col min="1" max="1" width="21.5703125" style="14" customWidth="1"/>
    <col min="2" max="2" width="7.7109375" style="14" bestFit="1" customWidth="1"/>
    <col min="3" max="3" width="12.7109375" style="14" bestFit="1" customWidth="1"/>
    <col min="4" max="4" width="20" style="14" bestFit="1" customWidth="1"/>
    <col min="5" max="5" width="10.28515625" style="14" bestFit="1" customWidth="1"/>
    <col min="6" max="6" width="10" style="14" bestFit="1" customWidth="1"/>
    <col min="7" max="7" width="0.85546875" style="14" customWidth="1"/>
    <col min="8" max="8" width="7.7109375" style="14" bestFit="1" customWidth="1"/>
    <col min="9" max="9" width="9.140625" style="14" bestFit="1" customWidth="1"/>
    <col min="10" max="10" width="7.7109375" style="14" bestFit="1" customWidth="1"/>
    <col min="11" max="11" width="9" style="14" bestFit="1" customWidth="1"/>
    <col min="12" max="13" width="9" style="14" customWidth="1"/>
    <col min="14" max="14" width="4" style="14" customWidth="1"/>
    <col min="15" max="16384" width="8.7109375" style="14"/>
  </cols>
  <sheetData>
    <row r="1" spans="1:18" s="12" customFormat="1" x14ac:dyDescent="0.2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4"/>
    </row>
    <row r="2" spans="1:18" s="12" customFormat="1" x14ac:dyDescent="0.2">
      <c r="A2" s="10" t="s">
        <v>22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8" x14ac:dyDescent="0.2">
      <c r="A3" s="53" t="str">
        <f>'Rate Summary'!A4</f>
        <v>Proposed Rate Effective Janaury 1, 2024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5" spans="1:18" x14ac:dyDescent="0.2">
      <c r="C5" s="432" t="s">
        <v>75</v>
      </c>
      <c r="D5" s="432"/>
      <c r="E5" s="432"/>
      <c r="F5" s="432"/>
      <c r="G5" s="15"/>
      <c r="H5" s="432" t="s">
        <v>76</v>
      </c>
      <c r="I5" s="432"/>
      <c r="J5" s="432"/>
      <c r="K5" s="432"/>
      <c r="L5" s="16"/>
      <c r="M5" s="16"/>
      <c r="O5" s="17"/>
      <c r="P5" s="17"/>
      <c r="Q5" s="17"/>
      <c r="R5" s="17"/>
    </row>
    <row r="6" spans="1:18" ht="22.5" x14ac:dyDescent="0.2">
      <c r="A6" s="18" t="s">
        <v>7</v>
      </c>
      <c r="B6" s="18" t="s">
        <v>21</v>
      </c>
      <c r="C6" s="18" t="s">
        <v>77</v>
      </c>
      <c r="D6" s="18" t="s">
        <v>78</v>
      </c>
      <c r="E6" s="18" t="s">
        <v>79</v>
      </c>
      <c r="F6" s="18" t="s">
        <v>80</v>
      </c>
      <c r="H6" s="18" t="s">
        <v>77</v>
      </c>
      <c r="I6" s="18" t="s">
        <v>78</v>
      </c>
      <c r="J6" s="18" t="s">
        <v>79</v>
      </c>
      <c r="K6" s="18" t="s">
        <v>80</v>
      </c>
      <c r="L6" s="19" t="s">
        <v>81</v>
      </c>
      <c r="M6" s="18" t="s">
        <v>91</v>
      </c>
    </row>
    <row r="7" spans="1:18" x14ac:dyDescent="0.2">
      <c r="A7" s="87" t="s">
        <v>419</v>
      </c>
      <c r="B7" s="118">
        <f t="shared" ref="B7:B18" si="0">ROUND(+E75,0)</f>
        <v>1100</v>
      </c>
      <c r="C7" s="1">
        <f t="shared" ref="C7:C18" si="1">ROUND(+$E$27,2)</f>
        <v>7.49</v>
      </c>
      <c r="D7" s="1">
        <f t="shared" ref="D7:D18" si="2">ROUND(IF($B7&gt;600,600*$E$69,$B7*$E$43),2)</f>
        <v>67.209999999999994</v>
      </c>
      <c r="E7" s="1">
        <f t="shared" ref="E7:E18" si="3">ROUND(IF($B7&gt;600,($B7-600)*$E$70,0),2)</f>
        <v>65.72</v>
      </c>
      <c r="F7" s="20">
        <f t="shared" ref="F7:F18" si="4">SUM(C7:E7)</f>
        <v>140.41999999999999</v>
      </c>
      <c r="H7" s="1">
        <f t="shared" ref="H7:H18" si="5">ROUND(+$F$27,2)</f>
        <v>7.49</v>
      </c>
      <c r="I7" s="1">
        <f t="shared" ref="I7:I18" si="6">ROUND(IF($B7&gt;600,600*$F$69,$B7*$F$43),2)</f>
        <v>67.16</v>
      </c>
      <c r="J7" s="1">
        <f t="shared" ref="J7:J18" si="7">ROUND(IF($B7&gt;600,($B7-600)*$F$70,0),2)</f>
        <v>65.680000000000007</v>
      </c>
      <c r="K7" s="20">
        <f t="shared" ref="K7:K18" si="8">SUM(H7:J7)</f>
        <v>140.32999999999998</v>
      </c>
      <c r="L7" s="20">
        <f t="shared" ref="L7:L18" si="9">+K7-F7</f>
        <v>-9.0000000000003411E-2</v>
      </c>
      <c r="M7" s="21">
        <f t="shared" ref="M7:M18" si="10">+L7/F7</f>
        <v>-6.4093433983765434E-4</v>
      </c>
    </row>
    <row r="8" spans="1:18" x14ac:dyDescent="0.2">
      <c r="A8" s="87" t="s">
        <v>420</v>
      </c>
      <c r="B8" s="118">
        <f t="shared" si="0"/>
        <v>992</v>
      </c>
      <c r="C8" s="1">
        <f t="shared" si="1"/>
        <v>7.49</v>
      </c>
      <c r="D8" s="1">
        <f t="shared" si="2"/>
        <v>67.209999999999994</v>
      </c>
      <c r="E8" s="1">
        <f t="shared" si="3"/>
        <v>51.52</v>
      </c>
      <c r="F8" s="20">
        <f t="shared" si="4"/>
        <v>126.22</v>
      </c>
      <c r="H8" s="1">
        <f t="shared" si="5"/>
        <v>7.49</v>
      </c>
      <c r="I8" s="1">
        <f t="shared" si="6"/>
        <v>67.16</v>
      </c>
      <c r="J8" s="1">
        <f t="shared" si="7"/>
        <v>51.49</v>
      </c>
      <c r="K8" s="20">
        <f t="shared" si="8"/>
        <v>126.13999999999999</v>
      </c>
      <c r="L8" s="20">
        <f t="shared" si="9"/>
        <v>-8.0000000000012506E-2</v>
      </c>
      <c r="M8" s="21">
        <f t="shared" si="10"/>
        <v>-6.3381397559826103E-4</v>
      </c>
    </row>
    <row r="9" spans="1:18" x14ac:dyDescent="0.2">
      <c r="A9" s="87" t="s">
        <v>421</v>
      </c>
      <c r="B9" s="118">
        <f t="shared" si="0"/>
        <v>959</v>
      </c>
      <c r="C9" s="1">
        <f t="shared" si="1"/>
        <v>7.49</v>
      </c>
      <c r="D9" s="1">
        <f t="shared" si="2"/>
        <v>67.209999999999994</v>
      </c>
      <c r="E9" s="1">
        <f t="shared" si="3"/>
        <v>47.19</v>
      </c>
      <c r="F9" s="20">
        <f t="shared" si="4"/>
        <v>121.88999999999999</v>
      </c>
      <c r="H9" s="1">
        <f t="shared" si="5"/>
        <v>7.49</v>
      </c>
      <c r="I9" s="1">
        <f t="shared" si="6"/>
        <v>67.16</v>
      </c>
      <c r="J9" s="1">
        <f t="shared" si="7"/>
        <v>47.15</v>
      </c>
      <c r="K9" s="20">
        <f t="shared" si="8"/>
        <v>121.79999999999998</v>
      </c>
      <c r="L9" s="20">
        <f t="shared" si="9"/>
        <v>-9.0000000000003411E-2</v>
      </c>
      <c r="M9" s="21">
        <f t="shared" si="10"/>
        <v>-7.3837066207238836E-4</v>
      </c>
    </row>
    <row r="10" spans="1:18" x14ac:dyDescent="0.2">
      <c r="A10" s="87" t="s">
        <v>422</v>
      </c>
      <c r="B10" s="118">
        <f t="shared" si="0"/>
        <v>803</v>
      </c>
      <c r="C10" s="1">
        <f t="shared" si="1"/>
        <v>7.49</v>
      </c>
      <c r="D10" s="1">
        <f t="shared" si="2"/>
        <v>67.209999999999994</v>
      </c>
      <c r="E10" s="1">
        <f t="shared" si="3"/>
        <v>26.68</v>
      </c>
      <c r="F10" s="20">
        <f t="shared" si="4"/>
        <v>101.38</v>
      </c>
      <c r="H10" s="1">
        <f t="shared" si="5"/>
        <v>7.49</v>
      </c>
      <c r="I10" s="1">
        <f t="shared" si="6"/>
        <v>67.16</v>
      </c>
      <c r="J10" s="1">
        <f t="shared" si="7"/>
        <v>26.66</v>
      </c>
      <c r="K10" s="20">
        <f t="shared" si="8"/>
        <v>101.30999999999999</v>
      </c>
      <c r="L10" s="20">
        <f t="shared" si="9"/>
        <v>-7.000000000000739E-2</v>
      </c>
      <c r="M10" s="21">
        <f t="shared" si="10"/>
        <v>-6.9047149339127435E-4</v>
      </c>
    </row>
    <row r="11" spans="1:18" x14ac:dyDescent="0.2">
      <c r="A11" s="87" t="s">
        <v>423</v>
      </c>
      <c r="B11" s="118">
        <f t="shared" si="0"/>
        <v>700</v>
      </c>
      <c r="C11" s="1">
        <f t="shared" si="1"/>
        <v>7.49</v>
      </c>
      <c r="D11" s="1">
        <f t="shared" si="2"/>
        <v>67.209999999999994</v>
      </c>
      <c r="E11" s="1">
        <f t="shared" si="3"/>
        <v>13.14</v>
      </c>
      <c r="F11" s="20">
        <f t="shared" si="4"/>
        <v>87.839999999999989</v>
      </c>
      <c r="H11" s="1">
        <f t="shared" si="5"/>
        <v>7.49</v>
      </c>
      <c r="I11" s="1">
        <f t="shared" si="6"/>
        <v>67.16</v>
      </c>
      <c r="J11" s="1">
        <f t="shared" si="7"/>
        <v>13.14</v>
      </c>
      <c r="K11" s="20">
        <f t="shared" si="8"/>
        <v>87.789999999999992</v>
      </c>
      <c r="L11" s="20">
        <f t="shared" si="9"/>
        <v>-4.9999999999997158E-2</v>
      </c>
      <c r="M11" s="21">
        <f t="shared" si="10"/>
        <v>-5.6921675774131565E-4</v>
      </c>
    </row>
    <row r="12" spans="1:18" x14ac:dyDescent="0.2">
      <c r="A12" s="87" t="s">
        <v>424</v>
      </c>
      <c r="B12" s="118">
        <f t="shared" si="0"/>
        <v>669</v>
      </c>
      <c r="C12" s="1">
        <f t="shared" si="1"/>
        <v>7.49</v>
      </c>
      <c r="D12" s="1">
        <f t="shared" si="2"/>
        <v>67.209999999999994</v>
      </c>
      <c r="E12" s="1">
        <f t="shared" si="3"/>
        <v>9.07</v>
      </c>
      <c r="F12" s="20">
        <f t="shared" si="4"/>
        <v>83.769999999999982</v>
      </c>
      <c r="H12" s="1">
        <f t="shared" si="5"/>
        <v>7.49</v>
      </c>
      <c r="I12" s="1">
        <f t="shared" si="6"/>
        <v>67.16</v>
      </c>
      <c r="J12" s="1">
        <f t="shared" si="7"/>
        <v>9.06</v>
      </c>
      <c r="K12" s="20">
        <f t="shared" si="8"/>
        <v>83.71</v>
      </c>
      <c r="L12" s="20">
        <f t="shared" si="9"/>
        <v>-5.9999999999988063E-2</v>
      </c>
      <c r="M12" s="21">
        <f t="shared" si="10"/>
        <v>-7.162468664198171E-4</v>
      </c>
    </row>
    <row r="13" spans="1:18" x14ac:dyDescent="0.2">
      <c r="A13" s="87" t="s">
        <v>425</v>
      </c>
      <c r="B13" s="118">
        <f t="shared" si="0"/>
        <v>745</v>
      </c>
      <c r="C13" s="1">
        <f t="shared" si="1"/>
        <v>7.49</v>
      </c>
      <c r="D13" s="1">
        <f t="shared" si="2"/>
        <v>67.209999999999994</v>
      </c>
      <c r="E13" s="1">
        <f t="shared" si="3"/>
        <v>19.059999999999999</v>
      </c>
      <c r="F13" s="20">
        <f t="shared" si="4"/>
        <v>93.759999999999991</v>
      </c>
      <c r="H13" s="1">
        <f t="shared" si="5"/>
        <v>7.49</v>
      </c>
      <c r="I13" s="1">
        <f t="shared" si="6"/>
        <v>67.16</v>
      </c>
      <c r="J13" s="1">
        <f t="shared" si="7"/>
        <v>19.05</v>
      </c>
      <c r="K13" s="20">
        <f t="shared" si="8"/>
        <v>93.699999999999989</v>
      </c>
      <c r="L13" s="20">
        <f t="shared" si="9"/>
        <v>-6.0000000000002274E-2</v>
      </c>
      <c r="M13" s="21">
        <f t="shared" si="10"/>
        <v>-6.3993174061435874E-4</v>
      </c>
    </row>
    <row r="14" spans="1:18" x14ac:dyDescent="0.2">
      <c r="A14" s="87" t="s">
        <v>426</v>
      </c>
      <c r="B14" s="118">
        <f t="shared" si="0"/>
        <v>750</v>
      </c>
      <c r="C14" s="1">
        <f t="shared" si="1"/>
        <v>7.49</v>
      </c>
      <c r="D14" s="1">
        <f t="shared" si="2"/>
        <v>67.209999999999994</v>
      </c>
      <c r="E14" s="1">
        <f t="shared" si="3"/>
        <v>19.72</v>
      </c>
      <c r="F14" s="20">
        <f t="shared" si="4"/>
        <v>94.419999999999987</v>
      </c>
      <c r="H14" s="1">
        <f t="shared" si="5"/>
        <v>7.49</v>
      </c>
      <c r="I14" s="1">
        <f t="shared" si="6"/>
        <v>67.16</v>
      </c>
      <c r="J14" s="1">
        <f t="shared" si="7"/>
        <v>19.7</v>
      </c>
      <c r="K14" s="20">
        <f t="shared" si="8"/>
        <v>94.35</v>
      </c>
      <c r="L14" s="20">
        <f t="shared" si="9"/>
        <v>-6.9999999999993179E-2</v>
      </c>
      <c r="M14" s="21">
        <f t="shared" si="10"/>
        <v>-7.4136835416218163E-4</v>
      </c>
    </row>
    <row r="15" spans="1:18" x14ac:dyDescent="0.2">
      <c r="A15" s="87" t="s">
        <v>427</v>
      </c>
      <c r="B15" s="118">
        <f t="shared" si="0"/>
        <v>685</v>
      </c>
      <c r="C15" s="1">
        <f t="shared" si="1"/>
        <v>7.49</v>
      </c>
      <c r="D15" s="1">
        <f t="shared" si="2"/>
        <v>67.209999999999994</v>
      </c>
      <c r="E15" s="1">
        <f t="shared" si="3"/>
        <v>11.17</v>
      </c>
      <c r="F15" s="20">
        <f t="shared" si="4"/>
        <v>85.86999999999999</v>
      </c>
      <c r="H15" s="1">
        <f t="shared" si="5"/>
        <v>7.49</v>
      </c>
      <c r="I15" s="1">
        <f t="shared" si="6"/>
        <v>67.16</v>
      </c>
      <c r="J15" s="1">
        <f t="shared" si="7"/>
        <v>11.16</v>
      </c>
      <c r="K15" s="20">
        <f t="shared" si="8"/>
        <v>85.809999999999988</v>
      </c>
      <c r="L15" s="20">
        <f t="shared" si="9"/>
        <v>-6.0000000000002274E-2</v>
      </c>
      <c r="M15" s="21">
        <f t="shared" si="10"/>
        <v>-6.9873063933856153E-4</v>
      </c>
    </row>
    <row r="16" spans="1:18" x14ac:dyDescent="0.2">
      <c r="A16" s="87" t="s">
        <v>428</v>
      </c>
      <c r="B16" s="118">
        <f t="shared" si="0"/>
        <v>800</v>
      </c>
      <c r="C16" s="1">
        <f t="shared" si="1"/>
        <v>7.49</v>
      </c>
      <c r="D16" s="1">
        <f t="shared" si="2"/>
        <v>67.209999999999994</v>
      </c>
      <c r="E16" s="1">
        <f t="shared" si="3"/>
        <v>26.29</v>
      </c>
      <c r="F16" s="20">
        <f t="shared" si="4"/>
        <v>100.98999999999998</v>
      </c>
      <c r="H16" s="1">
        <f t="shared" si="5"/>
        <v>7.49</v>
      </c>
      <c r="I16" s="1">
        <f t="shared" si="6"/>
        <v>67.16</v>
      </c>
      <c r="J16" s="1">
        <f t="shared" si="7"/>
        <v>26.27</v>
      </c>
      <c r="K16" s="20">
        <f t="shared" si="8"/>
        <v>100.91999999999999</v>
      </c>
      <c r="L16" s="20">
        <f t="shared" si="9"/>
        <v>-6.9999999999993179E-2</v>
      </c>
      <c r="M16" s="21">
        <f t="shared" si="10"/>
        <v>-6.9313793444888798E-4</v>
      </c>
    </row>
    <row r="17" spans="1:13" x14ac:dyDescent="0.2">
      <c r="A17" s="87" t="s">
        <v>429</v>
      </c>
      <c r="B17" s="118">
        <f t="shared" si="0"/>
        <v>964</v>
      </c>
      <c r="C17" s="1">
        <f t="shared" si="1"/>
        <v>7.49</v>
      </c>
      <c r="D17" s="1">
        <f t="shared" si="2"/>
        <v>67.209999999999994</v>
      </c>
      <c r="E17" s="1">
        <f t="shared" si="3"/>
        <v>47.84</v>
      </c>
      <c r="F17" s="20">
        <f t="shared" si="4"/>
        <v>122.53999999999999</v>
      </c>
      <c r="H17" s="1">
        <f t="shared" si="5"/>
        <v>7.49</v>
      </c>
      <c r="I17" s="1">
        <f t="shared" si="6"/>
        <v>67.16</v>
      </c>
      <c r="J17" s="1">
        <f t="shared" si="7"/>
        <v>47.81</v>
      </c>
      <c r="K17" s="20">
        <f t="shared" si="8"/>
        <v>122.46</v>
      </c>
      <c r="L17" s="20">
        <f t="shared" si="9"/>
        <v>-7.9999999999998295E-2</v>
      </c>
      <c r="M17" s="21">
        <f t="shared" si="10"/>
        <v>-6.5284804961643795E-4</v>
      </c>
    </row>
    <row r="18" spans="1:13" x14ac:dyDescent="0.2">
      <c r="A18" s="87" t="s">
        <v>430</v>
      </c>
      <c r="B18" s="118">
        <f t="shared" si="0"/>
        <v>1157</v>
      </c>
      <c r="C18" s="1">
        <f t="shared" si="1"/>
        <v>7.49</v>
      </c>
      <c r="D18" s="1">
        <f t="shared" si="2"/>
        <v>67.209999999999994</v>
      </c>
      <c r="E18" s="1">
        <f t="shared" si="3"/>
        <v>73.209999999999994</v>
      </c>
      <c r="F18" s="20">
        <f t="shared" si="4"/>
        <v>147.90999999999997</v>
      </c>
      <c r="H18" s="1">
        <f t="shared" si="5"/>
        <v>7.49</v>
      </c>
      <c r="I18" s="1">
        <f t="shared" si="6"/>
        <v>67.16</v>
      </c>
      <c r="J18" s="1">
        <f t="shared" si="7"/>
        <v>73.16</v>
      </c>
      <c r="K18" s="20">
        <f t="shared" si="8"/>
        <v>147.81</v>
      </c>
      <c r="L18" s="20">
        <f t="shared" si="9"/>
        <v>-9.9999999999965894E-2</v>
      </c>
      <c r="M18" s="21">
        <f t="shared" si="10"/>
        <v>-6.7608680954611526E-4</v>
      </c>
    </row>
    <row r="19" spans="1:13" x14ac:dyDescent="0.2">
      <c r="C19" s="1"/>
      <c r="H19" s="1"/>
      <c r="M19" s="21"/>
    </row>
    <row r="20" spans="1:13" ht="12" thickBot="1" x14ac:dyDescent="0.25">
      <c r="A20" s="22" t="s">
        <v>8</v>
      </c>
      <c r="B20" s="23">
        <f>SUM(B7:B19)</f>
        <v>10324</v>
      </c>
      <c r="C20" s="2">
        <f>SUM(C7:C19)</f>
        <v>89.88</v>
      </c>
      <c r="D20" s="2">
        <f>SUM(D7:D19)</f>
        <v>806.5200000000001</v>
      </c>
      <c r="E20" s="2">
        <f>SUM(E7:E19)</f>
        <v>410.60999999999996</v>
      </c>
      <c r="F20" s="2">
        <f>SUM(F7:F19)</f>
        <v>1307.0099999999998</v>
      </c>
      <c r="H20" s="2">
        <f>SUM(H7:H19)</f>
        <v>89.88</v>
      </c>
      <c r="I20" s="2">
        <f>SUM(I7:I19)</f>
        <v>805.91999999999973</v>
      </c>
      <c r="J20" s="2">
        <f>SUM(J7:J19)</f>
        <v>410.33000000000004</v>
      </c>
      <c r="K20" s="2">
        <f>SUM(K7:K19)</f>
        <v>1306.1299999999999</v>
      </c>
      <c r="L20" s="2">
        <f>+K20-F20</f>
        <v>-0.87999999999988177</v>
      </c>
      <c r="M20" s="24">
        <f>+L20/F20</f>
        <v>-6.7329247672158737E-4</v>
      </c>
    </row>
    <row r="21" spans="1:13" ht="12" thickTop="1" x14ac:dyDescent="0.2">
      <c r="M21" s="21"/>
    </row>
    <row r="22" spans="1:13" ht="12" thickBot="1" x14ac:dyDescent="0.25">
      <c r="A22" s="25" t="s">
        <v>82</v>
      </c>
      <c r="B22" s="23">
        <f>ROUND(AVERAGE(B7:B18),-2)</f>
        <v>900</v>
      </c>
      <c r="C22" s="26">
        <f>ROUND(+$E$27,2)</f>
        <v>7.49</v>
      </c>
      <c r="D22" s="26">
        <f>ROUND(IF($B22&gt;600,600*$E$69,$B22*$E$43),2)</f>
        <v>67.209999999999994</v>
      </c>
      <c r="E22" s="26">
        <f>ROUND(IF($B22&gt;600,($B22-600)*$E$70,0),2)</f>
        <v>39.43</v>
      </c>
      <c r="F22" s="26">
        <f>SUM(C22:E22)</f>
        <v>114.13</v>
      </c>
      <c r="H22" s="26">
        <f>ROUND(+$F$27,2)</f>
        <v>7.49</v>
      </c>
      <c r="I22" s="26">
        <f>ROUND(IF($B22&gt;600,600*$F$69,$B22*$F$43),2)</f>
        <v>67.16</v>
      </c>
      <c r="J22" s="26">
        <f>ROUND(IF($B22&gt;600,($B22-600)*$F$70,0),2)</f>
        <v>39.409999999999997</v>
      </c>
      <c r="K22" s="26">
        <f>SUM(H22:J22)</f>
        <v>114.05999999999999</v>
      </c>
      <c r="L22" s="26">
        <f>+K22-F22</f>
        <v>-7.000000000000739E-2</v>
      </c>
      <c r="M22" s="24">
        <f>+L22/F22</f>
        <v>-6.1333566985023562E-4</v>
      </c>
    </row>
    <row r="23" spans="1:13" ht="12.75" thickTop="1" thickBot="1" x14ac:dyDescent="0.25">
      <c r="A23" s="27" t="s">
        <v>82</v>
      </c>
      <c r="B23" s="119">
        <v>800</v>
      </c>
      <c r="C23" s="26">
        <f>ROUND(+$E$27,2)</f>
        <v>7.49</v>
      </c>
      <c r="D23" s="26">
        <f>ROUND(IF($B23&gt;600,600*$E$69,$B23*$E$43),2)</f>
        <v>67.209999999999994</v>
      </c>
      <c r="E23" s="26">
        <f>ROUND(IF($B23&gt;600,($B23-600)*$E$70,0),2)</f>
        <v>26.29</v>
      </c>
      <c r="F23" s="26">
        <f>SUM(C23:E23)</f>
        <v>100.98999999999998</v>
      </c>
      <c r="H23" s="26">
        <f>ROUND(+$F$27,2)</f>
        <v>7.49</v>
      </c>
      <c r="I23" s="26">
        <f>ROUND(IF($B23&gt;600,600*$F$69,$B23*$F$43),2)</f>
        <v>67.16</v>
      </c>
      <c r="J23" s="26">
        <f>ROUND(IF($B23&gt;600,($B23-600)*$F$70,0),2)</f>
        <v>26.27</v>
      </c>
      <c r="K23" s="26">
        <f>SUM(H23:J23)</f>
        <v>100.91999999999999</v>
      </c>
      <c r="L23" s="26">
        <f>+K23-F23</f>
        <v>-6.9999999999993179E-2</v>
      </c>
      <c r="M23" s="120">
        <f>+L23/F23</f>
        <v>-6.9313793444888798E-4</v>
      </c>
    </row>
    <row r="24" spans="1:13" ht="12" thickTop="1" x14ac:dyDescent="0.2"/>
    <row r="25" spans="1:13" ht="45" x14ac:dyDescent="0.2">
      <c r="A25" s="28" t="s">
        <v>30</v>
      </c>
      <c r="B25" s="29"/>
      <c r="C25" s="29"/>
      <c r="D25" s="29"/>
      <c r="E25" s="30" t="s">
        <v>431</v>
      </c>
      <c r="F25" s="30" t="s">
        <v>432</v>
      </c>
    </row>
    <row r="26" spans="1:13" x14ac:dyDescent="0.2">
      <c r="A26" s="427" t="s">
        <v>20</v>
      </c>
      <c r="B26" s="427"/>
      <c r="C26" s="427"/>
      <c r="D26" s="427"/>
      <c r="E26" s="31"/>
      <c r="F26" s="31"/>
    </row>
    <row r="27" spans="1:13" x14ac:dyDescent="0.2">
      <c r="A27" s="426" t="s">
        <v>31</v>
      </c>
      <c r="B27" s="426"/>
      <c r="C27" s="426"/>
      <c r="D27" s="426"/>
      <c r="E27" s="98">
        <v>7.49</v>
      </c>
      <c r="F27" s="32">
        <f>E27</f>
        <v>7.49</v>
      </c>
      <c r="G27" s="3" t="s">
        <v>11</v>
      </c>
      <c r="H27" s="3"/>
    </row>
    <row r="28" spans="1:13" ht="12" thickBot="1" x14ac:dyDescent="0.25">
      <c r="A28" s="425" t="s">
        <v>26</v>
      </c>
      <c r="B28" s="425"/>
      <c r="C28" s="425"/>
      <c r="D28" s="425"/>
      <c r="E28" s="33">
        <f>SUM(E27)</f>
        <v>7.49</v>
      </c>
      <c r="F28" s="33">
        <f>SUM(F27:F27)</f>
        <v>7.49</v>
      </c>
    </row>
    <row r="29" spans="1:13" ht="12" thickTop="1" x14ac:dyDescent="0.2">
      <c r="A29" s="427" t="s">
        <v>19</v>
      </c>
      <c r="B29" s="427"/>
      <c r="C29" s="427"/>
      <c r="D29" s="427"/>
      <c r="E29" s="34"/>
      <c r="F29" s="34"/>
    </row>
    <row r="30" spans="1:13" x14ac:dyDescent="0.2">
      <c r="A30" s="426" t="s">
        <v>18</v>
      </c>
      <c r="B30" s="426"/>
      <c r="C30" s="426"/>
      <c r="D30" s="426"/>
      <c r="E30" s="98">
        <v>8.9437000000000003E-2</v>
      </c>
      <c r="F30" s="32">
        <f t="shared" ref="F30:F42" si="11">E30</f>
        <v>8.9437000000000003E-2</v>
      </c>
      <c r="G30" s="3" t="s">
        <v>27</v>
      </c>
      <c r="H30" s="3"/>
    </row>
    <row r="31" spans="1:13" x14ac:dyDescent="0.2">
      <c r="A31" s="426" t="s">
        <v>13</v>
      </c>
      <c r="B31" s="426"/>
      <c r="C31" s="426"/>
      <c r="D31" s="426"/>
      <c r="E31" s="99">
        <v>2.6870000000000002E-3</v>
      </c>
      <c r="F31" s="37">
        <f t="shared" si="11"/>
        <v>2.6870000000000002E-3</v>
      </c>
      <c r="G31" s="3" t="s">
        <v>27</v>
      </c>
      <c r="H31" s="3"/>
    </row>
    <row r="32" spans="1:13" x14ac:dyDescent="0.2">
      <c r="A32" s="431" t="s">
        <v>181</v>
      </c>
      <c r="B32" s="431"/>
      <c r="C32" s="431"/>
      <c r="D32" s="431"/>
      <c r="E32" s="99">
        <v>0</v>
      </c>
      <c r="F32" s="37">
        <f t="shared" si="11"/>
        <v>0</v>
      </c>
      <c r="G32" s="3" t="s">
        <v>27</v>
      </c>
      <c r="H32" s="3"/>
    </row>
    <row r="33" spans="1:8" s="3" customFormat="1" x14ac:dyDescent="0.2">
      <c r="A33" s="426" t="s">
        <v>12</v>
      </c>
      <c r="B33" s="426"/>
      <c r="C33" s="426"/>
      <c r="D33" s="426"/>
      <c r="E33" s="99">
        <v>2.6120000000000002E-3</v>
      </c>
      <c r="F33" s="37">
        <f t="shared" si="11"/>
        <v>2.6120000000000002E-3</v>
      </c>
      <c r="G33" s="3" t="s">
        <v>27</v>
      </c>
    </row>
    <row r="34" spans="1:8" s="3" customFormat="1" x14ac:dyDescent="0.2">
      <c r="A34" s="428" t="s">
        <v>92</v>
      </c>
      <c r="B34" s="428"/>
      <c r="C34" s="428"/>
      <c r="D34" s="428"/>
      <c r="E34" s="101">
        <f>'Rate Summary'!D9</f>
        <v>1.828E-3</v>
      </c>
      <c r="F34" s="101">
        <f>'Rate Summary'!F9</f>
        <v>1.7420000000000001E-3</v>
      </c>
      <c r="G34" s="52" t="s">
        <v>27</v>
      </c>
      <c r="H34" s="52"/>
    </row>
    <row r="35" spans="1:8" s="3" customFormat="1" x14ac:dyDescent="0.2">
      <c r="A35" s="426" t="s">
        <v>123</v>
      </c>
      <c r="B35" s="426"/>
      <c r="C35" s="426"/>
      <c r="D35" s="426"/>
      <c r="E35" s="99">
        <v>1.25E-3</v>
      </c>
      <c r="F35" s="37">
        <f t="shared" si="11"/>
        <v>1.25E-3</v>
      </c>
      <c r="G35" s="3" t="s">
        <v>27</v>
      </c>
    </row>
    <row r="36" spans="1:8" s="3" customFormat="1" x14ac:dyDescent="0.2">
      <c r="A36" s="426" t="s">
        <v>93</v>
      </c>
      <c r="B36" s="426"/>
      <c r="C36" s="426"/>
      <c r="D36" s="426"/>
      <c r="E36" s="99">
        <v>2.6689999999999999E-3</v>
      </c>
      <c r="F36" s="37">
        <f t="shared" si="11"/>
        <v>2.6689999999999999E-3</v>
      </c>
      <c r="G36" s="3" t="s">
        <v>27</v>
      </c>
    </row>
    <row r="37" spans="1:8" s="3" customFormat="1" x14ac:dyDescent="0.2">
      <c r="A37" s="426" t="s">
        <v>94</v>
      </c>
      <c r="B37" s="426"/>
      <c r="C37" s="426"/>
      <c r="D37" s="426"/>
      <c r="E37" s="99">
        <v>1.0007E-2</v>
      </c>
      <c r="F37" s="37">
        <f t="shared" si="11"/>
        <v>1.0007E-2</v>
      </c>
      <c r="G37" s="3" t="s">
        <v>27</v>
      </c>
    </row>
    <row r="38" spans="1:8" s="3" customFormat="1" x14ac:dyDescent="0.2">
      <c r="A38" s="426" t="s">
        <v>95</v>
      </c>
      <c r="B38" s="426"/>
      <c r="C38" s="426"/>
      <c r="D38" s="426"/>
      <c r="E38" s="99">
        <v>5.0289999999999996E-3</v>
      </c>
      <c r="F38" s="37">
        <f t="shared" si="11"/>
        <v>5.0289999999999996E-3</v>
      </c>
      <c r="G38" s="3" t="s">
        <v>27</v>
      </c>
    </row>
    <row r="39" spans="1:8" s="3" customFormat="1" x14ac:dyDescent="0.2">
      <c r="A39" s="426" t="s">
        <v>96</v>
      </c>
      <c r="B39" s="426"/>
      <c r="C39" s="426"/>
      <c r="D39" s="426"/>
      <c r="E39" s="99">
        <v>3.19E-4</v>
      </c>
      <c r="F39" s="37">
        <f t="shared" si="11"/>
        <v>3.19E-4</v>
      </c>
      <c r="G39" s="3" t="s">
        <v>27</v>
      </c>
    </row>
    <row r="40" spans="1:8" s="3" customFormat="1" x14ac:dyDescent="0.2">
      <c r="A40" s="426" t="s">
        <v>83</v>
      </c>
      <c r="B40" s="426"/>
      <c r="C40" s="426"/>
      <c r="D40" s="426"/>
      <c r="E40" s="99">
        <v>-8.8400000000000002E-4</v>
      </c>
      <c r="F40" s="37">
        <f t="shared" si="11"/>
        <v>-8.8400000000000002E-4</v>
      </c>
      <c r="G40" s="3" t="s">
        <v>27</v>
      </c>
    </row>
    <row r="41" spans="1:8" s="3" customFormat="1" x14ac:dyDescent="0.2">
      <c r="A41" s="426" t="s">
        <v>10</v>
      </c>
      <c r="B41" s="426"/>
      <c r="C41" s="426"/>
      <c r="D41" s="426"/>
      <c r="E41" s="99">
        <v>-3.4759999999999999E-3</v>
      </c>
      <c r="F41" s="37">
        <f t="shared" si="11"/>
        <v>-3.4759999999999999E-3</v>
      </c>
      <c r="G41" s="3" t="s">
        <v>27</v>
      </c>
    </row>
    <row r="42" spans="1:8" s="3" customFormat="1" x14ac:dyDescent="0.2">
      <c r="A42" s="426" t="s">
        <v>84</v>
      </c>
      <c r="B42" s="426"/>
      <c r="C42" s="426"/>
      <c r="D42" s="426"/>
      <c r="E42" s="100">
        <v>0</v>
      </c>
      <c r="F42" s="39">
        <f t="shared" si="11"/>
        <v>0</v>
      </c>
      <c r="G42" s="3" t="s">
        <v>27</v>
      </c>
    </row>
    <row r="43" spans="1:8" s="3" customFormat="1" ht="12" thickBot="1" x14ac:dyDescent="0.25">
      <c r="A43" s="429" t="s">
        <v>28</v>
      </c>
      <c r="B43" s="429"/>
      <c r="C43" s="429"/>
      <c r="D43" s="429"/>
      <c r="E43" s="36">
        <f>SUM(E30:E42)</f>
        <v>0.11147800000000002</v>
      </c>
      <c r="F43" s="36">
        <f>SUM(F30:F42)</f>
        <v>0.11139200000000002</v>
      </c>
      <c r="G43" s="3" t="s">
        <v>27</v>
      </c>
    </row>
    <row r="44" spans="1:8" s="3" customFormat="1" ht="12" thickTop="1" x14ac:dyDescent="0.2">
      <c r="A44" s="430"/>
      <c r="B44" s="430"/>
      <c r="C44" s="430"/>
      <c r="D44" s="430"/>
      <c r="E44" s="35"/>
      <c r="F44" s="35"/>
    </row>
    <row r="45" spans="1:8" s="3" customFormat="1" x14ac:dyDescent="0.2">
      <c r="A45" s="430" t="s">
        <v>17</v>
      </c>
      <c r="B45" s="430"/>
      <c r="C45" s="430"/>
      <c r="D45" s="430"/>
      <c r="E45" s="99">
        <v>0.10885400000000001</v>
      </c>
      <c r="F45" s="121">
        <f>E45</f>
        <v>0.10885400000000001</v>
      </c>
      <c r="G45" s="3" t="s">
        <v>27</v>
      </c>
    </row>
    <row r="46" spans="1:8" s="3" customFormat="1" x14ac:dyDescent="0.2">
      <c r="A46" s="426" t="s">
        <v>13</v>
      </c>
      <c r="B46" s="426"/>
      <c r="C46" s="426"/>
      <c r="D46" s="426"/>
      <c r="E46" s="35">
        <f>+E31</f>
        <v>2.6870000000000002E-3</v>
      </c>
      <c r="F46" s="35">
        <f>F31</f>
        <v>2.6870000000000002E-3</v>
      </c>
      <c r="G46" s="3" t="s">
        <v>27</v>
      </c>
    </row>
    <row r="47" spans="1:8" s="3" customFormat="1" x14ac:dyDescent="0.2">
      <c r="A47" s="431" t="s">
        <v>181</v>
      </c>
      <c r="B47" s="431"/>
      <c r="C47" s="431"/>
      <c r="D47" s="431"/>
      <c r="E47" s="35">
        <f t="shared" ref="E47:E57" si="12">+E32</f>
        <v>0</v>
      </c>
      <c r="F47" s="35">
        <f t="shared" ref="F47:F57" si="13">F32</f>
        <v>0</v>
      </c>
      <c r="G47" s="3" t="s">
        <v>27</v>
      </c>
    </row>
    <row r="48" spans="1:8" s="3" customFormat="1" x14ac:dyDescent="0.2">
      <c r="A48" s="426" t="s">
        <v>12</v>
      </c>
      <c r="B48" s="426"/>
      <c r="C48" s="426"/>
      <c r="D48" s="426"/>
      <c r="E48" s="35">
        <f t="shared" si="12"/>
        <v>2.6120000000000002E-3</v>
      </c>
      <c r="F48" s="35">
        <f t="shared" si="13"/>
        <v>2.6120000000000002E-3</v>
      </c>
      <c r="G48" s="3" t="s">
        <v>27</v>
      </c>
    </row>
    <row r="49" spans="1:8" s="3" customFormat="1" x14ac:dyDescent="0.2">
      <c r="A49" s="428" t="s">
        <v>92</v>
      </c>
      <c r="B49" s="428"/>
      <c r="C49" s="428"/>
      <c r="D49" s="428"/>
      <c r="E49" s="41">
        <f t="shared" si="12"/>
        <v>1.828E-3</v>
      </c>
      <c r="F49" s="41">
        <f t="shared" si="13"/>
        <v>1.7420000000000001E-3</v>
      </c>
      <c r="G49" s="52" t="s">
        <v>27</v>
      </c>
      <c r="H49" s="52"/>
    </row>
    <row r="50" spans="1:8" s="3" customFormat="1" x14ac:dyDescent="0.2">
      <c r="A50" s="426" t="s">
        <v>123</v>
      </c>
      <c r="B50" s="426"/>
      <c r="C50" s="426"/>
      <c r="D50" s="426"/>
      <c r="E50" s="35">
        <f t="shared" si="12"/>
        <v>1.25E-3</v>
      </c>
      <c r="F50" s="35">
        <f t="shared" si="13"/>
        <v>1.25E-3</v>
      </c>
      <c r="G50" s="3" t="s">
        <v>27</v>
      </c>
    </row>
    <row r="51" spans="1:8" s="3" customFormat="1" x14ac:dyDescent="0.2">
      <c r="A51" s="426" t="s">
        <v>93</v>
      </c>
      <c r="B51" s="426"/>
      <c r="C51" s="426"/>
      <c r="D51" s="426"/>
      <c r="E51" s="35">
        <f t="shared" si="12"/>
        <v>2.6689999999999999E-3</v>
      </c>
      <c r="F51" s="35">
        <f t="shared" si="13"/>
        <v>2.6689999999999999E-3</v>
      </c>
      <c r="G51" s="3" t="s">
        <v>27</v>
      </c>
    </row>
    <row r="52" spans="1:8" s="3" customFormat="1" x14ac:dyDescent="0.2">
      <c r="A52" s="426" t="s">
        <v>94</v>
      </c>
      <c r="B52" s="426"/>
      <c r="C52" s="426"/>
      <c r="D52" s="426"/>
      <c r="E52" s="35">
        <f t="shared" si="12"/>
        <v>1.0007E-2</v>
      </c>
      <c r="F52" s="35">
        <f t="shared" si="13"/>
        <v>1.0007E-2</v>
      </c>
      <c r="G52" s="3" t="s">
        <v>27</v>
      </c>
    </row>
    <row r="53" spans="1:8" s="3" customFormat="1" x14ac:dyDescent="0.2">
      <c r="A53" s="426" t="s">
        <v>95</v>
      </c>
      <c r="B53" s="426"/>
      <c r="C53" s="426"/>
      <c r="D53" s="426"/>
      <c r="E53" s="35">
        <f t="shared" si="12"/>
        <v>5.0289999999999996E-3</v>
      </c>
      <c r="F53" s="35">
        <f t="shared" si="13"/>
        <v>5.0289999999999996E-3</v>
      </c>
      <c r="G53" s="3" t="s">
        <v>27</v>
      </c>
    </row>
    <row r="54" spans="1:8" s="3" customFormat="1" x14ac:dyDescent="0.2">
      <c r="A54" s="426" t="s">
        <v>96</v>
      </c>
      <c r="B54" s="426"/>
      <c r="C54" s="426"/>
      <c r="D54" s="426"/>
      <c r="E54" s="35">
        <f t="shared" si="12"/>
        <v>3.19E-4</v>
      </c>
      <c r="F54" s="35">
        <f t="shared" si="13"/>
        <v>3.19E-4</v>
      </c>
      <c r="G54" s="3" t="s">
        <v>27</v>
      </c>
    </row>
    <row r="55" spans="1:8" s="3" customFormat="1" x14ac:dyDescent="0.2">
      <c r="A55" s="426" t="s">
        <v>83</v>
      </c>
      <c r="B55" s="426"/>
      <c r="C55" s="426"/>
      <c r="D55" s="426"/>
      <c r="E55" s="35">
        <f t="shared" si="12"/>
        <v>-8.8400000000000002E-4</v>
      </c>
      <c r="F55" s="35">
        <f t="shared" si="13"/>
        <v>-8.8400000000000002E-4</v>
      </c>
      <c r="G55" s="3" t="s">
        <v>27</v>
      </c>
    </row>
    <row r="56" spans="1:8" s="3" customFormat="1" x14ac:dyDescent="0.2">
      <c r="A56" s="426" t="s">
        <v>10</v>
      </c>
      <c r="B56" s="426"/>
      <c r="C56" s="426"/>
      <c r="D56" s="426"/>
      <c r="E56" s="35">
        <f t="shared" si="12"/>
        <v>-3.4759999999999999E-3</v>
      </c>
      <c r="F56" s="35">
        <f t="shared" si="13"/>
        <v>-3.4759999999999999E-3</v>
      </c>
      <c r="G56" s="3" t="s">
        <v>27</v>
      </c>
    </row>
    <row r="57" spans="1:8" s="3" customFormat="1" x14ac:dyDescent="0.2">
      <c r="A57" s="426" t="s">
        <v>84</v>
      </c>
      <c r="B57" s="426"/>
      <c r="C57" s="426"/>
      <c r="D57" s="426"/>
      <c r="E57" s="35">
        <f t="shared" si="12"/>
        <v>0</v>
      </c>
      <c r="F57" s="35">
        <f t="shared" si="13"/>
        <v>0</v>
      </c>
      <c r="G57" s="3" t="s">
        <v>27</v>
      </c>
    </row>
    <row r="58" spans="1:8" s="3" customFormat="1" ht="12" thickBot="1" x14ac:dyDescent="0.25">
      <c r="A58" s="429" t="s">
        <v>29</v>
      </c>
      <c r="B58" s="429"/>
      <c r="C58" s="429"/>
      <c r="D58" s="429"/>
      <c r="E58" s="36">
        <f>SUM(E45:E57)</f>
        <v>0.13089500000000001</v>
      </c>
      <c r="F58" s="36">
        <f>SUM(F45:F57)</f>
        <v>0.13080900000000001</v>
      </c>
      <c r="G58" s="3" t="s">
        <v>27</v>
      </c>
    </row>
    <row r="59" spans="1:8" s="3" customFormat="1" ht="12" thickTop="1" x14ac:dyDescent="0.2">
      <c r="A59" s="430"/>
      <c r="B59" s="430"/>
      <c r="C59" s="430"/>
      <c r="D59" s="430"/>
      <c r="E59" s="35"/>
      <c r="F59" s="35"/>
    </row>
    <row r="60" spans="1:8" s="3" customFormat="1" x14ac:dyDescent="0.2">
      <c r="A60" s="429" t="s">
        <v>9</v>
      </c>
      <c r="B60" s="429"/>
      <c r="C60" s="429"/>
      <c r="D60" s="429"/>
      <c r="E60" s="99">
        <v>-6.6889999999999996E-3</v>
      </c>
      <c r="F60" s="35">
        <f>E60</f>
        <v>-6.6889999999999996E-3</v>
      </c>
      <c r="G60" s="3" t="s">
        <v>27</v>
      </c>
    </row>
    <row r="61" spans="1:8" s="3" customFormat="1" x14ac:dyDescent="0.2">
      <c r="A61" s="430"/>
      <c r="B61" s="430"/>
      <c r="C61" s="430"/>
      <c r="D61" s="430"/>
      <c r="E61" s="35"/>
      <c r="F61" s="35"/>
    </row>
    <row r="62" spans="1:8" s="3" customFormat="1" x14ac:dyDescent="0.2">
      <c r="A62" s="430" t="s">
        <v>32</v>
      </c>
      <c r="B62" s="430"/>
      <c r="C62" s="430"/>
      <c r="D62" s="430"/>
      <c r="E62" s="35"/>
      <c r="F62" s="35"/>
      <c r="G62" s="3" t="s">
        <v>27</v>
      </c>
    </row>
    <row r="63" spans="1:8" s="3" customFormat="1" x14ac:dyDescent="0.2">
      <c r="A63" s="426" t="s">
        <v>16</v>
      </c>
      <c r="B63" s="426"/>
      <c r="C63" s="426"/>
      <c r="D63" s="426"/>
      <c r="E63" s="99">
        <v>0</v>
      </c>
      <c r="F63" s="35">
        <f>E63</f>
        <v>0</v>
      </c>
      <c r="G63" s="3" t="s">
        <v>27</v>
      </c>
    </row>
    <row r="64" spans="1:8" s="3" customFormat="1" x14ac:dyDescent="0.2">
      <c r="A64" s="426" t="s">
        <v>85</v>
      </c>
      <c r="B64" s="426"/>
      <c r="C64" s="426"/>
      <c r="D64" s="426"/>
      <c r="E64" s="99">
        <v>2.1350000000000002E-3</v>
      </c>
      <c r="F64" s="35">
        <f>E64</f>
        <v>2.1350000000000002E-3</v>
      </c>
      <c r="G64" s="3" t="s">
        <v>27</v>
      </c>
    </row>
    <row r="65" spans="1:9" s="3" customFormat="1" x14ac:dyDescent="0.2">
      <c r="A65" s="426" t="s">
        <v>15</v>
      </c>
      <c r="B65" s="426"/>
      <c r="C65" s="426"/>
      <c r="D65" s="426"/>
      <c r="E65" s="99">
        <v>5.1E-5</v>
      </c>
      <c r="F65" s="35">
        <f>E65</f>
        <v>5.1E-5</v>
      </c>
      <c r="G65" s="3" t="s">
        <v>27</v>
      </c>
    </row>
    <row r="66" spans="1:9" s="3" customFormat="1" x14ac:dyDescent="0.2">
      <c r="A66" s="426" t="s">
        <v>14</v>
      </c>
      <c r="B66" s="426"/>
      <c r="C66" s="426"/>
      <c r="D66" s="426"/>
      <c r="E66" s="99">
        <v>5.0439999999999999E-3</v>
      </c>
      <c r="F66" s="35">
        <f>E66</f>
        <v>5.0439999999999999E-3</v>
      </c>
      <c r="G66" s="3" t="s">
        <v>27</v>
      </c>
    </row>
    <row r="67" spans="1:9" ht="12" thickBot="1" x14ac:dyDescent="0.25">
      <c r="A67" s="425" t="s">
        <v>33</v>
      </c>
      <c r="B67" s="425"/>
      <c r="C67" s="425"/>
      <c r="D67" s="425"/>
      <c r="E67" s="36">
        <f>SUM(E63:E66)</f>
        <v>7.2300000000000003E-3</v>
      </c>
      <c r="F67" s="36">
        <f>SUM(F63:F66)</f>
        <v>7.2300000000000003E-3</v>
      </c>
      <c r="G67" s="3" t="s">
        <v>27</v>
      </c>
    </row>
    <row r="68" spans="1:9" ht="12" thickTop="1" x14ac:dyDescent="0.2">
      <c r="A68" s="427"/>
      <c r="B68" s="427"/>
      <c r="C68" s="427"/>
      <c r="D68" s="427"/>
      <c r="E68" s="37"/>
      <c r="F68" s="37"/>
    </row>
    <row r="69" spans="1:9" x14ac:dyDescent="0.2">
      <c r="A69" s="425" t="s">
        <v>34</v>
      </c>
      <c r="B69" s="425"/>
      <c r="C69" s="425"/>
      <c r="D69" s="425"/>
      <c r="E69" s="37">
        <f>SUM(E43,E60:E60,E67)</f>
        <v>0.11201900000000002</v>
      </c>
      <c r="F69" s="37">
        <f>SUM(F43,F60:F60,F67)</f>
        <v>0.11193300000000002</v>
      </c>
      <c r="G69" s="3" t="s">
        <v>27</v>
      </c>
      <c r="I69" s="38"/>
    </row>
    <row r="70" spans="1:9" x14ac:dyDescent="0.2">
      <c r="A70" s="425" t="s">
        <v>35</v>
      </c>
      <c r="B70" s="425"/>
      <c r="C70" s="425"/>
      <c r="D70" s="425"/>
      <c r="E70" s="39">
        <f>SUM(E58,E60:E60,E67)</f>
        <v>0.131436</v>
      </c>
      <c r="F70" s="39">
        <f>SUM(F58,F60:F60,F67)</f>
        <v>0.13135000000000002</v>
      </c>
      <c r="G70" s="3" t="s">
        <v>27</v>
      </c>
      <c r="I70" s="38"/>
    </row>
    <row r="72" spans="1:9" ht="12" thickBot="1" x14ac:dyDescent="0.25"/>
    <row r="73" spans="1:9" ht="12" thickBot="1" x14ac:dyDescent="0.25">
      <c r="A73" s="102" t="s">
        <v>433</v>
      </c>
      <c r="B73" s="103"/>
      <c r="C73" s="103"/>
      <c r="D73" s="103"/>
      <c r="E73" s="104"/>
    </row>
    <row r="74" spans="1:9" ht="34.5" thickBot="1" x14ac:dyDescent="0.25">
      <c r="A74" s="105" t="s">
        <v>72</v>
      </c>
      <c r="B74" s="105" t="s">
        <v>182</v>
      </c>
      <c r="C74" s="105" t="s">
        <v>183</v>
      </c>
      <c r="D74" s="105" t="s">
        <v>184</v>
      </c>
      <c r="E74" s="106" t="s">
        <v>185</v>
      </c>
    </row>
    <row r="75" spans="1:9" x14ac:dyDescent="0.2">
      <c r="A75" s="107">
        <v>2024</v>
      </c>
      <c r="B75" s="107">
        <v>1</v>
      </c>
      <c r="C75" s="108">
        <v>1192691743.2576599</v>
      </c>
      <c r="D75" s="108">
        <v>1083811</v>
      </c>
      <c r="E75" s="109">
        <f t="shared" ref="E75:E86" si="14">ROUND(+C75/D75,0)</f>
        <v>1100</v>
      </c>
    </row>
    <row r="76" spans="1:9" x14ac:dyDescent="0.2">
      <c r="A76" s="107">
        <v>2024</v>
      </c>
      <c r="B76" s="107">
        <v>2</v>
      </c>
      <c r="C76" s="110">
        <v>1075657420.9360201</v>
      </c>
      <c r="D76" s="110">
        <v>1084492</v>
      </c>
      <c r="E76" s="109">
        <f t="shared" si="14"/>
        <v>992</v>
      </c>
    </row>
    <row r="77" spans="1:9" x14ac:dyDescent="0.2">
      <c r="A77" s="107">
        <v>2024</v>
      </c>
      <c r="B77" s="107">
        <v>3</v>
      </c>
      <c r="C77" s="110">
        <v>1040534573.62798</v>
      </c>
      <c r="D77" s="110">
        <v>1085188</v>
      </c>
      <c r="E77" s="109">
        <f t="shared" si="14"/>
        <v>959</v>
      </c>
    </row>
    <row r="78" spans="1:9" x14ac:dyDescent="0.2">
      <c r="A78" s="107">
        <v>2024</v>
      </c>
      <c r="B78" s="107">
        <v>4</v>
      </c>
      <c r="C78" s="110">
        <v>871564901.43307793</v>
      </c>
      <c r="D78" s="110">
        <v>1085582</v>
      </c>
      <c r="E78" s="109">
        <f t="shared" si="14"/>
        <v>803</v>
      </c>
    </row>
    <row r="79" spans="1:9" x14ac:dyDescent="0.2">
      <c r="A79" s="107">
        <v>2024</v>
      </c>
      <c r="B79" s="107">
        <v>5</v>
      </c>
      <c r="C79" s="110">
        <v>760468027.59418297</v>
      </c>
      <c r="D79" s="110">
        <v>1086150</v>
      </c>
      <c r="E79" s="109">
        <f t="shared" si="14"/>
        <v>700</v>
      </c>
    </row>
    <row r="80" spans="1:9" x14ac:dyDescent="0.2">
      <c r="A80" s="107">
        <v>2024</v>
      </c>
      <c r="B80" s="107">
        <v>6</v>
      </c>
      <c r="C80" s="110">
        <v>726612130.99855494</v>
      </c>
      <c r="D80" s="110">
        <v>1086798</v>
      </c>
      <c r="E80" s="109">
        <f t="shared" si="14"/>
        <v>669</v>
      </c>
    </row>
    <row r="81" spans="1:5" x14ac:dyDescent="0.2">
      <c r="A81" s="107">
        <v>2024</v>
      </c>
      <c r="B81" s="107">
        <v>7</v>
      </c>
      <c r="C81" s="110">
        <v>810211528.78052795</v>
      </c>
      <c r="D81" s="110">
        <v>1087219</v>
      </c>
      <c r="E81" s="109">
        <f t="shared" si="14"/>
        <v>745</v>
      </c>
    </row>
    <row r="82" spans="1:5" x14ac:dyDescent="0.2">
      <c r="A82" s="107">
        <v>2024</v>
      </c>
      <c r="B82" s="107">
        <v>8</v>
      </c>
      <c r="C82" s="110">
        <v>816258861.42774105</v>
      </c>
      <c r="D82" s="110">
        <v>1088254</v>
      </c>
      <c r="E82" s="109">
        <f t="shared" si="14"/>
        <v>750</v>
      </c>
    </row>
    <row r="83" spans="1:5" x14ac:dyDescent="0.2">
      <c r="A83" s="107">
        <v>2024</v>
      </c>
      <c r="B83" s="107">
        <v>9</v>
      </c>
      <c r="C83" s="110">
        <v>745804121.61066496</v>
      </c>
      <c r="D83" s="110">
        <v>1089539</v>
      </c>
      <c r="E83" s="109">
        <f t="shared" si="14"/>
        <v>685</v>
      </c>
    </row>
    <row r="84" spans="1:5" x14ac:dyDescent="0.2">
      <c r="A84" s="107">
        <v>2024</v>
      </c>
      <c r="B84" s="107">
        <v>10</v>
      </c>
      <c r="C84" s="110">
        <v>873182303.91732109</v>
      </c>
      <c r="D84" s="110">
        <v>1090984</v>
      </c>
      <c r="E84" s="109">
        <f t="shared" si="14"/>
        <v>800</v>
      </c>
    </row>
    <row r="85" spans="1:5" x14ac:dyDescent="0.2">
      <c r="A85" s="107">
        <v>2024</v>
      </c>
      <c r="B85" s="107">
        <v>11</v>
      </c>
      <c r="C85" s="110">
        <v>1052963379.7510201</v>
      </c>
      <c r="D85" s="110">
        <v>1092516</v>
      </c>
      <c r="E85" s="109">
        <f t="shared" si="14"/>
        <v>964</v>
      </c>
    </row>
    <row r="86" spans="1:5" x14ac:dyDescent="0.2">
      <c r="A86" s="107">
        <v>2024</v>
      </c>
      <c r="B86" s="107">
        <v>12</v>
      </c>
      <c r="C86" s="111">
        <v>1265288171.70892</v>
      </c>
      <c r="D86" s="111">
        <v>1093821</v>
      </c>
      <c r="E86" s="109">
        <f t="shared" si="14"/>
        <v>1157</v>
      </c>
    </row>
    <row r="87" spans="1:5" x14ac:dyDescent="0.2">
      <c r="A87" s="112"/>
      <c r="B87" s="112" t="s">
        <v>8</v>
      </c>
      <c r="C87" s="113">
        <f>SUM(C75:C86)</f>
        <v>11231237165.043671</v>
      </c>
      <c r="D87" s="113">
        <f>SUM(D75:D86)</f>
        <v>13054354</v>
      </c>
      <c r="E87" s="114">
        <f>SUM(E75:E86)</f>
        <v>10324</v>
      </c>
    </row>
    <row r="88" spans="1:5" x14ac:dyDescent="0.2">
      <c r="A88" s="112"/>
      <c r="B88" s="112"/>
      <c r="C88" s="112"/>
      <c r="D88" s="112"/>
      <c r="E88" s="109"/>
    </row>
    <row r="89" spans="1:5" ht="12" thickBot="1" x14ac:dyDescent="0.25">
      <c r="A89" s="115"/>
      <c r="B89" s="115" t="s">
        <v>186</v>
      </c>
      <c r="C89" s="116"/>
      <c r="D89" s="116"/>
      <c r="E89" s="117">
        <f>ROUND(AVERAGE(E75:E86),0)</f>
        <v>860</v>
      </c>
    </row>
  </sheetData>
  <mergeCells count="47">
    <mergeCell ref="C5:F5"/>
    <mergeCell ref="H5:K5"/>
    <mergeCell ref="A26:D26"/>
    <mergeCell ref="A27:D27"/>
    <mergeCell ref="A37:D37"/>
    <mergeCell ref="A32:D32"/>
    <mergeCell ref="A35:D35"/>
    <mergeCell ref="A28:D28"/>
    <mergeCell ref="A29:D29"/>
    <mergeCell ref="A30:D30"/>
    <mergeCell ref="A31:D31"/>
    <mergeCell ref="A33:D33"/>
    <mergeCell ref="A34:D34"/>
    <mergeCell ref="A36:D36"/>
    <mergeCell ref="A38:D38"/>
    <mergeCell ref="A42:D42"/>
    <mergeCell ref="A40:D40"/>
    <mergeCell ref="A41:D41"/>
    <mergeCell ref="A39:D39"/>
    <mergeCell ref="A43:D43"/>
    <mergeCell ref="A44:D44"/>
    <mergeCell ref="A45:D45"/>
    <mergeCell ref="A46:D46"/>
    <mergeCell ref="A48:D48"/>
    <mergeCell ref="A47:D47"/>
    <mergeCell ref="A49:D49"/>
    <mergeCell ref="A63:D63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52:D52"/>
    <mergeCell ref="A51:D51"/>
    <mergeCell ref="A50:D50"/>
    <mergeCell ref="A70:D70"/>
    <mergeCell ref="A64:D64"/>
    <mergeCell ref="A65:D65"/>
    <mergeCell ref="A66:D66"/>
    <mergeCell ref="A67:D67"/>
    <mergeCell ref="A68:D68"/>
    <mergeCell ref="A69:D69"/>
  </mergeCells>
  <printOptions horizontalCentered="1"/>
  <pageMargins left="0.25" right="0.25" top="0.75" bottom="0.75" header="0.3" footer="0.3"/>
  <pageSetup scale="41" orientation="landscape" r:id="rId1"/>
  <headerFooter>
    <oddFooter>&amp;L&amp;"Times New Roman,Regular"&amp;F
&amp;A&amp;R&amp;"Times New Roman,Regular"Page &amp;P of &amp;N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11"/>
  <sheetViews>
    <sheetView zoomScaleNormal="100" workbookViewId="0">
      <pane ySplit="8" topLeftCell="A26" activePane="bottomLeft" state="frozen"/>
      <selection pane="bottomLeft" activeCell="M36" sqref="M36"/>
    </sheetView>
  </sheetViews>
  <sheetFormatPr defaultColWidth="9.140625" defaultRowHeight="11.25" x14ac:dyDescent="0.2"/>
  <cols>
    <col min="1" max="1" width="4.7109375" style="42" customWidth="1"/>
    <col min="2" max="2" width="18.85546875" style="42" bestFit="1" customWidth="1"/>
    <col min="3" max="3" width="32" style="186" bestFit="1" customWidth="1"/>
    <col min="4" max="4" width="13.85546875" style="42" bestFit="1" customWidth="1"/>
    <col min="5" max="5" width="16.85546875" style="42" customWidth="1"/>
    <col min="6" max="6" width="1.28515625" style="42" customWidth="1"/>
    <col min="7" max="7" width="7.28515625" style="42" bestFit="1" customWidth="1"/>
    <col min="8" max="8" width="32.140625" style="42" customWidth="1"/>
    <col min="9" max="9" width="11.5703125" style="42" bestFit="1" customWidth="1"/>
    <col min="10" max="10" width="13" style="42" customWidth="1"/>
    <col min="11" max="11" width="1.140625" style="42" customWidth="1"/>
    <col min="12" max="12" width="12.85546875" style="42" bestFit="1" customWidth="1"/>
    <col min="13" max="13" width="11.7109375" style="42" customWidth="1"/>
    <col min="14" max="14" width="11.28515625" style="42" bestFit="1" customWidth="1"/>
    <col min="15" max="16384" width="9.140625" style="42"/>
  </cols>
  <sheetData>
    <row r="1" spans="1:14" s="43" customFormat="1" ht="12" customHeight="1" x14ac:dyDescent="0.25">
      <c r="A1" s="435" t="str">
        <f>'Rate Summary'!A1</f>
        <v>Puget Sound Energy</v>
      </c>
      <c r="B1" s="436"/>
      <c r="C1" s="436"/>
      <c r="D1" s="436"/>
      <c r="E1" s="436"/>
      <c r="F1" s="436"/>
    </row>
    <row r="2" spans="1:14" s="43" customFormat="1" ht="12" customHeight="1" x14ac:dyDescent="0.25">
      <c r="A2" s="435" t="str">
        <f>'Rate Summary'!A2</f>
        <v>Schedule 141A Energy Charge Credit Recovery Adjustment</v>
      </c>
      <c r="B2" s="436"/>
      <c r="C2" s="436"/>
      <c r="D2" s="436"/>
      <c r="E2" s="436"/>
      <c r="F2" s="436"/>
    </row>
    <row r="3" spans="1:14" s="43" customFormat="1" ht="12" customHeight="1" x14ac:dyDescent="0.25">
      <c r="A3" s="435" t="str">
        <f>'Rate Summary'!A3</f>
        <v>For the Forecasted Period January 1, 2024 to December 31, 2024</v>
      </c>
      <c r="B3" s="436"/>
      <c r="C3" s="436"/>
      <c r="D3" s="436"/>
      <c r="E3" s="436"/>
      <c r="F3" s="436"/>
    </row>
    <row r="4" spans="1:14" s="43" customFormat="1" ht="12" customHeight="1" x14ac:dyDescent="0.25">
      <c r="A4" s="435" t="str">
        <f>'Rate Summary'!A4</f>
        <v>Proposed Rate Effective Janaury 1, 2024</v>
      </c>
      <c r="B4" s="436"/>
      <c r="C4" s="436"/>
      <c r="D4" s="436"/>
      <c r="E4" s="436"/>
      <c r="F4" s="436"/>
    </row>
    <row r="5" spans="1:14" s="43" customFormat="1" ht="15" x14ac:dyDescent="0.25">
      <c r="A5" s="437" t="s">
        <v>294</v>
      </c>
      <c r="B5" s="438"/>
      <c r="C5" s="438"/>
      <c r="D5" s="438"/>
      <c r="E5" s="438"/>
      <c r="F5" s="421"/>
    </row>
    <row r="6" spans="1:14" s="50" customFormat="1" ht="12" thickBot="1" x14ac:dyDescent="0.25">
      <c r="B6" s="51"/>
      <c r="C6" s="186"/>
    </row>
    <row r="7" spans="1:14" s="49" customFormat="1" x14ac:dyDescent="0.2">
      <c r="A7" s="188" t="s">
        <v>212</v>
      </c>
      <c r="B7" s="188"/>
      <c r="C7" s="186"/>
      <c r="D7" s="433" t="s">
        <v>214</v>
      </c>
      <c r="E7" s="434"/>
      <c r="F7" s="186"/>
      <c r="G7" s="190" t="s">
        <v>1</v>
      </c>
      <c r="H7" s="192" t="s">
        <v>215</v>
      </c>
      <c r="I7" s="192" t="s">
        <v>2</v>
      </c>
      <c r="J7" s="192"/>
      <c r="K7" s="195"/>
      <c r="L7" s="196"/>
      <c r="M7" s="281"/>
      <c r="N7" s="281"/>
    </row>
    <row r="8" spans="1:14" s="49" customFormat="1" ht="45" x14ac:dyDescent="0.2">
      <c r="A8" s="197" t="s">
        <v>217</v>
      </c>
      <c r="B8" s="197" t="s">
        <v>6</v>
      </c>
      <c r="C8" s="197" t="s">
        <v>218</v>
      </c>
      <c r="D8" s="198" t="s">
        <v>219</v>
      </c>
      <c r="E8" s="199" t="s">
        <v>220</v>
      </c>
      <c r="F8" s="200"/>
      <c r="G8" s="389"/>
      <c r="H8" s="390"/>
      <c r="I8" s="391"/>
      <c r="J8" s="392" t="s">
        <v>221</v>
      </c>
      <c r="K8" s="393"/>
      <c r="L8" s="394" t="s">
        <v>223</v>
      </c>
      <c r="M8" s="394" t="s">
        <v>369</v>
      </c>
      <c r="N8" s="394" t="s">
        <v>357</v>
      </c>
    </row>
    <row r="9" spans="1:14" x14ac:dyDescent="0.2">
      <c r="A9" s="206"/>
      <c r="B9" s="188"/>
      <c r="C9" s="207"/>
      <c r="D9" s="188"/>
      <c r="E9" s="188"/>
      <c r="F9" s="188"/>
      <c r="G9" s="208"/>
      <c r="H9" s="282"/>
      <c r="I9" s="283"/>
      <c r="J9" s="284"/>
      <c r="K9" s="284"/>
      <c r="L9" s="211"/>
      <c r="M9" s="211"/>
      <c r="N9" s="211"/>
    </row>
    <row r="10" spans="1:14" x14ac:dyDescent="0.2">
      <c r="A10" s="188">
        <v>1</v>
      </c>
      <c r="B10" s="385" t="str">
        <f>'Rate Summary'!C9</f>
        <v>7 / 7BDR / 307 / 317 / 327</v>
      </c>
      <c r="C10" s="212" t="s">
        <v>227</v>
      </c>
      <c r="D10" s="186"/>
      <c r="E10" s="186"/>
      <c r="F10" s="186"/>
      <c r="G10" s="213">
        <v>1</v>
      </c>
      <c r="H10" s="285" t="s">
        <v>3</v>
      </c>
      <c r="I10" s="286">
        <v>7</v>
      </c>
      <c r="J10" s="287">
        <f>'Exhibit No.__(BDJ-141A)'!M12</f>
        <v>0.56752866730222584</v>
      </c>
      <c r="K10" s="284"/>
      <c r="L10" s="295">
        <f>+$J10*L$36</f>
        <v>20443767.607941605</v>
      </c>
      <c r="M10" s="295">
        <f>+$J10*M$36</f>
        <v>-873932.99122767779</v>
      </c>
      <c r="N10" s="295">
        <f>SUM(L10:M10)</f>
        <v>19569834.616713926</v>
      </c>
    </row>
    <row r="11" spans="1:14" x14ac:dyDescent="0.2">
      <c r="A11" s="188">
        <f>A10+1</f>
        <v>2</v>
      </c>
      <c r="B11" s="188" t="str">
        <f>B10</f>
        <v>7 / 7BDR / 307 / 317 / 327</v>
      </c>
      <c r="C11" s="218" t="s">
        <v>345</v>
      </c>
      <c r="D11" s="260">
        <f>'F2023 Energy'!E81</f>
        <v>11231237165.043671</v>
      </c>
      <c r="E11" s="186"/>
      <c r="F11" s="186"/>
      <c r="G11" s="213">
        <f>+G10+1</f>
        <v>2</v>
      </c>
      <c r="H11" s="284"/>
      <c r="I11" s="286"/>
      <c r="J11" s="289"/>
      <c r="K11" s="284"/>
      <c r="L11" s="290"/>
      <c r="M11" s="290"/>
      <c r="N11" s="290"/>
    </row>
    <row r="12" spans="1:14" x14ac:dyDescent="0.2">
      <c r="A12" s="188">
        <f t="shared" ref="A12:A75" si="0">A11+1</f>
        <v>3</v>
      </c>
      <c r="B12" s="188" t="str">
        <f t="shared" ref="B12:B15" si="1">B11</f>
        <v>7 / 7BDR / 307 / 317 / 327</v>
      </c>
      <c r="C12" s="223" t="s">
        <v>232</v>
      </c>
      <c r="D12" s="260">
        <f>-'Alloc for Sch 141A'!E17</f>
        <v>0</v>
      </c>
      <c r="E12" s="186"/>
      <c r="F12" s="186"/>
      <c r="G12" s="213">
        <f t="shared" ref="G12:G34" si="2">+G11+1</f>
        <v>3</v>
      </c>
      <c r="H12" s="284" t="s">
        <v>229</v>
      </c>
      <c r="I12" s="286"/>
      <c r="J12" s="289"/>
      <c r="K12" s="284"/>
      <c r="L12" s="290"/>
      <c r="M12" s="290"/>
      <c r="N12" s="290"/>
    </row>
    <row r="13" spans="1:14" x14ac:dyDescent="0.2">
      <c r="A13" s="188">
        <f t="shared" si="0"/>
        <v>4</v>
      </c>
      <c r="B13" s="188" t="str">
        <f t="shared" si="1"/>
        <v>7 / 7BDR / 307 / 317 / 327</v>
      </c>
      <c r="C13" s="229" t="s">
        <v>98</v>
      </c>
      <c r="D13" s="230">
        <f>SUM(D11:D12)</f>
        <v>11231237165.043671</v>
      </c>
      <c r="E13" s="224">
        <f>ROUND(+E$15/D$13,6)</f>
        <v>1.7420000000000001E-3</v>
      </c>
      <c r="F13" s="186"/>
      <c r="G13" s="213">
        <f t="shared" si="2"/>
        <v>4</v>
      </c>
      <c r="H13" s="291" t="s">
        <v>230</v>
      </c>
      <c r="I13" s="292" t="s">
        <v>231</v>
      </c>
      <c r="J13" s="287">
        <f>'Exhibit No.__(BDJ-141A)'!M15</f>
        <v>0.12899396970328134</v>
      </c>
      <c r="K13" s="284"/>
      <c r="L13" s="293">
        <f t="shared" ref="L13:M15" si="3">+$J13*L$36</f>
        <v>4646677.5889497008</v>
      </c>
      <c r="M13" s="293">
        <f t="shared" si="3"/>
        <v>-198636.81306003159</v>
      </c>
      <c r="N13" s="387">
        <f t="shared" ref="N13:N15" si="4">SUM(L13:M13)</f>
        <v>4448040.7758896695</v>
      </c>
    </row>
    <row r="14" spans="1:14" ht="12" thickBot="1" x14ac:dyDescent="0.25">
      <c r="A14" s="188">
        <f t="shared" si="0"/>
        <v>5</v>
      </c>
      <c r="B14" s="188" t="str">
        <f t="shared" si="1"/>
        <v>7 / 7BDR / 307 / 317 / 327</v>
      </c>
      <c r="C14" s="229" t="s">
        <v>237</v>
      </c>
      <c r="D14" s="219"/>
      <c r="E14" s="231">
        <f>+E13*D13</f>
        <v>19564815.141506076</v>
      </c>
      <c r="F14" s="228"/>
      <c r="G14" s="213">
        <f t="shared" si="2"/>
        <v>5</v>
      </c>
      <c r="H14" s="291" t="s">
        <v>233</v>
      </c>
      <c r="I14" s="292" t="s">
        <v>234</v>
      </c>
      <c r="J14" s="287">
        <f>'Exhibit No.__(BDJ-141A)'!M16</f>
        <v>0.13762287279751242</v>
      </c>
      <c r="K14" s="284"/>
      <c r="L14" s="293">
        <f t="shared" si="3"/>
        <v>4957511.7366033671</v>
      </c>
      <c r="M14" s="293">
        <f t="shared" si="3"/>
        <v>-211924.39398171796</v>
      </c>
      <c r="N14" s="387">
        <f t="shared" si="4"/>
        <v>4745587.3426216496</v>
      </c>
    </row>
    <row r="15" spans="1:14" ht="12" thickTop="1" x14ac:dyDescent="0.2">
      <c r="A15" s="188">
        <f t="shared" si="0"/>
        <v>6</v>
      </c>
      <c r="B15" s="188" t="str">
        <f t="shared" si="1"/>
        <v>7 / 7BDR / 307 / 317 / 327</v>
      </c>
      <c r="C15" s="235" t="s">
        <v>239</v>
      </c>
      <c r="D15" s="186"/>
      <c r="E15" s="221">
        <f>$N$10</f>
        <v>19569834.616713926</v>
      </c>
      <c r="F15" s="228"/>
      <c r="G15" s="213">
        <f t="shared" si="2"/>
        <v>6</v>
      </c>
      <c r="H15" s="291" t="s">
        <v>235</v>
      </c>
      <c r="I15" s="292" t="s">
        <v>236</v>
      </c>
      <c r="J15" s="287">
        <f>'Exhibit No.__(BDJ-141A)'!M17</f>
        <v>7.7371217508168041E-2</v>
      </c>
      <c r="K15" s="284"/>
      <c r="L15" s="305">
        <f t="shared" si="3"/>
        <v>2787100.0733750714</v>
      </c>
      <c r="M15" s="305">
        <f t="shared" si="3"/>
        <v>-119143.33750445134</v>
      </c>
      <c r="N15" s="388">
        <f t="shared" si="4"/>
        <v>2667956.7358706202</v>
      </c>
    </row>
    <row r="16" spans="1:14" x14ac:dyDescent="0.2">
      <c r="A16" s="188">
        <f t="shared" si="0"/>
        <v>7</v>
      </c>
      <c r="B16" s="188"/>
      <c r="D16" s="186"/>
      <c r="E16" s="221"/>
      <c r="F16" s="228"/>
      <c r="G16" s="213">
        <f t="shared" si="2"/>
        <v>7</v>
      </c>
      <c r="H16" s="294" t="s">
        <v>238</v>
      </c>
      <c r="I16" s="286"/>
      <c r="J16" s="289"/>
      <c r="K16" s="284"/>
      <c r="L16" s="306">
        <f t="shared" ref="L16" si="5">SUM(L13:L15)</f>
        <v>12391289.398928139</v>
      </c>
      <c r="M16" s="306">
        <f t="shared" ref="M16" si="6">SUM(M13:M15)</f>
        <v>-529704.54454620089</v>
      </c>
      <c r="N16" s="306">
        <f t="shared" ref="N16" si="7">SUM(N13:N15)</f>
        <v>11861584.854381939</v>
      </c>
    </row>
    <row r="17" spans="1:14" x14ac:dyDescent="0.2">
      <c r="A17" s="188">
        <f t="shared" si="0"/>
        <v>8</v>
      </c>
      <c r="B17" s="188"/>
      <c r="C17" s="212" t="s">
        <v>241</v>
      </c>
      <c r="D17" s="186"/>
      <c r="E17" s="186"/>
      <c r="F17" s="228"/>
      <c r="G17" s="213">
        <f t="shared" si="2"/>
        <v>8</v>
      </c>
      <c r="H17" s="284"/>
      <c r="I17" s="286"/>
      <c r="J17" s="289"/>
      <c r="K17" s="284"/>
      <c r="L17" s="290"/>
      <c r="M17" s="290"/>
      <c r="N17" s="290"/>
    </row>
    <row r="18" spans="1:14" x14ac:dyDescent="0.2">
      <c r="A18" s="188">
        <f t="shared" si="0"/>
        <v>9</v>
      </c>
      <c r="B18" s="386" t="str">
        <f>'Rate Summary'!C12</f>
        <v>8 / 24 / 324</v>
      </c>
      <c r="C18" s="218" t="s">
        <v>345</v>
      </c>
      <c r="D18" s="260">
        <f>SUM('F2023 Energy'!G81,'F2023 Energy'!K81:L81,'F2023 Energy'!Z81)</f>
        <v>2762363777.023735</v>
      </c>
      <c r="E18" s="186"/>
      <c r="F18" s="186"/>
      <c r="G18" s="213">
        <f t="shared" si="2"/>
        <v>9</v>
      </c>
      <c r="H18" s="284" t="s">
        <v>240</v>
      </c>
      <c r="I18" s="286"/>
      <c r="J18" s="289"/>
      <c r="K18" s="284"/>
      <c r="L18" s="290"/>
      <c r="M18" s="290"/>
      <c r="N18" s="290"/>
    </row>
    <row r="19" spans="1:14" x14ac:dyDescent="0.2">
      <c r="A19" s="188">
        <f t="shared" si="0"/>
        <v>10</v>
      </c>
      <c r="B19" s="188" t="str">
        <f>B18</f>
        <v>8 / 24 / 324</v>
      </c>
      <c r="C19" s="223" t="s">
        <v>232</v>
      </c>
      <c r="D19" s="260">
        <f>-'Alloc for Sch 141A'!F17</f>
        <v>-92177443.54216142</v>
      </c>
      <c r="E19" s="186"/>
      <c r="F19" s="186"/>
      <c r="G19" s="213">
        <f t="shared" si="2"/>
        <v>10</v>
      </c>
      <c r="H19" s="291" t="s">
        <v>242</v>
      </c>
      <c r="I19" s="292" t="s">
        <v>243</v>
      </c>
      <c r="J19" s="287">
        <f>'Exhibit No.__(BDJ-141A)'!M21</f>
        <v>5.750384760956908E-2</v>
      </c>
      <c r="K19" s="284"/>
      <c r="L19" s="293">
        <f t="shared" ref="L19:M21" si="8">+$J19*L$36</f>
        <v>2071428.9247814845</v>
      </c>
      <c r="M19" s="293">
        <f t="shared" si="8"/>
        <v>-88549.728751885646</v>
      </c>
      <c r="N19" s="387">
        <f t="shared" ref="N19:N21" si="9">SUM(L19:M19)</f>
        <v>1982879.1960295988</v>
      </c>
    </row>
    <row r="20" spans="1:14" x14ac:dyDescent="0.2">
      <c r="A20" s="188">
        <f t="shared" si="0"/>
        <v>11</v>
      </c>
      <c r="B20" s="188" t="str">
        <f t="shared" ref="B20:B21" si="10">B19</f>
        <v>8 / 24 / 324</v>
      </c>
      <c r="C20" s="229" t="s">
        <v>98</v>
      </c>
      <c r="D20" s="230">
        <f>SUM(D18:D19)</f>
        <v>2670186333.4815736</v>
      </c>
      <c r="E20" s="224">
        <f>ROUND(+E$22/D$20,6)</f>
        <v>1.6659999999999999E-3</v>
      </c>
      <c r="F20" s="186"/>
      <c r="G20" s="213">
        <f t="shared" si="2"/>
        <v>11</v>
      </c>
      <c r="H20" s="291" t="s">
        <v>245</v>
      </c>
      <c r="I20" s="292">
        <v>35</v>
      </c>
      <c r="J20" s="287">
        <f>'Exhibit No.__(BDJ-141A)'!M22</f>
        <v>2.0990512948198327E-4</v>
      </c>
      <c r="K20" s="284"/>
      <c r="L20" s="293">
        <f t="shared" si="8"/>
        <v>7561.2950218765582</v>
      </c>
      <c r="M20" s="293">
        <f t="shared" si="8"/>
        <v>-323.23128019986666</v>
      </c>
      <c r="N20" s="387">
        <f t="shared" si="9"/>
        <v>7238.0637416766913</v>
      </c>
    </row>
    <row r="21" spans="1:14" ht="12" thickBot="1" x14ac:dyDescent="0.25">
      <c r="A21" s="188">
        <f t="shared" si="0"/>
        <v>12</v>
      </c>
      <c r="B21" s="188" t="str">
        <f t="shared" si="10"/>
        <v>8 / 24 / 324</v>
      </c>
      <c r="C21" s="229" t="s">
        <v>237</v>
      </c>
      <c r="D21" s="219"/>
      <c r="E21" s="231">
        <f>+E20*D20</f>
        <v>4448530.4315803014</v>
      </c>
      <c r="F21" s="186"/>
      <c r="G21" s="213">
        <f t="shared" si="2"/>
        <v>12</v>
      </c>
      <c r="H21" s="296" t="s">
        <v>247</v>
      </c>
      <c r="I21" s="286">
        <v>43</v>
      </c>
      <c r="J21" s="287">
        <f>'Exhibit No.__(BDJ-141A)'!M23</f>
        <v>5.0156981366476124E-3</v>
      </c>
      <c r="K21" s="284"/>
      <c r="L21" s="305">
        <f t="shared" si="8"/>
        <v>180677.68732218782</v>
      </c>
      <c r="M21" s="305">
        <f t="shared" si="8"/>
        <v>-7723.6346429725909</v>
      </c>
      <c r="N21" s="387">
        <f t="shared" si="9"/>
        <v>172954.05267921524</v>
      </c>
    </row>
    <row r="22" spans="1:14" ht="12" thickTop="1" x14ac:dyDescent="0.2">
      <c r="A22" s="188">
        <f t="shared" si="0"/>
        <v>13</v>
      </c>
      <c r="B22" s="188" t="str">
        <f t="shared" ref="B22" si="11">+B21</f>
        <v>8 / 24 / 324</v>
      </c>
      <c r="C22" s="235" t="s">
        <v>239</v>
      </c>
      <c r="D22" s="186"/>
      <c r="E22" s="221">
        <f>$N$13</f>
        <v>4448040.7758896695</v>
      </c>
      <c r="F22" s="186"/>
      <c r="G22" s="213">
        <f t="shared" si="2"/>
        <v>13</v>
      </c>
      <c r="H22" s="285" t="s">
        <v>249</v>
      </c>
      <c r="I22" s="286"/>
      <c r="J22" s="289"/>
      <c r="K22" s="284"/>
      <c r="L22" s="295">
        <f t="shared" ref="L22" si="12">SUM(L19:L21)</f>
        <v>2259667.9071255489</v>
      </c>
      <c r="M22" s="295">
        <f t="shared" ref="M22" si="13">SUM(M19:M21)</f>
        <v>-96596.594675058106</v>
      </c>
      <c r="N22" s="295">
        <f t="shared" ref="N22" si="14">SUM(N19:N21)</f>
        <v>2163071.3124504909</v>
      </c>
    </row>
    <row r="23" spans="1:14" x14ac:dyDescent="0.2">
      <c r="A23" s="188">
        <f t="shared" si="0"/>
        <v>14</v>
      </c>
      <c r="B23" s="188"/>
      <c r="D23" s="186"/>
      <c r="E23" s="221"/>
      <c r="F23" s="228"/>
      <c r="G23" s="213">
        <f t="shared" si="2"/>
        <v>14</v>
      </c>
      <c r="H23" s="284"/>
      <c r="I23" s="286"/>
      <c r="J23" s="297"/>
      <c r="K23" s="284"/>
      <c r="L23" s="211"/>
      <c r="M23" s="211"/>
      <c r="N23" s="211"/>
    </row>
    <row r="24" spans="1:14" x14ac:dyDescent="0.2">
      <c r="A24" s="188">
        <f t="shared" si="0"/>
        <v>15</v>
      </c>
      <c r="B24" s="188" t="s">
        <v>253</v>
      </c>
      <c r="C24" s="218" t="s">
        <v>345</v>
      </c>
      <c r="D24" s="260">
        <f>SUM('F2023 Energy'!F81,'F2023 Energy'!I81,'F2023 Energy'!M81:N81,'F2023 Energy'!AA81)</f>
        <v>2961290332.0764241</v>
      </c>
      <c r="E24" s="186"/>
      <c r="F24" s="228"/>
      <c r="G24" s="213">
        <f t="shared" si="2"/>
        <v>15</v>
      </c>
      <c r="H24" s="294" t="s">
        <v>4</v>
      </c>
      <c r="I24" s="286" t="s">
        <v>250</v>
      </c>
      <c r="J24" s="287">
        <f>'Exhibit No.__(BDJ-141A)'!M26</f>
        <v>2.189074021831227E-2</v>
      </c>
      <c r="K24" s="284"/>
      <c r="L24" s="288">
        <f>+$J24*L$36</f>
        <v>788557.88539519592</v>
      </c>
      <c r="M24" s="288">
        <f>+$J24*M$36</f>
        <v>-33709.381008219316</v>
      </c>
      <c r="N24" s="288">
        <f t="shared" ref="N24" si="15">SUM(L24:M24)</f>
        <v>754848.50438697659</v>
      </c>
    </row>
    <row r="25" spans="1:14" x14ac:dyDescent="0.2">
      <c r="A25" s="188">
        <f t="shared" si="0"/>
        <v>16</v>
      </c>
      <c r="B25" s="188" t="str">
        <f>B24</f>
        <v>7A, 11, 25</v>
      </c>
      <c r="C25" s="223" t="s">
        <v>232</v>
      </c>
      <c r="D25" s="260">
        <f>-'Alloc for Sch 141A'!G17*($D$24/($D$24+$D$36))</f>
        <v>-136645556.34835589</v>
      </c>
      <c r="E25" s="186"/>
      <c r="F25" s="228"/>
      <c r="G25" s="213">
        <f t="shared" si="2"/>
        <v>16</v>
      </c>
      <c r="H25" s="284"/>
      <c r="I25" s="286"/>
      <c r="J25" s="289"/>
      <c r="K25" s="284"/>
      <c r="L25" s="211"/>
      <c r="M25" s="211"/>
      <c r="N25" s="211"/>
    </row>
    <row r="26" spans="1:14" x14ac:dyDescent="0.2">
      <c r="A26" s="188">
        <f t="shared" si="0"/>
        <v>17</v>
      </c>
      <c r="B26" s="188" t="str">
        <f t="shared" ref="B26:B27" si="16">B25</f>
        <v>7A, 11, 25</v>
      </c>
      <c r="C26" s="229" t="s">
        <v>98</v>
      </c>
      <c r="D26" s="230">
        <f>SUM(D24:D25)</f>
        <v>2824644775.7280684</v>
      </c>
      <c r="E26" s="224">
        <f>ROUND(+E$28/D$26,6)</f>
        <v>1.6720000000000001E-3</v>
      </c>
      <c r="F26" s="228"/>
      <c r="G26" s="213">
        <f t="shared" si="2"/>
        <v>17</v>
      </c>
      <c r="H26" s="294" t="s">
        <v>251</v>
      </c>
      <c r="I26" s="292" t="s">
        <v>252</v>
      </c>
      <c r="J26" s="287">
        <f>'Exhibit No.__(BDJ-141A)'!M28</f>
        <v>0</v>
      </c>
      <c r="K26" s="284"/>
      <c r="L26" s="295">
        <f>+$J26*L$36</f>
        <v>0</v>
      </c>
      <c r="M26" s="295">
        <f>+$J26*M$36</f>
        <v>0</v>
      </c>
      <c r="N26" s="295">
        <f t="shared" ref="N26" si="17">SUM(L26:M26)</f>
        <v>0</v>
      </c>
    </row>
    <row r="27" spans="1:14" ht="12" thickBot="1" x14ac:dyDescent="0.25">
      <c r="A27" s="188">
        <f t="shared" si="0"/>
        <v>18</v>
      </c>
      <c r="B27" s="188" t="str">
        <f t="shared" si="16"/>
        <v>7A, 11, 25</v>
      </c>
      <c r="C27" s="229" t="s">
        <v>237</v>
      </c>
      <c r="D27" s="219"/>
      <c r="E27" s="231">
        <f>+E26*D26</f>
        <v>4722806.0650173305</v>
      </c>
      <c r="F27" s="186"/>
      <c r="G27" s="213">
        <f t="shared" si="2"/>
        <v>18</v>
      </c>
      <c r="H27" s="284"/>
      <c r="I27" s="286"/>
      <c r="J27" s="297"/>
      <c r="K27" s="284"/>
      <c r="L27" s="211"/>
      <c r="M27" s="211"/>
      <c r="N27" s="211"/>
    </row>
    <row r="28" spans="1:14" ht="12" thickTop="1" x14ac:dyDescent="0.2">
      <c r="A28" s="188">
        <f t="shared" si="0"/>
        <v>19</v>
      </c>
      <c r="B28" s="188" t="str">
        <f t="shared" ref="B28" si="18">+B27</f>
        <v>7A, 11, 25</v>
      </c>
      <c r="C28" s="242" t="s">
        <v>239</v>
      </c>
      <c r="D28" s="186"/>
      <c r="E28" s="221">
        <f>$N$14*($D$24/($D$24+$D$36))</f>
        <v>4721606.0182569362</v>
      </c>
      <c r="F28" s="186"/>
      <c r="G28" s="213">
        <f t="shared" si="2"/>
        <v>19</v>
      </c>
      <c r="H28" s="284" t="s">
        <v>255</v>
      </c>
      <c r="I28" s="286" t="s">
        <v>5</v>
      </c>
      <c r="J28" s="287">
        <f>'Exhibit No.__(BDJ-141A)'!M30</f>
        <v>3.5146183995530111E-3</v>
      </c>
      <c r="K28" s="284"/>
      <c r="L28" s="288">
        <f>+$J28*L$36</f>
        <v>126605.1319180218</v>
      </c>
      <c r="M28" s="288">
        <f>+$J28*M$36</f>
        <v>-5412.1336029524482</v>
      </c>
      <c r="N28" s="288">
        <f t="shared" ref="N28" si="19">SUM(L28:M28)</f>
        <v>121192.99831506934</v>
      </c>
    </row>
    <row r="29" spans="1:14" x14ac:dyDescent="0.2">
      <c r="A29" s="188">
        <f t="shared" si="0"/>
        <v>20</v>
      </c>
      <c r="B29" s="188"/>
      <c r="D29" s="186"/>
      <c r="E29" s="221"/>
      <c r="F29" s="186"/>
      <c r="G29" s="213">
        <f t="shared" si="2"/>
        <v>20</v>
      </c>
      <c r="H29" s="284"/>
      <c r="I29" s="286"/>
      <c r="J29" s="289"/>
      <c r="K29" s="284"/>
      <c r="L29" s="211"/>
      <c r="M29" s="211"/>
      <c r="N29" s="211"/>
    </row>
    <row r="30" spans="1:14" ht="12" thickBot="1" x14ac:dyDescent="0.25">
      <c r="A30" s="188">
        <f t="shared" si="0"/>
        <v>21</v>
      </c>
      <c r="B30" s="207" t="s">
        <v>261</v>
      </c>
      <c r="C30" s="218" t="s">
        <v>345</v>
      </c>
      <c r="D30" s="260">
        <f>SUM('F2023 Energy'!J81,'F2023 Energy'!O81:P81)</f>
        <v>1964892733.6409488</v>
      </c>
      <c r="E30" s="186"/>
      <c r="F30" s="186"/>
      <c r="G30" s="213">
        <f t="shared" si="2"/>
        <v>21</v>
      </c>
      <c r="H30" s="294" t="s">
        <v>258</v>
      </c>
      <c r="I30" s="286"/>
      <c r="J30" s="289"/>
      <c r="K30" s="284"/>
      <c r="L30" s="298">
        <f t="shared" ref="L30" si="20">SUM(L28,L26,L24,L22,L16,L10)</f>
        <v>36009887.931308508</v>
      </c>
      <c r="M30" s="298">
        <f t="shared" ref="M30" si="21">SUM(M28,M26,M24,M22,M16,M10)</f>
        <v>-1539355.6450601085</v>
      </c>
      <c r="N30" s="298">
        <f t="shared" ref="N30" si="22">SUM(N28,N26,N24,N22,N16,N10)</f>
        <v>34470532.286248401</v>
      </c>
    </row>
    <row r="31" spans="1:14" ht="12" thickTop="1" x14ac:dyDescent="0.2">
      <c r="A31" s="188">
        <f t="shared" si="0"/>
        <v>22</v>
      </c>
      <c r="B31" s="188" t="str">
        <f t="shared" ref="B31:B34" si="23">+B30</f>
        <v>12, 26, 26P</v>
      </c>
      <c r="C31" s="223" t="s">
        <v>232</v>
      </c>
      <c r="D31" s="260">
        <f>-'Alloc for Sch 141A'!H17</f>
        <v>-242830708.31372479</v>
      </c>
      <c r="E31" s="186"/>
      <c r="F31" s="186"/>
      <c r="G31" s="213">
        <f t="shared" si="2"/>
        <v>22</v>
      </c>
      <c r="H31" s="284"/>
      <c r="I31" s="286"/>
      <c r="J31" s="289"/>
      <c r="K31" s="284"/>
      <c r="L31" s="211"/>
      <c r="M31" s="211"/>
      <c r="N31" s="211"/>
    </row>
    <row r="32" spans="1:14" x14ac:dyDescent="0.2">
      <c r="A32" s="188">
        <f t="shared" si="0"/>
        <v>23</v>
      </c>
      <c r="B32" s="188" t="str">
        <f t="shared" si="23"/>
        <v>12, 26, 26P</v>
      </c>
      <c r="C32" s="229" t="s">
        <v>98</v>
      </c>
      <c r="D32" s="230">
        <f>SUM(D30:D31)</f>
        <v>1722062025.327224</v>
      </c>
      <c r="E32" s="224">
        <f>ROUND(+E$34/D$32,6)</f>
        <v>1.549E-3</v>
      </c>
      <c r="F32" s="228"/>
      <c r="G32" s="213">
        <f t="shared" si="2"/>
        <v>23</v>
      </c>
      <c r="H32" s="294" t="s">
        <v>260</v>
      </c>
      <c r="I32" s="292"/>
      <c r="J32" s="287">
        <f>'Exhibit No.__(BDJ-141A)'!M34</f>
        <v>3.4846319524841561E-4</v>
      </c>
      <c r="K32" s="284"/>
      <c r="L32" s="288">
        <f>+$J32*L$36</f>
        <v>12552.494691489657</v>
      </c>
      <c r="M32" s="288">
        <f>+$J32*M$36</f>
        <v>-536.59577057810384</v>
      </c>
      <c r="N32" s="288">
        <f t="shared" ref="N32" si="24">SUM(L32:M32)</f>
        <v>12015.898920911553</v>
      </c>
    </row>
    <row r="33" spans="1:14" ht="12" thickBot="1" x14ac:dyDescent="0.25">
      <c r="A33" s="188">
        <f t="shared" si="0"/>
        <v>24</v>
      </c>
      <c r="B33" s="188" t="str">
        <f t="shared" si="23"/>
        <v>12, 26, 26P</v>
      </c>
      <c r="C33" s="229" t="s">
        <v>237</v>
      </c>
      <c r="D33" s="219"/>
      <c r="E33" s="231">
        <f>+E32*D32</f>
        <v>2667474.07723187</v>
      </c>
      <c r="F33" s="228"/>
      <c r="G33" s="213">
        <f t="shared" si="2"/>
        <v>24</v>
      </c>
      <c r="H33" s="284"/>
      <c r="I33" s="286"/>
      <c r="J33" s="299"/>
      <c r="K33" s="284"/>
      <c r="L33" s="211"/>
      <c r="M33" s="211"/>
      <c r="N33" s="211"/>
    </row>
    <row r="34" spans="1:14" ht="12.75" thickTop="1" thickBot="1" x14ac:dyDescent="0.25">
      <c r="A34" s="188">
        <f t="shared" si="0"/>
        <v>25</v>
      </c>
      <c r="B34" s="188" t="str">
        <f t="shared" si="23"/>
        <v>12, 26, 26P</v>
      </c>
      <c r="C34" s="242" t="s">
        <v>239</v>
      </c>
      <c r="D34" s="186"/>
      <c r="E34" s="221">
        <f>$N$15</f>
        <v>2667956.7358706202</v>
      </c>
      <c r="F34" s="228"/>
      <c r="G34" s="213">
        <f t="shared" si="2"/>
        <v>25</v>
      </c>
      <c r="H34" s="284" t="s">
        <v>127</v>
      </c>
      <c r="I34" s="286"/>
      <c r="J34" s="241">
        <f>SUM(J10:J33)</f>
        <v>0.99999999999999989</v>
      </c>
      <c r="K34" s="284"/>
      <c r="L34" s="298">
        <f t="shared" ref="L34" si="25">SUM(L32,L30)</f>
        <v>36022440.425999999</v>
      </c>
      <c r="M34" s="298">
        <f t="shared" ref="M34" si="26">SUM(M32,M30)</f>
        <v>-1539892.2408306866</v>
      </c>
      <c r="N34" s="298">
        <f t="shared" ref="N34" si="27">SUM(N32,N30)</f>
        <v>34482548.185169309</v>
      </c>
    </row>
    <row r="35" spans="1:14" ht="12" thickTop="1" x14ac:dyDescent="0.2">
      <c r="A35" s="188">
        <f t="shared" si="0"/>
        <v>26</v>
      </c>
      <c r="B35" s="188"/>
      <c r="D35" s="186"/>
      <c r="E35" s="221"/>
      <c r="F35" s="228"/>
      <c r="G35" s="243"/>
      <c r="H35" s="284"/>
      <c r="I35" s="284"/>
      <c r="J35" s="284"/>
      <c r="K35" s="284"/>
      <c r="L35" s="211"/>
      <c r="M35" s="211"/>
      <c r="N35" s="211"/>
    </row>
    <row r="36" spans="1:14" ht="12" thickBot="1" x14ac:dyDescent="0.25">
      <c r="A36" s="188">
        <f t="shared" si="0"/>
        <v>27</v>
      </c>
      <c r="B36" s="188">
        <v>29</v>
      </c>
      <c r="C36" s="218" t="s">
        <v>345</v>
      </c>
      <c r="D36" s="260">
        <f>'F2023 Energy'!Q81</f>
        <v>15040573.846487813</v>
      </c>
      <c r="E36" s="186"/>
      <c r="F36" s="186"/>
      <c r="G36" s="243"/>
      <c r="H36" s="284"/>
      <c r="I36" s="284"/>
      <c r="J36" s="300"/>
      <c r="K36" s="284"/>
      <c r="L36" s="298">
        <f>L38*L39</f>
        <v>36022440.425999999</v>
      </c>
      <c r="M36" s="298">
        <f>-'SCH 141A 2023 True-up'!J28</f>
        <v>-1539892.2408306866</v>
      </c>
      <c r="N36" s="298">
        <f t="shared" ref="N36" si="28">SUM(L36:M36)</f>
        <v>34482548.185169309</v>
      </c>
    </row>
    <row r="37" spans="1:14" ht="12" thickTop="1" x14ac:dyDescent="0.2">
      <c r="A37" s="188">
        <f t="shared" si="0"/>
        <v>28</v>
      </c>
      <c r="B37" s="188">
        <f t="shared" ref="B37:B38" si="29">+B36</f>
        <v>29</v>
      </c>
      <c r="C37" s="223" t="s">
        <v>232</v>
      </c>
      <c r="D37" s="260">
        <f>-'Alloc for Sch 141A'!G17*($D$36/($D$24+$D$36))</f>
        <v>-694031.09812969796</v>
      </c>
      <c r="E37" s="186"/>
      <c r="F37" s="186"/>
      <c r="G37" s="243"/>
      <c r="H37" s="284"/>
      <c r="I37" s="284"/>
      <c r="J37" s="284"/>
      <c r="K37" s="284"/>
      <c r="L37" s="211"/>
    </row>
    <row r="38" spans="1:14" x14ac:dyDescent="0.2">
      <c r="A38" s="188">
        <f t="shared" si="0"/>
        <v>29</v>
      </c>
      <c r="B38" s="188">
        <f t="shared" si="29"/>
        <v>29</v>
      </c>
      <c r="C38" s="229" t="s">
        <v>98</v>
      </c>
      <c r="D38" s="230">
        <f>SUM(D36:D37)</f>
        <v>14346542.748358116</v>
      </c>
      <c r="E38" s="224">
        <f>ROUND(+E$40/D$38,6)</f>
        <v>1.6720000000000001E-3</v>
      </c>
      <c r="F38" s="186"/>
      <c r="G38" s="243"/>
      <c r="H38" s="284"/>
      <c r="I38" s="284"/>
      <c r="J38" s="301" t="s">
        <v>263</v>
      </c>
      <c r="K38" s="284"/>
      <c r="L38" s="302">
        <f>'Sch 139 Credit Calculation'!F12</f>
        <v>4.8783E-2</v>
      </c>
    </row>
    <row r="39" spans="1:14" ht="12" thickBot="1" x14ac:dyDescent="0.25">
      <c r="A39" s="188">
        <f t="shared" si="0"/>
        <v>30</v>
      </c>
      <c r="B39" s="188">
        <f t="shared" ref="B39:B40" si="30">+B38</f>
        <v>29</v>
      </c>
      <c r="C39" s="229" t="s">
        <v>237</v>
      </c>
      <c r="D39" s="219"/>
      <c r="E39" s="231">
        <f>+E38*D38</f>
        <v>23987.41947525477</v>
      </c>
      <c r="F39" s="228"/>
      <c r="G39" s="243"/>
      <c r="H39" s="284"/>
      <c r="I39" s="284"/>
      <c r="J39" s="301" t="s">
        <v>264</v>
      </c>
      <c r="K39" s="284"/>
      <c r="L39" s="303">
        <f>'Alloc for Sch 141A'!C34</f>
        <v>738422000</v>
      </c>
    </row>
    <row r="40" spans="1:14" ht="12" thickTop="1" x14ac:dyDescent="0.2">
      <c r="A40" s="188">
        <f t="shared" si="0"/>
        <v>31</v>
      </c>
      <c r="B40" s="188">
        <f t="shared" si="30"/>
        <v>29</v>
      </c>
      <c r="C40" s="242" t="s">
        <v>239</v>
      </c>
      <c r="D40" s="186"/>
      <c r="E40" s="221">
        <f>$N$14*($D$36/($D$24+$D$36))</f>
        <v>23981.324364713448</v>
      </c>
      <c r="F40" s="228"/>
      <c r="G40" s="243"/>
      <c r="H40" s="284"/>
      <c r="I40" s="284"/>
      <c r="J40" s="304" t="s">
        <v>265</v>
      </c>
      <c r="K40" s="284"/>
      <c r="L40" s="249">
        <f>L36-L34</f>
        <v>0</v>
      </c>
    </row>
    <row r="41" spans="1:14" ht="12" thickBot="1" x14ac:dyDescent="0.25">
      <c r="A41" s="188">
        <f t="shared" si="0"/>
        <v>32</v>
      </c>
      <c r="B41" s="188"/>
      <c r="D41" s="186"/>
      <c r="E41" s="221"/>
      <c r="F41" s="228"/>
      <c r="G41" s="250"/>
      <c r="H41" s="251" t="s">
        <v>266</v>
      </c>
      <c r="I41" s="251"/>
      <c r="J41" s="252"/>
      <c r="K41" s="252"/>
      <c r="L41" s="254"/>
    </row>
    <row r="42" spans="1:14" x14ac:dyDescent="0.2">
      <c r="A42" s="188">
        <f t="shared" si="0"/>
        <v>33</v>
      </c>
      <c r="B42" s="188"/>
      <c r="C42" s="212" t="s">
        <v>269</v>
      </c>
      <c r="D42" s="186"/>
      <c r="E42" s="186"/>
      <c r="F42" s="186"/>
      <c r="G42" s="186"/>
      <c r="H42" s="186"/>
      <c r="I42" s="186"/>
      <c r="J42" s="186"/>
      <c r="K42" s="186"/>
      <c r="L42" s="186"/>
    </row>
    <row r="43" spans="1:14" x14ac:dyDescent="0.2">
      <c r="A43" s="188">
        <f t="shared" si="0"/>
        <v>34</v>
      </c>
      <c r="B43" s="188" t="s">
        <v>270</v>
      </c>
      <c r="C43" s="218" t="s">
        <v>345</v>
      </c>
      <c r="D43" s="260">
        <f>SUM('F2023 Energy'!H81,'F2023 Energy'!R81:S81)</f>
        <v>1416593830.9637728</v>
      </c>
      <c r="E43" s="186"/>
      <c r="F43" s="186"/>
      <c r="G43" s="186"/>
      <c r="H43" s="186"/>
      <c r="I43" s="186"/>
      <c r="J43" s="186"/>
      <c r="K43" s="186"/>
      <c r="L43" s="186"/>
    </row>
    <row r="44" spans="1:14" x14ac:dyDescent="0.2">
      <c r="A44" s="188">
        <f t="shared" si="0"/>
        <v>35</v>
      </c>
      <c r="B44" s="188" t="str">
        <f t="shared" ref="B44:B47" si="31">+B43</f>
        <v>10, 31</v>
      </c>
      <c r="C44" s="223" t="s">
        <v>232</v>
      </c>
      <c r="D44" s="260">
        <f>-'Alloc for Sch 141A'!I17</f>
        <v>-110277530.61509895</v>
      </c>
      <c r="E44" s="186"/>
      <c r="F44" s="186"/>
      <c r="G44" s="186"/>
      <c r="H44" s="186"/>
      <c r="I44" s="186"/>
      <c r="J44" s="186"/>
      <c r="K44" s="186"/>
      <c r="L44" s="186"/>
    </row>
    <row r="45" spans="1:14" x14ac:dyDescent="0.2">
      <c r="A45" s="188">
        <f t="shared" si="0"/>
        <v>36</v>
      </c>
      <c r="B45" s="188" t="str">
        <f t="shared" si="31"/>
        <v>10, 31</v>
      </c>
      <c r="C45" s="229" t="s">
        <v>98</v>
      </c>
      <c r="D45" s="230">
        <f>SUM(D43:D44)</f>
        <v>1306316300.3486738</v>
      </c>
      <c r="E45" s="224">
        <f>ROUND(+E$47/D$45,6)</f>
        <v>1.518E-3</v>
      </c>
      <c r="F45" s="186"/>
      <c r="G45" s="186"/>
      <c r="H45" s="186"/>
      <c r="I45" s="186"/>
      <c r="J45" s="186"/>
      <c r="K45" s="186"/>
      <c r="L45" s="186"/>
    </row>
    <row r="46" spans="1:14" ht="12" thickBot="1" x14ac:dyDescent="0.25">
      <c r="A46" s="188">
        <f t="shared" si="0"/>
        <v>37</v>
      </c>
      <c r="B46" s="188" t="str">
        <f t="shared" si="31"/>
        <v>10, 31</v>
      </c>
      <c r="C46" s="229" t="s">
        <v>237</v>
      </c>
      <c r="D46" s="219"/>
      <c r="E46" s="231">
        <f>+E45*D45</f>
        <v>1982988.1439292869</v>
      </c>
      <c r="F46" s="186"/>
      <c r="G46" s="186"/>
      <c r="H46" s="186"/>
      <c r="I46" s="186"/>
      <c r="J46" s="186"/>
      <c r="K46" s="186"/>
      <c r="L46" s="186"/>
    </row>
    <row r="47" spans="1:14" ht="12" thickTop="1" x14ac:dyDescent="0.2">
      <c r="A47" s="188">
        <f t="shared" si="0"/>
        <v>38</v>
      </c>
      <c r="B47" s="188" t="str">
        <f t="shared" si="31"/>
        <v>10, 31</v>
      </c>
      <c r="C47" s="242" t="s">
        <v>239</v>
      </c>
      <c r="D47" s="186"/>
      <c r="E47" s="221">
        <f>$N$19</f>
        <v>1982879.1960295988</v>
      </c>
      <c r="F47" s="186"/>
      <c r="G47" s="186"/>
      <c r="H47" s="186"/>
      <c r="I47" s="186"/>
      <c r="J47" s="186"/>
      <c r="K47" s="186"/>
      <c r="L47" s="186"/>
    </row>
    <row r="48" spans="1:14" x14ac:dyDescent="0.2">
      <c r="A48" s="188">
        <f t="shared" si="0"/>
        <v>39</v>
      </c>
      <c r="B48" s="188"/>
      <c r="D48" s="186"/>
      <c r="E48" s="221"/>
      <c r="F48" s="228"/>
      <c r="G48" s="186"/>
      <c r="H48" s="186"/>
      <c r="I48" s="186"/>
      <c r="J48" s="186"/>
      <c r="K48" s="186"/>
      <c r="L48" s="186"/>
    </row>
    <row r="49" spans="1:12" x14ac:dyDescent="0.2">
      <c r="A49" s="188">
        <f t="shared" si="0"/>
        <v>40</v>
      </c>
      <c r="B49" s="188">
        <v>35</v>
      </c>
      <c r="C49" s="218" t="s">
        <v>345</v>
      </c>
      <c r="D49" s="260">
        <f>'F2023 Energy'!T81</f>
        <v>4440266.6219169199</v>
      </c>
      <c r="E49" s="186"/>
      <c r="F49" s="228"/>
      <c r="G49" s="186"/>
      <c r="H49" s="186"/>
      <c r="I49" s="186"/>
      <c r="J49" s="186"/>
      <c r="K49" s="186"/>
      <c r="L49" s="186"/>
    </row>
    <row r="50" spans="1:12" x14ac:dyDescent="0.2">
      <c r="A50" s="188">
        <f t="shared" si="0"/>
        <v>41</v>
      </c>
      <c r="B50" s="188">
        <f t="shared" ref="B50:B53" si="32">+B49</f>
        <v>35</v>
      </c>
      <c r="C50" s="223" t="s">
        <v>232</v>
      </c>
      <c r="D50" s="260">
        <f>-'Alloc for Sch 141A'!J17</f>
        <v>0</v>
      </c>
      <c r="E50" s="186"/>
      <c r="F50" s="228"/>
      <c r="G50" s="186"/>
      <c r="H50" s="186"/>
      <c r="I50" s="186"/>
      <c r="J50" s="186"/>
      <c r="K50" s="186"/>
      <c r="L50" s="186"/>
    </row>
    <row r="51" spans="1:12" x14ac:dyDescent="0.2">
      <c r="A51" s="188">
        <f t="shared" si="0"/>
        <v>42</v>
      </c>
      <c r="B51" s="188">
        <f t="shared" si="32"/>
        <v>35</v>
      </c>
      <c r="C51" s="229" t="s">
        <v>98</v>
      </c>
      <c r="D51" s="230">
        <f>SUM(D49:D50)</f>
        <v>4440266.6219169199</v>
      </c>
      <c r="E51" s="224">
        <f>ROUND(+E$53/D$51,6)</f>
        <v>1.6299999999999999E-3</v>
      </c>
      <c r="F51" s="228"/>
      <c r="G51" s="186"/>
      <c r="H51" s="186"/>
      <c r="I51" s="186"/>
      <c r="J51" s="186"/>
      <c r="K51" s="186"/>
      <c r="L51" s="186"/>
    </row>
    <row r="52" spans="1:12" ht="12" thickBot="1" x14ac:dyDescent="0.25">
      <c r="A52" s="188">
        <f t="shared" si="0"/>
        <v>43</v>
      </c>
      <c r="B52" s="188">
        <f t="shared" si="32"/>
        <v>35</v>
      </c>
      <c r="C52" s="229" t="s">
        <v>237</v>
      </c>
      <c r="D52" s="219"/>
      <c r="E52" s="231">
        <f>+E51*D51</f>
        <v>7237.6345937245796</v>
      </c>
      <c r="F52" s="186"/>
      <c r="G52" s="186"/>
      <c r="H52" s="186"/>
      <c r="I52" s="186"/>
      <c r="J52" s="186"/>
      <c r="K52" s="186"/>
      <c r="L52" s="186"/>
    </row>
    <row r="53" spans="1:12" ht="12" thickTop="1" x14ac:dyDescent="0.2">
      <c r="A53" s="188">
        <f t="shared" si="0"/>
        <v>44</v>
      </c>
      <c r="B53" s="188">
        <f t="shared" si="32"/>
        <v>35</v>
      </c>
      <c r="C53" s="242" t="s">
        <v>239</v>
      </c>
      <c r="D53" s="186"/>
      <c r="E53" s="221">
        <f>$N$20</f>
        <v>7238.0637416766913</v>
      </c>
      <c r="F53" s="186"/>
      <c r="G53" s="186"/>
      <c r="H53" s="186"/>
      <c r="I53" s="186"/>
      <c r="J53" s="186"/>
      <c r="K53" s="186"/>
      <c r="L53" s="186"/>
    </row>
    <row r="54" spans="1:12" x14ac:dyDescent="0.2">
      <c r="A54" s="188">
        <f t="shared" si="0"/>
        <v>45</v>
      </c>
      <c r="B54" s="188"/>
      <c r="D54" s="186"/>
      <c r="E54" s="221"/>
      <c r="F54" s="186"/>
      <c r="G54" s="186"/>
      <c r="H54" s="186"/>
      <c r="I54" s="186"/>
      <c r="J54" s="186"/>
      <c r="K54" s="186"/>
      <c r="L54" s="186"/>
    </row>
    <row r="55" spans="1:12" x14ac:dyDescent="0.2">
      <c r="A55" s="188">
        <f t="shared" si="0"/>
        <v>46</v>
      </c>
      <c r="B55" s="188">
        <v>43</v>
      </c>
      <c r="C55" s="218" t="s">
        <v>345</v>
      </c>
      <c r="D55" s="260">
        <f>'F2023 Energy'!U81</f>
        <v>123233807.4336848</v>
      </c>
      <c r="E55" s="186"/>
      <c r="F55" s="186"/>
      <c r="G55" s="186"/>
      <c r="H55" s="186"/>
      <c r="I55" s="186"/>
      <c r="J55" s="186"/>
      <c r="K55" s="186"/>
      <c r="L55" s="186"/>
    </row>
    <row r="56" spans="1:12" x14ac:dyDescent="0.2">
      <c r="A56" s="188">
        <f t="shared" si="0"/>
        <v>47</v>
      </c>
      <c r="B56" s="188">
        <f t="shared" ref="B56:B59" si="33">+B55</f>
        <v>43</v>
      </c>
      <c r="C56" s="223" t="s">
        <v>232</v>
      </c>
      <c r="D56" s="260">
        <f>-'Alloc for Sch 141A'!K17</f>
        <v>-7391764.9333909638</v>
      </c>
      <c r="E56" s="186"/>
      <c r="F56" s="228"/>
      <c r="G56" s="186"/>
      <c r="H56" s="186"/>
      <c r="I56" s="186"/>
      <c r="J56" s="186"/>
      <c r="K56" s="186"/>
      <c r="L56" s="186"/>
    </row>
    <row r="57" spans="1:12" x14ac:dyDescent="0.2">
      <c r="A57" s="188">
        <f t="shared" si="0"/>
        <v>48</v>
      </c>
      <c r="B57" s="188">
        <f t="shared" si="33"/>
        <v>43</v>
      </c>
      <c r="C57" s="229" t="s">
        <v>98</v>
      </c>
      <c r="D57" s="230">
        <f>SUM(D55:D56)</f>
        <v>115842042.50029384</v>
      </c>
      <c r="E57" s="224">
        <f>ROUND(+E$59/D$57,6)</f>
        <v>1.493E-3</v>
      </c>
      <c r="F57" s="228"/>
      <c r="G57" s="186"/>
      <c r="H57" s="186"/>
      <c r="I57" s="186"/>
      <c r="J57" s="186"/>
      <c r="K57" s="186"/>
      <c r="L57" s="186"/>
    </row>
    <row r="58" spans="1:12" ht="12" thickBot="1" x14ac:dyDescent="0.25">
      <c r="A58" s="188">
        <f t="shared" si="0"/>
        <v>49</v>
      </c>
      <c r="B58" s="188">
        <f t="shared" si="33"/>
        <v>43</v>
      </c>
      <c r="C58" s="229" t="s">
        <v>237</v>
      </c>
      <c r="D58" s="219"/>
      <c r="E58" s="231">
        <f>+E57*D57</f>
        <v>172952.16945293869</v>
      </c>
      <c r="F58" s="228"/>
      <c r="G58" s="186"/>
      <c r="H58" s="186"/>
      <c r="I58" s="186"/>
      <c r="J58" s="186"/>
      <c r="K58" s="186"/>
      <c r="L58" s="186"/>
    </row>
    <row r="59" spans="1:12" ht="12" thickTop="1" x14ac:dyDescent="0.2">
      <c r="A59" s="188">
        <f t="shared" si="0"/>
        <v>50</v>
      </c>
      <c r="B59" s="188">
        <f t="shared" si="33"/>
        <v>43</v>
      </c>
      <c r="C59" s="242" t="s">
        <v>239</v>
      </c>
      <c r="D59" s="186"/>
      <c r="E59" s="221">
        <f>$N$21</f>
        <v>172954.05267921524</v>
      </c>
      <c r="F59" s="186"/>
      <c r="G59" s="186"/>
      <c r="H59" s="186"/>
      <c r="I59" s="186"/>
      <c r="J59" s="186"/>
      <c r="K59" s="186"/>
      <c r="L59" s="186"/>
    </row>
    <row r="60" spans="1:12" x14ac:dyDescent="0.2">
      <c r="A60" s="188">
        <f t="shared" si="0"/>
        <v>51</v>
      </c>
      <c r="B60" s="188"/>
      <c r="D60" s="186"/>
      <c r="E60" s="221"/>
      <c r="F60" s="186"/>
      <c r="G60" s="186"/>
      <c r="H60" s="186"/>
      <c r="I60" s="186"/>
      <c r="J60" s="186"/>
      <c r="K60" s="186"/>
      <c r="L60" s="186"/>
    </row>
    <row r="61" spans="1:12" x14ac:dyDescent="0.2">
      <c r="A61" s="188">
        <f t="shared" si="0"/>
        <v>52</v>
      </c>
      <c r="B61" s="188"/>
      <c r="C61" s="212" t="s">
        <v>271</v>
      </c>
      <c r="D61" s="186"/>
      <c r="E61" s="186"/>
      <c r="F61" s="186"/>
      <c r="G61" s="186"/>
      <c r="H61" s="186"/>
      <c r="I61" s="186"/>
      <c r="J61" s="186"/>
      <c r="K61" s="186"/>
      <c r="L61" s="186"/>
    </row>
    <row r="62" spans="1:12" x14ac:dyDescent="0.2">
      <c r="A62" s="188">
        <f t="shared" si="0"/>
        <v>53</v>
      </c>
      <c r="B62" s="188">
        <v>46</v>
      </c>
      <c r="C62" s="218" t="s">
        <v>345</v>
      </c>
      <c r="D62" s="260">
        <f>SUM('F2023 Energy'!V81:W81)</f>
        <v>97204322.458226457</v>
      </c>
      <c r="E62" s="186"/>
      <c r="F62" s="228"/>
      <c r="G62" s="186"/>
      <c r="H62" s="186"/>
      <c r="I62" s="186"/>
      <c r="J62" s="186"/>
      <c r="K62" s="186"/>
      <c r="L62" s="186"/>
    </row>
    <row r="63" spans="1:12" x14ac:dyDescent="0.2">
      <c r="A63" s="188">
        <f t="shared" si="0"/>
        <v>54</v>
      </c>
      <c r="B63" s="188">
        <f t="shared" ref="B63:B66" si="34">+B62</f>
        <v>46</v>
      </c>
      <c r="C63" s="223" t="s">
        <v>232</v>
      </c>
      <c r="D63" s="260">
        <f>-'Alloc for Sch 141A'!M17*($D$62/($D$62+$D$68))</f>
        <v>-22770817.968982339</v>
      </c>
      <c r="E63" s="186"/>
      <c r="F63" s="228"/>
      <c r="G63" s="186"/>
      <c r="H63" s="186"/>
      <c r="I63" s="186"/>
      <c r="J63" s="186"/>
      <c r="K63" s="186"/>
      <c r="L63" s="186"/>
    </row>
    <row r="64" spans="1:12" x14ac:dyDescent="0.2">
      <c r="A64" s="188">
        <f t="shared" si="0"/>
        <v>55</v>
      </c>
      <c r="B64" s="188">
        <f t="shared" si="34"/>
        <v>46</v>
      </c>
      <c r="C64" s="229" t="s">
        <v>98</v>
      </c>
      <c r="D64" s="230">
        <f>SUM(D62:D63)</f>
        <v>74433504.489244118</v>
      </c>
      <c r="E64" s="224">
        <f>ROUND(+E$66/D$64,6)</f>
        <v>1.5560000000000001E-3</v>
      </c>
      <c r="F64" s="228"/>
      <c r="G64" s="186"/>
      <c r="H64" s="186"/>
      <c r="I64" s="186"/>
      <c r="J64" s="186"/>
      <c r="K64" s="186"/>
      <c r="L64" s="186"/>
    </row>
    <row r="65" spans="1:12" ht="12" thickBot="1" x14ac:dyDescent="0.25">
      <c r="A65" s="188">
        <f t="shared" si="0"/>
        <v>56</v>
      </c>
      <c r="B65" s="188">
        <f t="shared" si="34"/>
        <v>46</v>
      </c>
      <c r="C65" s="229" t="s">
        <v>237</v>
      </c>
      <c r="D65" s="219"/>
      <c r="E65" s="231">
        <f>+E64*D64</f>
        <v>115818.53298526385</v>
      </c>
      <c r="F65" s="186"/>
      <c r="G65" s="186"/>
      <c r="H65" s="186"/>
      <c r="I65" s="186"/>
      <c r="J65" s="186"/>
      <c r="K65" s="186"/>
      <c r="L65" s="186"/>
    </row>
    <row r="66" spans="1:12" ht="12" thickTop="1" x14ac:dyDescent="0.2">
      <c r="A66" s="188">
        <f t="shared" si="0"/>
        <v>57</v>
      </c>
      <c r="B66" s="188">
        <f t="shared" si="34"/>
        <v>46</v>
      </c>
      <c r="C66" s="242" t="s">
        <v>239</v>
      </c>
      <c r="D66" s="186"/>
      <c r="E66" s="221">
        <f>$N24*($D$62/($D$62+$D$68))</f>
        <v>115821.71708528047</v>
      </c>
      <c r="F66" s="186"/>
      <c r="G66" s="186"/>
      <c r="H66" s="186"/>
      <c r="I66" s="186"/>
      <c r="J66" s="186"/>
      <c r="K66" s="186"/>
      <c r="L66" s="186"/>
    </row>
    <row r="67" spans="1:12" x14ac:dyDescent="0.2">
      <c r="A67" s="188">
        <f t="shared" si="0"/>
        <v>58</v>
      </c>
      <c r="B67" s="188"/>
      <c r="D67" s="186"/>
      <c r="E67" s="221"/>
      <c r="F67" s="186"/>
      <c r="G67" s="186"/>
      <c r="H67" s="186"/>
      <c r="I67" s="186"/>
      <c r="J67" s="186"/>
      <c r="K67" s="186"/>
      <c r="L67" s="186"/>
    </row>
    <row r="68" spans="1:12" x14ac:dyDescent="0.2">
      <c r="A68" s="188">
        <f t="shared" si="0"/>
        <v>59</v>
      </c>
      <c r="B68" s="188">
        <v>49</v>
      </c>
      <c r="C68" s="218" t="s">
        <v>345</v>
      </c>
      <c r="D68" s="260">
        <f>SUM('F2023 Energy'!X81:Y81)</f>
        <v>536308452.81444001</v>
      </c>
      <c r="E68" s="186"/>
      <c r="F68" s="228"/>
      <c r="G68" s="186"/>
      <c r="H68" s="186"/>
      <c r="I68" s="186"/>
      <c r="J68" s="186"/>
      <c r="K68" s="186"/>
      <c r="L68" s="186"/>
    </row>
    <row r="69" spans="1:12" x14ac:dyDescent="0.2">
      <c r="A69" s="188">
        <f t="shared" si="0"/>
        <v>60</v>
      </c>
      <c r="B69" s="188">
        <f t="shared" ref="B69:B72" si="35">+B68</f>
        <v>49</v>
      </c>
      <c r="C69" s="223" t="s">
        <v>232</v>
      </c>
      <c r="D69" s="260">
        <f>-'Alloc for Sch 141A'!M17*($D$68/($D$62+$D$68))</f>
        <v>-125634147.18015604</v>
      </c>
      <c r="E69" s="186"/>
      <c r="F69" s="228"/>
      <c r="G69" s="186"/>
      <c r="H69" s="186"/>
      <c r="I69" s="186"/>
      <c r="J69" s="186"/>
      <c r="K69" s="186"/>
      <c r="L69" s="186"/>
    </row>
    <row r="70" spans="1:12" x14ac:dyDescent="0.2">
      <c r="A70" s="188">
        <f t="shared" si="0"/>
        <v>61</v>
      </c>
      <c r="B70" s="188">
        <f t="shared" si="35"/>
        <v>49</v>
      </c>
      <c r="C70" s="229" t="s">
        <v>98</v>
      </c>
      <c r="D70" s="230">
        <f>SUM(D68:D69)</f>
        <v>410674305.63428396</v>
      </c>
      <c r="E70" s="224">
        <f>ROUND(+E$72/D$70,6)</f>
        <v>1.5560000000000001E-3</v>
      </c>
      <c r="F70" s="228"/>
      <c r="G70" s="186"/>
      <c r="H70" s="186"/>
      <c r="I70" s="186"/>
      <c r="J70" s="186"/>
      <c r="K70" s="186"/>
      <c r="L70" s="186"/>
    </row>
    <row r="71" spans="1:12" ht="12" thickBot="1" x14ac:dyDescent="0.25">
      <c r="A71" s="188">
        <f t="shared" si="0"/>
        <v>62</v>
      </c>
      <c r="B71" s="188">
        <f t="shared" si="35"/>
        <v>49</v>
      </c>
      <c r="C71" s="229" t="s">
        <v>237</v>
      </c>
      <c r="D71" s="219"/>
      <c r="E71" s="231">
        <f>+E70*D70</f>
        <v>639009.21956694592</v>
      </c>
      <c r="F71" s="186"/>
      <c r="G71" s="186"/>
      <c r="H71" s="186"/>
      <c r="I71" s="186"/>
      <c r="J71" s="186"/>
      <c r="K71" s="186"/>
      <c r="L71" s="186"/>
    </row>
    <row r="72" spans="1:12" ht="12" thickTop="1" x14ac:dyDescent="0.2">
      <c r="A72" s="188">
        <f t="shared" si="0"/>
        <v>63</v>
      </c>
      <c r="B72" s="188">
        <f t="shared" si="35"/>
        <v>49</v>
      </c>
      <c r="C72" s="242" t="s">
        <v>239</v>
      </c>
      <c r="D72" s="186"/>
      <c r="E72" s="221">
        <f>$N$24*($D$68/($D$62+$D$68))</f>
        <v>639026.78730169614</v>
      </c>
      <c r="F72" s="186"/>
      <c r="G72" s="186"/>
      <c r="H72" s="186"/>
      <c r="I72" s="186"/>
      <c r="J72" s="186"/>
      <c r="K72" s="186"/>
      <c r="L72" s="186"/>
    </row>
    <row r="73" spans="1:12" x14ac:dyDescent="0.2">
      <c r="A73" s="188">
        <f t="shared" si="0"/>
        <v>64</v>
      </c>
      <c r="B73" s="188"/>
      <c r="D73" s="186"/>
      <c r="E73" s="221"/>
      <c r="F73" s="186"/>
      <c r="G73" s="186"/>
      <c r="H73" s="186"/>
      <c r="I73" s="186"/>
      <c r="J73" s="186"/>
      <c r="K73" s="186"/>
      <c r="L73" s="186"/>
    </row>
    <row r="74" spans="1:12" x14ac:dyDescent="0.2">
      <c r="A74" s="188">
        <f t="shared" si="0"/>
        <v>65</v>
      </c>
      <c r="B74" s="188" t="s">
        <v>272</v>
      </c>
      <c r="C74" s="218" t="s">
        <v>345</v>
      </c>
      <c r="D74" s="260">
        <f>SUM('F2023 Energy'!C81,'F2023 Energy'!AB81:AK81)</f>
        <v>67490752.881634608</v>
      </c>
      <c r="E74" s="186"/>
      <c r="F74" s="186"/>
      <c r="G74" s="186"/>
      <c r="H74" s="186"/>
      <c r="I74" s="186"/>
      <c r="J74" s="186"/>
      <c r="K74" s="186"/>
      <c r="L74" s="186"/>
    </row>
    <row r="75" spans="1:12" x14ac:dyDescent="0.2">
      <c r="A75" s="188">
        <f t="shared" si="0"/>
        <v>66</v>
      </c>
      <c r="B75" s="188" t="str">
        <f>+B74</f>
        <v>3, 50-59</v>
      </c>
      <c r="C75" s="223" t="s">
        <v>232</v>
      </c>
      <c r="D75" s="260">
        <f>-'Alloc for Sch 141A'!O17</f>
        <v>0</v>
      </c>
      <c r="E75" s="186"/>
      <c r="F75" s="228"/>
      <c r="G75" s="186"/>
      <c r="H75" s="186"/>
      <c r="I75" s="186"/>
      <c r="J75" s="186"/>
      <c r="K75" s="186"/>
      <c r="L75" s="186"/>
    </row>
    <row r="76" spans="1:12" x14ac:dyDescent="0.2">
      <c r="A76" s="188">
        <f t="shared" ref="A76:A103" si="36">A75+1</f>
        <v>67</v>
      </c>
      <c r="B76" s="188" t="str">
        <f t="shared" ref="B76:B78" si="37">+B75</f>
        <v>3, 50-59</v>
      </c>
      <c r="C76" s="229" t="s">
        <v>98</v>
      </c>
      <c r="D76" s="230">
        <f>SUM(D74:D75)</f>
        <v>67490752.881634608</v>
      </c>
      <c r="E76" s="224">
        <f>ROUND(+E$78/D$76,6)</f>
        <v>1.7960000000000001E-3</v>
      </c>
      <c r="F76" s="228"/>
      <c r="G76" s="186"/>
      <c r="H76" s="186"/>
      <c r="I76" s="186"/>
      <c r="J76" s="186"/>
      <c r="K76" s="186"/>
      <c r="L76" s="186"/>
    </row>
    <row r="77" spans="1:12" ht="12" thickBot="1" x14ac:dyDescent="0.25">
      <c r="A77" s="188">
        <f t="shared" si="36"/>
        <v>68</v>
      </c>
      <c r="B77" s="188" t="str">
        <f t="shared" si="37"/>
        <v>3, 50-59</v>
      </c>
      <c r="C77" s="229" t="s">
        <v>237</v>
      </c>
      <c r="D77" s="219"/>
      <c r="E77" s="231">
        <f>+E76*D76</f>
        <v>121213.39217541576</v>
      </c>
      <c r="F77" s="228"/>
      <c r="G77" s="186"/>
      <c r="H77" s="186"/>
      <c r="I77" s="186"/>
      <c r="J77" s="186"/>
      <c r="K77" s="186"/>
      <c r="L77" s="186"/>
    </row>
    <row r="78" spans="1:12" ht="12" thickTop="1" x14ac:dyDescent="0.2">
      <c r="A78" s="188">
        <f t="shared" si="36"/>
        <v>69</v>
      </c>
      <c r="B78" s="188" t="str">
        <f t="shared" si="37"/>
        <v>3, 50-59</v>
      </c>
      <c r="C78" s="242" t="s">
        <v>239</v>
      </c>
      <c r="D78" s="186"/>
      <c r="E78" s="221">
        <f>$N$28</f>
        <v>121192.99831506934</v>
      </c>
      <c r="F78" s="228"/>
      <c r="G78" s="186"/>
      <c r="H78" s="186"/>
      <c r="I78" s="186"/>
      <c r="J78" s="186"/>
      <c r="K78" s="186"/>
      <c r="L78" s="186"/>
    </row>
    <row r="79" spans="1:12" x14ac:dyDescent="0.2">
      <c r="A79" s="188">
        <f t="shared" si="36"/>
        <v>70</v>
      </c>
      <c r="B79" s="188"/>
      <c r="D79" s="186"/>
      <c r="E79" s="221"/>
      <c r="F79" s="186"/>
      <c r="G79" s="186"/>
      <c r="H79" s="186"/>
      <c r="I79" s="186"/>
      <c r="J79" s="186"/>
      <c r="K79" s="186"/>
      <c r="L79" s="186"/>
    </row>
    <row r="80" spans="1:12" x14ac:dyDescent="0.2">
      <c r="A80" s="188">
        <f t="shared" si="36"/>
        <v>71</v>
      </c>
      <c r="B80" s="188" t="s">
        <v>274</v>
      </c>
      <c r="C80" s="218" t="s">
        <v>345</v>
      </c>
      <c r="D80" s="260">
        <f>SUM('F2023 Energy'!AM81:AO81)</f>
        <v>1978304514.9769659</v>
      </c>
      <c r="E80" s="186"/>
      <c r="F80" s="186"/>
      <c r="G80" s="186"/>
      <c r="H80" s="186"/>
      <c r="I80" s="186"/>
      <c r="J80" s="186"/>
      <c r="K80" s="186"/>
      <c r="L80" s="186"/>
    </row>
    <row r="81" spans="1:12" x14ac:dyDescent="0.2">
      <c r="A81" s="188">
        <f t="shared" si="36"/>
        <v>72</v>
      </c>
      <c r="B81" s="188" t="str">
        <f>B80</f>
        <v>449, 459</v>
      </c>
      <c r="C81" s="223" t="s">
        <v>232</v>
      </c>
      <c r="D81" s="260">
        <f>-'Alloc for Sch 141A'!N17</f>
        <v>0</v>
      </c>
      <c r="E81" s="186"/>
      <c r="F81" s="186"/>
      <c r="G81" s="186"/>
      <c r="H81" s="186"/>
      <c r="I81" s="186"/>
      <c r="J81" s="186"/>
      <c r="K81" s="186"/>
      <c r="L81" s="186"/>
    </row>
    <row r="82" spans="1:12" x14ac:dyDescent="0.2">
      <c r="A82" s="188">
        <f t="shared" si="36"/>
        <v>73</v>
      </c>
      <c r="B82" s="188" t="str">
        <f t="shared" ref="B82:B84" si="38">B81</f>
        <v>449, 459</v>
      </c>
      <c r="C82" s="229" t="s">
        <v>98</v>
      </c>
      <c r="D82" s="230">
        <f>SUM(D80:D81)</f>
        <v>1978304514.9769659</v>
      </c>
      <c r="E82" s="224">
        <f>ROUND(+E$84/D$82,6)</f>
        <v>0</v>
      </c>
      <c r="F82" s="186"/>
      <c r="G82" s="186"/>
      <c r="H82" s="186"/>
      <c r="I82" s="186"/>
      <c r="J82" s="186"/>
      <c r="K82" s="186"/>
      <c r="L82" s="186"/>
    </row>
    <row r="83" spans="1:12" ht="12" thickBot="1" x14ac:dyDescent="0.25">
      <c r="A83" s="188">
        <f t="shared" si="36"/>
        <v>74</v>
      </c>
      <c r="B83" s="188" t="str">
        <f t="shared" si="38"/>
        <v>449, 459</v>
      </c>
      <c r="C83" s="229" t="s">
        <v>237</v>
      </c>
      <c r="D83" s="219"/>
      <c r="E83" s="231">
        <f>+E82*D82</f>
        <v>0</v>
      </c>
      <c r="F83" s="186"/>
      <c r="G83" s="186"/>
      <c r="H83" s="186"/>
      <c r="I83" s="186"/>
      <c r="J83" s="186"/>
      <c r="K83" s="186"/>
      <c r="L83" s="186"/>
    </row>
    <row r="84" spans="1:12" ht="12" thickTop="1" x14ac:dyDescent="0.2">
      <c r="A84" s="188">
        <f t="shared" si="36"/>
        <v>75</v>
      </c>
      <c r="B84" s="188" t="str">
        <f t="shared" si="38"/>
        <v>449, 459</v>
      </c>
      <c r="C84" s="242" t="s">
        <v>239</v>
      </c>
      <c r="D84" s="186"/>
      <c r="E84" s="221">
        <f>$N$26</f>
        <v>0</v>
      </c>
      <c r="F84" s="228"/>
      <c r="G84" s="186"/>
      <c r="H84" s="186"/>
      <c r="I84" s="186"/>
      <c r="J84" s="186"/>
      <c r="K84" s="186"/>
      <c r="L84" s="186"/>
    </row>
    <row r="85" spans="1:12" x14ac:dyDescent="0.2">
      <c r="A85" s="188">
        <f t="shared" si="36"/>
        <v>76</v>
      </c>
      <c r="B85" s="188"/>
      <c r="D85" s="186"/>
      <c r="E85" s="221"/>
      <c r="F85" s="228"/>
      <c r="G85" s="186"/>
      <c r="H85" s="186"/>
      <c r="I85" s="186"/>
      <c r="J85" s="186"/>
      <c r="K85" s="186"/>
      <c r="L85" s="186"/>
    </row>
    <row r="86" spans="1:12" x14ac:dyDescent="0.2">
      <c r="A86" s="188">
        <f t="shared" si="36"/>
        <v>77</v>
      </c>
      <c r="B86" s="188" t="s">
        <v>74</v>
      </c>
      <c r="C86" s="218" t="s">
        <v>345</v>
      </c>
      <c r="D86" s="260">
        <f>'F2023 Energy'!AQ81</f>
        <v>304641655.46200001</v>
      </c>
      <c r="E86" s="186"/>
      <c r="F86" s="228"/>
      <c r="G86" s="186"/>
      <c r="H86" s="186"/>
      <c r="I86" s="186"/>
      <c r="J86" s="186"/>
      <c r="K86" s="186"/>
      <c r="L86" s="186"/>
    </row>
    <row r="87" spans="1:12" x14ac:dyDescent="0.2">
      <c r="A87" s="188">
        <f t="shared" si="36"/>
        <v>78</v>
      </c>
      <c r="B87" s="188" t="str">
        <f>B86</f>
        <v>SC</v>
      </c>
      <c r="C87" s="223" t="s">
        <v>232</v>
      </c>
      <c r="D87" s="260">
        <f>-'Alloc for Sch 141A'!L17</f>
        <v>0</v>
      </c>
      <c r="E87" s="186"/>
      <c r="F87" s="228"/>
      <c r="G87" s="186"/>
      <c r="H87" s="186"/>
      <c r="I87" s="186"/>
      <c r="J87" s="186"/>
      <c r="K87" s="186"/>
      <c r="L87" s="186"/>
    </row>
    <row r="88" spans="1:12" x14ac:dyDescent="0.2">
      <c r="A88" s="188">
        <f t="shared" si="36"/>
        <v>79</v>
      </c>
      <c r="B88" s="188" t="str">
        <f t="shared" ref="B88:B90" si="39">B87</f>
        <v>SC</v>
      </c>
      <c r="C88" s="229" t="s">
        <v>98</v>
      </c>
      <c r="D88" s="230">
        <f>SUM(D86:D87)</f>
        <v>304641655.46200001</v>
      </c>
      <c r="E88" s="224">
        <f>ROUND(+E$90/D$88,6)</f>
        <v>0</v>
      </c>
      <c r="F88" s="228"/>
      <c r="G88" s="186"/>
      <c r="H88" s="186"/>
      <c r="I88" s="186"/>
      <c r="J88" s="186"/>
      <c r="K88" s="186"/>
      <c r="L88" s="186"/>
    </row>
    <row r="89" spans="1:12" ht="12" thickBot="1" x14ac:dyDescent="0.25">
      <c r="A89" s="188">
        <f t="shared" si="36"/>
        <v>80</v>
      </c>
      <c r="B89" s="188" t="str">
        <f t="shared" si="39"/>
        <v>SC</v>
      </c>
      <c r="C89" s="229" t="s">
        <v>237</v>
      </c>
      <c r="D89" s="219"/>
      <c r="E89" s="231">
        <f>+E88*D88</f>
        <v>0</v>
      </c>
      <c r="F89" s="186"/>
      <c r="G89" s="186"/>
      <c r="H89" s="186"/>
      <c r="I89" s="186"/>
      <c r="J89" s="186"/>
      <c r="K89" s="186"/>
      <c r="L89" s="186"/>
    </row>
    <row r="90" spans="1:12" ht="12" thickTop="1" x14ac:dyDescent="0.2">
      <c r="A90" s="188">
        <f t="shared" si="36"/>
        <v>81</v>
      </c>
      <c r="B90" s="188" t="str">
        <f t="shared" si="39"/>
        <v>SC</v>
      </c>
      <c r="C90" s="242" t="s">
        <v>239</v>
      </c>
      <c r="D90" s="186"/>
      <c r="E90" s="221">
        <f>$N$26</f>
        <v>0</v>
      </c>
      <c r="F90" s="186"/>
      <c r="G90" s="186"/>
      <c r="H90" s="186"/>
      <c r="I90" s="186"/>
      <c r="J90" s="186"/>
      <c r="K90" s="186"/>
      <c r="L90" s="186"/>
    </row>
    <row r="91" spans="1:12" x14ac:dyDescent="0.2">
      <c r="A91" s="188">
        <f t="shared" si="36"/>
        <v>82</v>
      </c>
      <c r="B91" s="188"/>
      <c r="C91" s="223"/>
      <c r="D91" s="186"/>
      <c r="E91" s="221"/>
      <c r="F91" s="228"/>
      <c r="G91" s="186"/>
      <c r="H91" s="186"/>
      <c r="I91" s="186"/>
      <c r="J91" s="186"/>
      <c r="K91" s="186"/>
      <c r="L91" s="186"/>
    </row>
    <row r="92" spans="1:12" x14ac:dyDescent="0.2">
      <c r="A92" s="188">
        <f t="shared" si="36"/>
        <v>83</v>
      </c>
      <c r="B92" s="207" t="s">
        <v>260</v>
      </c>
      <c r="C92" s="218" t="s">
        <v>345</v>
      </c>
      <c r="D92" s="260">
        <f>'F2023 Energy'!D81</f>
        <v>6782580.058544145</v>
      </c>
      <c r="E92" s="186"/>
      <c r="F92" s="228"/>
      <c r="G92" s="186"/>
      <c r="H92" s="186"/>
      <c r="I92" s="186"/>
      <c r="J92" s="186"/>
      <c r="K92" s="186"/>
      <c r="L92" s="186"/>
    </row>
    <row r="93" spans="1:12" x14ac:dyDescent="0.2">
      <c r="A93" s="188">
        <f t="shared" si="36"/>
        <v>84</v>
      </c>
      <c r="B93" s="188" t="str">
        <f>B92</f>
        <v>Firm Resale</v>
      </c>
      <c r="C93" s="223" t="s">
        <v>232</v>
      </c>
      <c r="D93" s="260">
        <f>-'Alloc for Sch 141A'!P17</f>
        <v>0</v>
      </c>
      <c r="E93" s="186"/>
      <c r="F93" s="228"/>
      <c r="G93" s="186"/>
      <c r="H93" s="186"/>
      <c r="I93" s="186"/>
      <c r="J93" s="186"/>
      <c r="K93" s="186"/>
      <c r="L93" s="186"/>
    </row>
    <row r="94" spans="1:12" x14ac:dyDescent="0.2">
      <c r="A94" s="188">
        <f t="shared" ref="A94:A95" si="40">A93+1</f>
        <v>85</v>
      </c>
      <c r="B94" s="188" t="str">
        <f t="shared" ref="B94:B95" si="41">B93</f>
        <v>Firm Resale</v>
      </c>
      <c r="C94" s="229" t="s">
        <v>98</v>
      </c>
      <c r="D94" s="230">
        <f>SUM(D92:D93)</f>
        <v>6782580.058544145</v>
      </c>
      <c r="E94" s="224">
        <f>ROUND(+E$96/D$94,6)</f>
        <v>1.7719999999999999E-3</v>
      </c>
      <c r="F94" s="228"/>
      <c r="G94" s="186"/>
      <c r="H94" s="186"/>
      <c r="I94" s="186"/>
      <c r="J94" s="186"/>
      <c r="K94" s="186"/>
      <c r="L94" s="186"/>
    </row>
    <row r="95" spans="1:12" ht="12" thickBot="1" x14ac:dyDescent="0.25">
      <c r="A95" s="188">
        <f t="shared" si="40"/>
        <v>86</v>
      </c>
      <c r="B95" s="188" t="str">
        <f t="shared" si="41"/>
        <v>Firm Resale</v>
      </c>
      <c r="C95" s="229" t="s">
        <v>237</v>
      </c>
      <c r="D95" s="219"/>
      <c r="E95" s="231">
        <f>+E94*D94</f>
        <v>12018.731863740224</v>
      </c>
      <c r="F95" s="186"/>
      <c r="G95" s="186"/>
      <c r="H95" s="186"/>
      <c r="I95" s="186"/>
      <c r="J95" s="186"/>
      <c r="K95" s="186"/>
      <c r="L95" s="186"/>
    </row>
    <row r="96" spans="1:12" ht="12" thickTop="1" x14ac:dyDescent="0.2">
      <c r="A96" s="188">
        <f t="shared" si="36"/>
        <v>87</v>
      </c>
      <c r="B96" s="188" t="str">
        <f t="shared" ref="B96" si="42">B95</f>
        <v>Firm Resale</v>
      </c>
      <c r="C96" s="242" t="s">
        <v>239</v>
      </c>
      <c r="D96" s="186"/>
      <c r="E96" s="221">
        <f>$N$32</f>
        <v>12015.898920911553</v>
      </c>
      <c r="F96" s="186"/>
      <c r="G96" s="186"/>
      <c r="H96" s="186"/>
      <c r="I96" s="186"/>
      <c r="J96" s="186"/>
      <c r="K96" s="186"/>
      <c r="L96" s="186"/>
    </row>
    <row r="97" spans="1:12" x14ac:dyDescent="0.2">
      <c r="A97" s="188">
        <f t="shared" si="36"/>
        <v>88</v>
      </c>
      <c r="B97" s="188"/>
      <c r="C97" s="255"/>
      <c r="D97" s="186"/>
      <c r="E97" s="221"/>
      <c r="F97" s="186"/>
      <c r="G97" s="186"/>
      <c r="H97" s="186"/>
      <c r="I97" s="186"/>
      <c r="J97" s="186"/>
      <c r="K97" s="186"/>
      <c r="L97" s="186"/>
    </row>
    <row r="98" spans="1:12" x14ac:dyDescent="0.2">
      <c r="A98" s="188">
        <f t="shared" si="36"/>
        <v>89</v>
      </c>
      <c r="B98" s="188"/>
      <c r="C98" s="232" t="s">
        <v>8</v>
      </c>
      <c r="D98" s="257">
        <f>SUM(D94,D88,D82,D76,D70,D64,D57,D51,D45,D38,D32,D26,D20,D13)</f>
        <v>22731402765.302452</v>
      </c>
      <c r="E98" s="221">
        <f>SUM(E95,E89,E83,E77,E71,E65,E58,E52,E46,E39,E33,E27,E21,E14)</f>
        <v>34478850.959378153</v>
      </c>
      <c r="F98" s="256"/>
      <c r="G98" s="186"/>
      <c r="H98" s="186"/>
      <c r="I98" s="186"/>
      <c r="J98" s="186"/>
      <c r="K98" s="186"/>
      <c r="L98" s="186"/>
    </row>
    <row r="99" spans="1:12" x14ac:dyDescent="0.2">
      <c r="A99" s="188">
        <f t="shared" si="36"/>
        <v>90</v>
      </c>
      <c r="B99" s="188"/>
      <c r="D99" s="236">
        <f>'F2023 Energy'!AP81+'F2023 Energy'!AQ81-'Alloc for Sch 141A'!C17-D98</f>
        <v>0</v>
      </c>
      <c r="E99" s="236">
        <f>$N$36-E98</f>
        <v>3697.225791156292</v>
      </c>
      <c r="F99" s="186"/>
      <c r="G99" s="186"/>
      <c r="H99" s="186"/>
      <c r="I99" s="186"/>
      <c r="J99" s="186"/>
      <c r="K99" s="186"/>
      <c r="L99" s="186"/>
    </row>
    <row r="100" spans="1:12" x14ac:dyDescent="0.2">
      <c r="A100" s="188">
        <f t="shared" si="36"/>
        <v>91</v>
      </c>
      <c r="B100" s="188"/>
      <c r="D100" s="248" t="s">
        <v>346</v>
      </c>
      <c r="E100" s="248" t="s">
        <v>275</v>
      </c>
      <c r="F100" s="186"/>
      <c r="G100" s="186"/>
      <c r="H100" s="186"/>
      <c r="I100" s="186"/>
      <c r="J100" s="186"/>
      <c r="K100" s="186"/>
      <c r="L100" s="186"/>
    </row>
    <row r="101" spans="1:12" x14ac:dyDescent="0.2">
      <c r="A101" s="188">
        <f t="shared" si="36"/>
        <v>92</v>
      </c>
      <c r="F101" s="186"/>
      <c r="G101" s="186"/>
      <c r="H101" s="186"/>
      <c r="I101" s="186"/>
      <c r="J101" s="186"/>
      <c r="K101" s="186"/>
      <c r="L101" s="186"/>
    </row>
    <row r="102" spans="1:12" x14ac:dyDescent="0.2">
      <c r="A102" s="188">
        <f t="shared" si="36"/>
        <v>93</v>
      </c>
      <c r="C102" s="244" t="s">
        <v>344</v>
      </c>
      <c r="D102" s="383">
        <f>SUM(D11,D18,D24,D30,D36,D43,D49,D55,D62,D68,D74,D80,D86,D92)</f>
        <v>23469824765.302456</v>
      </c>
      <c r="F102" s="256"/>
      <c r="G102" s="186"/>
      <c r="H102" s="186"/>
      <c r="I102" s="186"/>
      <c r="J102" s="186"/>
      <c r="K102" s="186"/>
      <c r="L102" s="186"/>
    </row>
    <row r="103" spans="1:12" x14ac:dyDescent="0.2">
      <c r="A103" s="188">
        <f t="shared" si="36"/>
        <v>94</v>
      </c>
      <c r="C103" s="244" t="s">
        <v>356</v>
      </c>
      <c r="D103" s="384">
        <f>SUM(D12,D19,D25,D31,D37,D44,D50,D56,D63,D69,D75,D81,D87,D93,)</f>
        <v>-738422000</v>
      </c>
      <c r="F103" s="186"/>
      <c r="G103" s="186"/>
      <c r="H103" s="186"/>
      <c r="I103" s="186"/>
      <c r="J103" s="186"/>
      <c r="K103" s="186"/>
      <c r="L103" s="186"/>
    </row>
    <row r="104" spans="1:12" x14ac:dyDescent="0.2">
      <c r="D104" s="383">
        <f>SUM(D102:D103)</f>
        <v>22731402765.302456</v>
      </c>
      <c r="F104" s="186"/>
      <c r="G104" s="186"/>
      <c r="H104" s="186"/>
      <c r="I104" s="186"/>
      <c r="J104" s="186"/>
      <c r="K104" s="186"/>
      <c r="L104" s="186"/>
    </row>
    <row r="105" spans="1:12" x14ac:dyDescent="0.2">
      <c r="D105" s="236">
        <f>D98-D104</f>
        <v>0</v>
      </c>
      <c r="F105" s="228"/>
      <c r="G105" s="186"/>
      <c r="H105" s="186"/>
      <c r="I105" s="186"/>
      <c r="J105" s="186"/>
      <c r="K105" s="186"/>
      <c r="L105" s="186"/>
    </row>
    <row r="106" spans="1:12" x14ac:dyDescent="0.2">
      <c r="D106" s="248" t="s">
        <v>346</v>
      </c>
      <c r="F106" s="228"/>
      <c r="G106" s="186"/>
      <c r="H106" s="186"/>
      <c r="I106" s="186"/>
      <c r="J106" s="186"/>
      <c r="K106" s="186"/>
      <c r="L106" s="186"/>
    </row>
    <row r="107" spans="1:12" x14ac:dyDescent="0.2">
      <c r="F107" s="228"/>
      <c r="G107" s="186"/>
      <c r="H107" s="186"/>
      <c r="I107" s="186"/>
      <c r="J107" s="186"/>
      <c r="K107" s="186"/>
      <c r="L107" s="186"/>
    </row>
    <row r="108" spans="1:12" x14ac:dyDescent="0.2">
      <c r="F108" s="186"/>
      <c r="G108" s="186"/>
      <c r="H108" s="186"/>
      <c r="I108" s="186"/>
      <c r="J108" s="186"/>
      <c r="K108" s="186"/>
      <c r="L108" s="186"/>
    </row>
    <row r="109" spans="1:12" x14ac:dyDescent="0.2">
      <c r="F109" s="228"/>
      <c r="G109" s="186"/>
      <c r="H109" s="186"/>
      <c r="I109" s="186"/>
      <c r="J109" s="186"/>
      <c r="K109" s="186"/>
      <c r="L109" s="186"/>
    </row>
    <row r="110" spans="1:12" x14ac:dyDescent="0.2">
      <c r="F110" s="248"/>
      <c r="G110" s="186"/>
      <c r="H110" s="186"/>
      <c r="I110" s="186"/>
      <c r="J110" s="186"/>
      <c r="K110" s="186"/>
      <c r="L110" s="186"/>
    </row>
    <row r="111" spans="1:12" x14ac:dyDescent="0.2">
      <c r="F111" s="258"/>
      <c r="G111" s="186"/>
      <c r="H111" s="186"/>
      <c r="I111" s="186"/>
      <c r="J111" s="186"/>
      <c r="K111" s="186"/>
      <c r="L111" s="186"/>
    </row>
  </sheetData>
  <mergeCells count="6">
    <mergeCell ref="D7:E7"/>
    <mergeCell ref="A1:F1"/>
    <mergeCell ref="A2:F2"/>
    <mergeCell ref="A3:F3"/>
    <mergeCell ref="A4:F4"/>
    <mergeCell ref="A5:F5"/>
  </mergeCells>
  <printOptions horizontalCentered="1"/>
  <pageMargins left="0.7" right="0.7" top="0.75" bottom="0.75" header="0.3" footer="0.3"/>
  <pageSetup scale="67" fitToHeight="0" orientation="landscape" r:id="rId1"/>
  <headerFooter alignWithMargins="0">
    <oddFooter xml:space="preserve">&amp;L&amp;F
&amp;A&amp;RPage &amp;P of &amp;N
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59999389629810485"/>
  </sheetPr>
  <dimension ref="A1:J29"/>
  <sheetViews>
    <sheetView workbookViewId="0">
      <pane ySplit="5" topLeftCell="A6" activePane="bottomLeft" state="frozen"/>
      <selection pane="bottomLeft" activeCell="M35" sqref="M35"/>
    </sheetView>
  </sheetViews>
  <sheetFormatPr defaultRowHeight="11.25" x14ac:dyDescent="0.2"/>
  <cols>
    <col min="1" max="1" width="48.42578125" style="9" bestFit="1" customWidth="1"/>
    <col min="2" max="8" width="13.7109375" style="9" bestFit="1" customWidth="1"/>
    <col min="9" max="9" width="11.5703125" style="9" customWidth="1"/>
    <col min="10" max="10" width="16.42578125" style="9" bestFit="1" customWidth="1"/>
    <col min="11" max="16384" width="9.140625" style="9"/>
  </cols>
  <sheetData>
    <row r="1" spans="1:10" x14ac:dyDescent="0.2">
      <c r="A1" s="395" t="str">
        <f>'Rate Summary'!A1</f>
        <v>Puget Sound Energy</v>
      </c>
    </row>
    <row r="2" spans="1:10" x14ac:dyDescent="0.2">
      <c r="A2" s="395" t="str">
        <f>'Rate Summary'!A2</f>
        <v>Schedule 141A Energy Charge Credit Recovery Adjustment</v>
      </c>
    </row>
    <row r="3" spans="1:10" x14ac:dyDescent="0.2">
      <c r="A3" s="395" t="s">
        <v>370</v>
      </c>
    </row>
    <row r="5" spans="1:10" x14ac:dyDescent="0.2">
      <c r="A5" s="396" t="s">
        <v>371</v>
      </c>
      <c r="B5" s="404" t="s">
        <v>359</v>
      </c>
      <c r="C5" s="404" t="s">
        <v>360</v>
      </c>
      <c r="D5" s="404" t="s">
        <v>361</v>
      </c>
      <c r="E5" s="404" t="s">
        <v>362</v>
      </c>
      <c r="F5" s="404" t="s">
        <v>363</v>
      </c>
      <c r="G5" s="404" t="s">
        <v>364</v>
      </c>
      <c r="H5" s="404" t="s">
        <v>365</v>
      </c>
      <c r="I5" s="404" t="s">
        <v>366</v>
      </c>
      <c r="J5" s="404" t="s">
        <v>367</v>
      </c>
    </row>
    <row r="6" spans="1:10" x14ac:dyDescent="0.2">
      <c r="A6" s="396"/>
      <c r="B6" s="404"/>
      <c r="C6" s="404"/>
      <c r="D6" s="404"/>
      <c r="E6" s="404"/>
      <c r="F6" s="404"/>
      <c r="G6" s="404"/>
      <c r="H6" s="404"/>
      <c r="I6" s="404"/>
      <c r="J6" s="404"/>
    </row>
    <row r="7" spans="1:10" x14ac:dyDescent="0.2">
      <c r="A7" s="411" t="s">
        <v>378</v>
      </c>
      <c r="B7" s="410">
        <v>-364802.64</v>
      </c>
      <c r="C7" s="410">
        <v>-2246219.5299999998</v>
      </c>
      <c r="D7" s="410">
        <v>-2660821.7999999998</v>
      </c>
      <c r="E7" s="410">
        <v>-2913510.93</v>
      </c>
      <c r="F7" s="410">
        <v>-2414011.7999999998</v>
      </c>
      <c r="G7" s="410">
        <v>-2896693.28</v>
      </c>
      <c r="H7" s="410">
        <v>-2790799.1</v>
      </c>
      <c r="I7" s="410">
        <v>-3428414.14</v>
      </c>
      <c r="J7" s="402">
        <f>SUM(B7:I7)</f>
        <v>-19715273.219999999</v>
      </c>
    </row>
    <row r="8" spans="1:10" x14ac:dyDescent="0.2">
      <c r="A8" s="42" t="s">
        <v>376</v>
      </c>
      <c r="B8" s="413">
        <v>0.95234799999999997</v>
      </c>
      <c r="C8" s="414">
        <f>B8</f>
        <v>0.95234799999999997</v>
      </c>
      <c r="D8" s="414">
        <f t="shared" ref="D8:J8" si="0">C8</f>
        <v>0.95234799999999997</v>
      </c>
      <c r="E8" s="414">
        <f t="shared" si="0"/>
        <v>0.95234799999999997</v>
      </c>
      <c r="F8" s="414">
        <f t="shared" si="0"/>
        <v>0.95234799999999997</v>
      </c>
      <c r="G8" s="414">
        <f t="shared" si="0"/>
        <v>0.95234799999999997</v>
      </c>
      <c r="H8" s="414">
        <f t="shared" si="0"/>
        <v>0.95234799999999997</v>
      </c>
      <c r="I8" s="414">
        <f t="shared" si="0"/>
        <v>0.95234799999999997</v>
      </c>
      <c r="J8" s="414">
        <f t="shared" si="0"/>
        <v>0.95234799999999997</v>
      </c>
    </row>
    <row r="9" spans="1:10" x14ac:dyDescent="0.2">
      <c r="A9" s="412" t="s">
        <v>377</v>
      </c>
      <c r="B9" s="416">
        <f t="shared" ref="B9:J9" si="1">B7*B8</f>
        <v>-347419.06459872</v>
      </c>
      <c r="C9" s="416">
        <f t="shared" si="1"/>
        <v>-2139182.6769564399</v>
      </c>
      <c r="D9" s="416">
        <f t="shared" si="1"/>
        <v>-2534028.3195863999</v>
      </c>
      <c r="E9" s="416">
        <f t="shared" si="1"/>
        <v>-2774676.3071636399</v>
      </c>
      <c r="F9" s="416">
        <f t="shared" si="1"/>
        <v>-2298979.3097063997</v>
      </c>
      <c r="G9" s="416">
        <f t="shared" si="1"/>
        <v>-2758660.0518214395</v>
      </c>
      <c r="H9" s="416">
        <f t="shared" si="1"/>
        <v>-2657811.9412868</v>
      </c>
      <c r="I9" s="416">
        <f t="shared" si="1"/>
        <v>-3265043.3494007201</v>
      </c>
      <c r="J9" s="416">
        <f t="shared" si="1"/>
        <v>-18775801.020520557</v>
      </c>
    </row>
    <row r="10" spans="1:10" x14ac:dyDescent="0.2">
      <c r="A10" s="405"/>
      <c r="B10" s="410"/>
      <c r="C10" s="410"/>
      <c r="D10" s="410"/>
      <c r="E10" s="410"/>
      <c r="F10" s="410"/>
      <c r="G10" s="410"/>
      <c r="H10" s="410"/>
      <c r="I10" s="410"/>
      <c r="J10" s="402"/>
    </row>
    <row r="11" spans="1:10" x14ac:dyDescent="0.2">
      <c r="A11" s="411" t="s">
        <v>380</v>
      </c>
      <c r="B11" s="410">
        <v>-1477142.3068163199</v>
      </c>
      <c r="C11" s="410">
        <v>113952.16048453795</v>
      </c>
      <c r="D11" s="410">
        <v>-58379.087116551353</v>
      </c>
      <c r="E11" s="410">
        <v>169597.74466927745</v>
      </c>
      <c r="F11" s="410">
        <v>-117288.38680711295</v>
      </c>
      <c r="G11" s="410">
        <v>16492.885880688904</v>
      </c>
      <c r="H11" s="410">
        <v>-150290.87431582017</v>
      </c>
      <c r="I11" s="410">
        <v>-17711.814572868403</v>
      </c>
      <c r="J11" s="402">
        <f>SUM(B11:I11)</f>
        <v>-1520769.6785941685</v>
      </c>
    </row>
    <row r="12" spans="1:10" x14ac:dyDescent="0.2">
      <c r="A12" s="412"/>
      <c r="B12" s="415"/>
      <c r="C12" s="415"/>
      <c r="D12" s="415"/>
      <c r="E12" s="415"/>
      <c r="F12" s="415"/>
      <c r="G12" s="415"/>
      <c r="H12" s="415"/>
      <c r="I12" s="415"/>
      <c r="J12" s="415"/>
    </row>
    <row r="13" spans="1:10" ht="12" thickBot="1" x14ac:dyDescent="0.25">
      <c r="A13" s="396"/>
      <c r="B13" s="406"/>
      <c r="C13" s="406"/>
      <c r="D13" s="406"/>
      <c r="E13" s="406"/>
      <c r="F13" s="406"/>
      <c r="G13" s="406"/>
      <c r="H13" s="406"/>
      <c r="I13" s="409" t="s">
        <v>374</v>
      </c>
      <c r="J13" s="398">
        <f>J9+J11</f>
        <v>-20296570.699114725</v>
      </c>
    </row>
    <row r="14" spans="1:10" ht="12" thickTop="1" x14ac:dyDescent="0.2"/>
    <row r="15" spans="1:10" x14ac:dyDescent="0.2">
      <c r="A15" s="396" t="s">
        <v>373</v>
      </c>
    </row>
    <row r="16" spans="1:10" ht="33.75" x14ac:dyDescent="0.2">
      <c r="A16" s="396" t="s">
        <v>372</v>
      </c>
      <c r="B16" s="397" t="s">
        <v>358</v>
      </c>
      <c r="C16" s="397" t="s">
        <v>358</v>
      </c>
      <c r="D16" s="397" t="s">
        <v>358</v>
      </c>
      <c r="E16" s="397" t="s">
        <v>358</v>
      </c>
      <c r="F16" s="397" t="s">
        <v>358</v>
      </c>
      <c r="G16" s="397" t="s">
        <v>358</v>
      </c>
      <c r="H16" s="397" t="s">
        <v>358</v>
      </c>
      <c r="I16" s="397" t="s">
        <v>358</v>
      </c>
      <c r="J16" s="397" t="s">
        <v>358</v>
      </c>
    </row>
    <row r="17" spans="1:10" x14ac:dyDescent="0.2">
      <c r="B17" s="408"/>
      <c r="C17" s="408"/>
      <c r="D17" s="408"/>
      <c r="E17" s="408"/>
      <c r="F17" s="408"/>
      <c r="G17" s="408"/>
      <c r="H17" s="408"/>
      <c r="I17" s="408"/>
      <c r="J17" s="400"/>
    </row>
    <row r="18" spans="1:10" x14ac:dyDescent="0.2">
      <c r="A18" s="411" t="s">
        <v>379</v>
      </c>
      <c r="B18" s="410">
        <v>633461.66</v>
      </c>
      <c r="C18" s="410">
        <v>2868012.59</v>
      </c>
      <c r="D18" s="410">
        <v>3524445.57</v>
      </c>
      <c r="E18" s="410">
        <v>3116970.39</v>
      </c>
      <c r="F18" s="410">
        <v>2700368.02</v>
      </c>
      <c r="G18" s="410">
        <v>2639571.0099999998</v>
      </c>
      <c r="H18" s="410">
        <v>2640704.48</v>
      </c>
      <c r="I18" s="410">
        <v>2866070.85</v>
      </c>
      <c r="J18" s="402">
        <f>SUM(B18:I18)</f>
        <v>20989604.57</v>
      </c>
    </row>
    <row r="19" spans="1:10" x14ac:dyDescent="0.2">
      <c r="A19" s="42" t="s">
        <v>376</v>
      </c>
      <c r="B19" s="413">
        <v>0.95234799999999997</v>
      </c>
      <c r="C19" s="414">
        <f>B19</f>
        <v>0.95234799999999997</v>
      </c>
      <c r="D19" s="414">
        <f t="shared" ref="D19:J19" si="2">C19</f>
        <v>0.95234799999999997</v>
      </c>
      <c r="E19" s="414">
        <f t="shared" si="2"/>
        <v>0.95234799999999997</v>
      </c>
      <c r="F19" s="414">
        <f t="shared" si="2"/>
        <v>0.95234799999999997</v>
      </c>
      <c r="G19" s="414">
        <f t="shared" si="2"/>
        <v>0.95234799999999997</v>
      </c>
      <c r="H19" s="414">
        <f t="shared" si="2"/>
        <v>0.95234799999999997</v>
      </c>
      <c r="I19" s="414">
        <f t="shared" si="2"/>
        <v>0.95234799999999997</v>
      </c>
      <c r="J19" s="414">
        <f t="shared" si="2"/>
        <v>0.95234799999999997</v>
      </c>
    </row>
    <row r="20" spans="1:10" x14ac:dyDescent="0.2">
      <c r="A20" s="412" t="s">
        <v>377</v>
      </c>
      <c r="B20" s="416">
        <f t="shared" ref="B20:J20" si="3">B18*B19</f>
        <v>603275.94497767999</v>
      </c>
      <c r="C20" s="416">
        <f t="shared" si="3"/>
        <v>2731346.0540613197</v>
      </c>
      <c r="D20" s="416">
        <f t="shared" si="3"/>
        <v>3356498.6896983599</v>
      </c>
      <c r="E20" s="416">
        <f t="shared" si="3"/>
        <v>2968440.5169757199</v>
      </c>
      <c r="F20" s="416">
        <f t="shared" si="3"/>
        <v>2571690.0831109597</v>
      </c>
      <c r="G20" s="416">
        <f t="shared" si="3"/>
        <v>2513790.1722314795</v>
      </c>
      <c r="H20" s="416">
        <f t="shared" si="3"/>
        <v>2514869.6301190397</v>
      </c>
      <c r="I20" s="416">
        <f t="shared" si="3"/>
        <v>2729496.8418557998</v>
      </c>
      <c r="J20" s="416">
        <f t="shared" si="3"/>
        <v>19989407.933030359</v>
      </c>
    </row>
    <row r="21" spans="1:10" x14ac:dyDescent="0.2">
      <c r="A21" s="405"/>
      <c r="B21" s="410"/>
      <c r="C21" s="410"/>
      <c r="D21" s="410"/>
      <c r="E21" s="410"/>
      <c r="F21" s="410"/>
      <c r="G21" s="410"/>
      <c r="H21" s="410"/>
      <c r="I21" s="410"/>
      <c r="J21" s="402"/>
    </row>
    <row r="22" spans="1:10" x14ac:dyDescent="0.2">
      <c r="A22" s="411" t="s">
        <v>381</v>
      </c>
      <c r="B22" s="410">
        <v>1782863.271858969</v>
      </c>
      <c r="C22" s="410">
        <v>672065.8632882454</v>
      </c>
      <c r="D22" s="410">
        <v>-121463.34666950302</v>
      </c>
      <c r="E22" s="410">
        <v>-77468.957107946742</v>
      </c>
      <c r="F22" s="410">
        <v>-111885.99593357975</v>
      </c>
      <c r="G22" s="410">
        <v>-216805.64288693503</v>
      </c>
      <c r="H22" s="410">
        <v>-95230.40150165325</v>
      </c>
      <c r="I22" s="410">
        <v>-58398.729192608735</v>
      </c>
      <c r="J22" s="402">
        <f>SUM(B22:I22)</f>
        <v>1773676.0618549879</v>
      </c>
    </row>
    <row r="23" spans="1:10" x14ac:dyDescent="0.2">
      <c r="A23" s="407"/>
      <c r="B23" s="408"/>
      <c r="C23" s="408"/>
      <c r="D23" s="408"/>
      <c r="E23" s="408"/>
      <c r="F23" s="408"/>
      <c r="G23" s="408"/>
      <c r="H23" s="408"/>
      <c r="I23" s="408"/>
      <c r="J23" s="400"/>
    </row>
    <row r="24" spans="1:10" ht="12" thickBot="1" x14ac:dyDescent="0.25">
      <c r="B24" s="399"/>
      <c r="C24" s="399"/>
      <c r="D24" s="399"/>
      <c r="E24" s="399"/>
      <c r="F24" s="399"/>
      <c r="G24" s="399"/>
      <c r="H24" s="399"/>
      <c r="I24" s="409" t="s">
        <v>375</v>
      </c>
      <c r="J24" s="398">
        <f>J20+J22</f>
        <v>21763083.994885348</v>
      </c>
    </row>
    <row r="25" spans="1:10" ht="12" thickTop="1" x14ac:dyDescent="0.2">
      <c r="B25" s="399"/>
      <c r="C25" s="399"/>
      <c r="D25" s="399"/>
      <c r="E25" s="399"/>
      <c r="F25" s="399"/>
      <c r="G25" s="399"/>
      <c r="H25" s="399"/>
      <c r="I25" s="409"/>
      <c r="J25" s="402"/>
    </row>
    <row r="26" spans="1:10" x14ac:dyDescent="0.2">
      <c r="B26" s="399"/>
      <c r="C26" s="399"/>
      <c r="D26" s="399"/>
      <c r="E26" s="399"/>
      <c r="F26" s="399"/>
      <c r="G26" s="399"/>
      <c r="H26" s="399"/>
      <c r="I26" s="401" t="s">
        <v>383</v>
      </c>
      <c r="J26" s="402">
        <f>J24+J13</f>
        <v>1466513.2957706228</v>
      </c>
    </row>
    <row r="27" spans="1:10" x14ac:dyDescent="0.2">
      <c r="B27" s="399"/>
      <c r="C27" s="399"/>
      <c r="D27" s="399"/>
      <c r="E27" s="399"/>
      <c r="F27" s="399"/>
      <c r="G27" s="399"/>
      <c r="H27" s="399"/>
      <c r="I27" s="417" t="s">
        <v>376</v>
      </c>
      <c r="J27" s="414">
        <f>B8</f>
        <v>0.95234799999999997</v>
      </c>
    </row>
    <row r="28" spans="1:10" ht="12" thickBot="1" x14ac:dyDescent="0.25">
      <c r="B28" s="399"/>
      <c r="C28" s="399"/>
      <c r="D28" s="399"/>
      <c r="E28" s="399"/>
      <c r="F28" s="399"/>
      <c r="G28" s="400"/>
      <c r="H28" s="400"/>
      <c r="I28" s="401" t="s">
        <v>368</v>
      </c>
      <c r="J28" s="403">
        <f>J26/J27</f>
        <v>1539892.2408306866</v>
      </c>
    </row>
    <row r="29" spans="1:10" ht="12" thickTop="1" x14ac:dyDescent="0.2">
      <c r="I29" s="42"/>
    </row>
  </sheetData>
  <pageMargins left="0.7" right="0.7" top="0.75" bottom="0.75" header="0.3" footer="0.3"/>
  <pageSetup orientation="portrait" horizontalDpi="360" verticalDpi="36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</sheetPr>
  <dimension ref="A1:AS82"/>
  <sheetViews>
    <sheetView zoomScaleNormal="100" workbookViewId="0">
      <pane xSplit="2" ySplit="7" topLeftCell="W50" activePane="bottomRight" state="frozen"/>
      <selection pane="topRight" activeCell="C1" sqref="C1"/>
      <selection pane="bottomLeft" activeCell="A8" sqref="A8"/>
      <selection pane="bottomRight" activeCell="AK71" sqref="AK71"/>
    </sheetView>
  </sheetViews>
  <sheetFormatPr defaultColWidth="80.28515625" defaultRowHeight="11.25" x14ac:dyDescent="0.2"/>
  <cols>
    <col min="1" max="1" width="30.140625" style="14" customWidth="1"/>
    <col min="2" max="2" width="6.5703125" style="14" bestFit="1" customWidth="1"/>
    <col min="3" max="3" width="7.5703125" style="14" bestFit="1" customWidth="1"/>
    <col min="4" max="4" width="7.85546875" style="14" bestFit="1" customWidth="1"/>
    <col min="5" max="5" width="11.7109375" style="14" customWidth="1"/>
    <col min="6" max="6" width="7.85546875" style="14" bestFit="1" customWidth="1"/>
    <col min="7" max="7" width="9.5703125" style="14" bestFit="1" customWidth="1"/>
    <col min="8" max="8" width="8.7109375" style="14" bestFit="1" customWidth="1"/>
    <col min="9" max="9" width="9.5703125" style="14" bestFit="1" customWidth="1"/>
    <col min="10" max="10" width="8.7109375" style="14" bestFit="1" customWidth="1"/>
    <col min="11" max="11" width="10.85546875" style="14" bestFit="1" customWidth="1"/>
    <col min="12" max="12" width="9.5703125" style="14" bestFit="1" customWidth="1"/>
    <col min="13" max="13" width="10.85546875" style="14" bestFit="1" customWidth="1"/>
    <col min="14" max="14" width="9.5703125" style="14" bestFit="1" customWidth="1"/>
    <col min="15" max="15" width="10.85546875" style="14" bestFit="1" customWidth="1"/>
    <col min="16" max="16" width="9.5703125" style="14" bestFit="1" customWidth="1"/>
    <col min="17" max="17" width="8.7109375" style="14" bestFit="1" customWidth="1"/>
    <col min="18" max="18" width="10.85546875" style="14" bestFit="1" customWidth="1"/>
    <col min="19" max="19" width="9.5703125" style="14" bestFit="1" customWidth="1"/>
    <col min="20" max="20" width="7.85546875" style="14" bestFit="1" customWidth="1"/>
    <col min="21" max="21" width="10" style="14" customWidth="1"/>
    <col min="22" max="23" width="8.7109375" style="14" bestFit="1" customWidth="1"/>
    <col min="24" max="25" width="9.5703125" style="14" bestFit="1" customWidth="1"/>
    <col min="26" max="26" width="8.7109375" style="14" bestFit="1" customWidth="1"/>
    <col min="27" max="27" width="8.5703125" style="14" bestFit="1" customWidth="1"/>
    <col min="28" max="28" width="7.5703125" style="14" bestFit="1" customWidth="1"/>
    <col min="29" max="29" width="7.85546875" style="14" bestFit="1" customWidth="1"/>
    <col min="30" max="31" width="8.7109375" style="14" bestFit="1" customWidth="1"/>
    <col min="32" max="36" width="7.85546875" style="14" bestFit="1" customWidth="1"/>
    <col min="37" max="37" width="7.5703125" style="14" bestFit="1" customWidth="1"/>
    <col min="38" max="38" width="11.7109375" style="12" customWidth="1"/>
    <col min="39" max="39" width="9.5703125" style="14" bestFit="1" customWidth="1"/>
    <col min="40" max="40" width="10.85546875" style="14" bestFit="1" customWidth="1"/>
    <col min="41" max="41" width="9.5703125" style="14" bestFit="1" customWidth="1"/>
    <col min="42" max="42" width="14.140625" style="14" bestFit="1" customWidth="1"/>
    <col min="43" max="43" width="9.5703125" style="14" bestFit="1" customWidth="1"/>
    <col min="44" max="44" width="5.42578125" style="65" bestFit="1" customWidth="1"/>
    <col min="45" max="45" width="14.42578125" style="14" customWidth="1"/>
    <col min="46" max="46" width="13.7109375" style="14" customWidth="1"/>
    <col min="47" max="16384" width="80.28515625" style="14"/>
  </cols>
  <sheetData>
    <row r="1" spans="1:45" x14ac:dyDescent="0.2">
      <c r="A1" s="67" t="s">
        <v>120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7" t="str">
        <f>A1</f>
        <v>Delivered Monthly Sales &amp; Transportation by Rate Schedule</v>
      </c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57"/>
    </row>
    <row r="2" spans="1:45" x14ac:dyDescent="0.2">
      <c r="A2" s="69" t="s">
        <v>156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9" t="str">
        <f>A2</f>
        <v xml:space="preserve">Reconciled to LFG's F23 Final Forecast as of May 26th, 2023; </v>
      </c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57"/>
    </row>
    <row r="3" spans="1:45" x14ac:dyDescent="0.2">
      <c r="A3" s="67" t="s">
        <v>157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7" t="str">
        <f>A3</f>
        <v>Monthly kWh Sales Projections, 2023 - 2028</v>
      </c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57"/>
    </row>
    <row r="4" spans="1:45" x14ac:dyDescent="0.2">
      <c r="A4" s="70" t="s">
        <v>121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70" t="s">
        <v>121</v>
      </c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58"/>
    </row>
    <row r="5" spans="1:45" s="60" customFormat="1" x14ac:dyDescent="0.2">
      <c r="A5" s="71"/>
      <c r="B5" s="70"/>
      <c r="C5" s="70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71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59"/>
    </row>
    <row r="6" spans="1:45" s="60" customFormat="1" x14ac:dyDescent="0.2">
      <c r="A6" s="71"/>
      <c r="B6" s="70"/>
      <c r="C6" s="70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71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</row>
    <row r="7" spans="1:45" x14ac:dyDescent="0.2">
      <c r="A7" s="88" t="s">
        <v>72</v>
      </c>
      <c r="B7" s="88" t="s">
        <v>7</v>
      </c>
      <c r="C7" s="88" t="s">
        <v>158</v>
      </c>
      <c r="D7" s="89" t="s">
        <v>131</v>
      </c>
      <c r="E7" s="89" t="s">
        <v>159</v>
      </c>
      <c r="F7" s="89" t="s">
        <v>132</v>
      </c>
      <c r="G7" s="89" t="s">
        <v>160</v>
      </c>
      <c r="H7" s="89" t="s">
        <v>133</v>
      </c>
      <c r="I7" s="89" t="s">
        <v>134</v>
      </c>
      <c r="J7" s="89" t="s">
        <v>135</v>
      </c>
      <c r="K7" s="89" t="s">
        <v>161</v>
      </c>
      <c r="L7" s="89" t="s">
        <v>162</v>
      </c>
      <c r="M7" s="89" t="s">
        <v>136</v>
      </c>
      <c r="N7" s="89" t="s">
        <v>137</v>
      </c>
      <c r="O7" s="89" t="s">
        <v>139</v>
      </c>
      <c r="P7" s="89" t="s">
        <v>140</v>
      </c>
      <c r="Q7" s="89" t="s">
        <v>141</v>
      </c>
      <c r="R7" s="89" t="s">
        <v>142</v>
      </c>
      <c r="S7" s="89" t="s">
        <v>143</v>
      </c>
      <c r="T7" s="89" t="s">
        <v>144</v>
      </c>
      <c r="U7" s="89" t="s">
        <v>145</v>
      </c>
      <c r="V7" s="89" t="s">
        <v>146</v>
      </c>
      <c r="W7" s="89" t="s">
        <v>147</v>
      </c>
      <c r="X7" s="89" t="s">
        <v>148</v>
      </c>
      <c r="Y7" s="89" t="s">
        <v>149</v>
      </c>
      <c r="Z7" s="89" t="s">
        <v>163</v>
      </c>
      <c r="AA7" s="89" t="s">
        <v>138</v>
      </c>
      <c r="AB7" s="89" t="s">
        <v>164</v>
      </c>
      <c r="AC7" s="89" t="s">
        <v>165</v>
      </c>
      <c r="AD7" s="89" t="s">
        <v>166</v>
      </c>
      <c r="AE7" s="89" t="s">
        <v>167</v>
      </c>
      <c r="AF7" s="89" t="s">
        <v>168</v>
      </c>
      <c r="AG7" s="89" t="s">
        <v>169</v>
      </c>
      <c r="AH7" s="89" t="s">
        <v>170</v>
      </c>
      <c r="AI7" s="89" t="s">
        <v>171</v>
      </c>
      <c r="AJ7" s="89" t="s">
        <v>172</v>
      </c>
      <c r="AK7" s="90" t="s">
        <v>173</v>
      </c>
      <c r="AL7" s="91" t="s">
        <v>129</v>
      </c>
      <c r="AM7" s="88" t="s">
        <v>150</v>
      </c>
      <c r="AN7" s="89" t="s">
        <v>151</v>
      </c>
      <c r="AO7" s="90" t="s">
        <v>152</v>
      </c>
      <c r="AP7" s="91" t="s">
        <v>130</v>
      </c>
      <c r="AQ7" s="91" t="s">
        <v>174</v>
      </c>
      <c r="AR7" s="14"/>
      <c r="AS7" s="61"/>
    </row>
    <row r="8" spans="1:45" x14ac:dyDescent="0.2">
      <c r="A8" s="92">
        <v>2023</v>
      </c>
      <c r="B8" s="92">
        <v>1</v>
      </c>
      <c r="C8" s="93">
        <v>589.99999999999795</v>
      </c>
      <c r="D8" s="93">
        <v>1128752.0423596499</v>
      </c>
      <c r="E8" s="93">
        <v>1233199002.9924099</v>
      </c>
      <c r="F8" s="93">
        <v>259810</v>
      </c>
      <c r="G8" s="93">
        <v>28130227.939986799</v>
      </c>
      <c r="H8" s="93">
        <v>2513339.4479685198</v>
      </c>
      <c r="I8" s="93">
        <v>13600102.910411401</v>
      </c>
      <c r="J8" s="93">
        <v>1591111.4095497101</v>
      </c>
      <c r="K8" s="93">
        <v>230797445.61287183</v>
      </c>
      <c r="L8" s="93">
        <v>7809305.72320069</v>
      </c>
      <c r="M8" s="93">
        <v>238605858.01642036</v>
      </c>
      <c r="N8" s="93">
        <v>12643159.830638601</v>
      </c>
      <c r="O8" s="93">
        <v>139163264.56060171</v>
      </c>
      <c r="P8" s="93">
        <v>14994628.9150798</v>
      </c>
      <c r="Q8" s="93">
        <v>296174.39931032696</v>
      </c>
      <c r="R8" s="93">
        <v>73707072.323089898</v>
      </c>
      <c r="S8" s="93">
        <v>40702299.566143006</v>
      </c>
      <c r="T8" s="93">
        <v>0</v>
      </c>
      <c r="U8" s="93">
        <v>14912253.1083757</v>
      </c>
      <c r="V8" s="93">
        <v>1665891.3208457099</v>
      </c>
      <c r="W8" s="93">
        <v>5743500.3832223201</v>
      </c>
      <c r="X8" s="93">
        <v>37477645.3857731</v>
      </c>
      <c r="Y8" s="93">
        <v>8836603.0415333007</v>
      </c>
      <c r="Z8" s="93">
        <v>1031144.3761902599</v>
      </c>
      <c r="AA8" s="93">
        <v>110190.418926181</v>
      </c>
      <c r="AB8" s="93">
        <v>4414.6576666666597</v>
      </c>
      <c r="AC8" s="93">
        <v>281535.50104048202</v>
      </c>
      <c r="AD8" s="93">
        <v>1026785.31151821</v>
      </c>
      <c r="AE8" s="93">
        <v>2958319.33400374</v>
      </c>
      <c r="AF8" s="93">
        <v>495673.46594475</v>
      </c>
      <c r="AG8" s="93">
        <v>175884.82296912</v>
      </c>
      <c r="AH8" s="93">
        <v>142410.655380854</v>
      </c>
      <c r="AI8" s="93">
        <v>341484.28502584499</v>
      </c>
      <c r="AJ8" s="93">
        <v>175873.251738886</v>
      </c>
      <c r="AK8" s="93">
        <v>7009.7274291333997</v>
      </c>
      <c r="AL8" s="93">
        <v>2114528764.7376266</v>
      </c>
      <c r="AM8" s="93">
        <v>5697625.5414347295</v>
      </c>
      <c r="AN8" s="93">
        <v>137759413.152055</v>
      </c>
      <c r="AO8" s="93">
        <v>26363693.724510599</v>
      </c>
      <c r="AP8" s="93">
        <v>2284349497.1556268</v>
      </c>
      <c r="AQ8" s="93">
        <v>26645815.232999999</v>
      </c>
      <c r="AR8" s="14"/>
      <c r="AS8" s="61"/>
    </row>
    <row r="9" spans="1:45" x14ac:dyDescent="0.2">
      <c r="A9" s="94"/>
      <c r="B9" s="92">
        <v>2</v>
      </c>
      <c r="C9" s="93">
        <v>589.99999999999795</v>
      </c>
      <c r="D9" s="93">
        <v>563351.8966776341</v>
      </c>
      <c r="E9" s="93">
        <v>1057608977.9159799</v>
      </c>
      <c r="F9" s="93">
        <v>233365.535</v>
      </c>
      <c r="G9" s="93">
        <v>25849612.583047301</v>
      </c>
      <c r="H9" s="93">
        <v>2246213.3721839702</v>
      </c>
      <c r="I9" s="93">
        <v>12376435.177844699</v>
      </c>
      <c r="J9" s="93">
        <v>1466518.6946304301</v>
      </c>
      <c r="K9" s="93">
        <v>210946038.45547074</v>
      </c>
      <c r="L9" s="93">
        <v>7327017.9328255095</v>
      </c>
      <c r="M9" s="93">
        <v>223546072.81592259</v>
      </c>
      <c r="N9" s="93">
        <v>12677694.418908801</v>
      </c>
      <c r="O9" s="93">
        <v>131815311.54591902</v>
      </c>
      <c r="P9" s="93">
        <v>15228962.782524001</v>
      </c>
      <c r="Q9" s="93">
        <v>281552.61533801001</v>
      </c>
      <c r="R9" s="93">
        <v>70052274.216486305</v>
      </c>
      <c r="S9" s="93">
        <v>40057548.094161995</v>
      </c>
      <c r="T9" s="93">
        <v>0</v>
      </c>
      <c r="U9" s="93">
        <v>14292758.158922002</v>
      </c>
      <c r="V9" s="93">
        <v>1573650.17495946</v>
      </c>
      <c r="W9" s="93">
        <v>5615582.1954502696</v>
      </c>
      <c r="X9" s="93">
        <v>33996090.921648696</v>
      </c>
      <c r="Y9" s="93">
        <v>8248323.1831336198</v>
      </c>
      <c r="Z9" s="93">
        <v>774450.37054681103</v>
      </c>
      <c r="AA9" s="93">
        <v>107716.87058862101</v>
      </c>
      <c r="AB9" s="93">
        <v>4414.6576666666597</v>
      </c>
      <c r="AC9" s="93">
        <v>237270.25680660599</v>
      </c>
      <c r="AD9" s="93">
        <v>859069.83980116504</v>
      </c>
      <c r="AE9" s="93">
        <v>2467359.69648202</v>
      </c>
      <c r="AF9" s="93">
        <v>413412.00675331801</v>
      </c>
      <c r="AG9" s="93">
        <v>176893.648260313</v>
      </c>
      <c r="AH9" s="93">
        <v>148737.43418252899</v>
      </c>
      <c r="AI9" s="93">
        <v>182676.65692077301</v>
      </c>
      <c r="AJ9" s="93">
        <v>174567.62818458999</v>
      </c>
      <c r="AK9" s="93">
        <v>6778.2306747869297</v>
      </c>
      <c r="AL9" s="93">
        <v>1881557289.9839029</v>
      </c>
      <c r="AM9" s="93">
        <v>5071180.0543486802</v>
      </c>
      <c r="AN9" s="93">
        <v>122592334.507975</v>
      </c>
      <c r="AO9" s="93">
        <v>22807057.313676801</v>
      </c>
      <c r="AP9" s="93">
        <v>2032027861.8599036</v>
      </c>
      <c r="AQ9" s="93">
        <v>23421842.578000002</v>
      </c>
      <c r="AR9" s="14"/>
      <c r="AS9" s="61"/>
    </row>
    <row r="10" spans="1:45" x14ac:dyDescent="0.2">
      <c r="A10" s="94"/>
      <c r="B10" s="92">
        <v>3</v>
      </c>
      <c r="C10" s="93">
        <v>589.99999999999795</v>
      </c>
      <c r="D10" s="93">
        <v>713246.47284271894</v>
      </c>
      <c r="E10" s="93">
        <v>1051469810.0270702</v>
      </c>
      <c r="F10" s="93">
        <v>213526.34</v>
      </c>
      <c r="G10" s="93">
        <v>26539446.2658455</v>
      </c>
      <c r="H10" s="93">
        <v>2476151.0115753398</v>
      </c>
      <c r="I10" s="93">
        <v>13134476.824901599</v>
      </c>
      <c r="J10" s="93">
        <v>1571932.65725724</v>
      </c>
      <c r="K10" s="93">
        <v>226374514.60268098</v>
      </c>
      <c r="L10" s="93">
        <v>8488071.3361407109</v>
      </c>
      <c r="M10" s="93">
        <v>239940786.9660387</v>
      </c>
      <c r="N10" s="93">
        <v>14354808.527404401</v>
      </c>
      <c r="O10" s="93">
        <v>138791704.77696228</v>
      </c>
      <c r="P10" s="93">
        <v>17312985.9532151</v>
      </c>
      <c r="Q10" s="93">
        <v>306199.09056296502</v>
      </c>
      <c r="R10" s="93">
        <v>75656229.357290298</v>
      </c>
      <c r="S10" s="93">
        <v>45273296.864469305</v>
      </c>
      <c r="T10" s="93">
        <v>0</v>
      </c>
      <c r="U10" s="93">
        <v>15316459.196919601</v>
      </c>
      <c r="V10" s="93">
        <v>1623053.14736792</v>
      </c>
      <c r="W10" s="93">
        <v>6358117.9854570096</v>
      </c>
      <c r="X10" s="93">
        <v>36824874.562698103</v>
      </c>
      <c r="Y10" s="93">
        <v>8079935.6270586103</v>
      </c>
      <c r="Z10" s="93">
        <v>745235.32773482706</v>
      </c>
      <c r="AA10" s="93">
        <v>103698.75067091201</v>
      </c>
      <c r="AB10" s="93">
        <v>4414.6576666666597</v>
      </c>
      <c r="AC10" s="93">
        <v>255123.54914789199</v>
      </c>
      <c r="AD10" s="93">
        <v>914238.72827574704</v>
      </c>
      <c r="AE10" s="93">
        <v>2625811.8800127502</v>
      </c>
      <c r="AF10" s="93">
        <v>439961.04833055002</v>
      </c>
      <c r="AG10" s="93">
        <v>176142.173036308</v>
      </c>
      <c r="AH10" s="93">
        <v>143292.05613411198</v>
      </c>
      <c r="AI10" s="93">
        <v>206670.77353742</v>
      </c>
      <c r="AJ10" s="93">
        <v>176531.25794217401</v>
      </c>
      <c r="AK10" s="93">
        <v>7054.5508786228702</v>
      </c>
      <c r="AL10" s="93">
        <v>1936618392.3471262</v>
      </c>
      <c r="AM10" s="93">
        <v>5388739.3331968198</v>
      </c>
      <c r="AN10" s="93">
        <v>132004692.358606</v>
      </c>
      <c r="AO10" s="93">
        <v>24606694.322740298</v>
      </c>
      <c r="AP10" s="93">
        <v>2098618518.3616695</v>
      </c>
      <c r="AQ10" s="93">
        <v>24943829.895999998</v>
      </c>
      <c r="AR10" s="14"/>
      <c r="AS10" s="61"/>
    </row>
    <row r="11" spans="1:45" x14ac:dyDescent="0.2">
      <c r="A11" s="94"/>
      <c r="B11" s="92">
        <v>4</v>
      </c>
      <c r="C11" s="93">
        <v>589.99999999999795</v>
      </c>
      <c r="D11" s="93">
        <v>656943.41295584105</v>
      </c>
      <c r="E11" s="93">
        <v>908664822.91687799</v>
      </c>
      <c r="F11" s="93">
        <v>180149.25</v>
      </c>
      <c r="G11" s="93">
        <v>22590575.923502401</v>
      </c>
      <c r="H11" s="93">
        <v>2187593.2449459601</v>
      </c>
      <c r="I11" s="93">
        <v>11217736.7762124</v>
      </c>
      <c r="J11" s="93">
        <v>1371345.0028506198</v>
      </c>
      <c r="K11" s="93">
        <v>197947201.274602</v>
      </c>
      <c r="L11" s="93">
        <v>6972592.9121889202</v>
      </c>
      <c r="M11" s="93">
        <v>216616863.51228803</v>
      </c>
      <c r="N11" s="93">
        <v>12512164.9500762</v>
      </c>
      <c r="O11" s="93">
        <v>131921457.44438006</v>
      </c>
      <c r="P11" s="93">
        <v>16030910.5184479</v>
      </c>
      <c r="Q11" s="93">
        <v>328805.47518221405</v>
      </c>
      <c r="R11" s="93">
        <v>72158290.673677504</v>
      </c>
      <c r="S11" s="93">
        <v>40877358.341230102</v>
      </c>
      <c r="T11" s="93">
        <v>0</v>
      </c>
      <c r="U11" s="93">
        <v>11757227.23356</v>
      </c>
      <c r="V11" s="93">
        <v>1656515.4808095999</v>
      </c>
      <c r="W11" s="93">
        <v>5973250.8915920695</v>
      </c>
      <c r="X11" s="93">
        <v>35322282.504987501</v>
      </c>
      <c r="Y11" s="93">
        <v>8932599.3507242687</v>
      </c>
      <c r="Z11" s="93">
        <v>647306.870972228</v>
      </c>
      <c r="AA11" s="93">
        <v>87227.212893670498</v>
      </c>
      <c r="AB11" s="93">
        <v>4414.6576666666597</v>
      </c>
      <c r="AC11" s="93">
        <v>270289.83926885598</v>
      </c>
      <c r="AD11" s="93">
        <v>958756.55170598999</v>
      </c>
      <c r="AE11" s="93">
        <v>2753672.8270718497</v>
      </c>
      <c r="AF11" s="93">
        <v>461384.45521542599</v>
      </c>
      <c r="AG11" s="93">
        <v>179622.88159845301</v>
      </c>
      <c r="AH11" s="93">
        <v>151408.86464513899</v>
      </c>
      <c r="AI11" s="93">
        <v>193854.52962117901</v>
      </c>
      <c r="AJ11" s="93">
        <v>177348.895016589</v>
      </c>
      <c r="AK11" s="93">
        <v>6932.3934050272101</v>
      </c>
      <c r="AL11" s="93">
        <v>1711769497.0701733</v>
      </c>
      <c r="AM11" s="93">
        <v>5084113.6330665108</v>
      </c>
      <c r="AN11" s="93">
        <v>122346229.387835</v>
      </c>
      <c r="AO11" s="93">
        <v>22461336.832989097</v>
      </c>
      <c r="AP11" s="93">
        <v>1861661176.9240637</v>
      </c>
      <c r="AQ11" s="93">
        <v>23819517.236000001</v>
      </c>
      <c r="AR11" s="14"/>
    </row>
    <row r="12" spans="1:45" x14ac:dyDescent="0.2">
      <c r="A12" s="94"/>
      <c r="B12" s="92">
        <v>5</v>
      </c>
      <c r="C12" s="93">
        <v>589.99999999999795</v>
      </c>
      <c r="D12" s="93">
        <v>453745.342042048</v>
      </c>
      <c r="E12" s="93">
        <v>757191217.76400399</v>
      </c>
      <c r="F12" s="93">
        <v>165744.375</v>
      </c>
      <c r="G12" s="93">
        <v>19565438.9751615</v>
      </c>
      <c r="H12" s="93">
        <v>1930744.64081693</v>
      </c>
      <c r="I12" s="93">
        <v>10229924.2554047</v>
      </c>
      <c r="J12" s="93">
        <v>1225151.0684114401</v>
      </c>
      <c r="K12" s="93">
        <v>189403188.58174917</v>
      </c>
      <c r="L12" s="93">
        <v>6775219.7839183304</v>
      </c>
      <c r="M12" s="93">
        <v>213189376.40076461</v>
      </c>
      <c r="N12" s="93">
        <v>12618192.0586622</v>
      </c>
      <c r="O12" s="93">
        <v>136865851.34382427</v>
      </c>
      <c r="P12" s="93">
        <v>16911006.724389803</v>
      </c>
      <c r="Q12" s="93">
        <v>749758.87717014307</v>
      </c>
      <c r="R12" s="93">
        <v>73130332.094532102</v>
      </c>
      <c r="S12" s="93">
        <v>42941294.693591297</v>
      </c>
      <c r="T12" s="93">
        <v>303413.31071008998</v>
      </c>
      <c r="U12" s="93">
        <v>9755253.9106863495</v>
      </c>
      <c r="V12" s="93">
        <v>1661218.4553394599</v>
      </c>
      <c r="W12" s="93">
        <v>6698608.93353887</v>
      </c>
      <c r="X12" s="93">
        <v>35803297.517822698</v>
      </c>
      <c r="Y12" s="93">
        <v>8961780.3936379291</v>
      </c>
      <c r="Z12" s="93">
        <v>563281.33774756198</v>
      </c>
      <c r="AA12" s="93">
        <v>67729.112893822705</v>
      </c>
      <c r="AB12" s="93">
        <v>4414.6576666666597</v>
      </c>
      <c r="AC12" s="93">
        <v>277115.46839902096</v>
      </c>
      <c r="AD12" s="93">
        <v>973091.52977183391</v>
      </c>
      <c r="AE12" s="93">
        <v>2794844.7382377698</v>
      </c>
      <c r="AF12" s="93">
        <v>468282.90720896597</v>
      </c>
      <c r="AG12" s="93">
        <v>174516.84109720303</v>
      </c>
      <c r="AH12" s="93">
        <v>142318.08331236901</v>
      </c>
      <c r="AI12" s="93">
        <v>387241.800342909</v>
      </c>
      <c r="AJ12" s="93">
        <v>174883.92849483099</v>
      </c>
      <c r="AK12" s="93">
        <v>6977.0112039926507</v>
      </c>
      <c r="AL12" s="93">
        <v>1552565046.9175549</v>
      </c>
      <c r="AM12" s="93">
        <v>5606209.0855913805</v>
      </c>
      <c r="AN12" s="93">
        <v>125180723.93655699</v>
      </c>
      <c r="AO12" s="93">
        <v>24346770.437794197</v>
      </c>
      <c r="AP12" s="93">
        <v>1707698750.3774974</v>
      </c>
      <c r="AQ12" s="93">
        <v>23775373.113000002</v>
      </c>
      <c r="AR12" s="14"/>
    </row>
    <row r="13" spans="1:45" x14ac:dyDescent="0.2">
      <c r="A13" s="94"/>
      <c r="B13" s="92">
        <v>6</v>
      </c>
      <c r="C13" s="93">
        <v>589.99999999999795</v>
      </c>
      <c r="D13" s="93">
        <v>316191.35604183102</v>
      </c>
      <c r="E13" s="93">
        <v>721696398.09395695</v>
      </c>
      <c r="F13" s="93">
        <v>183269.5</v>
      </c>
      <c r="G13" s="93">
        <v>18362213.9415312</v>
      </c>
      <c r="H13" s="93">
        <v>1739820.99422476</v>
      </c>
      <c r="I13" s="93">
        <v>9602265.3454274498</v>
      </c>
      <c r="J13" s="93">
        <v>1098939.6649414201</v>
      </c>
      <c r="K13" s="93">
        <v>185799540.57507527</v>
      </c>
      <c r="L13" s="93">
        <v>6489788.4310320793</v>
      </c>
      <c r="M13" s="93">
        <v>213989535.35029462</v>
      </c>
      <c r="N13" s="93">
        <v>12575709.1773942</v>
      </c>
      <c r="O13" s="93">
        <v>139215981.0542897</v>
      </c>
      <c r="P13" s="93">
        <v>17229147.837166402</v>
      </c>
      <c r="Q13" s="93">
        <v>1498824.0689745701</v>
      </c>
      <c r="R13" s="93">
        <v>72668315.429375097</v>
      </c>
      <c r="S13" s="93">
        <v>43585648.252616405</v>
      </c>
      <c r="T13" s="93">
        <v>651388.70427946304</v>
      </c>
      <c r="U13" s="93">
        <v>8222085.0154746091</v>
      </c>
      <c r="V13" s="93">
        <v>1812664.7680647899</v>
      </c>
      <c r="W13" s="93">
        <v>7360954.3233088097</v>
      </c>
      <c r="X13" s="93">
        <v>34952092.003897697</v>
      </c>
      <c r="Y13" s="93">
        <v>8479419.1271246392</v>
      </c>
      <c r="Z13" s="93">
        <v>480564.676238699</v>
      </c>
      <c r="AA13" s="93">
        <v>63429.272893754896</v>
      </c>
      <c r="AB13" s="93">
        <v>4414.6576666666597</v>
      </c>
      <c r="AC13" s="93">
        <v>265680.17519129702</v>
      </c>
      <c r="AD13" s="93">
        <v>923655.92019121698</v>
      </c>
      <c r="AE13" s="93">
        <v>2652859.2732626898</v>
      </c>
      <c r="AF13" s="93">
        <v>444492.90363192605</v>
      </c>
      <c r="AG13" s="93">
        <v>166947.482775126</v>
      </c>
      <c r="AH13" s="93">
        <v>140879.92774350999</v>
      </c>
      <c r="AI13" s="93">
        <v>214173.011846104</v>
      </c>
      <c r="AJ13" s="93">
        <v>164335.14179346399</v>
      </c>
      <c r="AK13" s="93">
        <v>6426.1242582339701</v>
      </c>
      <c r="AL13" s="93">
        <v>1513058641.5819845</v>
      </c>
      <c r="AM13" s="93">
        <v>5265028.1725273598</v>
      </c>
      <c r="AN13" s="93">
        <v>137885013.77633601</v>
      </c>
      <c r="AO13" s="93">
        <v>26380775.3105556</v>
      </c>
      <c r="AP13" s="93">
        <v>1682589458.8414035</v>
      </c>
      <c r="AQ13" s="93">
        <v>23957451.417000003</v>
      </c>
      <c r="AR13" s="14"/>
    </row>
    <row r="14" spans="1:45" x14ac:dyDescent="0.2">
      <c r="A14" s="94"/>
      <c r="B14" s="92">
        <v>7</v>
      </c>
      <c r="C14" s="93">
        <v>589.99999999999795</v>
      </c>
      <c r="D14" s="93">
        <v>275197.79103856999</v>
      </c>
      <c r="E14" s="93">
        <v>798904951.02388203</v>
      </c>
      <c r="F14" s="93">
        <v>214898.875</v>
      </c>
      <c r="G14" s="93">
        <v>18654252.715044599</v>
      </c>
      <c r="H14" s="93">
        <v>1840700.9375428499</v>
      </c>
      <c r="I14" s="93">
        <v>10258874.619038301</v>
      </c>
      <c r="J14" s="93">
        <v>1425510.6191247001</v>
      </c>
      <c r="K14" s="93">
        <v>199934647.79025263</v>
      </c>
      <c r="L14" s="93">
        <v>6166278.1126185497</v>
      </c>
      <c r="M14" s="93">
        <v>228966214.52481517</v>
      </c>
      <c r="N14" s="93">
        <v>11973758.545846099</v>
      </c>
      <c r="O14" s="93">
        <v>153335820.37333423</v>
      </c>
      <c r="P14" s="93">
        <v>16446560.756704701</v>
      </c>
      <c r="Q14" s="93">
        <v>2732259.6120546199</v>
      </c>
      <c r="R14" s="93">
        <v>77373046.258655995</v>
      </c>
      <c r="S14" s="93">
        <v>41854319.298057899</v>
      </c>
      <c r="T14" s="93">
        <v>680827.92413860792</v>
      </c>
      <c r="U14" s="93">
        <v>6414380.8076003799</v>
      </c>
      <c r="V14" s="93">
        <v>2139442.0753497104</v>
      </c>
      <c r="W14" s="93">
        <v>8001020.5980756599</v>
      </c>
      <c r="X14" s="93">
        <v>36280944.901534505</v>
      </c>
      <c r="Y14" s="93">
        <v>9229246.6473782007</v>
      </c>
      <c r="Z14" s="93">
        <v>535251.10777351307</v>
      </c>
      <c r="AA14" s="93">
        <v>63472.684004793104</v>
      </c>
      <c r="AB14" s="93">
        <v>4414.6576666666597</v>
      </c>
      <c r="AC14" s="93">
        <v>324412.13138295501</v>
      </c>
      <c r="AD14" s="93">
        <v>1116732.81827599</v>
      </c>
      <c r="AE14" s="93">
        <v>3207401.0981350397</v>
      </c>
      <c r="AF14" s="93">
        <v>537407.71008515405</v>
      </c>
      <c r="AG14" s="93">
        <v>175584.24496549901</v>
      </c>
      <c r="AH14" s="93">
        <v>143502.13366683101</v>
      </c>
      <c r="AI14" s="93">
        <v>224014.69597048001</v>
      </c>
      <c r="AJ14" s="93">
        <v>175857.29005364998</v>
      </c>
      <c r="AK14" s="93">
        <v>7067.1360055552996</v>
      </c>
      <c r="AL14" s="93">
        <v>1639618862.515074</v>
      </c>
      <c r="AM14" s="93">
        <v>5369402.4264000896</v>
      </c>
      <c r="AN14" s="93">
        <v>144132432.180509</v>
      </c>
      <c r="AO14" s="93">
        <v>27238283.712629501</v>
      </c>
      <c r="AP14" s="93">
        <v>1816358980.8346128</v>
      </c>
      <c r="AQ14" s="93">
        <v>26489769.160999998</v>
      </c>
      <c r="AR14" s="14"/>
    </row>
    <row r="15" spans="1:45" x14ac:dyDescent="0.2">
      <c r="A15" s="94"/>
      <c r="B15" s="92">
        <v>8</v>
      </c>
      <c r="C15" s="93">
        <v>589.99999999999795</v>
      </c>
      <c r="D15" s="93">
        <v>266824.141981186</v>
      </c>
      <c r="E15" s="93">
        <v>804454489.60931396</v>
      </c>
      <c r="F15" s="93">
        <v>236361</v>
      </c>
      <c r="G15" s="93">
        <v>18515819.072619699</v>
      </c>
      <c r="H15" s="93">
        <v>1740220.09492414</v>
      </c>
      <c r="I15" s="93">
        <v>10135139.410012299</v>
      </c>
      <c r="J15" s="93">
        <v>2138960.7997342702</v>
      </c>
      <c r="K15" s="93">
        <v>200053977.90249625</v>
      </c>
      <c r="L15" s="93">
        <v>6717218.3554034196</v>
      </c>
      <c r="M15" s="93">
        <v>229315431.96608537</v>
      </c>
      <c r="N15" s="93">
        <v>13219558.5866496</v>
      </c>
      <c r="O15" s="93">
        <v>155837008.74575475</v>
      </c>
      <c r="P15" s="93">
        <v>18173464.929486599</v>
      </c>
      <c r="Q15" s="93">
        <v>4065476.2359716301</v>
      </c>
      <c r="R15" s="93">
        <v>76655904.065023705</v>
      </c>
      <c r="S15" s="93">
        <v>45412476.606486507</v>
      </c>
      <c r="T15" s="93">
        <v>961592.569099118</v>
      </c>
      <c r="U15" s="93">
        <v>5306053.5468998998</v>
      </c>
      <c r="V15" s="93">
        <v>2130391.7373395404</v>
      </c>
      <c r="W15" s="93">
        <v>7413057.2073120903</v>
      </c>
      <c r="X15" s="93">
        <v>36343566.889940903</v>
      </c>
      <c r="Y15" s="93">
        <v>9307884.2317324709</v>
      </c>
      <c r="Z15" s="93">
        <v>513554.46984143899</v>
      </c>
      <c r="AA15" s="93">
        <v>66369.617323953091</v>
      </c>
      <c r="AB15" s="93">
        <v>4414.6576666666597</v>
      </c>
      <c r="AC15" s="93">
        <v>300703.69394773501</v>
      </c>
      <c r="AD15" s="93">
        <v>1025024.42861538</v>
      </c>
      <c r="AE15" s="93">
        <v>2944002.7409884003</v>
      </c>
      <c r="AF15" s="93">
        <v>493274.68661120295</v>
      </c>
      <c r="AG15" s="93">
        <v>170842.68307012701</v>
      </c>
      <c r="AH15" s="93">
        <v>143475.45878101399</v>
      </c>
      <c r="AI15" s="93">
        <v>207522.51861285602</v>
      </c>
      <c r="AJ15" s="93">
        <v>168030.10369354099</v>
      </c>
      <c r="AK15" s="93">
        <v>6607.9874943494397</v>
      </c>
      <c r="AL15" s="93">
        <v>1654445290.7509141</v>
      </c>
      <c r="AM15" s="93">
        <v>5390473.9787382297</v>
      </c>
      <c r="AN15" s="93">
        <v>143434554.101513</v>
      </c>
      <c r="AO15" s="93">
        <v>28301388.411624599</v>
      </c>
      <c r="AP15" s="93">
        <v>1831571707.24279</v>
      </c>
      <c r="AQ15" s="93">
        <v>27146373.211999997</v>
      </c>
      <c r="AR15" s="14"/>
    </row>
    <row r="16" spans="1:45" x14ac:dyDescent="0.2">
      <c r="A16" s="94"/>
      <c r="B16" s="92">
        <v>9</v>
      </c>
      <c r="C16" s="93">
        <v>589.99999999999795</v>
      </c>
      <c r="D16" s="93">
        <v>303455.82264052099</v>
      </c>
      <c r="E16" s="93">
        <v>736809003.36971402</v>
      </c>
      <c r="F16" s="93">
        <v>198473.625</v>
      </c>
      <c r="G16" s="93">
        <v>16754962.1927948</v>
      </c>
      <c r="H16" s="93">
        <v>1579167.65324026</v>
      </c>
      <c r="I16" s="93">
        <v>9115549.4936294705</v>
      </c>
      <c r="J16" s="93">
        <v>1391039.1742724602</v>
      </c>
      <c r="K16" s="93">
        <v>180364086.48515782</v>
      </c>
      <c r="L16" s="93">
        <v>6200883.2516812896</v>
      </c>
      <c r="M16" s="93">
        <v>207564496.04435828</v>
      </c>
      <c r="N16" s="93">
        <v>12139560.4959794</v>
      </c>
      <c r="O16" s="93">
        <v>135528107.2425991</v>
      </c>
      <c r="P16" s="93">
        <v>16122099.325843999</v>
      </c>
      <c r="Q16" s="93">
        <v>2908965.43200851</v>
      </c>
      <c r="R16" s="93">
        <v>68309899.629993603</v>
      </c>
      <c r="S16" s="93">
        <v>41692309.681951001</v>
      </c>
      <c r="T16" s="93">
        <v>768071.80331637594</v>
      </c>
      <c r="U16" s="93">
        <v>5857837.7568670399</v>
      </c>
      <c r="V16" s="93">
        <v>1842640.6470208899</v>
      </c>
      <c r="W16" s="93">
        <v>6311600.0385459606</v>
      </c>
      <c r="X16" s="93">
        <v>35615760.647003196</v>
      </c>
      <c r="Y16" s="93">
        <v>8121573.0012063105</v>
      </c>
      <c r="Z16" s="93">
        <v>617127.21844573691</v>
      </c>
      <c r="AA16" s="93">
        <v>67440.283997858001</v>
      </c>
      <c r="AB16" s="93">
        <v>4414.6576666666597</v>
      </c>
      <c r="AC16" s="93">
        <v>307211.19924169499</v>
      </c>
      <c r="AD16" s="93">
        <v>1037091.49715146</v>
      </c>
      <c r="AE16" s="93">
        <v>2978660.9226416098</v>
      </c>
      <c r="AF16" s="93">
        <v>499081.74767656199</v>
      </c>
      <c r="AG16" s="93">
        <v>171052.05903961998</v>
      </c>
      <c r="AH16" s="93">
        <v>139371.066309063</v>
      </c>
      <c r="AI16" s="93">
        <v>261256.78160813497</v>
      </c>
      <c r="AJ16" s="93">
        <v>171392.71377139702</v>
      </c>
      <c r="AK16" s="93">
        <v>6930.7582406155498</v>
      </c>
      <c r="AL16" s="93">
        <v>1501761163.7206142</v>
      </c>
      <c r="AM16" s="93">
        <v>4818825.13771779</v>
      </c>
      <c r="AN16" s="93">
        <v>135023900.66299102</v>
      </c>
      <c r="AO16" s="93">
        <v>26166092.633272201</v>
      </c>
      <c r="AP16" s="93">
        <v>1667769982.1545951</v>
      </c>
      <c r="AQ16" s="93">
        <v>24716404.288999997</v>
      </c>
      <c r="AR16" s="14"/>
    </row>
    <row r="17" spans="1:44" x14ac:dyDescent="0.2">
      <c r="A17" s="94"/>
      <c r="B17" s="92">
        <v>10</v>
      </c>
      <c r="C17" s="93">
        <v>589.99999999999795</v>
      </c>
      <c r="D17" s="93">
        <v>478271.99885301699</v>
      </c>
      <c r="E17" s="93">
        <v>867518030.40715706</v>
      </c>
      <c r="F17" s="93">
        <v>173928</v>
      </c>
      <c r="G17" s="93">
        <v>18566108.1225692</v>
      </c>
      <c r="H17" s="93">
        <v>1686777.0923750401</v>
      </c>
      <c r="I17" s="93">
        <v>10023494.608096</v>
      </c>
      <c r="J17" s="93">
        <v>1183460.0809520101</v>
      </c>
      <c r="K17" s="93">
        <v>187981541.13079706</v>
      </c>
      <c r="L17" s="93">
        <v>6036210.89665116</v>
      </c>
      <c r="M17" s="93">
        <v>218959338.91443035</v>
      </c>
      <c r="N17" s="93">
        <v>11980474.493404001</v>
      </c>
      <c r="O17" s="93">
        <v>141133997.41740409</v>
      </c>
      <c r="P17" s="93">
        <v>16176318.423478801</v>
      </c>
      <c r="Q17" s="93">
        <v>1304335.2286823299</v>
      </c>
      <c r="R17" s="93">
        <v>72512305.720277905</v>
      </c>
      <c r="S17" s="93">
        <v>41821146.708410196</v>
      </c>
      <c r="T17" s="93">
        <v>776622.34677468601</v>
      </c>
      <c r="U17" s="93">
        <v>8443600.0467555895</v>
      </c>
      <c r="V17" s="93">
        <v>1495149.9074860602</v>
      </c>
      <c r="W17" s="93">
        <v>6089253.5935778292</v>
      </c>
      <c r="X17" s="93">
        <v>36126638.345194399</v>
      </c>
      <c r="Y17" s="93">
        <v>8512271.8611972202</v>
      </c>
      <c r="Z17" s="93">
        <v>788433.63075596909</v>
      </c>
      <c r="AA17" s="93">
        <v>71363.639537717099</v>
      </c>
      <c r="AB17" s="93">
        <v>4414.6576666666597</v>
      </c>
      <c r="AC17" s="93">
        <v>348631.844184888</v>
      </c>
      <c r="AD17" s="93">
        <v>1165660.77900666</v>
      </c>
      <c r="AE17" s="93">
        <v>3347928.5299511296</v>
      </c>
      <c r="AF17" s="93">
        <v>560953.41672606801</v>
      </c>
      <c r="AG17" s="93">
        <v>178415.257420749</v>
      </c>
      <c r="AH17" s="93">
        <v>150284.78470434499</v>
      </c>
      <c r="AI17" s="93">
        <v>470927.78701069998</v>
      </c>
      <c r="AJ17" s="93">
        <v>175810.17030969702</v>
      </c>
      <c r="AK17" s="93">
        <v>6907.6302323764494</v>
      </c>
      <c r="AL17" s="93">
        <v>1666249597.4720311</v>
      </c>
      <c r="AM17" s="93">
        <v>4632547.1605164399</v>
      </c>
      <c r="AN17" s="93">
        <v>135212902.273498</v>
      </c>
      <c r="AO17" s="93">
        <v>26580174.0093465</v>
      </c>
      <c r="AP17" s="93">
        <v>1832675220.9153922</v>
      </c>
      <c r="AQ17" s="93">
        <v>24706922.309999999</v>
      </c>
      <c r="AR17" s="14"/>
    </row>
    <row r="18" spans="1:44" x14ac:dyDescent="0.2">
      <c r="A18" s="94"/>
      <c r="B18" s="92">
        <v>11</v>
      </c>
      <c r="C18" s="93">
        <v>589.99999999999795</v>
      </c>
      <c r="D18" s="93">
        <v>659269.24182298209</v>
      </c>
      <c r="E18" s="93">
        <v>1041166324.80314</v>
      </c>
      <c r="F18" s="93">
        <v>196629.25</v>
      </c>
      <c r="G18" s="93">
        <v>20860062.5425064</v>
      </c>
      <c r="H18" s="93">
        <v>1846462.0251818702</v>
      </c>
      <c r="I18" s="93">
        <v>11217472.865198901</v>
      </c>
      <c r="J18" s="93">
        <v>1263976.1997577299</v>
      </c>
      <c r="K18" s="93">
        <v>196046689.71377233</v>
      </c>
      <c r="L18" s="93">
        <v>6348753.0046168501</v>
      </c>
      <c r="M18" s="93">
        <v>219249569.75122797</v>
      </c>
      <c r="N18" s="93">
        <v>11723665.7342117</v>
      </c>
      <c r="O18" s="93">
        <v>141334357.70957687</v>
      </c>
      <c r="P18" s="93">
        <v>15047811.489871299</v>
      </c>
      <c r="Q18" s="93">
        <v>371452.91631802003</v>
      </c>
      <c r="R18" s="93">
        <v>73167281.216016203</v>
      </c>
      <c r="S18" s="93">
        <v>39616399.313086897</v>
      </c>
      <c r="T18" s="93">
        <v>304713.71278100001</v>
      </c>
      <c r="U18" s="93">
        <v>10886017.8272804</v>
      </c>
      <c r="V18" s="93">
        <v>1510244.9906027301</v>
      </c>
      <c r="W18" s="93">
        <v>5067116.1127085499</v>
      </c>
      <c r="X18" s="93">
        <v>35671902.207028598</v>
      </c>
      <c r="Y18" s="93">
        <v>8268489.6238106191</v>
      </c>
      <c r="Z18" s="93">
        <v>801839.70367950597</v>
      </c>
      <c r="AA18" s="93">
        <v>89630.050449432907</v>
      </c>
      <c r="AB18" s="93">
        <v>4414.6576666666597</v>
      </c>
      <c r="AC18" s="93">
        <v>307863.27126220299</v>
      </c>
      <c r="AD18" s="93">
        <v>1019595.3897286</v>
      </c>
      <c r="AE18" s="93">
        <v>2928409.8390853703</v>
      </c>
      <c r="AF18" s="93">
        <v>490662.05867696798</v>
      </c>
      <c r="AG18" s="93">
        <v>166827.258140669</v>
      </c>
      <c r="AH18" s="93">
        <v>135968.75708559802</v>
      </c>
      <c r="AI18" s="93">
        <v>235261.040398988</v>
      </c>
      <c r="AJ18" s="93">
        <v>167317.27486508299</v>
      </c>
      <c r="AK18" s="93">
        <v>6713.6567894797799</v>
      </c>
      <c r="AL18" s="93">
        <v>1848179755.2083461</v>
      </c>
      <c r="AM18" s="93">
        <v>4543039.3524747398</v>
      </c>
      <c r="AN18" s="93">
        <v>133598389.742828</v>
      </c>
      <c r="AO18" s="93">
        <v>25053034.379129898</v>
      </c>
      <c r="AP18" s="93">
        <v>2011374218.6827786</v>
      </c>
      <c r="AQ18" s="93">
        <v>26143386.014999997</v>
      </c>
      <c r="AR18" s="14"/>
    </row>
    <row r="19" spans="1:44" x14ac:dyDescent="0.2">
      <c r="A19" s="95"/>
      <c r="B19" s="96">
        <v>12</v>
      </c>
      <c r="C19" s="97">
        <v>589.99999999999795</v>
      </c>
      <c r="D19" s="97">
        <v>874904.36358921393</v>
      </c>
      <c r="E19" s="97">
        <v>1264875204.4405499</v>
      </c>
      <c r="F19" s="97">
        <v>242994.14285714302</v>
      </c>
      <c r="G19" s="97">
        <v>26865212.337403797</v>
      </c>
      <c r="H19" s="97">
        <v>2332558.74283766</v>
      </c>
      <c r="I19" s="97">
        <v>13205755.8671859</v>
      </c>
      <c r="J19" s="97">
        <v>1498910.6558940101</v>
      </c>
      <c r="K19" s="97">
        <v>226891228.54564685</v>
      </c>
      <c r="L19" s="97">
        <v>6608397.7475512</v>
      </c>
      <c r="M19" s="97">
        <v>246225186.78545767</v>
      </c>
      <c r="N19" s="97">
        <v>11516133.623682899</v>
      </c>
      <c r="O19" s="97">
        <v>149730683.21682566</v>
      </c>
      <c r="P19" s="97">
        <v>14029631.416329999</v>
      </c>
      <c r="Q19" s="97">
        <v>265815.494744892</v>
      </c>
      <c r="R19" s="97">
        <v>77578207.501966402</v>
      </c>
      <c r="S19" s="97">
        <v>37409466.097286597</v>
      </c>
      <c r="T19" s="97">
        <v>0</v>
      </c>
      <c r="U19" s="97">
        <v>14082056.989842201</v>
      </c>
      <c r="V19" s="97">
        <v>1679278.6233675098</v>
      </c>
      <c r="W19" s="97">
        <v>5441203.4557413999</v>
      </c>
      <c r="X19" s="97">
        <v>36704096.082566701</v>
      </c>
      <c r="Y19" s="97">
        <v>8748192.4385786802</v>
      </c>
      <c r="Z19" s="97">
        <v>1002423.9429419501</v>
      </c>
      <c r="AA19" s="97">
        <v>108908.459927082</v>
      </c>
      <c r="AB19" s="97">
        <v>4414.6576666666597</v>
      </c>
      <c r="AC19" s="97">
        <v>336276.14637464599</v>
      </c>
      <c r="AD19" s="97">
        <v>1103239.74600515</v>
      </c>
      <c r="AE19" s="97">
        <v>3168647.2493088599</v>
      </c>
      <c r="AF19" s="97">
        <v>530914.41020857496</v>
      </c>
      <c r="AG19" s="97">
        <v>171710.31484651699</v>
      </c>
      <c r="AH19" s="97">
        <v>144069.47767498801</v>
      </c>
      <c r="AI19" s="97">
        <v>240249.62879934401</v>
      </c>
      <c r="AJ19" s="97">
        <v>168803.11864394203</v>
      </c>
      <c r="AK19" s="97">
        <v>6659.3235988671204</v>
      </c>
      <c r="AL19" s="97">
        <v>2153792025.0459032</v>
      </c>
      <c r="AM19" s="97">
        <v>4946969.8740437599</v>
      </c>
      <c r="AN19" s="97">
        <v>136573465.93939802</v>
      </c>
      <c r="AO19" s="97">
        <v>25657466.181662902</v>
      </c>
      <c r="AP19" s="97">
        <v>2320969927.041008</v>
      </c>
      <c r="AQ19" s="97">
        <v>28874971.001999997</v>
      </c>
      <c r="AR19" s="14"/>
    </row>
    <row r="20" spans="1:44" x14ac:dyDescent="0.2">
      <c r="A20" s="92">
        <f>A8+1</f>
        <v>2024</v>
      </c>
      <c r="B20" s="92">
        <v>1</v>
      </c>
      <c r="C20" s="93">
        <v>589.99999999999795</v>
      </c>
      <c r="D20" s="93">
        <v>855565.87971811299</v>
      </c>
      <c r="E20" s="93">
        <v>1192691743.2576599</v>
      </c>
      <c r="F20" s="93">
        <v>259810</v>
      </c>
      <c r="G20" s="93">
        <v>27813780.3325046</v>
      </c>
      <c r="H20" s="93">
        <v>2530274.5451644901</v>
      </c>
      <c r="I20" s="93">
        <v>13479396.110401299</v>
      </c>
      <c r="J20" s="93">
        <v>1601832.4549668401</v>
      </c>
      <c r="K20" s="93">
        <v>229541221.56578368</v>
      </c>
      <c r="L20" s="93">
        <v>7655008.4437875701</v>
      </c>
      <c r="M20" s="93">
        <v>237440044.67140436</v>
      </c>
      <c r="N20" s="93">
        <v>12393354.632302301</v>
      </c>
      <c r="O20" s="93">
        <v>149106082.16658735</v>
      </c>
      <c r="P20" s="93">
        <v>14698363.0843629</v>
      </c>
      <c r="Q20" s="93">
        <v>292842.62111573998</v>
      </c>
      <c r="R20" s="93">
        <v>78560131.171277002</v>
      </c>
      <c r="S20" s="93">
        <v>39898098.231028698</v>
      </c>
      <c r="T20" s="93">
        <v>0</v>
      </c>
      <c r="U20" s="93">
        <v>14744499.515039001</v>
      </c>
      <c r="V20" s="93">
        <v>1657929.91103097</v>
      </c>
      <c r="W20" s="93">
        <v>5700654.6769037796</v>
      </c>
      <c r="X20" s="93">
        <v>37302025.238667399</v>
      </c>
      <c r="Y20" s="93">
        <v>8771915.997836709</v>
      </c>
      <c r="Z20" s="93">
        <v>997452.93988059903</v>
      </c>
      <c r="AA20" s="93">
        <v>110190.418926181</v>
      </c>
      <c r="AB20" s="93">
        <v>4414.6576666666597</v>
      </c>
      <c r="AC20" s="93">
        <v>327649.49862566905</v>
      </c>
      <c r="AD20" s="93">
        <v>1064940.81676492</v>
      </c>
      <c r="AE20" s="93">
        <v>3058647.77074767</v>
      </c>
      <c r="AF20" s="93">
        <v>512483.73500599305</v>
      </c>
      <c r="AG20" s="93">
        <v>172334.80350611199</v>
      </c>
      <c r="AH20" s="93">
        <v>136964.33891802499</v>
      </c>
      <c r="AI20" s="93">
        <v>353065.38247379899</v>
      </c>
      <c r="AJ20" s="93">
        <v>169043.05064750201</v>
      </c>
      <c r="AK20" s="93">
        <v>6868.2446770475199</v>
      </c>
      <c r="AL20" s="93">
        <v>2083909220.1653833</v>
      </c>
      <c r="AM20" s="93">
        <v>5679938.9346383195</v>
      </c>
      <c r="AN20" s="93">
        <v>137331779.472866</v>
      </c>
      <c r="AO20" s="93">
        <v>26281855.3725137</v>
      </c>
      <c r="AP20" s="93">
        <v>2253202793.9454012</v>
      </c>
      <c r="AQ20" s="93">
        <v>26645815.232999999</v>
      </c>
      <c r="AR20" s="14"/>
    </row>
    <row r="21" spans="1:44" x14ac:dyDescent="0.2">
      <c r="A21" s="94"/>
      <c r="B21" s="92">
        <v>2</v>
      </c>
      <c r="C21" s="93">
        <v>589.99999999999795</v>
      </c>
      <c r="D21" s="93">
        <v>885131.02685962501</v>
      </c>
      <c r="E21" s="93">
        <v>1075657420.9360201</v>
      </c>
      <c r="F21" s="93">
        <v>233365.535</v>
      </c>
      <c r="G21" s="93">
        <v>25058783.476412997</v>
      </c>
      <c r="H21" s="93">
        <v>2224874.4670955599</v>
      </c>
      <c r="I21" s="93">
        <v>11962045.125668699</v>
      </c>
      <c r="J21" s="93">
        <v>1452586.84664902</v>
      </c>
      <c r="K21" s="93">
        <v>205829197.09850881</v>
      </c>
      <c r="L21" s="93">
        <v>7206852.9477127902</v>
      </c>
      <c r="M21" s="93">
        <v>218228566.87651831</v>
      </c>
      <c r="N21" s="93">
        <v>12469776.958479701</v>
      </c>
      <c r="O21" s="93">
        <v>139152253.45427388</v>
      </c>
      <c r="P21" s="93">
        <v>14979203.862480201</v>
      </c>
      <c r="Q21" s="93">
        <v>272938.94646606996</v>
      </c>
      <c r="R21" s="93">
        <v>73539440.461367995</v>
      </c>
      <c r="S21" s="93">
        <v>39400593.967050798</v>
      </c>
      <c r="T21" s="93">
        <v>0</v>
      </c>
      <c r="U21" s="93">
        <v>13855493.223912001</v>
      </c>
      <c r="V21" s="93">
        <v>1626111.00776819</v>
      </c>
      <c r="W21" s="93">
        <v>5791233.8177327104</v>
      </c>
      <c r="X21" s="93">
        <v>35132278.661460899</v>
      </c>
      <c r="Y21" s="93">
        <v>8507334.01460867</v>
      </c>
      <c r="Z21" s="93">
        <v>793306.544258793</v>
      </c>
      <c r="AA21" s="93">
        <v>107716.87058862101</v>
      </c>
      <c r="AB21" s="93">
        <v>4414.6576666666597</v>
      </c>
      <c r="AC21" s="93">
        <v>292911.59281819302</v>
      </c>
      <c r="AD21" s="93">
        <v>943261.73618003307</v>
      </c>
      <c r="AE21" s="93">
        <v>2709169.7127010599</v>
      </c>
      <c r="AF21" s="93">
        <v>453927.85217330302</v>
      </c>
      <c r="AG21" s="93">
        <v>177936.46461262502</v>
      </c>
      <c r="AH21" s="93">
        <v>146989.31541398901</v>
      </c>
      <c r="AI21" s="93">
        <v>200579.618307325</v>
      </c>
      <c r="AJ21" s="93">
        <v>172248.69473933298</v>
      </c>
      <c r="AK21" s="93">
        <v>6818.1894288571102</v>
      </c>
      <c r="AL21" s="93">
        <v>1899475353.9609361</v>
      </c>
      <c r="AM21" s="93">
        <v>5324543.6320088999</v>
      </c>
      <c r="AN21" s="93">
        <v>128717226.965308</v>
      </c>
      <c r="AO21" s="93">
        <v>23946531.277323499</v>
      </c>
      <c r="AP21" s="93">
        <v>2057463655.8355763</v>
      </c>
      <c r="AQ21" s="93">
        <v>23421842.578000002</v>
      </c>
      <c r="AR21" s="14"/>
    </row>
    <row r="22" spans="1:44" x14ac:dyDescent="0.2">
      <c r="A22" s="94"/>
      <c r="B22" s="92">
        <v>3</v>
      </c>
      <c r="C22" s="93">
        <v>589.99999999999795</v>
      </c>
      <c r="D22" s="93">
        <v>836527.18470560608</v>
      </c>
      <c r="E22" s="93">
        <v>1040534573.62798</v>
      </c>
      <c r="F22" s="93">
        <v>213526.34</v>
      </c>
      <c r="G22" s="93">
        <v>25054948.374284398</v>
      </c>
      <c r="H22" s="93">
        <v>2395675.3372626398</v>
      </c>
      <c r="I22" s="93">
        <v>12274940.531071002</v>
      </c>
      <c r="J22" s="93">
        <v>1520844.35934021</v>
      </c>
      <c r="K22" s="93">
        <v>215154712.62799975</v>
      </c>
      <c r="L22" s="93">
        <v>7737487.4062884599</v>
      </c>
      <c r="M22" s="93">
        <v>228140776.75055701</v>
      </c>
      <c r="N22" s="93">
        <v>13085440.2374727</v>
      </c>
      <c r="O22" s="93">
        <v>144567583.82284072</v>
      </c>
      <c r="P22" s="93">
        <v>15782031.685793899</v>
      </c>
      <c r="Q22" s="93">
        <v>289071.68331469805</v>
      </c>
      <c r="R22" s="93">
        <v>78322645.436249986</v>
      </c>
      <c r="S22" s="93">
        <v>41269865.727738097</v>
      </c>
      <c r="T22" s="93">
        <v>0</v>
      </c>
      <c r="U22" s="93">
        <v>14459724.9924359</v>
      </c>
      <c r="V22" s="93">
        <v>1623152.1569568699</v>
      </c>
      <c r="W22" s="93">
        <v>6530820.1685013399</v>
      </c>
      <c r="X22" s="93">
        <v>36830507.285405703</v>
      </c>
      <c r="Y22" s="93">
        <v>8300206.2346096206</v>
      </c>
      <c r="Z22" s="93">
        <v>849308.99452865799</v>
      </c>
      <c r="AA22" s="93">
        <v>103698.75067091201</v>
      </c>
      <c r="AB22" s="93">
        <v>4414.6576666666597</v>
      </c>
      <c r="AC22" s="93">
        <v>351359.30021873099</v>
      </c>
      <c r="AD22" s="93">
        <v>1121149.8872611502</v>
      </c>
      <c r="AE22" s="93">
        <v>3220087.4915871499</v>
      </c>
      <c r="AF22" s="93">
        <v>539533.34559058095</v>
      </c>
      <c r="AG22" s="93">
        <v>168920.258278166</v>
      </c>
      <c r="AH22" s="93">
        <v>134882.261993263</v>
      </c>
      <c r="AI22" s="93">
        <v>253444.64994242199</v>
      </c>
      <c r="AJ22" s="93">
        <v>166060.39959492101</v>
      </c>
      <c r="AK22" s="93">
        <v>6765.3108617423704</v>
      </c>
      <c r="AL22" s="93">
        <v>1901845277.2790034</v>
      </c>
      <c r="AM22" s="93">
        <v>5487793.3634467497</v>
      </c>
      <c r="AN22" s="93">
        <v>134431159.103708</v>
      </c>
      <c r="AO22" s="93">
        <v>25059006.467211701</v>
      </c>
      <c r="AP22" s="93">
        <v>2066823236.2133698</v>
      </c>
      <c r="AQ22" s="93">
        <v>24943829.895999998</v>
      </c>
      <c r="AR22" s="14"/>
    </row>
    <row r="23" spans="1:44" x14ac:dyDescent="0.2">
      <c r="A23" s="94"/>
      <c r="B23" s="92">
        <v>4</v>
      </c>
      <c r="C23" s="93">
        <v>589.99999999999795</v>
      </c>
      <c r="D23" s="93">
        <v>595879.39488679206</v>
      </c>
      <c r="E23" s="93">
        <v>871564901.43307793</v>
      </c>
      <c r="F23" s="93">
        <v>180149.25</v>
      </c>
      <c r="G23" s="93">
        <v>21480881.678410102</v>
      </c>
      <c r="H23" s="93">
        <v>2103417.0861166799</v>
      </c>
      <c r="I23" s="93">
        <v>10580555.434001701</v>
      </c>
      <c r="J23" s="93">
        <v>1318577.1699655999</v>
      </c>
      <c r="K23" s="93">
        <v>189627771.8440989</v>
      </c>
      <c r="L23" s="93">
        <v>6697552.9346463401</v>
      </c>
      <c r="M23" s="93">
        <v>207549985.29733142</v>
      </c>
      <c r="N23" s="93">
        <v>12018611.7468106</v>
      </c>
      <c r="O23" s="93">
        <v>137205974.4827503</v>
      </c>
      <c r="P23" s="93">
        <v>15398557.3430211</v>
      </c>
      <c r="Q23" s="93">
        <v>312653.89300032897</v>
      </c>
      <c r="R23" s="93">
        <v>74564592.722236499</v>
      </c>
      <c r="S23" s="93">
        <v>39264915.472162299</v>
      </c>
      <c r="T23" s="93">
        <v>0</v>
      </c>
      <c r="U23" s="93">
        <v>11179688.730623901</v>
      </c>
      <c r="V23" s="93">
        <v>1657572.3812251799</v>
      </c>
      <c r="W23" s="93">
        <v>5971796.7435941696</v>
      </c>
      <c r="X23" s="93">
        <v>35347754.669139303</v>
      </c>
      <c r="Y23" s="93">
        <v>8931508.7397258505</v>
      </c>
      <c r="Z23" s="93">
        <v>636154.30507681798</v>
      </c>
      <c r="AA23" s="93">
        <v>87227.212893670498</v>
      </c>
      <c r="AB23" s="93">
        <v>4414.6576666666597</v>
      </c>
      <c r="AC23" s="93">
        <v>324705.65778555197</v>
      </c>
      <c r="AD23" s="93">
        <v>1026726.69111553</v>
      </c>
      <c r="AE23" s="93">
        <v>2948891.8590683402</v>
      </c>
      <c r="AF23" s="93">
        <v>494093.87001586205</v>
      </c>
      <c r="AG23" s="93">
        <v>179621.57753814</v>
      </c>
      <c r="AH23" s="93">
        <v>148748.19078699203</v>
      </c>
      <c r="AI23" s="93">
        <v>207597.66324574401</v>
      </c>
      <c r="AJ23" s="93">
        <v>173955.40700542601</v>
      </c>
      <c r="AK23" s="93">
        <v>6932.3430759208695</v>
      </c>
      <c r="AL23" s="93">
        <v>1659792957.8820999</v>
      </c>
      <c r="AM23" s="93">
        <v>5060993.6281540906</v>
      </c>
      <c r="AN23" s="93">
        <v>121789859.95382701</v>
      </c>
      <c r="AO23" s="93">
        <v>22359193.911843397</v>
      </c>
      <c r="AP23" s="93">
        <v>1809003005.3759241</v>
      </c>
      <c r="AQ23" s="93">
        <v>23819517.236000001</v>
      </c>
      <c r="AR23" s="14"/>
    </row>
    <row r="24" spans="1:44" x14ac:dyDescent="0.2">
      <c r="A24" s="94"/>
      <c r="B24" s="92">
        <v>5</v>
      </c>
      <c r="C24" s="93">
        <v>589.99999999999795</v>
      </c>
      <c r="D24" s="93">
        <v>443812.32013172796</v>
      </c>
      <c r="E24" s="93">
        <v>760468027.59418297</v>
      </c>
      <c r="F24" s="93">
        <v>165744.375</v>
      </c>
      <c r="G24" s="93">
        <v>19415259.8975964</v>
      </c>
      <c r="H24" s="93">
        <v>1893678.3046021</v>
      </c>
      <c r="I24" s="93">
        <v>10197043.6305339</v>
      </c>
      <c r="J24" s="93">
        <v>1201630.68127393</v>
      </c>
      <c r="K24" s="93">
        <v>189312815.77678013</v>
      </c>
      <c r="L24" s="93">
        <v>6372790.2025750997</v>
      </c>
      <c r="M24" s="93">
        <v>213071768.07107151</v>
      </c>
      <c r="N24" s="93">
        <v>11868705.8560849</v>
      </c>
      <c r="O24" s="93">
        <v>141787922.98531237</v>
      </c>
      <c r="P24" s="93">
        <v>15906539.0357781</v>
      </c>
      <c r="Q24" s="93">
        <v>744003.92852254794</v>
      </c>
      <c r="R24" s="93">
        <v>75257372.171823397</v>
      </c>
      <c r="S24" s="93">
        <v>40390698.875741102</v>
      </c>
      <c r="T24" s="93">
        <v>301084.39127305296</v>
      </c>
      <c r="U24" s="93">
        <v>9680375.1903274208</v>
      </c>
      <c r="V24" s="93">
        <v>1660876.3075976898</v>
      </c>
      <c r="W24" s="93">
        <v>6697075.7458707504</v>
      </c>
      <c r="X24" s="93">
        <v>35799057.709833197</v>
      </c>
      <c r="Y24" s="93">
        <v>8960630.5028868392</v>
      </c>
      <c r="Z24" s="93">
        <v>513380.71132470894</v>
      </c>
      <c r="AA24" s="93">
        <v>67729.112893822705</v>
      </c>
      <c r="AB24" s="93">
        <v>4414.6576666666597</v>
      </c>
      <c r="AC24" s="93">
        <v>312189.66808522999</v>
      </c>
      <c r="AD24" s="93">
        <v>978299.53507913498</v>
      </c>
      <c r="AE24" s="93">
        <v>2809802.8031109101</v>
      </c>
      <c r="AF24" s="93">
        <v>470789.16668348201</v>
      </c>
      <c r="AG24" s="93">
        <v>172113.376491426</v>
      </c>
      <c r="AH24" s="93">
        <v>137767.42488057102</v>
      </c>
      <c r="AI24" s="93">
        <v>389314.32619447703</v>
      </c>
      <c r="AJ24" s="93">
        <v>169171.133562823</v>
      </c>
      <c r="AK24" s="93">
        <v>6880.9230592756503</v>
      </c>
      <c r="AL24" s="93">
        <v>1557629356.3938315</v>
      </c>
      <c r="AM24" s="93">
        <v>5568087.4846516596</v>
      </c>
      <c r="AN24" s="93">
        <v>124329508.876541</v>
      </c>
      <c r="AO24" s="93">
        <v>24181215.0950251</v>
      </c>
      <c r="AP24" s="93">
        <v>1711708167.850049</v>
      </c>
      <c r="AQ24" s="93">
        <v>23775373.113000002</v>
      </c>
      <c r="AR24" s="14"/>
    </row>
    <row r="25" spans="1:44" x14ac:dyDescent="0.2">
      <c r="A25" s="94"/>
      <c r="B25" s="92">
        <v>6</v>
      </c>
      <c r="C25" s="93">
        <v>589.99999999999795</v>
      </c>
      <c r="D25" s="93">
        <v>317417.07008727704</v>
      </c>
      <c r="E25" s="93">
        <v>726612130.99855494</v>
      </c>
      <c r="F25" s="93">
        <v>183269.5</v>
      </c>
      <c r="G25" s="93">
        <v>18239780.9002074</v>
      </c>
      <c r="H25" s="93">
        <v>1707275.1889347802</v>
      </c>
      <c r="I25" s="93">
        <v>9584836.5130796693</v>
      </c>
      <c r="J25" s="93">
        <v>1078382.4487224298</v>
      </c>
      <c r="K25" s="93">
        <v>185894249.09023002</v>
      </c>
      <c r="L25" s="93">
        <v>6256261.0046211807</v>
      </c>
      <c r="M25" s="93">
        <v>214040952.30100906</v>
      </c>
      <c r="N25" s="93">
        <v>12123187.029608</v>
      </c>
      <c r="O25" s="93">
        <v>143769851.87637344</v>
      </c>
      <c r="P25" s="93">
        <v>16609177.156084199</v>
      </c>
      <c r="Q25" s="93">
        <v>1488830.41626154</v>
      </c>
      <c r="R25" s="93">
        <v>74554464.042835891</v>
      </c>
      <c r="S25" s="93">
        <v>42017269.811153799</v>
      </c>
      <c r="T25" s="93">
        <v>647045.46438459598</v>
      </c>
      <c r="U25" s="93">
        <v>8167262.9293321995</v>
      </c>
      <c r="V25" s="93">
        <v>1812803.0818630601</v>
      </c>
      <c r="W25" s="93">
        <v>7359453.2189156199</v>
      </c>
      <c r="X25" s="93">
        <v>34957388.323225997</v>
      </c>
      <c r="Y25" s="93">
        <v>8478293.2988297511</v>
      </c>
      <c r="Z25" s="93">
        <v>433120.71433570597</v>
      </c>
      <c r="AA25" s="93">
        <v>63429.272893754896</v>
      </c>
      <c r="AB25" s="93">
        <v>4414.6576666666597</v>
      </c>
      <c r="AC25" s="93">
        <v>298459.14419071301</v>
      </c>
      <c r="AD25" s="93">
        <v>926960.98073046899</v>
      </c>
      <c r="AE25" s="93">
        <v>2662351.8346251901</v>
      </c>
      <c r="AF25" s="93">
        <v>446083.40494703403</v>
      </c>
      <c r="AG25" s="93">
        <v>164666.50707914101</v>
      </c>
      <c r="AH25" s="93">
        <v>136516.57149326301</v>
      </c>
      <c r="AI25" s="93">
        <v>214939.37381548202</v>
      </c>
      <c r="AJ25" s="93">
        <v>158979.583601911</v>
      </c>
      <c r="AK25" s="93">
        <v>6338.3251910737099</v>
      </c>
      <c r="AL25" s="93">
        <v>1521416432.0348856</v>
      </c>
      <c r="AM25" s="93">
        <v>5240502.06098055</v>
      </c>
      <c r="AN25" s="93">
        <v>137242703.20976499</v>
      </c>
      <c r="AO25" s="93">
        <v>26257885.5905472</v>
      </c>
      <c r="AP25" s="93">
        <v>1690157522.8961782</v>
      </c>
      <c r="AQ25" s="93">
        <v>23957451.417000003</v>
      </c>
      <c r="AR25" s="14"/>
    </row>
    <row r="26" spans="1:44" x14ac:dyDescent="0.2">
      <c r="A26" s="94"/>
      <c r="B26" s="92">
        <v>7</v>
      </c>
      <c r="C26" s="93">
        <v>589.99999999999795</v>
      </c>
      <c r="D26" s="93">
        <v>274419.21978482901</v>
      </c>
      <c r="E26" s="93">
        <v>810211528.78052795</v>
      </c>
      <c r="F26" s="93">
        <v>214898.875</v>
      </c>
      <c r="G26" s="93">
        <v>18581880.699023999</v>
      </c>
      <c r="H26" s="93">
        <v>1815292.47742907</v>
      </c>
      <c r="I26" s="93">
        <v>10277261.0837349</v>
      </c>
      <c r="J26" s="93">
        <v>1405833.31632713</v>
      </c>
      <c r="K26" s="93">
        <v>200533601.91777909</v>
      </c>
      <c r="L26" s="93">
        <v>5923761.80937202</v>
      </c>
      <c r="M26" s="93">
        <v>229594754.94596413</v>
      </c>
      <c r="N26" s="93">
        <v>11502837.253379101</v>
      </c>
      <c r="O26" s="93">
        <v>158512357.27757815</v>
      </c>
      <c r="P26" s="93">
        <v>15799726.630349999</v>
      </c>
      <c r="Q26" s="93">
        <v>2721659.3945365697</v>
      </c>
      <c r="R26" s="93">
        <v>79458049.513137504</v>
      </c>
      <c r="S26" s="93">
        <v>40208212.0992449</v>
      </c>
      <c r="T26" s="93">
        <v>678186.54845952301</v>
      </c>
      <c r="U26" s="93">
        <v>6389495.2398072705</v>
      </c>
      <c r="V26" s="93">
        <v>2141931.6198215303</v>
      </c>
      <c r="W26" s="93">
        <v>7999494.9017698001</v>
      </c>
      <c r="X26" s="93">
        <v>36325321.960728794</v>
      </c>
      <c r="Y26" s="93">
        <v>9228102.3751488104</v>
      </c>
      <c r="Z26" s="93">
        <v>477062.39697190101</v>
      </c>
      <c r="AA26" s="93">
        <v>63472.684004793104</v>
      </c>
      <c r="AB26" s="93">
        <v>4414.6576666666597</v>
      </c>
      <c r="AC26" s="93">
        <v>362907.70679979102</v>
      </c>
      <c r="AD26" s="93">
        <v>1117198.38262472</v>
      </c>
      <c r="AE26" s="93">
        <v>3208738.2591631101</v>
      </c>
      <c r="AF26" s="93">
        <v>537631.75460722193</v>
      </c>
      <c r="AG26" s="93">
        <v>173669.42622625298</v>
      </c>
      <c r="AH26" s="93">
        <v>139316.18516582099</v>
      </c>
      <c r="AI26" s="93">
        <v>224108.08738365298</v>
      </c>
      <c r="AJ26" s="93">
        <v>170596.49585382</v>
      </c>
      <c r="AK26" s="93">
        <v>6990.0659674155404</v>
      </c>
      <c r="AL26" s="93">
        <v>1656285304.0413404</v>
      </c>
      <c r="AM26" s="93">
        <v>5350636.3153667096</v>
      </c>
      <c r="AN26" s="93">
        <v>143628687.99986899</v>
      </c>
      <c r="AO26" s="93">
        <v>27143085.659677301</v>
      </c>
      <c r="AP26" s="93">
        <v>1832407714.0162532</v>
      </c>
      <c r="AQ26" s="93">
        <v>26489769.160999998</v>
      </c>
      <c r="AR26" s="14"/>
    </row>
    <row r="27" spans="1:44" x14ac:dyDescent="0.2">
      <c r="A27" s="94"/>
      <c r="B27" s="92">
        <v>8</v>
      </c>
      <c r="C27" s="93">
        <v>589.99999999999795</v>
      </c>
      <c r="D27" s="93">
        <v>267056.67004226596</v>
      </c>
      <c r="E27" s="93">
        <v>816258861.42774105</v>
      </c>
      <c r="F27" s="93">
        <v>236361</v>
      </c>
      <c r="G27" s="93">
        <v>18478795.1982724</v>
      </c>
      <c r="H27" s="93">
        <v>1711328.4095407701</v>
      </c>
      <c r="I27" s="93">
        <v>10175857.7615043</v>
      </c>
      <c r="J27" s="93">
        <v>2103449.09483353</v>
      </c>
      <c r="K27" s="93">
        <v>201055416.18079945</v>
      </c>
      <c r="L27" s="93">
        <v>6481924.98946412</v>
      </c>
      <c r="M27" s="93">
        <v>230397495.57365611</v>
      </c>
      <c r="N27" s="93">
        <v>12756498.690199699</v>
      </c>
      <c r="O27" s="93">
        <v>160452742.12923893</v>
      </c>
      <c r="P27" s="93">
        <v>17536877.653653998</v>
      </c>
      <c r="Q27" s="93">
        <v>4057346.98817913</v>
      </c>
      <c r="R27" s="93">
        <v>78370903.069637597</v>
      </c>
      <c r="S27" s="93">
        <v>43821750.518538997</v>
      </c>
      <c r="T27" s="93">
        <v>959669.78716265806</v>
      </c>
      <c r="U27" s="93">
        <v>5295443.6646673204</v>
      </c>
      <c r="V27" s="93">
        <v>2131285.4149712096</v>
      </c>
      <c r="W27" s="93">
        <v>7411510.4028264508</v>
      </c>
      <c r="X27" s="93">
        <v>36360969.817442305</v>
      </c>
      <c r="Y27" s="93">
        <v>9306724.1283682398</v>
      </c>
      <c r="Z27" s="93">
        <v>459597.48252791096</v>
      </c>
      <c r="AA27" s="93">
        <v>66369.617323953091</v>
      </c>
      <c r="AB27" s="93">
        <v>4414.6576666666597</v>
      </c>
      <c r="AC27" s="93">
        <v>335230.16790697101</v>
      </c>
      <c r="AD27" s="93">
        <v>1022983.06312587</v>
      </c>
      <c r="AE27" s="93">
        <v>2938139.6752616703</v>
      </c>
      <c r="AF27" s="93">
        <v>492292.31595350499</v>
      </c>
      <c r="AG27" s="93">
        <v>168997.95832783097</v>
      </c>
      <c r="AH27" s="93">
        <v>139417.60836336701</v>
      </c>
      <c r="AI27" s="93">
        <v>207109.23157699101</v>
      </c>
      <c r="AJ27" s="93">
        <v>163016.07127281098</v>
      </c>
      <c r="AK27" s="93">
        <v>6536.6357817179696</v>
      </c>
      <c r="AL27" s="93">
        <v>1671632963.0558298</v>
      </c>
      <c r="AM27" s="93">
        <v>5374130.1058770595</v>
      </c>
      <c r="AN27" s="93">
        <v>142999661.71071801</v>
      </c>
      <c r="AO27" s="93">
        <v>28215578.8342444</v>
      </c>
      <c r="AP27" s="93">
        <v>1848222333.7066693</v>
      </c>
      <c r="AQ27" s="93">
        <v>27146373.211999997</v>
      </c>
      <c r="AR27" s="14"/>
    </row>
    <row r="28" spans="1:44" x14ac:dyDescent="0.2">
      <c r="A28" s="94"/>
      <c r="B28" s="92">
        <v>9</v>
      </c>
      <c r="C28" s="93">
        <v>589.99999999999795</v>
      </c>
      <c r="D28" s="93">
        <v>303388.61603868898</v>
      </c>
      <c r="E28" s="93">
        <v>745804121.61066496</v>
      </c>
      <c r="F28" s="93">
        <v>198473.625</v>
      </c>
      <c r="G28" s="93">
        <v>16773447.0354285</v>
      </c>
      <c r="H28" s="93">
        <v>1550913.61818637</v>
      </c>
      <c r="I28" s="93">
        <v>9182128.3450871315</v>
      </c>
      <c r="J28" s="93">
        <v>1366151.08242826</v>
      </c>
      <c r="K28" s="93">
        <v>181933038.70160294</v>
      </c>
      <c r="L28" s="93">
        <v>5927134.0136877401</v>
      </c>
      <c r="M28" s="93">
        <v>209303913.38826051</v>
      </c>
      <c r="N28" s="93">
        <v>11603637.5797642</v>
      </c>
      <c r="O28" s="93">
        <v>139916579.03782952</v>
      </c>
      <c r="P28" s="93">
        <v>15410360.009657102</v>
      </c>
      <c r="Q28" s="93">
        <v>2912174.73607131</v>
      </c>
      <c r="R28" s="93">
        <v>69913440.313533887</v>
      </c>
      <c r="S28" s="93">
        <v>39851727.051640898</v>
      </c>
      <c r="T28" s="93">
        <v>768919.17535173404</v>
      </c>
      <c r="U28" s="93">
        <v>5864300.3921068702</v>
      </c>
      <c r="V28" s="93">
        <v>1842875.7305316899</v>
      </c>
      <c r="W28" s="93">
        <v>6310173.8976047402</v>
      </c>
      <c r="X28" s="93">
        <v>35622607.650770798</v>
      </c>
      <c r="Y28" s="93">
        <v>8120503.3955003899</v>
      </c>
      <c r="Z28" s="93">
        <v>560944.46463221405</v>
      </c>
      <c r="AA28" s="93">
        <v>67440.283997858001</v>
      </c>
      <c r="AB28" s="93">
        <v>4414.6576666666597</v>
      </c>
      <c r="AC28" s="93">
        <v>341046.28750129504</v>
      </c>
      <c r="AD28" s="93">
        <v>1031722.8031105899</v>
      </c>
      <c r="AE28" s="93">
        <v>2963241.3389413399</v>
      </c>
      <c r="AF28" s="93">
        <v>496498.15962090995</v>
      </c>
      <c r="AG28" s="93">
        <v>169928.46382252901</v>
      </c>
      <c r="AH28" s="93">
        <v>135881.672422198</v>
      </c>
      <c r="AI28" s="93">
        <v>259904.33803839301</v>
      </c>
      <c r="AJ28" s="93">
        <v>166983.95225271699</v>
      </c>
      <c r="AK28" s="93">
        <v>6885.2319438045506</v>
      </c>
      <c r="AL28" s="93">
        <v>1516685490.6606989</v>
      </c>
      <c r="AM28" s="93">
        <v>4805229.9789600903</v>
      </c>
      <c r="AN28" s="93">
        <v>134642963.12881199</v>
      </c>
      <c r="AO28" s="93">
        <v>26092271.281957</v>
      </c>
      <c r="AP28" s="93">
        <v>1682225955.0504279</v>
      </c>
      <c r="AQ28" s="93">
        <v>24716404.288999997</v>
      </c>
      <c r="AR28" s="14"/>
    </row>
    <row r="29" spans="1:44" x14ac:dyDescent="0.2">
      <c r="A29" s="94"/>
      <c r="B29" s="92">
        <v>10</v>
      </c>
      <c r="C29" s="93">
        <v>589.99999999999795</v>
      </c>
      <c r="D29" s="93">
        <v>476161.83106648998</v>
      </c>
      <c r="E29" s="93">
        <v>873182303.91732109</v>
      </c>
      <c r="F29" s="93">
        <v>173928</v>
      </c>
      <c r="G29" s="93">
        <v>18611037.544917703</v>
      </c>
      <c r="H29" s="93">
        <v>1658611.47228629</v>
      </c>
      <c r="I29" s="93">
        <v>10112292.376667799</v>
      </c>
      <c r="J29" s="93">
        <v>1163698.79347604</v>
      </c>
      <c r="K29" s="93">
        <v>189989832.77320379</v>
      </c>
      <c r="L29" s="93">
        <v>5860265.3101684097</v>
      </c>
      <c r="M29" s="93">
        <v>221185638.2396341</v>
      </c>
      <c r="N29" s="93">
        <v>11631263.432496101</v>
      </c>
      <c r="O29" s="93">
        <v>145730241.49067718</v>
      </c>
      <c r="P29" s="93">
        <v>15704805.436129401</v>
      </c>
      <c r="Q29" s="93">
        <v>1307491.6806423501</v>
      </c>
      <c r="R29" s="93">
        <v>74137254.033623099</v>
      </c>
      <c r="S29" s="93">
        <v>40602129.296497904</v>
      </c>
      <c r="T29" s="93">
        <v>778501.74945796095</v>
      </c>
      <c r="U29" s="93">
        <v>8464033.3045034204</v>
      </c>
      <c r="V29" s="93">
        <v>1494974.24730683</v>
      </c>
      <c r="W29" s="93">
        <v>6087774.1661971305</v>
      </c>
      <c r="X29" s="93">
        <v>36125408.723939799</v>
      </c>
      <c r="Y29" s="93">
        <v>8511162.2906617001</v>
      </c>
      <c r="Z29" s="93">
        <v>721266.22335820901</v>
      </c>
      <c r="AA29" s="93">
        <v>71363.639537717099</v>
      </c>
      <c r="AB29" s="93">
        <v>4414.6576666666597</v>
      </c>
      <c r="AC29" s="93">
        <v>384591.61868426099</v>
      </c>
      <c r="AD29" s="93">
        <v>1153470.2947331499</v>
      </c>
      <c r="AE29" s="93">
        <v>3312915.8823367804</v>
      </c>
      <c r="AF29" s="93">
        <v>555086.96404280793</v>
      </c>
      <c r="AG29" s="93">
        <v>177358.75640167602</v>
      </c>
      <c r="AH29" s="93">
        <v>146748.646796774</v>
      </c>
      <c r="AI29" s="93">
        <v>466002.82266008703</v>
      </c>
      <c r="AJ29" s="93">
        <v>171393.93630203401</v>
      </c>
      <c r="AK29" s="93">
        <v>6866.7261164091196</v>
      </c>
      <c r="AL29" s="93">
        <v>1680160880.2795112</v>
      </c>
      <c r="AM29" s="93">
        <v>4620585.41996988</v>
      </c>
      <c r="AN29" s="93">
        <v>134863767.855757</v>
      </c>
      <c r="AO29" s="93">
        <v>26511541.1095258</v>
      </c>
      <c r="AP29" s="93">
        <v>1846156774.6647639</v>
      </c>
      <c r="AQ29" s="93">
        <v>24706922.309999999</v>
      </c>
      <c r="AR29" s="14"/>
    </row>
    <row r="30" spans="1:44" x14ac:dyDescent="0.2">
      <c r="A30" s="94"/>
      <c r="B30" s="92">
        <v>11</v>
      </c>
      <c r="C30" s="93">
        <v>589.99999999999795</v>
      </c>
      <c r="D30" s="93">
        <v>660652.97025576292</v>
      </c>
      <c r="E30" s="93">
        <v>1052963379.7510201</v>
      </c>
      <c r="F30" s="93">
        <v>196629.25</v>
      </c>
      <c r="G30" s="93">
        <v>21006959.040017098</v>
      </c>
      <c r="H30" s="93">
        <v>1822916.87958263</v>
      </c>
      <c r="I30" s="93">
        <v>11365771.424581101</v>
      </c>
      <c r="J30" s="93">
        <v>1247858.61745633</v>
      </c>
      <c r="K30" s="93">
        <v>199022729.16167739</v>
      </c>
      <c r="L30" s="93">
        <v>6165113.0434870403</v>
      </c>
      <c r="M30" s="93">
        <v>222529728.18771353</v>
      </c>
      <c r="N30" s="93">
        <v>11384554.4917104</v>
      </c>
      <c r="O30" s="93">
        <v>146382107.75415617</v>
      </c>
      <c r="P30" s="93">
        <v>14612548.137354799</v>
      </c>
      <c r="Q30" s="93">
        <v>374068.68663443602</v>
      </c>
      <c r="R30" s="93">
        <v>74951049.434316993</v>
      </c>
      <c r="S30" s="93">
        <v>38470480.732750304</v>
      </c>
      <c r="T30" s="93">
        <v>306859.50582739402</v>
      </c>
      <c r="U30" s="93">
        <v>10962677.131988101</v>
      </c>
      <c r="V30" s="93">
        <v>1510098.2364163499</v>
      </c>
      <c r="W30" s="93">
        <v>5065745.0794735793</v>
      </c>
      <c r="X30" s="93">
        <v>35670874.927723996</v>
      </c>
      <c r="Y30" s="93">
        <v>8267461.3488843897</v>
      </c>
      <c r="Z30" s="93">
        <v>738315.53294799407</v>
      </c>
      <c r="AA30" s="93">
        <v>89630.050449432907</v>
      </c>
      <c r="AB30" s="93">
        <v>4414.6576666666597</v>
      </c>
      <c r="AC30" s="93">
        <v>337549.37225839804</v>
      </c>
      <c r="AD30" s="93">
        <v>1003766.70368178</v>
      </c>
      <c r="AE30" s="93">
        <v>2882947.8053940902</v>
      </c>
      <c r="AF30" s="93">
        <v>483044.78641374799</v>
      </c>
      <c r="AG30" s="93">
        <v>166442.42940408198</v>
      </c>
      <c r="AH30" s="93">
        <v>133123.49648750501</v>
      </c>
      <c r="AI30" s="93">
        <v>231608.73558764899</v>
      </c>
      <c r="AJ30" s="93">
        <v>163702.324028445</v>
      </c>
      <c r="AK30" s="93">
        <v>6698.1700633358096</v>
      </c>
      <c r="AL30" s="93">
        <v>1871182097.8574111</v>
      </c>
      <c r="AM30" s="93">
        <v>4533723.8016141299</v>
      </c>
      <c r="AN30" s="93">
        <v>133324444.813457</v>
      </c>
      <c r="AO30" s="93">
        <v>25001662.863749001</v>
      </c>
      <c r="AP30" s="93">
        <v>2034041929.3362312</v>
      </c>
      <c r="AQ30" s="93">
        <v>26143386.014999997</v>
      </c>
      <c r="AR30" s="14"/>
    </row>
    <row r="31" spans="1:44" x14ac:dyDescent="0.2">
      <c r="A31" s="95"/>
      <c r="B31" s="96">
        <v>12</v>
      </c>
      <c r="C31" s="97">
        <v>589.99999999999795</v>
      </c>
      <c r="D31" s="97">
        <v>866567.87496696599</v>
      </c>
      <c r="E31" s="97">
        <v>1265288171.70892</v>
      </c>
      <c r="F31" s="97">
        <v>242994.14285714302</v>
      </c>
      <c r="G31" s="97">
        <v>27034537.902284998</v>
      </c>
      <c r="H31" s="97">
        <v>2311067.11146989</v>
      </c>
      <c r="I31" s="97">
        <v>13353551.751944</v>
      </c>
      <c r="J31" s="97">
        <v>1485100.0561101499</v>
      </c>
      <c r="K31" s="97">
        <v>230058566.98506287</v>
      </c>
      <c r="L31" s="97">
        <v>6464702.86213037</v>
      </c>
      <c r="M31" s="97">
        <v>249651109.98013258</v>
      </c>
      <c r="N31" s="97">
        <v>11265723.529623499</v>
      </c>
      <c r="O31" s="97">
        <v>155200335.09772936</v>
      </c>
      <c r="P31" s="97">
        <v>13724567.1093862</v>
      </c>
      <c r="Q31" s="97">
        <v>267490.87174309196</v>
      </c>
      <c r="R31" s="97">
        <v>79447397.915696502</v>
      </c>
      <c r="S31" s="97">
        <v>36596023.996817403</v>
      </c>
      <c r="T31" s="97">
        <v>0</v>
      </c>
      <c r="U31" s="97">
        <v>14170813.1189414</v>
      </c>
      <c r="V31" s="97">
        <v>1679159.2473222299</v>
      </c>
      <c r="W31" s="97">
        <v>5439820.2960245796</v>
      </c>
      <c r="X31" s="97">
        <v>36703260.450249799</v>
      </c>
      <c r="Y31" s="97">
        <v>8747155.0687910691</v>
      </c>
      <c r="Z31" s="97">
        <v>931765.94306284701</v>
      </c>
      <c r="AA31" s="97">
        <v>108908.459927082</v>
      </c>
      <c r="AB31" s="97">
        <v>4414.6576666666597</v>
      </c>
      <c r="AC31" s="97">
        <v>368355.02891623403</v>
      </c>
      <c r="AD31" s="97">
        <v>1086131.50036263</v>
      </c>
      <c r="AE31" s="97">
        <v>3119510.1549538397</v>
      </c>
      <c r="AF31" s="97">
        <v>522681.37275874405</v>
      </c>
      <c r="AG31" s="97">
        <v>172012.913680092</v>
      </c>
      <c r="AH31" s="97">
        <v>141754.712436731</v>
      </c>
      <c r="AI31" s="97">
        <v>236524.01097247901</v>
      </c>
      <c r="AJ31" s="97">
        <v>165824.36053353501</v>
      </c>
      <c r="AK31" s="97">
        <v>6671.0590822899603</v>
      </c>
      <c r="AL31" s="97">
        <v>2166863261.2525578</v>
      </c>
      <c r="AM31" s="97">
        <v>4938946.4883926501</v>
      </c>
      <c r="AN31" s="97">
        <v>136351960.32791501</v>
      </c>
      <c r="AO31" s="97">
        <v>25615852.880743802</v>
      </c>
      <c r="AP31" s="97">
        <v>2333770020.9496098</v>
      </c>
      <c r="AQ31" s="97">
        <v>28874971.001999997</v>
      </c>
      <c r="AR31" s="14"/>
    </row>
    <row r="32" spans="1:44" x14ac:dyDescent="0.2">
      <c r="A32" s="92">
        <f>A20+1</f>
        <v>2025</v>
      </c>
      <c r="B32" s="92">
        <v>1</v>
      </c>
      <c r="C32" s="93">
        <v>589.99999999999795</v>
      </c>
      <c r="D32" s="93">
        <v>848153.47058506799</v>
      </c>
      <c r="E32" s="93">
        <v>1193134476.79845</v>
      </c>
      <c r="F32" s="93">
        <v>259810</v>
      </c>
      <c r="G32" s="93">
        <v>27901132.006822202</v>
      </c>
      <c r="H32" s="93">
        <v>2498174.45429334</v>
      </c>
      <c r="I32" s="93">
        <v>13576990.570782799</v>
      </c>
      <c r="J32" s="93">
        <v>1581510.95765618</v>
      </c>
      <c r="K32" s="93">
        <v>232069185.2242004</v>
      </c>
      <c r="L32" s="93">
        <v>7472577.70266423</v>
      </c>
      <c r="M32" s="93">
        <v>240020093.22592279</v>
      </c>
      <c r="N32" s="93">
        <v>12098001.741815301</v>
      </c>
      <c r="O32" s="93">
        <v>154014957.87307191</v>
      </c>
      <c r="P32" s="93">
        <v>14348078.2622793</v>
      </c>
      <c r="Q32" s="93">
        <v>293762.31965941796</v>
      </c>
      <c r="R32" s="93">
        <v>80065159.31247969</v>
      </c>
      <c r="S32" s="93">
        <v>38947264.579681702</v>
      </c>
      <c r="T32" s="93">
        <v>0</v>
      </c>
      <c r="U32" s="93">
        <v>14790805.939560099</v>
      </c>
      <c r="V32" s="93">
        <v>1657793.9029065201</v>
      </c>
      <c r="W32" s="93">
        <v>5699197.2792171799</v>
      </c>
      <c r="X32" s="93">
        <v>37301073.181796201</v>
      </c>
      <c r="Y32" s="93">
        <v>8770822.9495717604</v>
      </c>
      <c r="Z32" s="93">
        <v>934504.61214399699</v>
      </c>
      <c r="AA32" s="93">
        <v>110190.418926181</v>
      </c>
      <c r="AB32" s="93">
        <v>4414.6576666666597</v>
      </c>
      <c r="AC32" s="93">
        <v>360734.185857773</v>
      </c>
      <c r="AD32" s="93">
        <v>1054761.6911132499</v>
      </c>
      <c r="AE32" s="93">
        <v>3029412.0052548801</v>
      </c>
      <c r="AF32" s="93">
        <v>507585.21271166502</v>
      </c>
      <c r="AG32" s="93">
        <v>172489.22328015399</v>
      </c>
      <c r="AH32" s="93">
        <v>134512.82856656701</v>
      </c>
      <c r="AI32" s="93">
        <v>349690.64386403002</v>
      </c>
      <c r="AJ32" s="93">
        <v>165911.16628243099</v>
      </c>
      <c r="AK32" s="93">
        <v>6874.3989347454408</v>
      </c>
      <c r="AL32" s="93">
        <v>2094180692.7980187</v>
      </c>
      <c r="AM32" s="93">
        <v>5672974.5299722403</v>
      </c>
      <c r="AN32" s="93">
        <v>137163391.37983</v>
      </c>
      <c r="AO32" s="93">
        <v>26249630.118281998</v>
      </c>
      <c r="AP32" s="93">
        <v>2263266688.8261027</v>
      </c>
      <c r="AQ32" s="93">
        <v>26657308.277561836</v>
      </c>
      <c r="AR32" s="14"/>
    </row>
    <row r="33" spans="1:44" x14ac:dyDescent="0.2">
      <c r="A33" s="94"/>
      <c r="B33" s="92">
        <v>2</v>
      </c>
      <c r="C33" s="93">
        <v>589.99999999999795</v>
      </c>
      <c r="D33" s="93">
        <v>849012.18672609294</v>
      </c>
      <c r="E33" s="93">
        <v>1039625336.6286</v>
      </c>
      <c r="F33" s="93">
        <v>233365.535</v>
      </c>
      <c r="G33" s="93">
        <v>24191293.2037948</v>
      </c>
      <c r="H33" s="93">
        <v>2118489.01382179</v>
      </c>
      <c r="I33" s="93">
        <v>11485087.9021779</v>
      </c>
      <c r="J33" s="93">
        <v>1383129.3952800799</v>
      </c>
      <c r="K33" s="93">
        <v>200339962.92622516</v>
      </c>
      <c r="L33" s="93">
        <v>6875050.3390254695</v>
      </c>
      <c r="M33" s="93">
        <v>212331378.97776636</v>
      </c>
      <c r="N33" s="93">
        <v>11895669.9863254</v>
      </c>
      <c r="O33" s="93">
        <v>138362890.96520808</v>
      </c>
      <c r="P33" s="93">
        <v>14289563.1894028</v>
      </c>
      <c r="Q33" s="93">
        <v>263490.288222111</v>
      </c>
      <c r="R33" s="93">
        <v>72156297.346693307</v>
      </c>
      <c r="S33" s="93">
        <v>37586595.546804599</v>
      </c>
      <c r="T33" s="93">
        <v>0</v>
      </c>
      <c r="U33" s="93">
        <v>13375840.825566901</v>
      </c>
      <c r="V33" s="93">
        <v>1569901.38061768</v>
      </c>
      <c r="W33" s="93">
        <v>5590221.8069829298</v>
      </c>
      <c r="X33" s="93">
        <v>33919862.940128498</v>
      </c>
      <c r="Y33" s="93">
        <v>8212991.9496046407</v>
      </c>
      <c r="Z33" s="93">
        <v>739123.34761408798</v>
      </c>
      <c r="AA33" s="93">
        <v>107716.87058862101</v>
      </c>
      <c r="AB33" s="93">
        <v>4414.6576666666597</v>
      </c>
      <c r="AC33" s="93">
        <v>322470.72605151404</v>
      </c>
      <c r="AD33" s="93">
        <v>935058.93112661596</v>
      </c>
      <c r="AE33" s="93">
        <v>2685610.1955940598</v>
      </c>
      <c r="AF33" s="93">
        <v>449980.39884526597</v>
      </c>
      <c r="AG33" s="93">
        <v>171898.88004392901</v>
      </c>
      <c r="AH33" s="93">
        <v>139465.92022323501</v>
      </c>
      <c r="AI33" s="93">
        <v>198835.335205874</v>
      </c>
      <c r="AJ33" s="93">
        <v>163169.66775161002</v>
      </c>
      <c r="AK33" s="93">
        <v>6586.8405854835501</v>
      </c>
      <c r="AL33" s="93">
        <v>1842580354.1052718</v>
      </c>
      <c r="AM33" s="93">
        <v>5136216.7238414604</v>
      </c>
      <c r="AN33" s="93">
        <v>124164551.83338901</v>
      </c>
      <c r="AO33" s="93">
        <v>23099552.3607301</v>
      </c>
      <c r="AP33" s="93">
        <v>1994980675.0232325</v>
      </c>
      <c r="AQ33" s="93">
        <v>23431945.037921585</v>
      </c>
      <c r="AR33" s="14"/>
    </row>
    <row r="34" spans="1:44" x14ac:dyDescent="0.2">
      <c r="A34" s="94"/>
      <c r="B34" s="92">
        <v>3</v>
      </c>
      <c r="C34" s="93">
        <v>589.99999999999795</v>
      </c>
      <c r="D34" s="93">
        <v>830134.40910549602</v>
      </c>
      <c r="E34" s="93">
        <v>1042450629.13098</v>
      </c>
      <c r="F34" s="93">
        <v>213526.34</v>
      </c>
      <c r="G34" s="93">
        <v>25020289.608244099</v>
      </c>
      <c r="H34" s="93">
        <v>2362356.6267520599</v>
      </c>
      <c r="I34" s="93">
        <v>12299469.159732999</v>
      </c>
      <c r="J34" s="93">
        <v>1499692.67315288</v>
      </c>
      <c r="K34" s="93">
        <v>216753840.90051311</v>
      </c>
      <c r="L34" s="93">
        <v>7552526.1024724394</v>
      </c>
      <c r="M34" s="93">
        <v>229735641.58352154</v>
      </c>
      <c r="N34" s="93">
        <v>12772638.424656499</v>
      </c>
      <c r="O34" s="93">
        <v>149131720.25600636</v>
      </c>
      <c r="P34" s="93">
        <v>15404769.015860701</v>
      </c>
      <c r="Q34" s="93">
        <v>288671.80750209501</v>
      </c>
      <c r="R34" s="93">
        <v>79663639.986897394</v>
      </c>
      <c r="S34" s="93">
        <v>40283327.362957001</v>
      </c>
      <c r="T34" s="93">
        <v>0</v>
      </c>
      <c r="U34" s="93">
        <v>14439722.7071374</v>
      </c>
      <c r="V34" s="93">
        <v>1623004.48112367</v>
      </c>
      <c r="W34" s="93">
        <v>6529334.4671592601</v>
      </c>
      <c r="X34" s="93">
        <v>36829473.554573193</v>
      </c>
      <c r="Y34" s="93">
        <v>8299091.9586030599</v>
      </c>
      <c r="Z34" s="93">
        <v>787461.49045736506</v>
      </c>
      <c r="AA34" s="93">
        <v>103698.75067091201</v>
      </c>
      <c r="AB34" s="93">
        <v>4414.6576666666597</v>
      </c>
      <c r="AC34" s="93">
        <v>387292.364374255</v>
      </c>
      <c r="AD34" s="93">
        <v>1113779.3469933399</v>
      </c>
      <c r="AE34" s="93">
        <v>3198918.3465938899</v>
      </c>
      <c r="AF34" s="93">
        <v>535986.40481603693</v>
      </c>
      <c r="AG34" s="93">
        <v>168994.49238498</v>
      </c>
      <c r="AH34" s="93">
        <v>132405.67360035999</v>
      </c>
      <c r="AI34" s="93">
        <v>251778.48200244698</v>
      </c>
      <c r="AJ34" s="93">
        <v>162898.96520451101</v>
      </c>
      <c r="AK34" s="93">
        <v>6768.2839616787396</v>
      </c>
      <c r="AL34" s="93">
        <v>1910838487.8156781</v>
      </c>
      <c r="AM34" s="93">
        <v>5484023.5988551406</v>
      </c>
      <c r="AN34" s="93">
        <v>134338813.457647</v>
      </c>
      <c r="AO34" s="93">
        <v>25041792.525464103</v>
      </c>
      <c r="AP34" s="93">
        <v>2075703117.3976445</v>
      </c>
      <c r="AQ34" s="93">
        <v>24954588.829289552</v>
      </c>
      <c r="AR34" s="14"/>
    </row>
    <row r="35" spans="1:44" x14ac:dyDescent="0.2">
      <c r="A35" s="94"/>
      <c r="B35" s="92">
        <v>4</v>
      </c>
      <c r="C35" s="93">
        <v>589.99999999999795</v>
      </c>
      <c r="D35" s="93">
        <v>592266.12904024299</v>
      </c>
      <c r="E35" s="93">
        <v>877511591.48910809</v>
      </c>
      <c r="F35" s="93">
        <v>180149.25</v>
      </c>
      <c r="G35" s="93">
        <v>21411649.458347499</v>
      </c>
      <c r="H35" s="93">
        <v>2073061.9912543301</v>
      </c>
      <c r="I35" s="93">
        <v>10585101.780778101</v>
      </c>
      <c r="J35" s="93">
        <v>1299548.35473831</v>
      </c>
      <c r="K35" s="93">
        <v>190868482.62953398</v>
      </c>
      <c r="L35" s="93">
        <v>6595373.1374048702</v>
      </c>
      <c r="M35" s="93">
        <v>208743664.37170663</v>
      </c>
      <c r="N35" s="93">
        <v>11835252.3432499</v>
      </c>
      <c r="O35" s="93">
        <v>141471366.0658173</v>
      </c>
      <c r="P35" s="93">
        <v>15163632.515629001</v>
      </c>
      <c r="Q35" s="93">
        <v>311646.21913257602</v>
      </c>
      <c r="R35" s="93">
        <v>75786980.599461794</v>
      </c>
      <c r="S35" s="93">
        <v>38665878.6088783</v>
      </c>
      <c r="T35" s="93">
        <v>0</v>
      </c>
      <c r="U35" s="93">
        <v>11143656.9381669</v>
      </c>
      <c r="V35" s="93">
        <v>1657416.06647457</v>
      </c>
      <c r="W35" s="93">
        <v>5970388.8446817398</v>
      </c>
      <c r="X35" s="93">
        <v>35346660.465884998</v>
      </c>
      <c r="Y35" s="93">
        <v>8930452.8155415189</v>
      </c>
      <c r="Z35" s="93">
        <v>581834.42567383207</v>
      </c>
      <c r="AA35" s="93">
        <v>87227.212893670498</v>
      </c>
      <c r="AB35" s="93">
        <v>4414.6576666666597</v>
      </c>
      <c r="AC35" s="93">
        <v>358424.61092286604</v>
      </c>
      <c r="AD35" s="93">
        <v>1022348.5708243899</v>
      </c>
      <c r="AE35" s="93">
        <v>2936317.3313032798</v>
      </c>
      <c r="AF35" s="93">
        <v>491986.97787332599</v>
      </c>
      <c r="AG35" s="93">
        <v>179371.453009889</v>
      </c>
      <c r="AH35" s="93">
        <v>145885.18655273502</v>
      </c>
      <c r="AI35" s="93">
        <v>206712.434927717</v>
      </c>
      <c r="AJ35" s="93">
        <v>170325.69587352601</v>
      </c>
      <c r="AK35" s="93">
        <v>6922.68973100925</v>
      </c>
      <c r="AL35" s="93">
        <v>1672336581.322084</v>
      </c>
      <c r="AM35" s="93">
        <v>5062130.9366103997</v>
      </c>
      <c r="AN35" s="93">
        <v>121817228.61851901</v>
      </c>
      <c r="AO35" s="93">
        <v>22364218.478594698</v>
      </c>
      <c r="AP35" s="93">
        <v>1821580159.3558083</v>
      </c>
      <c r="AQ35" s="93">
        <v>23829791.223515149</v>
      </c>
      <c r="AR35" s="14"/>
    </row>
    <row r="36" spans="1:44" x14ac:dyDescent="0.2">
      <c r="A36" s="94"/>
      <c r="B36" s="92">
        <v>5</v>
      </c>
      <c r="C36" s="93">
        <v>589.99999999999795</v>
      </c>
      <c r="D36" s="93">
        <v>442329.94441616395</v>
      </c>
      <c r="E36" s="93">
        <v>767554271.0998131</v>
      </c>
      <c r="F36" s="93">
        <v>165744.375</v>
      </c>
      <c r="G36" s="93">
        <v>19339546.206479698</v>
      </c>
      <c r="H36" s="93">
        <v>1867431.36092584</v>
      </c>
      <c r="I36" s="93">
        <v>10199718.670936801</v>
      </c>
      <c r="J36" s="93">
        <v>1184975.72317761</v>
      </c>
      <c r="K36" s="93">
        <v>190411825.23424414</v>
      </c>
      <c r="L36" s="93">
        <v>6284993.7577957902</v>
      </c>
      <c r="M36" s="93">
        <v>214085645.3909218</v>
      </c>
      <c r="N36" s="93">
        <v>11705193.4627419</v>
      </c>
      <c r="O36" s="93">
        <v>146297234.46339956</v>
      </c>
      <c r="P36" s="93">
        <v>15687398.3561555</v>
      </c>
      <c r="Q36" s="93">
        <v>741102.53632224398</v>
      </c>
      <c r="R36" s="93">
        <v>76554890.841276094</v>
      </c>
      <c r="S36" s="93">
        <v>39834245.634583294</v>
      </c>
      <c r="T36" s="93">
        <v>299910.25243993104</v>
      </c>
      <c r="U36" s="93">
        <v>9642624.6301536188</v>
      </c>
      <c r="V36" s="93">
        <v>1661023.9665256699</v>
      </c>
      <c r="W36" s="93">
        <v>6695629.3479345208</v>
      </c>
      <c r="X36" s="93">
        <v>35804703.256822094</v>
      </c>
      <c r="Y36" s="93">
        <v>8959545.7044346686</v>
      </c>
      <c r="Z36" s="93">
        <v>462777.27117958397</v>
      </c>
      <c r="AA36" s="93">
        <v>67729.112893822705</v>
      </c>
      <c r="AB36" s="93">
        <v>4414.6576666666597</v>
      </c>
      <c r="AC36" s="93">
        <v>344852.33380682702</v>
      </c>
      <c r="AD36" s="93">
        <v>975672.84283020301</v>
      </c>
      <c r="AE36" s="93">
        <v>2802258.6032219003</v>
      </c>
      <c r="AF36" s="93">
        <v>469525.117984012</v>
      </c>
      <c r="AG36" s="93">
        <v>171592.801902712</v>
      </c>
      <c r="AH36" s="93">
        <v>134767.930240474</v>
      </c>
      <c r="AI36" s="93">
        <v>388269.03394364304</v>
      </c>
      <c r="AJ36" s="93">
        <v>165365.177449251</v>
      </c>
      <c r="AK36" s="93">
        <v>6860.1110005933197</v>
      </c>
      <c r="AL36" s="93">
        <v>1571414659.2106194</v>
      </c>
      <c r="AM36" s="93">
        <v>5568934.46821154</v>
      </c>
      <c r="AN36" s="93">
        <v>124348421.124295</v>
      </c>
      <c r="AO36" s="93">
        <v>24184893.394207697</v>
      </c>
      <c r="AP36" s="93">
        <v>1725516908.1973338</v>
      </c>
      <c r="AQ36" s="93">
        <v>23785628.059987836</v>
      </c>
      <c r="AR36" s="14"/>
    </row>
    <row r="37" spans="1:44" x14ac:dyDescent="0.2">
      <c r="A37" s="94"/>
      <c r="B37" s="92">
        <v>6</v>
      </c>
      <c r="C37" s="93">
        <v>589.99999999999795</v>
      </c>
      <c r="D37" s="93">
        <v>317417.071357865</v>
      </c>
      <c r="E37" s="93">
        <v>737657927.116436</v>
      </c>
      <c r="F37" s="93">
        <v>183269.5</v>
      </c>
      <c r="G37" s="93">
        <v>18138742.423426598</v>
      </c>
      <c r="H37" s="93">
        <v>1683078.4039176202</v>
      </c>
      <c r="I37" s="93">
        <v>9571117.8531286903</v>
      </c>
      <c r="J37" s="93">
        <v>1063098.8035039399</v>
      </c>
      <c r="K37" s="93">
        <v>186664506.34793228</v>
      </c>
      <c r="L37" s="93">
        <v>6174456.0659597497</v>
      </c>
      <c r="M37" s="93">
        <v>214649298.80665922</v>
      </c>
      <c r="N37" s="93">
        <v>11964667.9763579</v>
      </c>
      <c r="O37" s="93">
        <v>148046186.90619311</v>
      </c>
      <c r="P37" s="93">
        <v>16392000.6799962</v>
      </c>
      <c r="Q37" s="93">
        <v>1480583.1046152599</v>
      </c>
      <c r="R37" s="93">
        <v>75731615.558733806</v>
      </c>
      <c r="S37" s="93">
        <v>41467864.954629496</v>
      </c>
      <c r="T37" s="93">
        <v>643461.18404224794</v>
      </c>
      <c r="U37" s="93">
        <v>8122020.7298582597</v>
      </c>
      <c r="V37" s="93">
        <v>1814243.8144395901</v>
      </c>
      <c r="W37" s="93">
        <v>7358053.9601916401</v>
      </c>
      <c r="X37" s="93">
        <v>34987382.815867506</v>
      </c>
      <c r="Y37" s="93">
        <v>8477243.8547867611</v>
      </c>
      <c r="Z37" s="93">
        <v>384815.00268465799</v>
      </c>
      <c r="AA37" s="93">
        <v>63429.272893754896</v>
      </c>
      <c r="AB37" s="93">
        <v>4414.6576666666597</v>
      </c>
      <c r="AC37" s="93">
        <v>328957.29020345403</v>
      </c>
      <c r="AD37" s="93">
        <v>923227.86022684106</v>
      </c>
      <c r="AE37" s="93">
        <v>2651629.8296774998</v>
      </c>
      <c r="AF37" s="93">
        <v>444286.90742453397</v>
      </c>
      <c r="AG37" s="93">
        <v>163918.924995218</v>
      </c>
      <c r="AH37" s="93">
        <v>133469.323135226</v>
      </c>
      <c r="AI37" s="93">
        <v>214073.755304986</v>
      </c>
      <c r="AJ37" s="93">
        <v>155161.66611457002</v>
      </c>
      <c r="AK37" s="93">
        <v>6309.5493432162802</v>
      </c>
      <c r="AL37" s="93">
        <v>1538062521.971704</v>
      </c>
      <c r="AM37" s="93">
        <v>5239551.0849824008</v>
      </c>
      <c r="AN37" s="93">
        <v>137217798.245478</v>
      </c>
      <c r="AO37" s="93">
        <v>26253120.661792599</v>
      </c>
      <c r="AP37" s="93">
        <v>1706772991.9639568</v>
      </c>
      <c r="AQ37" s="93">
        <v>23967784.899174068</v>
      </c>
      <c r="AR37" s="14"/>
    </row>
    <row r="38" spans="1:44" x14ac:dyDescent="0.2">
      <c r="A38" s="94"/>
      <c r="B38" s="92">
        <v>7</v>
      </c>
      <c r="C38" s="93">
        <v>589.99999999999795</v>
      </c>
      <c r="D38" s="93">
        <v>274419.219392706</v>
      </c>
      <c r="E38" s="93">
        <v>822013176.04654789</v>
      </c>
      <c r="F38" s="93">
        <v>214898.875</v>
      </c>
      <c r="G38" s="93">
        <v>18456126.325851399</v>
      </c>
      <c r="H38" s="93">
        <v>1788522.4567229501</v>
      </c>
      <c r="I38" s="93">
        <v>10243834.1953147</v>
      </c>
      <c r="J38" s="93">
        <v>1385101.56788694</v>
      </c>
      <c r="K38" s="93">
        <v>201029355.72432807</v>
      </c>
      <c r="L38" s="93">
        <v>5843413.3700805493</v>
      </c>
      <c r="M38" s="93">
        <v>229882586.04242882</v>
      </c>
      <c r="N38" s="93">
        <v>11346815.6153601</v>
      </c>
      <c r="O38" s="93">
        <v>162849950.5739533</v>
      </c>
      <c r="P38" s="93">
        <v>15585423.048127702</v>
      </c>
      <c r="Q38" s="93">
        <v>2703240.3455343302</v>
      </c>
      <c r="R38" s="93">
        <v>80550201.991970897</v>
      </c>
      <c r="S38" s="93">
        <v>39662837.8602328</v>
      </c>
      <c r="T38" s="93">
        <v>673596.86640973703</v>
      </c>
      <c r="U38" s="93">
        <v>6346253.8165205</v>
      </c>
      <c r="V38" s="93">
        <v>2141273.88263486</v>
      </c>
      <c r="W38" s="93">
        <v>7998083.7957150601</v>
      </c>
      <c r="X38" s="93">
        <v>36315961.874323599</v>
      </c>
      <c r="Y38" s="93">
        <v>9227044.0456077512</v>
      </c>
      <c r="Z38" s="93">
        <v>417817.89733763901</v>
      </c>
      <c r="AA38" s="93">
        <v>63472.684004793104</v>
      </c>
      <c r="AB38" s="93">
        <v>4414.6576666666597</v>
      </c>
      <c r="AC38" s="93">
        <v>398487.14156377898</v>
      </c>
      <c r="AD38" s="93">
        <v>1109455.9021401301</v>
      </c>
      <c r="AE38" s="93">
        <v>3186500.8537585898</v>
      </c>
      <c r="AF38" s="93">
        <v>533905.82425082591</v>
      </c>
      <c r="AG38" s="93">
        <v>173207.802601353</v>
      </c>
      <c r="AH38" s="93">
        <v>136331.842819093</v>
      </c>
      <c r="AI38" s="93">
        <v>222554.959022575</v>
      </c>
      <c r="AJ38" s="93">
        <v>166808.92835504402</v>
      </c>
      <c r="AK38" s="93">
        <v>6971.4859579096192</v>
      </c>
      <c r="AL38" s="93">
        <v>1672952637.5194232</v>
      </c>
      <c r="AM38" s="93">
        <v>5346183.1896778503</v>
      </c>
      <c r="AN38" s="93">
        <v>143509151.45085099</v>
      </c>
      <c r="AO38" s="93">
        <v>27120495.529288698</v>
      </c>
      <c r="AP38" s="93">
        <v>1848928467.6892409</v>
      </c>
      <c r="AQ38" s="93">
        <v>26501194.898765493</v>
      </c>
      <c r="AR38" s="14"/>
    </row>
    <row r="39" spans="1:44" x14ac:dyDescent="0.2">
      <c r="A39" s="94"/>
      <c r="B39" s="92">
        <v>8</v>
      </c>
      <c r="C39" s="93">
        <v>589.99999999999795</v>
      </c>
      <c r="D39" s="93">
        <v>267056.67015937698</v>
      </c>
      <c r="E39" s="93">
        <v>830658355.40461993</v>
      </c>
      <c r="F39" s="93">
        <v>236361</v>
      </c>
      <c r="G39" s="93">
        <v>18357623.586616099</v>
      </c>
      <c r="H39" s="93">
        <v>1689543.42946536</v>
      </c>
      <c r="I39" s="93">
        <v>10144136.611567799</v>
      </c>
      <c r="J39" s="93">
        <v>2076672.4712672399</v>
      </c>
      <c r="K39" s="93">
        <v>201621493.41880351</v>
      </c>
      <c r="L39" s="93">
        <v>6367276.0653132703</v>
      </c>
      <c r="M39" s="93">
        <v>230754789.90722033</v>
      </c>
      <c r="N39" s="93">
        <v>12530868.3638475</v>
      </c>
      <c r="O39" s="93">
        <v>165214434.89131993</v>
      </c>
      <c r="P39" s="93">
        <v>17226694.4659089</v>
      </c>
      <c r="Q39" s="93">
        <v>4030741.6132977302</v>
      </c>
      <c r="R39" s="93">
        <v>79591825.9573735</v>
      </c>
      <c r="S39" s="93">
        <v>43046654.145235695</v>
      </c>
      <c r="T39" s="93">
        <v>953376.91289674002</v>
      </c>
      <c r="U39" s="93">
        <v>5260719.6777191302</v>
      </c>
      <c r="V39" s="93">
        <v>2132451.5112004899</v>
      </c>
      <c r="W39" s="93">
        <v>7410048.0363303404</v>
      </c>
      <c r="X39" s="93">
        <v>36382668.357429698</v>
      </c>
      <c r="Y39" s="93">
        <v>9305627.3534961604</v>
      </c>
      <c r="Z39" s="93">
        <v>404574.572026218</v>
      </c>
      <c r="AA39" s="93">
        <v>66369.617323953091</v>
      </c>
      <c r="AB39" s="93">
        <v>4414.6576666666597</v>
      </c>
      <c r="AC39" s="93">
        <v>367219.93209872395</v>
      </c>
      <c r="AD39" s="93">
        <v>1014322.1015277699</v>
      </c>
      <c r="AE39" s="93">
        <v>2913264.27329798</v>
      </c>
      <c r="AF39" s="93">
        <v>488124.38297670096</v>
      </c>
      <c r="AG39" s="93">
        <v>168618.21301884501</v>
      </c>
      <c r="AH39" s="93">
        <v>136601.33687633398</v>
      </c>
      <c r="AI39" s="93">
        <v>205355.76647482198</v>
      </c>
      <c r="AJ39" s="93">
        <v>159457.27997196</v>
      </c>
      <c r="AK39" s="93">
        <v>6521.94769436344</v>
      </c>
      <c r="AL39" s="93">
        <v>1691194853.9320428</v>
      </c>
      <c r="AM39" s="93">
        <v>5373046.0698584504</v>
      </c>
      <c r="AN39" s="93">
        <v>142970816.71052498</v>
      </c>
      <c r="AO39" s="93">
        <v>28209887.363599099</v>
      </c>
      <c r="AP39" s="93">
        <v>1867748604.0760255</v>
      </c>
      <c r="AQ39" s="93">
        <v>27158082.160451736</v>
      </c>
      <c r="AR39" s="14"/>
    </row>
    <row r="40" spans="1:44" x14ac:dyDescent="0.2">
      <c r="A40" s="94"/>
      <c r="B40" s="92">
        <v>9</v>
      </c>
      <c r="C40" s="93">
        <v>589.99999999999795</v>
      </c>
      <c r="D40" s="93">
        <v>303110.67138244299</v>
      </c>
      <c r="E40" s="93">
        <v>756916021.87698495</v>
      </c>
      <c r="F40" s="93">
        <v>198473.625</v>
      </c>
      <c r="G40" s="93">
        <v>16619578.5002794</v>
      </c>
      <c r="H40" s="93">
        <v>1528937.6751025601</v>
      </c>
      <c r="I40" s="93">
        <v>9118463.4699794296</v>
      </c>
      <c r="J40" s="93">
        <v>1346793.1645666398</v>
      </c>
      <c r="K40" s="93">
        <v>182102344.55639723</v>
      </c>
      <c r="L40" s="93">
        <v>5822270.8241533404</v>
      </c>
      <c r="M40" s="93">
        <v>209219868.22361597</v>
      </c>
      <c r="N40" s="93">
        <v>11398345.368721701</v>
      </c>
      <c r="O40" s="93">
        <v>144676141.33859101</v>
      </c>
      <c r="P40" s="93">
        <v>15137719.0505099</v>
      </c>
      <c r="Q40" s="93">
        <v>2885460.3666402199</v>
      </c>
      <c r="R40" s="93">
        <v>71114545.3168661</v>
      </c>
      <c r="S40" s="93">
        <v>39146668.047164403</v>
      </c>
      <c r="T40" s="93">
        <v>761865.61820814305</v>
      </c>
      <c r="U40" s="93">
        <v>5810505.1698665302</v>
      </c>
      <c r="V40" s="93">
        <v>1843280.40016838</v>
      </c>
      <c r="W40" s="93">
        <v>6308812.7442337796</v>
      </c>
      <c r="X40" s="93">
        <v>35632375.563817099</v>
      </c>
      <c r="Y40" s="93">
        <v>8119482.5304721696</v>
      </c>
      <c r="Z40" s="93">
        <v>503509.50680557499</v>
      </c>
      <c r="AA40" s="93">
        <v>67440.283997858001</v>
      </c>
      <c r="AB40" s="93">
        <v>4414.6576666666597</v>
      </c>
      <c r="AC40" s="93">
        <v>372452.66703658004</v>
      </c>
      <c r="AD40" s="93">
        <v>1020708.5915068099</v>
      </c>
      <c r="AE40" s="93">
        <v>2931607.0985797201</v>
      </c>
      <c r="AF40" s="93">
        <v>491197.76713713101</v>
      </c>
      <c r="AG40" s="93">
        <v>170001.53155285801</v>
      </c>
      <c r="AH40" s="93">
        <v>133365.09094338899</v>
      </c>
      <c r="AI40" s="93">
        <v>257129.71546800499</v>
      </c>
      <c r="AJ40" s="93">
        <v>163771.41360727799</v>
      </c>
      <c r="AK40" s="93">
        <v>6888.1925323934602</v>
      </c>
      <c r="AL40" s="93">
        <v>1532134140.6195557</v>
      </c>
      <c r="AM40" s="93">
        <v>4801904.1280527702</v>
      </c>
      <c r="AN40" s="93">
        <v>134549772.49630401</v>
      </c>
      <c r="AO40" s="93">
        <v>26074211.999779601</v>
      </c>
      <c r="AP40" s="93">
        <v>1697560029.2436922</v>
      </c>
      <c r="AQ40" s="93">
        <v>24727065.127612658</v>
      </c>
      <c r="AR40" s="14"/>
    </row>
    <row r="41" spans="1:44" x14ac:dyDescent="0.2">
      <c r="A41" s="94"/>
      <c r="B41" s="92">
        <v>10</v>
      </c>
      <c r="C41" s="93">
        <v>589.99999999999795</v>
      </c>
      <c r="D41" s="93">
        <v>474772.107964947</v>
      </c>
      <c r="E41" s="93">
        <v>881188992.76768494</v>
      </c>
      <c r="F41" s="93">
        <v>173928</v>
      </c>
      <c r="G41" s="93">
        <v>18427848.7248124</v>
      </c>
      <c r="H41" s="93">
        <v>1635781.4968052502</v>
      </c>
      <c r="I41" s="93">
        <v>10031291.786978999</v>
      </c>
      <c r="J41" s="93">
        <v>1147681.0488949399</v>
      </c>
      <c r="K41" s="93">
        <v>190211381.93083814</v>
      </c>
      <c r="L41" s="93">
        <v>5741410.8005457297</v>
      </c>
      <c r="M41" s="93">
        <v>221085247.44642177</v>
      </c>
      <c r="N41" s="93">
        <v>11395364.8786947</v>
      </c>
      <c r="O41" s="93">
        <v>150945989.63569167</v>
      </c>
      <c r="P41" s="93">
        <v>15386289.6608126</v>
      </c>
      <c r="Q41" s="93">
        <v>1294622.0135055101</v>
      </c>
      <c r="R41" s="93">
        <v>75413146.833616003</v>
      </c>
      <c r="S41" s="93">
        <v>39778660.406992503</v>
      </c>
      <c r="T41" s="93">
        <v>770838.94094505999</v>
      </c>
      <c r="U41" s="93">
        <v>8380721.6529825488</v>
      </c>
      <c r="V41" s="93">
        <v>1494876.8527957799</v>
      </c>
      <c r="W41" s="93">
        <v>6086310.7405262804</v>
      </c>
      <c r="X41" s="93">
        <v>36125701.927531399</v>
      </c>
      <c r="Y41" s="93">
        <v>8510064.7214085497</v>
      </c>
      <c r="Z41" s="93">
        <v>653495.96069293597</v>
      </c>
      <c r="AA41" s="93">
        <v>71363.639537717099</v>
      </c>
      <c r="AB41" s="93">
        <v>4414.6576666666597</v>
      </c>
      <c r="AC41" s="93">
        <v>418032.13794914098</v>
      </c>
      <c r="AD41" s="93">
        <v>1136705.8569888701</v>
      </c>
      <c r="AE41" s="93">
        <v>3264766.2487354199</v>
      </c>
      <c r="AF41" s="93">
        <v>547019.37799933099</v>
      </c>
      <c r="AG41" s="93">
        <v>177439.32313084599</v>
      </c>
      <c r="AH41" s="93">
        <v>144167.89269799902</v>
      </c>
      <c r="AI41" s="93">
        <v>459229.97784144402</v>
      </c>
      <c r="AJ41" s="93">
        <v>168095.101033866</v>
      </c>
      <c r="AK41" s="93">
        <v>6869.84538536729</v>
      </c>
      <c r="AL41" s="93">
        <v>1692753114.3961096</v>
      </c>
      <c r="AM41" s="93">
        <v>4615913.6654481199</v>
      </c>
      <c r="AN41" s="93">
        <v>134727410.58497098</v>
      </c>
      <c r="AO41" s="93">
        <v>26484735.975370802</v>
      </c>
      <c r="AP41" s="93">
        <v>1858581174.6218996</v>
      </c>
      <c r="AQ41" s="93">
        <v>24717579.058784436</v>
      </c>
      <c r="AR41" s="14"/>
    </row>
    <row r="42" spans="1:44" x14ac:dyDescent="0.2">
      <c r="A42" s="94"/>
      <c r="B42" s="92">
        <v>11</v>
      </c>
      <c r="C42" s="93">
        <v>589.99999999999795</v>
      </c>
      <c r="D42" s="93">
        <v>656669.09733170806</v>
      </c>
      <c r="E42" s="93">
        <v>1059308217.9364599</v>
      </c>
      <c r="F42" s="93">
        <v>196629.25</v>
      </c>
      <c r="G42" s="93">
        <v>20825605.567074701</v>
      </c>
      <c r="H42" s="93">
        <v>1802816.37081693</v>
      </c>
      <c r="I42" s="93">
        <v>11281760.0057292</v>
      </c>
      <c r="J42" s="93">
        <v>1234099.0251460802</v>
      </c>
      <c r="K42" s="93">
        <v>199449053.79797482</v>
      </c>
      <c r="L42" s="93">
        <v>6063555.1743765203</v>
      </c>
      <c r="M42" s="93">
        <v>222733521.80415848</v>
      </c>
      <c r="N42" s="93">
        <v>11197016.7958409</v>
      </c>
      <c r="O42" s="93">
        <v>152201462.22259325</v>
      </c>
      <c r="P42" s="93">
        <v>14371835.722085699</v>
      </c>
      <c r="Q42" s="93">
        <v>370839.34461920499</v>
      </c>
      <c r="R42" s="93">
        <v>76420074.828350097</v>
      </c>
      <c r="S42" s="93">
        <v>37836756.741103001</v>
      </c>
      <c r="T42" s="93">
        <v>304210.38193558296</v>
      </c>
      <c r="U42" s="93">
        <v>10868036.133886199</v>
      </c>
      <c r="V42" s="93">
        <v>1509967.8745148401</v>
      </c>
      <c r="W42" s="93">
        <v>5064387.5395080708</v>
      </c>
      <c r="X42" s="93">
        <v>35669962.394413397</v>
      </c>
      <c r="Y42" s="93">
        <v>8266443.1939102709</v>
      </c>
      <c r="Z42" s="93">
        <v>675864.35823980696</v>
      </c>
      <c r="AA42" s="93">
        <v>89630.050449432907</v>
      </c>
      <c r="AB42" s="93">
        <v>4414.6576666666597</v>
      </c>
      <c r="AC42" s="93">
        <v>365595.57111913804</v>
      </c>
      <c r="AD42" s="93">
        <v>986446.16485388298</v>
      </c>
      <c r="AE42" s="93">
        <v>2833200.9775515599</v>
      </c>
      <c r="AF42" s="93">
        <v>474709.58666264801</v>
      </c>
      <c r="AG42" s="93">
        <v>167044.37367906398</v>
      </c>
      <c r="AH42" s="93">
        <v>131064.17142952001</v>
      </c>
      <c r="AI42" s="93">
        <v>227612.20125062598</v>
      </c>
      <c r="AJ42" s="93">
        <v>161053.68912203598</v>
      </c>
      <c r="AK42" s="93">
        <v>6722.3942058030398</v>
      </c>
      <c r="AL42" s="93">
        <v>1883756869.3980589</v>
      </c>
      <c r="AM42" s="93">
        <v>4528884.3870075094</v>
      </c>
      <c r="AN42" s="93">
        <v>133182130.83627599</v>
      </c>
      <c r="AO42" s="93">
        <v>24974975.439074099</v>
      </c>
      <c r="AP42" s="93">
        <v>2046442860.0604165</v>
      </c>
      <c r="AQ42" s="93">
        <v>26154662.348557077</v>
      </c>
      <c r="AR42" s="14"/>
    </row>
    <row r="43" spans="1:44" x14ac:dyDescent="0.2">
      <c r="A43" s="95"/>
      <c r="B43" s="96">
        <v>12</v>
      </c>
      <c r="C43" s="97">
        <v>589.99999999999795</v>
      </c>
      <c r="D43" s="97">
        <v>859619.25940795196</v>
      </c>
      <c r="E43" s="97">
        <v>1270186855.0996799</v>
      </c>
      <c r="F43" s="97">
        <v>242994.14285714302</v>
      </c>
      <c r="G43" s="97">
        <v>26873719.8754966</v>
      </c>
      <c r="H43" s="97">
        <v>2289304.87447643</v>
      </c>
      <c r="I43" s="97">
        <v>13289575.0196367</v>
      </c>
      <c r="J43" s="97">
        <v>1471115.5641758</v>
      </c>
      <c r="K43" s="97">
        <v>231012537.56538981</v>
      </c>
      <c r="L43" s="97">
        <v>6337408.2628627298</v>
      </c>
      <c r="M43" s="97">
        <v>250443937.35652453</v>
      </c>
      <c r="N43" s="97">
        <v>11043893.417281602</v>
      </c>
      <c r="O43" s="97">
        <v>161558252.27460113</v>
      </c>
      <c r="P43" s="97">
        <v>13454320.617386499</v>
      </c>
      <c r="Q43" s="97">
        <v>265899.67183676705</v>
      </c>
      <c r="R43" s="97">
        <v>80989514.5057825</v>
      </c>
      <c r="S43" s="97">
        <v>35875422.244685397</v>
      </c>
      <c r="T43" s="97">
        <v>0</v>
      </c>
      <c r="U43" s="97">
        <v>14086516.423654301</v>
      </c>
      <c r="V43" s="97">
        <v>1679046.4112939301</v>
      </c>
      <c r="W43" s="97">
        <v>5438437.9359549405</v>
      </c>
      <c r="X43" s="97">
        <v>36702470.598051704</v>
      </c>
      <c r="Y43" s="97">
        <v>8746118.298738841</v>
      </c>
      <c r="Z43" s="97">
        <v>862750.37856237101</v>
      </c>
      <c r="AA43" s="97">
        <v>108908.459927082</v>
      </c>
      <c r="AB43" s="97">
        <v>4414.6576666666597</v>
      </c>
      <c r="AC43" s="97">
        <v>399042.11335168901</v>
      </c>
      <c r="AD43" s="97">
        <v>1068442.4090053898</v>
      </c>
      <c r="AE43" s="97">
        <v>3068704.7965765302</v>
      </c>
      <c r="AF43" s="97">
        <v>514168.81368982105</v>
      </c>
      <c r="AG43" s="97">
        <v>173066.413562328</v>
      </c>
      <c r="AH43" s="97">
        <v>140038.50931876901</v>
      </c>
      <c r="AI43" s="97">
        <v>232671.90389623999</v>
      </c>
      <c r="AJ43" s="97">
        <v>163543.659256996</v>
      </c>
      <c r="AK43" s="97">
        <v>6711.9162470645206</v>
      </c>
      <c r="AL43" s="97">
        <v>2179590013.4508367</v>
      </c>
      <c r="AM43" s="97">
        <v>4933232.1417644601</v>
      </c>
      <c r="AN43" s="97">
        <v>136194201.50898901</v>
      </c>
      <c r="AO43" s="97">
        <v>25586215.413951799</v>
      </c>
      <c r="AP43" s="97">
        <v>2346303662.515542</v>
      </c>
      <c r="AQ43" s="97">
        <v>28887425.540378567</v>
      </c>
      <c r="AR43" s="14"/>
    </row>
    <row r="44" spans="1:44" x14ac:dyDescent="0.2">
      <c r="A44" s="92">
        <f>A32+1</f>
        <v>2026</v>
      </c>
      <c r="B44" s="92">
        <v>1</v>
      </c>
      <c r="C44" s="93">
        <v>589.99999999999795</v>
      </c>
      <c r="D44" s="93">
        <v>853249.12199541705</v>
      </c>
      <c r="E44" s="93">
        <v>1214040343.43752</v>
      </c>
      <c r="F44" s="93">
        <v>259810</v>
      </c>
      <c r="G44" s="93">
        <v>27833973.042642999</v>
      </c>
      <c r="H44" s="93">
        <v>2479364.3647743501</v>
      </c>
      <c r="I44" s="93">
        <v>13577687.235211601</v>
      </c>
      <c r="J44" s="93">
        <v>1569602.91711176</v>
      </c>
      <c r="K44" s="93">
        <v>233885961.66370198</v>
      </c>
      <c r="L44" s="93">
        <v>7271461.9377455302</v>
      </c>
      <c r="M44" s="93">
        <v>241657615.77479783</v>
      </c>
      <c r="N44" s="93">
        <v>11772398.0517492</v>
      </c>
      <c r="O44" s="93">
        <v>160555453.89372543</v>
      </c>
      <c r="P44" s="93">
        <v>13961916.371476499</v>
      </c>
      <c r="Q44" s="93">
        <v>293055.22386494098</v>
      </c>
      <c r="R44" s="93">
        <v>81581168.856273696</v>
      </c>
      <c r="S44" s="93">
        <v>37899044.110239096</v>
      </c>
      <c r="T44" s="93">
        <v>0</v>
      </c>
      <c r="U44" s="93">
        <v>14755203.9716531</v>
      </c>
      <c r="V44" s="93">
        <v>1657664.11291561</v>
      </c>
      <c r="W44" s="93">
        <v>5697739.6445186595</v>
      </c>
      <c r="X44" s="93">
        <v>37300164.651859902</v>
      </c>
      <c r="Y44" s="93">
        <v>8769729.7235478703</v>
      </c>
      <c r="Z44" s="93">
        <v>872351.715543636</v>
      </c>
      <c r="AA44" s="93">
        <v>110190.418926181</v>
      </c>
      <c r="AB44" s="93">
        <v>4414.6576666666597</v>
      </c>
      <c r="AC44" s="93">
        <v>392895.52437462402</v>
      </c>
      <c r="AD44" s="93">
        <v>1043986.50039374</v>
      </c>
      <c r="AE44" s="93">
        <v>2998464.2637890903</v>
      </c>
      <c r="AF44" s="93">
        <v>502399.844756559</v>
      </c>
      <c r="AG44" s="93">
        <v>173478.11337212802</v>
      </c>
      <c r="AH44" s="93">
        <v>132695.00309495299</v>
      </c>
      <c r="AI44" s="93">
        <v>346118.288693938</v>
      </c>
      <c r="AJ44" s="93">
        <v>163560.165786103</v>
      </c>
      <c r="AK44" s="93">
        <v>6913.8102374667005</v>
      </c>
      <c r="AL44" s="93">
        <v>2124420666.4139609</v>
      </c>
      <c r="AM44" s="93">
        <v>5665993.2603046503</v>
      </c>
      <c r="AN44" s="93">
        <v>136994595.51820901</v>
      </c>
      <c r="AO44" s="93">
        <v>26217326.8273784</v>
      </c>
      <c r="AP44" s="93">
        <v>2293298582.0198531</v>
      </c>
      <c r="AQ44" s="93">
        <v>26657308.277561836</v>
      </c>
      <c r="AR44" s="14"/>
    </row>
    <row r="45" spans="1:44" x14ac:dyDescent="0.2">
      <c r="A45" s="94"/>
      <c r="B45" s="92">
        <v>2</v>
      </c>
      <c r="C45" s="93">
        <v>589.99999999999795</v>
      </c>
      <c r="D45" s="93">
        <v>849382.77955603099</v>
      </c>
      <c r="E45" s="93">
        <v>1053225509.23622</v>
      </c>
      <c r="F45" s="93">
        <v>233365.535</v>
      </c>
      <c r="G45" s="93">
        <v>24075470.931393899</v>
      </c>
      <c r="H45" s="93">
        <v>2097916.8383842697</v>
      </c>
      <c r="I45" s="93">
        <v>11452386.792209199</v>
      </c>
      <c r="J45" s="93">
        <v>1369698.13347657</v>
      </c>
      <c r="K45" s="93">
        <v>201562139.46438837</v>
      </c>
      <c r="L45" s="93">
        <v>6680744.0639489498</v>
      </c>
      <c r="M45" s="93">
        <v>213350289.15346244</v>
      </c>
      <c r="N45" s="93">
        <v>11559468.3280681</v>
      </c>
      <c r="O45" s="93">
        <v>143632903.04041654</v>
      </c>
      <c r="P45" s="93">
        <v>13885704.067085901</v>
      </c>
      <c r="Q45" s="93">
        <v>262228.75814679201</v>
      </c>
      <c r="R45" s="93">
        <v>73215067.316073611</v>
      </c>
      <c r="S45" s="93">
        <v>36524303.488803104</v>
      </c>
      <c r="T45" s="93">
        <v>0</v>
      </c>
      <c r="U45" s="93">
        <v>13311800.417861499</v>
      </c>
      <c r="V45" s="93">
        <v>1569777.9967467601</v>
      </c>
      <c r="W45" s="93">
        <v>5588955.6929596104</v>
      </c>
      <c r="X45" s="93">
        <v>33918999.253032103</v>
      </c>
      <c r="Y45" s="93">
        <v>8212042.3640871504</v>
      </c>
      <c r="Z45" s="93">
        <v>685651.86512669805</v>
      </c>
      <c r="AA45" s="93">
        <v>107716.87058862101</v>
      </c>
      <c r="AB45" s="93">
        <v>4414.6576666666597</v>
      </c>
      <c r="AC45" s="93">
        <v>351320.67905099702</v>
      </c>
      <c r="AD45" s="93">
        <v>926471.43969894701</v>
      </c>
      <c r="AE45" s="93">
        <v>2660945.80946287</v>
      </c>
      <c r="AF45" s="93">
        <v>445847.82207489398</v>
      </c>
      <c r="AG45" s="93">
        <v>172861.079371322</v>
      </c>
      <c r="AH45" s="93">
        <v>137696.50016861799</v>
      </c>
      <c r="AI45" s="93">
        <v>197009.250581945</v>
      </c>
      <c r="AJ45" s="93">
        <v>160830.46603374899</v>
      </c>
      <c r="AK45" s="93">
        <v>6623.7102473416107</v>
      </c>
      <c r="AL45" s="93">
        <v>1862436133.8013926</v>
      </c>
      <c r="AM45" s="93">
        <v>5129396.4606075594</v>
      </c>
      <c r="AN45" s="93">
        <v>123999676.60063401</v>
      </c>
      <c r="AO45" s="93">
        <v>23068879.0001311</v>
      </c>
      <c r="AP45" s="93">
        <v>2014634085.8627653</v>
      </c>
      <c r="AQ45" s="93">
        <v>23431945.037921585</v>
      </c>
      <c r="AR45" s="14"/>
    </row>
    <row r="46" spans="1:44" x14ac:dyDescent="0.2">
      <c r="A46" s="94"/>
      <c r="B46" s="92">
        <v>3</v>
      </c>
      <c r="C46" s="93">
        <v>589.99999999999795</v>
      </c>
      <c r="D46" s="93">
        <v>830319.70552040299</v>
      </c>
      <c r="E46" s="93">
        <v>1057124444.24268</v>
      </c>
      <c r="F46" s="93">
        <v>213526.34</v>
      </c>
      <c r="G46" s="93">
        <v>24874167.107802</v>
      </c>
      <c r="H46" s="93">
        <v>2337079.6171123805</v>
      </c>
      <c r="I46" s="93">
        <v>12253180.561729399</v>
      </c>
      <c r="J46" s="93">
        <v>1483646.0924941599</v>
      </c>
      <c r="K46" s="93">
        <v>217975009.50952119</v>
      </c>
      <c r="L46" s="93">
        <v>7376559.9988246802</v>
      </c>
      <c r="M46" s="93">
        <v>230700931.76862478</v>
      </c>
      <c r="N46" s="93">
        <v>12475049.0636409</v>
      </c>
      <c r="O46" s="93">
        <v>154531461.96041876</v>
      </c>
      <c r="P46" s="93">
        <v>15045853.714604501</v>
      </c>
      <c r="Q46" s="93">
        <v>286985.91789091198</v>
      </c>
      <c r="R46" s="93">
        <v>80611235.397937894</v>
      </c>
      <c r="S46" s="93">
        <v>39344767.1962194</v>
      </c>
      <c r="T46" s="93">
        <v>0</v>
      </c>
      <c r="U46" s="93">
        <v>14355392.4127765</v>
      </c>
      <c r="V46" s="93">
        <v>1622861.3355014899</v>
      </c>
      <c r="W46" s="93">
        <v>6527848.0111315306</v>
      </c>
      <c r="X46" s="93">
        <v>36828471.535218</v>
      </c>
      <c r="Y46" s="93">
        <v>8297977.1165822605</v>
      </c>
      <c r="Z46" s="93">
        <v>726209.23508725292</v>
      </c>
      <c r="AA46" s="93">
        <v>103698.75067091201</v>
      </c>
      <c r="AB46" s="93">
        <v>4414.6576666666597</v>
      </c>
      <c r="AC46" s="93">
        <v>422549.377599417</v>
      </c>
      <c r="AD46" s="93">
        <v>1105964.1211081902</v>
      </c>
      <c r="AE46" s="93">
        <v>3176472.0069896597</v>
      </c>
      <c r="AF46" s="93">
        <v>532225.46703575307</v>
      </c>
      <c r="AG46" s="93">
        <v>169703.31553200199</v>
      </c>
      <c r="AH46" s="93">
        <v>130414.52980040401</v>
      </c>
      <c r="AI46" s="93">
        <v>250011.78942084999</v>
      </c>
      <c r="AJ46" s="93">
        <v>160334.24356500601</v>
      </c>
      <c r="AK46" s="93">
        <v>6796.6725574841494</v>
      </c>
      <c r="AL46" s="93">
        <v>1931886152.7732651</v>
      </c>
      <c r="AM46" s="93">
        <v>5476025.4478914402</v>
      </c>
      <c r="AN46" s="93">
        <v>134142887.58479999</v>
      </c>
      <c r="AO46" s="93">
        <v>25005270.429340702</v>
      </c>
      <c r="AP46" s="93">
        <v>2096510336.2352972</v>
      </c>
      <c r="AQ46" s="93">
        <v>24954588.829289552</v>
      </c>
      <c r="AR46" s="14"/>
    </row>
    <row r="47" spans="1:44" x14ac:dyDescent="0.2">
      <c r="A47" s="94"/>
      <c r="B47" s="92">
        <v>4</v>
      </c>
      <c r="C47" s="93">
        <v>589.99999999999795</v>
      </c>
      <c r="D47" s="93">
        <v>590135.22026853403</v>
      </c>
      <c r="E47" s="93">
        <v>888886669.94300294</v>
      </c>
      <c r="F47" s="93">
        <v>180149.25</v>
      </c>
      <c r="G47" s="93">
        <v>21227397.6154068</v>
      </c>
      <c r="H47" s="93">
        <v>2043487.3877159201</v>
      </c>
      <c r="I47" s="93">
        <v>10514816.421212599</v>
      </c>
      <c r="J47" s="93">
        <v>1281008.8091132799</v>
      </c>
      <c r="K47" s="93">
        <v>191652353.16837284</v>
      </c>
      <c r="L47" s="93">
        <v>6427224.0190884201</v>
      </c>
      <c r="M47" s="93">
        <v>209196661.55378795</v>
      </c>
      <c r="N47" s="93">
        <v>11533512.4408805</v>
      </c>
      <c r="O47" s="93">
        <v>145900985.06643313</v>
      </c>
      <c r="P47" s="93">
        <v>14777035.520302599</v>
      </c>
      <c r="Q47" s="93">
        <v>308964.43647345097</v>
      </c>
      <c r="R47" s="93">
        <v>76290569.093501195</v>
      </c>
      <c r="S47" s="93">
        <v>37680091.563693404</v>
      </c>
      <c r="T47" s="93">
        <v>0</v>
      </c>
      <c r="U47" s="93">
        <v>11047763.3764892</v>
      </c>
      <c r="V47" s="93">
        <v>1657267.0994923101</v>
      </c>
      <c r="W47" s="93">
        <v>5968981.2163917702</v>
      </c>
      <c r="X47" s="93">
        <v>35345617.697009094</v>
      </c>
      <c r="Y47" s="93">
        <v>8929397.0943240393</v>
      </c>
      <c r="Z47" s="93">
        <v>527924.07170744007</v>
      </c>
      <c r="AA47" s="93">
        <v>87227.212893670498</v>
      </c>
      <c r="AB47" s="93">
        <v>4414.6576666666597</v>
      </c>
      <c r="AC47" s="93">
        <v>391749.10252597695</v>
      </c>
      <c r="AD47" s="93">
        <v>1017726.7524074001</v>
      </c>
      <c r="AE47" s="93">
        <v>2923042.87099959</v>
      </c>
      <c r="AF47" s="93">
        <v>489762.81036319898</v>
      </c>
      <c r="AG47" s="93">
        <v>179937.00258703</v>
      </c>
      <c r="AH47" s="93">
        <v>143680.91055399599</v>
      </c>
      <c r="AI47" s="93">
        <v>205777.932385205</v>
      </c>
      <c r="AJ47" s="93">
        <v>167464.56726833599</v>
      </c>
      <c r="AK47" s="93">
        <v>6944.5166392734</v>
      </c>
      <c r="AL47" s="93">
        <v>1687586330.4009578</v>
      </c>
      <c r="AM47" s="93">
        <v>5053713.9063199004</v>
      </c>
      <c r="AN47" s="93">
        <v>121614677.693617</v>
      </c>
      <c r="AO47" s="93">
        <v>22327032.497687601</v>
      </c>
      <c r="AP47" s="93">
        <v>1836581754.4985824</v>
      </c>
      <c r="AQ47" s="93">
        <v>23829791.223515149</v>
      </c>
      <c r="AR47" s="14"/>
    </row>
    <row r="48" spans="1:44" x14ac:dyDescent="0.2">
      <c r="A48" s="94"/>
      <c r="B48" s="92">
        <v>5</v>
      </c>
      <c r="C48" s="93">
        <v>589.99999999999795</v>
      </c>
      <c r="D48" s="93">
        <v>440199.03564444598</v>
      </c>
      <c r="E48" s="93">
        <v>778160010.17170501</v>
      </c>
      <c r="F48" s="93">
        <v>165744.375</v>
      </c>
      <c r="G48" s="93">
        <v>19166420.529314</v>
      </c>
      <c r="H48" s="93">
        <v>1837641.2549014301</v>
      </c>
      <c r="I48" s="93">
        <v>10133294.249761499</v>
      </c>
      <c r="J48" s="93">
        <v>1166072.4568148199</v>
      </c>
      <c r="K48" s="93">
        <v>191099851.00844046</v>
      </c>
      <c r="L48" s="93">
        <v>6093532.4070678595</v>
      </c>
      <c r="M48" s="93">
        <v>214384167.97618529</v>
      </c>
      <c r="N48" s="93">
        <v>11348615.2007304</v>
      </c>
      <c r="O48" s="93">
        <v>150269402.67398638</v>
      </c>
      <c r="P48" s="93">
        <v>15209509.1816513</v>
      </c>
      <c r="Q48" s="93">
        <v>734468.26077719592</v>
      </c>
      <c r="R48" s="93">
        <v>76772883.147121206</v>
      </c>
      <c r="S48" s="93">
        <v>38620764.958494194</v>
      </c>
      <c r="T48" s="93">
        <v>297225.48595222598</v>
      </c>
      <c r="U48" s="93">
        <v>9556304.8219778705</v>
      </c>
      <c r="V48" s="93">
        <v>1660860.58411482</v>
      </c>
      <c r="W48" s="93">
        <v>6694186.7191888001</v>
      </c>
      <c r="X48" s="93">
        <v>35803559.579946101</v>
      </c>
      <c r="Y48" s="93">
        <v>8958463.7328753788</v>
      </c>
      <c r="Z48" s="93">
        <v>412440.02312881296</v>
      </c>
      <c r="AA48" s="93">
        <v>67729.112893822705</v>
      </c>
      <c r="AB48" s="93">
        <v>4414.6576666666597</v>
      </c>
      <c r="AC48" s="93">
        <v>377276.856708445</v>
      </c>
      <c r="AD48" s="93">
        <v>972897.19857574906</v>
      </c>
      <c r="AE48" s="93">
        <v>2794286.59390681</v>
      </c>
      <c r="AF48" s="93">
        <v>468189.38879401702</v>
      </c>
      <c r="AG48" s="93">
        <v>171756.478136647</v>
      </c>
      <c r="AH48" s="93">
        <v>132311.21399323602</v>
      </c>
      <c r="AI48" s="93">
        <v>387164.46623821999</v>
      </c>
      <c r="AJ48" s="93">
        <v>162225.49043776401</v>
      </c>
      <c r="AK48" s="93">
        <v>6866.6546150136001</v>
      </c>
      <c r="AL48" s="93">
        <v>1584531325.9467454</v>
      </c>
      <c r="AM48" s="93">
        <v>5559173.1601370005</v>
      </c>
      <c r="AN48" s="93">
        <v>124130461.43126899</v>
      </c>
      <c r="AO48" s="93">
        <v>24142501.7667755</v>
      </c>
      <c r="AP48" s="93">
        <v>1738363462.3049269</v>
      </c>
      <c r="AQ48" s="93">
        <v>23785628.059987836</v>
      </c>
      <c r="AR48" s="14"/>
    </row>
    <row r="49" spans="1:44" x14ac:dyDescent="0.2">
      <c r="A49" s="94"/>
      <c r="B49" s="92">
        <v>6</v>
      </c>
      <c r="C49" s="93">
        <v>589.99999999999795</v>
      </c>
      <c r="D49" s="93">
        <v>317139.12673546799</v>
      </c>
      <c r="E49" s="93">
        <v>751631159.57672608</v>
      </c>
      <c r="F49" s="93">
        <v>183269.5</v>
      </c>
      <c r="G49" s="93">
        <v>17996459.068880003</v>
      </c>
      <c r="H49" s="93">
        <v>1656566.4338974899</v>
      </c>
      <c r="I49" s="93">
        <v>9529643.5284302998</v>
      </c>
      <c r="J49" s="93">
        <v>1046352.7959850201</v>
      </c>
      <c r="K49" s="93">
        <v>187528899.76367775</v>
      </c>
      <c r="L49" s="93">
        <v>5994164.6132515697</v>
      </c>
      <c r="M49" s="93">
        <v>215096084.46829641</v>
      </c>
      <c r="N49" s="93">
        <v>11615304.8344738</v>
      </c>
      <c r="O49" s="93">
        <v>151488229.49344936</v>
      </c>
      <c r="P49" s="93">
        <v>15913361.3336605</v>
      </c>
      <c r="Q49" s="93">
        <v>1468969.1610522501</v>
      </c>
      <c r="R49" s="93">
        <v>75730134.497674301</v>
      </c>
      <c r="S49" s="93">
        <v>40257021.192278698</v>
      </c>
      <c r="T49" s="93">
        <v>638413.76599920902</v>
      </c>
      <c r="U49" s="93">
        <v>8058310.2295289598</v>
      </c>
      <c r="V49" s="93">
        <v>1814834.9197180001</v>
      </c>
      <c r="W49" s="93">
        <v>7356651.0228625899</v>
      </c>
      <c r="X49" s="93">
        <v>35001042.4228452</v>
      </c>
      <c r="Y49" s="93">
        <v>8476191.6517899707</v>
      </c>
      <c r="Z49" s="93">
        <v>336903.05874819303</v>
      </c>
      <c r="AA49" s="93">
        <v>63429.272893754896</v>
      </c>
      <c r="AB49" s="93">
        <v>4414.6576666666597</v>
      </c>
      <c r="AC49" s="93">
        <v>359171.05524435401</v>
      </c>
      <c r="AD49" s="93">
        <v>919423.015999628</v>
      </c>
      <c r="AE49" s="93">
        <v>2640701.82491855</v>
      </c>
      <c r="AF49" s="93">
        <v>442455.89414193603</v>
      </c>
      <c r="AG49" s="93">
        <v>163575.78211304999</v>
      </c>
      <c r="AH49" s="93">
        <v>130767.537783558</v>
      </c>
      <c r="AI49" s="93">
        <v>213191.50583314997</v>
      </c>
      <c r="AJ49" s="93">
        <v>151747.182902734</v>
      </c>
      <c r="AK49" s="93">
        <v>6296.3411249042301</v>
      </c>
      <c r="AL49" s="93">
        <v>1554230870.5305836</v>
      </c>
      <c r="AM49" s="93">
        <v>5234708.4113377295</v>
      </c>
      <c r="AN49" s="93">
        <v>137090974.20953199</v>
      </c>
      <c r="AO49" s="93">
        <v>26228856.122052997</v>
      </c>
      <c r="AP49" s="93">
        <v>1722785409.2735062</v>
      </c>
      <c r="AQ49" s="93">
        <v>23967784.899174068</v>
      </c>
      <c r="AR49" s="14"/>
    </row>
    <row r="50" spans="1:44" x14ac:dyDescent="0.2">
      <c r="A50" s="94"/>
      <c r="B50" s="92">
        <v>7</v>
      </c>
      <c r="C50" s="93">
        <v>589.99999999999795</v>
      </c>
      <c r="D50" s="93">
        <v>274419.219392706</v>
      </c>
      <c r="E50" s="93">
        <v>839048557.09608102</v>
      </c>
      <c r="F50" s="93">
        <v>214898.875</v>
      </c>
      <c r="G50" s="93">
        <v>18354393.220690601</v>
      </c>
      <c r="H50" s="93">
        <v>1763552.3108360402</v>
      </c>
      <c r="I50" s="93">
        <v>10229921.012628499</v>
      </c>
      <c r="J50" s="93">
        <v>1365763.7127270401</v>
      </c>
      <c r="K50" s="93">
        <v>202289775.5463554</v>
      </c>
      <c r="L50" s="93">
        <v>5672603.0260639302</v>
      </c>
      <c r="M50" s="93">
        <v>230775521.5396755</v>
      </c>
      <c r="N50" s="93">
        <v>11015133.881413899</v>
      </c>
      <c r="O50" s="93">
        <v>166296142.5133256</v>
      </c>
      <c r="P50" s="93">
        <v>15129841.4721046</v>
      </c>
      <c r="Q50" s="93">
        <v>2688339.6545934603</v>
      </c>
      <c r="R50" s="93">
        <v>80438328.581497386</v>
      </c>
      <c r="S50" s="93">
        <v>38503443.076651394</v>
      </c>
      <c r="T50" s="93">
        <v>669883.893295196</v>
      </c>
      <c r="U50" s="93">
        <v>6311272.2556287702</v>
      </c>
      <c r="V50" s="93">
        <v>2142678.7081020302</v>
      </c>
      <c r="W50" s="93">
        <v>7996673.0639520101</v>
      </c>
      <c r="X50" s="93">
        <v>36341648.739588805</v>
      </c>
      <c r="Y50" s="93">
        <v>9225985.99678546</v>
      </c>
      <c r="Z50" s="93">
        <v>359347.73262919299</v>
      </c>
      <c r="AA50" s="93">
        <v>63472.684004793104</v>
      </c>
      <c r="AB50" s="93">
        <v>4414.6576666666597</v>
      </c>
      <c r="AC50" s="93">
        <v>433482.126019291</v>
      </c>
      <c r="AD50" s="93">
        <v>1101579.3567149001</v>
      </c>
      <c r="AE50" s="93">
        <v>3163878.3965038504</v>
      </c>
      <c r="AF50" s="93">
        <v>530115.37753780396</v>
      </c>
      <c r="AG50" s="93">
        <v>173125.05811910701</v>
      </c>
      <c r="AH50" s="93">
        <v>133653.93174393501</v>
      </c>
      <c r="AI50" s="93">
        <v>220974.93746338401</v>
      </c>
      <c r="AJ50" s="93">
        <v>163396.72159043999</v>
      </c>
      <c r="AK50" s="93">
        <v>6968.1555536933502</v>
      </c>
      <c r="AL50" s="93">
        <v>1693103776.5319364</v>
      </c>
      <c r="AM50" s="93">
        <v>5342229.7698565898</v>
      </c>
      <c r="AN50" s="93">
        <v>143403028.651885</v>
      </c>
      <c r="AO50" s="93">
        <v>27100440.342104901</v>
      </c>
      <c r="AP50" s="93">
        <v>1868949475.295783</v>
      </c>
      <c r="AQ50" s="93">
        <v>26501194.898765493</v>
      </c>
      <c r="AR50" s="14"/>
    </row>
    <row r="51" spans="1:44" x14ac:dyDescent="0.2">
      <c r="A51" s="94"/>
      <c r="B51" s="92">
        <v>8</v>
      </c>
      <c r="C51" s="93">
        <v>589.99999999999795</v>
      </c>
      <c r="D51" s="93">
        <v>267056.67015937698</v>
      </c>
      <c r="E51" s="93">
        <v>849033644.425331</v>
      </c>
      <c r="F51" s="93">
        <v>236361</v>
      </c>
      <c r="G51" s="93">
        <v>18263637.211213898</v>
      </c>
      <c r="H51" s="93">
        <v>1664111.82775977</v>
      </c>
      <c r="I51" s="93">
        <v>10137118.543373501</v>
      </c>
      <c r="J51" s="93">
        <v>2045413.6671186199</v>
      </c>
      <c r="K51" s="93">
        <v>202983641.56836569</v>
      </c>
      <c r="L51" s="93">
        <v>6215793.9822375998</v>
      </c>
      <c r="M51" s="93">
        <v>231752071.56767827</v>
      </c>
      <c r="N51" s="93">
        <v>12232749.9811935</v>
      </c>
      <c r="O51" s="93">
        <v>168279591.35897446</v>
      </c>
      <c r="P51" s="93">
        <v>16816858.998522799</v>
      </c>
      <c r="Q51" s="93">
        <v>4010105.2388438503</v>
      </c>
      <c r="R51" s="93">
        <v>79220471.459224701</v>
      </c>
      <c r="S51" s="93">
        <v>42022543.242477603</v>
      </c>
      <c r="T51" s="93">
        <v>948495.86497610202</v>
      </c>
      <c r="U51" s="93">
        <v>5233786.1276230095</v>
      </c>
      <c r="V51" s="93">
        <v>2133837.78023544</v>
      </c>
      <c r="W51" s="93">
        <v>7408585.0174952</v>
      </c>
      <c r="X51" s="93">
        <v>36408296.789359704</v>
      </c>
      <c r="Y51" s="93">
        <v>9304530.0893697999</v>
      </c>
      <c r="Z51" s="93">
        <v>350410.67918859399</v>
      </c>
      <c r="AA51" s="93">
        <v>66369.617323953091</v>
      </c>
      <c r="AB51" s="93">
        <v>4414.6576666666597</v>
      </c>
      <c r="AC51" s="93">
        <v>398571.05406953004</v>
      </c>
      <c r="AD51" s="93">
        <v>1005550.45199046</v>
      </c>
      <c r="AE51" s="93">
        <v>2888070.9612559499</v>
      </c>
      <c r="AF51" s="93">
        <v>483903.18340741697</v>
      </c>
      <c r="AG51" s="93">
        <v>168438.912543591</v>
      </c>
      <c r="AH51" s="93">
        <v>133955.748734992</v>
      </c>
      <c r="AI51" s="93">
        <v>203579.89191656501</v>
      </c>
      <c r="AJ51" s="93">
        <v>156098.627992155</v>
      </c>
      <c r="AK51" s="93">
        <v>6515.0125697393396</v>
      </c>
      <c r="AL51" s="93">
        <v>1712485171.2101934</v>
      </c>
      <c r="AM51" s="93">
        <v>5370289.5788920494</v>
      </c>
      <c r="AN51" s="93">
        <v>142897469.53285301</v>
      </c>
      <c r="AO51" s="93">
        <v>28195415.0701048</v>
      </c>
      <c r="AP51" s="93">
        <v>1888948345.3920434</v>
      </c>
      <c r="AQ51" s="93">
        <v>27158082.160451736</v>
      </c>
      <c r="AR51" s="14"/>
    </row>
    <row r="52" spans="1:44" x14ac:dyDescent="0.2">
      <c r="A52" s="94"/>
      <c r="B52" s="92">
        <v>9</v>
      </c>
      <c r="C52" s="93">
        <v>589.99999999999795</v>
      </c>
      <c r="D52" s="93">
        <v>303203.31958990899</v>
      </c>
      <c r="E52" s="93">
        <v>772444236.68675399</v>
      </c>
      <c r="F52" s="93">
        <v>198473.625</v>
      </c>
      <c r="G52" s="93">
        <v>16521085.685495498</v>
      </c>
      <c r="H52" s="93">
        <v>1502511.8132150802</v>
      </c>
      <c r="I52" s="93">
        <v>9100877.4486321304</v>
      </c>
      <c r="J52" s="93">
        <v>1323515.45303045</v>
      </c>
      <c r="K52" s="93">
        <v>183331371.79763627</v>
      </c>
      <c r="L52" s="93">
        <v>5676387.47249314</v>
      </c>
      <c r="M52" s="93">
        <v>210103790.62511027</v>
      </c>
      <c r="N52" s="93">
        <v>11112747.381958298</v>
      </c>
      <c r="O52" s="93">
        <v>147485494.11133379</v>
      </c>
      <c r="P52" s="93">
        <v>14758426.973882701</v>
      </c>
      <c r="Q52" s="93">
        <v>2868360.2269794503</v>
      </c>
      <c r="R52" s="93">
        <v>70539923.616823405</v>
      </c>
      <c r="S52" s="93">
        <v>38165805.542905994</v>
      </c>
      <c r="T52" s="93">
        <v>757350.56451871502</v>
      </c>
      <c r="U52" s="93">
        <v>5776070.3008060902</v>
      </c>
      <c r="V52" s="93">
        <v>1843799.8137729801</v>
      </c>
      <c r="W52" s="93">
        <v>6307451.6346506299</v>
      </c>
      <c r="X52" s="93">
        <v>35644680.491035998</v>
      </c>
      <c r="Y52" s="93">
        <v>8118461.6982848104</v>
      </c>
      <c r="Z52" s="93">
        <v>447172.17909536901</v>
      </c>
      <c r="AA52" s="93">
        <v>67440.283997858001</v>
      </c>
      <c r="AB52" s="93">
        <v>4414.6576666666597</v>
      </c>
      <c r="AC52" s="93">
        <v>403075.450874259</v>
      </c>
      <c r="AD52" s="93">
        <v>1009626.18973893</v>
      </c>
      <c r="AE52" s="93">
        <v>2899777.0072467299</v>
      </c>
      <c r="AF52" s="93">
        <v>485864.55935560004</v>
      </c>
      <c r="AG52" s="93">
        <v>170140.38617767498</v>
      </c>
      <c r="AH52" s="93">
        <v>130896.90887037599</v>
      </c>
      <c r="AI52" s="93">
        <v>254337.91491201002</v>
      </c>
      <c r="AJ52" s="93">
        <v>160618.15670766699</v>
      </c>
      <c r="AK52" s="93">
        <v>6893.8187016462707</v>
      </c>
      <c r="AL52" s="93">
        <v>1549924873.7972546</v>
      </c>
      <c r="AM52" s="93">
        <v>4796338.3551306995</v>
      </c>
      <c r="AN52" s="93">
        <v>134393819.053574</v>
      </c>
      <c r="AO52" s="93">
        <v>26043990.000497099</v>
      </c>
      <c r="AP52" s="93">
        <v>1715159021.2064564</v>
      </c>
      <c r="AQ52" s="93">
        <v>24727065.127612658</v>
      </c>
      <c r="AR52" s="14"/>
    </row>
    <row r="53" spans="1:44" x14ac:dyDescent="0.2">
      <c r="A53" s="94"/>
      <c r="B53" s="92">
        <v>10</v>
      </c>
      <c r="C53" s="93">
        <v>589.99999999999795</v>
      </c>
      <c r="D53" s="93">
        <v>473938.27409775299</v>
      </c>
      <c r="E53" s="93">
        <v>893474914.26502991</v>
      </c>
      <c r="F53" s="93">
        <v>173928</v>
      </c>
      <c r="G53" s="93">
        <v>18313635.3410444</v>
      </c>
      <c r="H53" s="93">
        <v>1605531.7737752199</v>
      </c>
      <c r="I53" s="93">
        <v>10010214.8950231</v>
      </c>
      <c r="J53" s="93">
        <v>1126457.5334537302</v>
      </c>
      <c r="K53" s="93">
        <v>191649749.28819314</v>
      </c>
      <c r="L53" s="93">
        <v>5599136.8240082804</v>
      </c>
      <c r="M53" s="93">
        <v>222112359.68206534</v>
      </c>
      <c r="N53" s="93">
        <v>11112984.130876899</v>
      </c>
      <c r="O53" s="93">
        <v>153739078.50618771</v>
      </c>
      <c r="P53" s="93">
        <v>15005012.533944601</v>
      </c>
      <c r="Q53" s="93">
        <v>1286598.1164640801</v>
      </c>
      <c r="R53" s="93">
        <v>74532851.0100196</v>
      </c>
      <c r="S53" s="93">
        <v>38792932.613938898</v>
      </c>
      <c r="T53" s="93">
        <v>766061.38252789399</v>
      </c>
      <c r="U53" s="93">
        <v>8328779.0419540508</v>
      </c>
      <c r="V53" s="93">
        <v>1494687.78861742</v>
      </c>
      <c r="W53" s="93">
        <v>6084850.9742999505</v>
      </c>
      <c r="X53" s="93">
        <v>36124378.478282906</v>
      </c>
      <c r="Y53" s="93">
        <v>8508969.8967388105</v>
      </c>
      <c r="Z53" s="93">
        <v>587378.42717266001</v>
      </c>
      <c r="AA53" s="93">
        <v>71363.639537717099</v>
      </c>
      <c r="AB53" s="93">
        <v>4414.6576666666597</v>
      </c>
      <c r="AC53" s="93">
        <v>450282.32192826696</v>
      </c>
      <c r="AD53" s="93">
        <v>1119844.22381547</v>
      </c>
      <c r="AE53" s="93">
        <v>3216337.4572898503</v>
      </c>
      <c r="AF53" s="93">
        <v>538905.01839270594</v>
      </c>
      <c r="AG53" s="93">
        <v>177232.64112936801</v>
      </c>
      <c r="AH53" s="93">
        <v>141355.63318163803</v>
      </c>
      <c r="AI53" s="93">
        <v>452417.866000037</v>
      </c>
      <c r="AJ53" s="93">
        <v>164526.543975337</v>
      </c>
      <c r="AK53" s="93">
        <v>6861.8433632166198</v>
      </c>
      <c r="AL53" s="93">
        <v>1707248560.6239965</v>
      </c>
      <c r="AM53" s="93">
        <v>4608365.2063105898</v>
      </c>
      <c r="AN53" s="93">
        <v>134507089.22993401</v>
      </c>
      <c r="AO53" s="93">
        <v>26441425.1680707</v>
      </c>
      <c r="AP53" s="93">
        <v>1872805440.2283118</v>
      </c>
      <c r="AQ53" s="93">
        <v>24717579.058784436</v>
      </c>
      <c r="AR53" s="14"/>
    </row>
    <row r="54" spans="1:44" x14ac:dyDescent="0.2">
      <c r="A54" s="94"/>
      <c r="B54" s="92">
        <v>11</v>
      </c>
      <c r="C54" s="93">
        <v>589.99999999999795</v>
      </c>
      <c r="D54" s="93">
        <v>653982.29931519495</v>
      </c>
      <c r="E54" s="93">
        <v>1069067320.8275601</v>
      </c>
      <c r="F54" s="93">
        <v>196629.25</v>
      </c>
      <c r="G54" s="93">
        <v>20732489.9626971</v>
      </c>
      <c r="H54" s="93">
        <v>1773474.61053023</v>
      </c>
      <c r="I54" s="93">
        <v>11272191.9242256</v>
      </c>
      <c r="J54" s="93">
        <v>1214013.43109887</v>
      </c>
      <c r="K54" s="93">
        <v>201214999.29770541</v>
      </c>
      <c r="L54" s="93">
        <v>5918987.5623924695</v>
      </c>
      <c r="M54" s="93">
        <v>224167357.05097854</v>
      </c>
      <c r="N54" s="93">
        <v>10930056.912906101</v>
      </c>
      <c r="O54" s="93">
        <v>155292028.5414702</v>
      </c>
      <c r="P54" s="93">
        <v>14029181.633779701</v>
      </c>
      <c r="Q54" s="93">
        <v>369181.24495002703</v>
      </c>
      <c r="R54" s="93">
        <v>75493038.709204003</v>
      </c>
      <c r="S54" s="93">
        <v>36934650.730688803</v>
      </c>
      <c r="T54" s="93">
        <v>302850.19418591005</v>
      </c>
      <c r="U54" s="93">
        <v>10819442.888914499</v>
      </c>
      <c r="V54" s="93">
        <v>1509794.4681444301</v>
      </c>
      <c r="W54" s="93">
        <v>5063031.7180273794</v>
      </c>
      <c r="X54" s="93">
        <v>35668748.549820498</v>
      </c>
      <c r="Y54" s="93">
        <v>8265426.3277997505</v>
      </c>
      <c r="Z54" s="93">
        <v>615103.76254377398</v>
      </c>
      <c r="AA54" s="93">
        <v>89630.050449432907</v>
      </c>
      <c r="AB54" s="93">
        <v>4414.6576666666597</v>
      </c>
      <c r="AC54" s="93">
        <v>392411.65099369403</v>
      </c>
      <c r="AD54" s="93">
        <v>969025.17884607904</v>
      </c>
      <c r="AE54" s="93">
        <v>2783165.6524159699</v>
      </c>
      <c r="AF54" s="93">
        <v>466326.048501449</v>
      </c>
      <c r="AG54" s="93">
        <v>167243.42044133603</v>
      </c>
      <c r="AH54" s="93">
        <v>128676.54699959701</v>
      </c>
      <c r="AI54" s="93">
        <v>223592.489770699</v>
      </c>
      <c r="AJ54" s="93">
        <v>158001.066481702</v>
      </c>
      <c r="AK54" s="93">
        <v>6730.4044773968099</v>
      </c>
      <c r="AL54" s="93">
        <v>1896893789.0659828</v>
      </c>
      <c r="AM54" s="93">
        <v>4521776.90537808</v>
      </c>
      <c r="AN54" s="93">
        <v>132973119.197338</v>
      </c>
      <c r="AO54" s="93">
        <v>24935780.537204299</v>
      </c>
      <c r="AP54" s="93">
        <v>2059324465.7059033</v>
      </c>
      <c r="AQ54" s="93">
        <v>26154662.348557077</v>
      </c>
      <c r="AR54" s="14"/>
    </row>
    <row r="55" spans="1:44" x14ac:dyDescent="0.2">
      <c r="A55" s="95"/>
      <c r="B55" s="96">
        <v>12</v>
      </c>
      <c r="C55" s="97">
        <v>589.99999999999795</v>
      </c>
      <c r="D55" s="97">
        <v>857025.10959890508</v>
      </c>
      <c r="E55" s="97">
        <v>1281512429.8053601</v>
      </c>
      <c r="F55" s="97">
        <v>242994.14285714302</v>
      </c>
      <c r="G55" s="97">
        <v>26860626.5905017</v>
      </c>
      <c r="H55" s="97">
        <v>2259435.88229605</v>
      </c>
      <c r="I55" s="97">
        <v>13333970.299235899</v>
      </c>
      <c r="J55" s="97">
        <v>1451921.6421374199</v>
      </c>
      <c r="K55" s="97">
        <v>233750402.85253027</v>
      </c>
      <c r="L55" s="97">
        <v>6180573.9544808399</v>
      </c>
      <c r="M55" s="97">
        <v>252893088.20091611</v>
      </c>
      <c r="N55" s="97">
        <v>10770585.889330098</v>
      </c>
      <c r="O55" s="97">
        <v>165223262.3266193</v>
      </c>
      <c r="P55" s="97">
        <v>13121361.309534799</v>
      </c>
      <c r="Q55" s="97">
        <v>265770.12147308397</v>
      </c>
      <c r="R55" s="97">
        <v>80040207.249400496</v>
      </c>
      <c r="S55" s="97">
        <v>34987599.210050799</v>
      </c>
      <c r="T55" s="97">
        <v>0</v>
      </c>
      <c r="U55" s="97">
        <v>14079653.2586376</v>
      </c>
      <c r="V55" s="97">
        <v>1678890.2927596599</v>
      </c>
      <c r="W55" s="97">
        <v>5437054.9123440394</v>
      </c>
      <c r="X55" s="97">
        <v>36701377.768311806</v>
      </c>
      <c r="Y55" s="97">
        <v>8745081.0310306605</v>
      </c>
      <c r="Z55" s="97">
        <v>795448.42184378696</v>
      </c>
      <c r="AA55" s="97">
        <v>108908.459927082</v>
      </c>
      <c r="AB55" s="97">
        <v>4414.6576666666597</v>
      </c>
      <c r="AC55" s="97">
        <v>428473.58562563302</v>
      </c>
      <c r="AD55" s="97">
        <v>1050653.12453719</v>
      </c>
      <c r="AE55" s="97">
        <v>3017611.67062501</v>
      </c>
      <c r="AF55" s="97">
        <v>505608.03847693501</v>
      </c>
      <c r="AG55" s="97">
        <v>173763.41770004798</v>
      </c>
      <c r="AH55" s="97">
        <v>138007.70379678099</v>
      </c>
      <c r="AI55" s="97">
        <v>228797.97802875002</v>
      </c>
      <c r="AJ55" s="97">
        <v>160892.737080222</v>
      </c>
      <c r="AK55" s="97">
        <v>6738.9476814135896</v>
      </c>
      <c r="AL55" s="97">
        <v>2197013220.5923963</v>
      </c>
      <c r="AM55" s="97">
        <v>4925705.4151632702</v>
      </c>
      <c r="AN55" s="97">
        <v>135986407.41173801</v>
      </c>
      <c r="AO55" s="97">
        <v>25547178.035891</v>
      </c>
      <c r="AP55" s="97">
        <v>2363472511.4551883</v>
      </c>
      <c r="AQ55" s="97">
        <v>28887425.540378567</v>
      </c>
      <c r="AR55" s="14"/>
    </row>
    <row r="56" spans="1:44" x14ac:dyDescent="0.2">
      <c r="A56" s="92">
        <f>A44+1</f>
        <v>2027</v>
      </c>
      <c r="B56" s="92">
        <v>1</v>
      </c>
      <c r="C56" s="93">
        <v>589.99999999999795</v>
      </c>
      <c r="D56" s="93">
        <v>852229.99171329103</v>
      </c>
      <c r="E56" s="93">
        <v>1226037482.3624601</v>
      </c>
      <c r="F56" s="93">
        <v>259810</v>
      </c>
      <c r="G56" s="93">
        <v>27778102.611328501</v>
      </c>
      <c r="H56" s="93">
        <v>2441815.0196343199</v>
      </c>
      <c r="I56" s="93">
        <v>13598959.401079401</v>
      </c>
      <c r="J56" s="93">
        <v>1545831.6786020901</v>
      </c>
      <c r="K56" s="93">
        <v>236318307.2301921</v>
      </c>
      <c r="L56" s="93">
        <v>7123257.1451023594</v>
      </c>
      <c r="M56" s="93">
        <v>243689100.68807971</v>
      </c>
      <c r="N56" s="93">
        <v>11532456.506691299</v>
      </c>
      <c r="O56" s="93">
        <v>164305575.32532543</v>
      </c>
      <c r="P56" s="93">
        <v>13677348.709780499</v>
      </c>
      <c r="Q56" s="93">
        <v>292466.981513365</v>
      </c>
      <c r="R56" s="93">
        <v>80471753.200866193</v>
      </c>
      <c r="S56" s="93">
        <v>37126596.970747605</v>
      </c>
      <c r="T56" s="93">
        <v>0</v>
      </c>
      <c r="U56" s="93">
        <v>14725586.223271701</v>
      </c>
      <c r="V56" s="93">
        <v>1657491.6282699602</v>
      </c>
      <c r="W56" s="93">
        <v>5696283.5312149497</v>
      </c>
      <c r="X56" s="93">
        <v>37298957.259340301</v>
      </c>
      <c r="Y56" s="93">
        <v>8768637.6385700814</v>
      </c>
      <c r="Z56" s="93">
        <v>811388.969869836</v>
      </c>
      <c r="AA56" s="93">
        <v>110190.418926181</v>
      </c>
      <c r="AB56" s="93">
        <v>4414.6576666666597</v>
      </c>
      <c r="AC56" s="93">
        <v>424368.95269916498</v>
      </c>
      <c r="AD56" s="93">
        <v>1033338.0456708701</v>
      </c>
      <c r="AE56" s="93">
        <v>2967880.52449835</v>
      </c>
      <c r="AF56" s="93">
        <v>497275.466234761</v>
      </c>
      <c r="AG56" s="93">
        <v>174062.57696598998</v>
      </c>
      <c r="AH56" s="93">
        <v>130544.34728034801</v>
      </c>
      <c r="AI56" s="93">
        <v>342587.95096972003</v>
      </c>
      <c r="AJ56" s="93">
        <v>160797.91133973899</v>
      </c>
      <c r="AK56" s="93">
        <v>6937.1034950432104</v>
      </c>
      <c r="AL56" s="93">
        <v>2141862427.0294001</v>
      </c>
      <c r="AM56" s="93">
        <v>5657857.8548807604</v>
      </c>
      <c r="AN56" s="93">
        <v>136797894.51200899</v>
      </c>
      <c r="AO56" s="93">
        <v>26179683.1922605</v>
      </c>
      <c r="AP56" s="93">
        <v>2310497862.5885501</v>
      </c>
      <c r="AQ56" s="93">
        <v>26657308.277561836</v>
      </c>
      <c r="AR56" s="14"/>
    </row>
    <row r="57" spans="1:44" x14ac:dyDescent="0.2">
      <c r="A57" s="94"/>
      <c r="B57" s="92">
        <v>2</v>
      </c>
      <c r="C57" s="93">
        <v>589.99999999999795</v>
      </c>
      <c r="D57" s="93">
        <v>841507.68192142597</v>
      </c>
      <c r="E57" s="93">
        <v>1055322759.7910799</v>
      </c>
      <c r="F57" s="93">
        <v>233365.535</v>
      </c>
      <c r="G57" s="93">
        <v>23886775.420717198</v>
      </c>
      <c r="H57" s="93">
        <v>2059267.74759928</v>
      </c>
      <c r="I57" s="93">
        <v>11387566.905022901</v>
      </c>
      <c r="J57" s="93">
        <v>1344464.7273947902</v>
      </c>
      <c r="K57" s="93">
        <v>202679988.7977199</v>
      </c>
      <c r="L57" s="93">
        <v>6523356.5639333203</v>
      </c>
      <c r="M57" s="93">
        <v>214023287.70764467</v>
      </c>
      <c r="N57" s="93">
        <v>11287145.9932728</v>
      </c>
      <c r="O57" s="93">
        <v>146529072.97057509</v>
      </c>
      <c r="P57" s="93">
        <v>13558579.389332</v>
      </c>
      <c r="Q57" s="93">
        <v>260173.49660804</v>
      </c>
      <c r="R57" s="93">
        <v>72001085.380331695</v>
      </c>
      <c r="S57" s="93">
        <v>35663850.108028501</v>
      </c>
      <c r="T57" s="93">
        <v>0</v>
      </c>
      <c r="U57" s="93">
        <v>13207466.966398301</v>
      </c>
      <c r="V57" s="93">
        <v>1569615.67806709</v>
      </c>
      <c r="W57" s="93">
        <v>5587689.6030133301</v>
      </c>
      <c r="X57" s="93">
        <v>33917863.022274405</v>
      </c>
      <c r="Y57" s="93">
        <v>8211092.7966274396</v>
      </c>
      <c r="Z57" s="93">
        <v>633063.55445076199</v>
      </c>
      <c r="AA57" s="93">
        <v>107716.87058862101</v>
      </c>
      <c r="AB57" s="93">
        <v>4414.6576666666597</v>
      </c>
      <c r="AC57" s="93">
        <v>379589.752986943</v>
      </c>
      <c r="AD57" s="93">
        <v>917905.33511445404</v>
      </c>
      <c r="AE57" s="93">
        <v>2636342.84911157</v>
      </c>
      <c r="AF57" s="93">
        <v>441725.53734056599</v>
      </c>
      <c r="AG57" s="93">
        <v>173449.87103258198</v>
      </c>
      <c r="AH57" s="93">
        <v>135606.75309156801</v>
      </c>
      <c r="AI57" s="93">
        <v>195187.71375707901</v>
      </c>
      <c r="AJ57" s="93">
        <v>158114.66138895499</v>
      </c>
      <c r="AK57" s="93">
        <v>6646.2716323243894</v>
      </c>
      <c r="AL57" s="93">
        <v>1865886330.1107244</v>
      </c>
      <c r="AM57" s="93">
        <v>5122432.1047983207</v>
      </c>
      <c r="AN57" s="93">
        <v>123831318.02770899</v>
      </c>
      <c r="AO57" s="93">
        <v>23037557.599511899</v>
      </c>
      <c r="AP57" s="93">
        <v>2017877637.8427436</v>
      </c>
      <c r="AQ57" s="93">
        <v>23431945.037921585</v>
      </c>
      <c r="AR57" s="14"/>
    </row>
    <row r="58" spans="1:44" x14ac:dyDescent="0.2">
      <c r="A58" s="94"/>
      <c r="B58" s="92">
        <v>3</v>
      </c>
      <c r="C58" s="93">
        <v>589.99999999999795</v>
      </c>
      <c r="D58" s="93">
        <v>826428.48080683302</v>
      </c>
      <c r="E58" s="93">
        <v>1066497230.8080101</v>
      </c>
      <c r="F58" s="93">
        <v>213526.34</v>
      </c>
      <c r="G58" s="93">
        <v>24720505.327772498</v>
      </c>
      <c r="H58" s="93">
        <v>2295465.6565821501</v>
      </c>
      <c r="I58" s="93">
        <v>12214603.145083299</v>
      </c>
      <c r="J58" s="93">
        <v>1457228.3404065499</v>
      </c>
      <c r="K58" s="93">
        <v>219703301.03347382</v>
      </c>
      <c r="L58" s="93">
        <v>7192696.1453407602</v>
      </c>
      <c r="M58" s="93">
        <v>231934422.36308149</v>
      </c>
      <c r="N58" s="93">
        <v>12164103.2306771</v>
      </c>
      <c r="O58" s="93">
        <v>157912844.0380058</v>
      </c>
      <c r="P58" s="93">
        <v>14670829.4968982</v>
      </c>
      <c r="Q58" s="93">
        <v>285213.04377635696</v>
      </c>
      <c r="R58" s="93">
        <v>79326995.177448004</v>
      </c>
      <c r="S58" s="93">
        <v>38364082.363143101</v>
      </c>
      <c r="T58" s="93">
        <v>0</v>
      </c>
      <c r="U58" s="93">
        <v>14266711.0454122</v>
      </c>
      <c r="V58" s="93">
        <v>1622676.92898096</v>
      </c>
      <c r="W58" s="93">
        <v>6526359.2773230206</v>
      </c>
      <c r="X58" s="93">
        <v>36827180.689574301</v>
      </c>
      <c r="Y58" s="93">
        <v>8296860.5662258705</v>
      </c>
      <c r="Z58" s="93">
        <v>665835.37879113504</v>
      </c>
      <c r="AA58" s="93">
        <v>103698.75067091201</v>
      </c>
      <c r="AB58" s="93">
        <v>4414.6576666666597</v>
      </c>
      <c r="AC58" s="93">
        <v>457330.31464492</v>
      </c>
      <c r="AD58" s="93">
        <v>1098294.4615320601</v>
      </c>
      <c r="AE58" s="93">
        <v>3154443.75265325</v>
      </c>
      <c r="AF58" s="93">
        <v>528534.58044006396</v>
      </c>
      <c r="AG58" s="93">
        <v>170101.27764025799</v>
      </c>
      <c r="AH58" s="93">
        <v>128167.88583440799</v>
      </c>
      <c r="AI58" s="93">
        <v>248278.003235312</v>
      </c>
      <c r="AJ58" s="93">
        <v>157454.64013626598</v>
      </c>
      <c r="AK58" s="93">
        <v>6812.6110683589695</v>
      </c>
      <c r="AL58" s="93">
        <v>1944043219.812336</v>
      </c>
      <c r="AM58" s="93">
        <v>5468903.9811858805</v>
      </c>
      <c r="AN58" s="93">
        <v>133968437.31666002</v>
      </c>
      <c r="AO58" s="93">
        <v>24972751.551822599</v>
      </c>
      <c r="AP58" s="93">
        <v>2108453312.6620045</v>
      </c>
      <c r="AQ58" s="93">
        <v>24954588.829289552</v>
      </c>
      <c r="AR58" s="14"/>
    </row>
    <row r="59" spans="1:44" x14ac:dyDescent="0.2">
      <c r="A59" s="94"/>
      <c r="B59" s="92">
        <v>4</v>
      </c>
      <c r="C59" s="93">
        <v>589.99999999999795</v>
      </c>
      <c r="D59" s="93">
        <v>584761.62423550896</v>
      </c>
      <c r="E59" s="93">
        <v>897536175.17646706</v>
      </c>
      <c r="F59" s="93">
        <v>180149.25</v>
      </c>
      <c r="G59" s="93">
        <v>21054236.6115628</v>
      </c>
      <c r="H59" s="93">
        <v>2004634.95636978</v>
      </c>
      <c r="I59" s="93">
        <v>10461028.440818699</v>
      </c>
      <c r="J59" s="93">
        <v>1256653.2358373899</v>
      </c>
      <c r="K59" s="93">
        <v>193095421.5420295</v>
      </c>
      <c r="L59" s="93">
        <v>6263965.8871786091</v>
      </c>
      <c r="M59" s="93">
        <v>210089231.47979671</v>
      </c>
      <c r="N59" s="93">
        <v>11240549.306273</v>
      </c>
      <c r="O59" s="93">
        <v>148997565.44504419</v>
      </c>
      <c r="P59" s="93">
        <v>14401683.5476555</v>
      </c>
      <c r="Q59" s="93">
        <v>306444.08080191998</v>
      </c>
      <c r="R59" s="93">
        <v>74995178.8929919</v>
      </c>
      <c r="S59" s="93">
        <v>36722978.2997697</v>
      </c>
      <c r="T59" s="93">
        <v>0</v>
      </c>
      <c r="U59" s="93">
        <v>10957642.0233604</v>
      </c>
      <c r="V59" s="93">
        <v>1657085.31820172</v>
      </c>
      <c r="W59" s="93">
        <v>5967573.6950819297</v>
      </c>
      <c r="X59" s="93">
        <v>35344345.227974996</v>
      </c>
      <c r="Y59" s="93">
        <v>8928341.4533416703</v>
      </c>
      <c r="Z59" s="93">
        <v>474545.61367104796</v>
      </c>
      <c r="AA59" s="93">
        <v>87227.212893670498</v>
      </c>
      <c r="AB59" s="93">
        <v>4414.6576666666597</v>
      </c>
      <c r="AC59" s="93">
        <v>424813.88981022901</v>
      </c>
      <c r="AD59" s="93">
        <v>1013242.52556025</v>
      </c>
      <c r="AE59" s="93">
        <v>2910163.5914812898</v>
      </c>
      <c r="AF59" s="93">
        <v>487604.85633696197</v>
      </c>
      <c r="AG59" s="93">
        <v>180098.50810755402</v>
      </c>
      <c r="AH59" s="93">
        <v>141143.237477421</v>
      </c>
      <c r="AI59" s="93">
        <v>204871.249990574</v>
      </c>
      <c r="AJ59" s="93">
        <v>164213.67052368299</v>
      </c>
      <c r="AK59" s="93">
        <v>6950.7498084297404</v>
      </c>
      <c r="AL59" s="93">
        <v>1698145525.2581208</v>
      </c>
      <c r="AM59" s="93">
        <v>5047175.1017742697</v>
      </c>
      <c r="AN59" s="93">
        <v>121457325.175833</v>
      </c>
      <c r="AO59" s="93">
        <v>22298144.415716097</v>
      </c>
      <c r="AP59" s="93">
        <v>1846948169.9514441</v>
      </c>
      <c r="AQ59" s="93">
        <v>23829791.223515149</v>
      </c>
      <c r="AR59" s="14"/>
    </row>
    <row r="60" spans="1:44" x14ac:dyDescent="0.2">
      <c r="A60" s="94"/>
      <c r="B60" s="92">
        <v>5</v>
      </c>
      <c r="C60" s="93">
        <v>589.99999999999795</v>
      </c>
      <c r="D60" s="93">
        <v>437512.23762793303</v>
      </c>
      <c r="E60" s="93">
        <v>789448953.31952894</v>
      </c>
      <c r="F60" s="93">
        <v>165744.375</v>
      </c>
      <c r="G60" s="93">
        <v>19025156.507861</v>
      </c>
      <c r="H60" s="93">
        <v>1803359.98482364</v>
      </c>
      <c r="I60" s="93">
        <v>10097177.083051899</v>
      </c>
      <c r="J60" s="93">
        <v>1144319.32914873</v>
      </c>
      <c r="K60" s="93">
        <v>192648776.1998111</v>
      </c>
      <c r="L60" s="93">
        <v>5963495.5836114306</v>
      </c>
      <c r="M60" s="93">
        <v>215357597.1252459</v>
      </c>
      <c r="N60" s="93">
        <v>11106434.184408799</v>
      </c>
      <c r="O60" s="93">
        <v>153387456.49512532</v>
      </c>
      <c r="P60" s="93">
        <v>14884936.154351201</v>
      </c>
      <c r="Q60" s="93">
        <v>729054.94220848696</v>
      </c>
      <c r="R60" s="93">
        <v>75497003.572890893</v>
      </c>
      <c r="S60" s="93">
        <v>37796592.498389594</v>
      </c>
      <c r="T60" s="93">
        <v>295034.81778026704</v>
      </c>
      <c r="U60" s="93">
        <v>9485871.11489526</v>
      </c>
      <c r="V60" s="93">
        <v>1660732.45154013</v>
      </c>
      <c r="W60" s="93">
        <v>6692743.87302454</v>
      </c>
      <c r="X60" s="93">
        <v>35803585.038821898</v>
      </c>
      <c r="Y60" s="93">
        <v>8957381.5982521791</v>
      </c>
      <c r="Z60" s="93">
        <v>362423.34033970797</v>
      </c>
      <c r="AA60" s="93">
        <v>67729.112893822705</v>
      </c>
      <c r="AB60" s="93">
        <v>4414.6576666666597</v>
      </c>
      <c r="AC60" s="93">
        <v>409555.62302931998</v>
      </c>
      <c r="AD60" s="93">
        <v>970227.811177211</v>
      </c>
      <c r="AE60" s="93">
        <v>2786619.76802572</v>
      </c>
      <c r="AF60" s="93">
        <v>466904.79381686496</v>
      </c>
      <c r="AG60" s="93">
        <v>171667.71657841999</v>
      </c>
      <c r="AH60" s="93">
        <v>129658.90672370599</v>
      </c>
      <c r="AI60" s="93">
        <v>386102.18345145602</v>
      </c>
      <c r="AJ60" s="93">
        <v>158845.935501322</v>
      </c>
      <c r="AK60" s="93">
        <v>6863.1060154495999</v>
      </c>
      <c r="AL60" s="93">
        <v>1598310521.4426191</v>
      </c>
      <c r="AM60" s="93">
        <v>5553870.1915288698</v>
      </c>
      <c r="AN60" s="93">
        <v>124012051.746713</v>
      </c>
      <c r="AO60" s="93">
        <v>24119471.915877998</v>
      </c>
      <c r="AP60" s="93">
        <v>1751995915.2967389</v>
      </c>
      <c r="AQ60" s="93">
        <v>23785628.059987836</v>
      </c>
      <c r="AR60" s="14"/>
    </row>
    <row r="61" spans="1:44" x14ac:dyDescent="0.2">
      <c r="A61" s="94"/>
      <c r="B61" s="92">
        <v>6</v>
      </c>
      <c r="C61" s="93">
        <v>589.99999999999795</v>
      </c>
      <c r="D61" s="93">
        <v>317046.47852800199</v>
      </c>
      <c r="E61" s="93">
        <v>767020341.60064495</v>
      </c>
      <c r="F61" s="93">
        <v>183269.5</v>
      </c>
      <c r="G61" s="93">
        <v>17878593.394637801</v>
      </c>
      <c r="H61" s="93">
        <v>1627534.8340841399</v>
      </c>
      <c r="I61" s="93">
        <v>9511057.0586190093</v>
      </c>
      <c r="J61" s="93">
        <v>1028015.2907603399</v>
      </c>
      <c r="K61" s="93">
        <v>189186327.04191715</v>
      </c>
      <c r="L61" s="93">
        <v>5873261.1144727394</v>
      </c>
      <c r="M61" s="93">
        <v>216140453.0040949</v>
      </c>
      <c r="N61" s="93">
        <v>11381021.8134894</v>
      </c>
      <c r="O61" s="93">
        <v>154507034.97651038</v>
      </c>
      <c r="P61" s="93">
        <v>15592385.6536937</v>
      </c>
      <c r="Q61" s="93">
        <v>1459348.3217557101</v>
      </c>
      <c r="R61" s="93">
        <v>74541651.387018889</v>
      </c>
      <c r="S61" s="93">
        <v>39445029.0254637</v>
      </c>
      <c r="T61" s="93">
        <v>634232.55075642106</v>
      </c>
      <c r="U61" s="93">
        <v>8005533.2824183498</v>
      </c>
      <c r="V61" s="93">
        <v>1815545.5544224</v>
      </c>
      <c r="W61" s="93">
        <v>7355250.1617346294</v>
      </c>
      <c r="X61" s="93">
        <v>35017269.984901004</v>
      </c>
      <c r="Y61" s="93">
        <v>8475141.0059440099</v>
      </c>
      <c r="Z61" s="93">
        <v>289404.81533602503</v>
      </c>
      <c r="AA61" s="93">
        <v>63429.272893754896</v>
      </c>
      <c r="AB61" s="93">
        <v>4414.6576666666597</v>
      </c>
      <c r="AC61" s="93">
        <v>389163.19042915397</v>
      </c>
      <c r="AD61" s="93">
        <v>915711.48764955404</v>
      </c>
      <c r="AE61" s="93">
        <v>2630041.8354287101</v>
      </c>
      <c r="AF61" s="93">
        <v>440669.78745743103</v>
      </c>
      <c r="AG61" s="93">
        <v>163091.790117197</v>
      </c>
      <c r="AH61" s="93">
        <v>127965.40229033001</v>
      </c>
      <c r="AI61" s="93">
        <v>212330.89401016399</v>
      </c>
      <c r="AJ61" s="93">
        <v>148217.65894293701</v>
      </c>
      <c r="AK61" s="93">
        <v>6277.7113579041998</v>
      </c>
      <c r="AL61" s="93">
        <v>1572386651.5394471</v>
      </c>
      <c r="AM61" s="93">
        <v>5234280.8655393105</v>
      </c>
      <c r="AN61" s="93">
        <v>137079777.27831399</v>
      </c>
      <c r="AO61" s="93">
        <v>26226713.8752742</v>
      </c>
      <c r="AP61" s="93">
        <v>1740927423.5585747</v>
      </c>
      <c r="AQ61" s="93">
        <v>23967784.899174068</v>
      </c>
      <c r="AR61" s="14"/>
    </row>
    <row r="62" spans="1:44" x14ac:dyDescent="0.2">
      <c r="A62" s="94"/>
      <c r="B62" s="92">
        <v>7</v>
      </c>
      <c r="C62" s="93">
        <v>589.99999999999795</v>
      </c>
      <c r="D62" s="93">
        <v>274419.219392706</v>
      </c>
      <c r="E62" s="93">
        <v>858576945.05364907</v>
      </c>
      <c r="F62" s="93">
        <v>214898.875</v>
      </c>
      <c r="G62" s="93">
        <v>18281842.162374601</v>
      </c>
      <c r="H62" s="93">
        <v>1738875.4339266201</v>
      </c>
      <c r="I62" s="93">
        <v>10240868.600960301</v>
      </c>
      <c r="J62" s="93">
        <v>1346652.97650491</v>
      </c>
      <c r="K62" s="93">
        <v>204418117.51105008</v>
      </c>
      <c r="L62" s="93">
        <v>5553862.3162467005</v>
      </c>
      <c r="M62" s="93">
        <v>232345459.6343573</v>
      </c>
      <c r="N62" s="93">
        <v>10784561.636220399</v>
      </c>
      <c r="O62" s="93">
        <v>169881048.17844298</v>
      </c>
      <c r="P62" s="93">
        <v>14813138.8740971</v>
      </c>
      <c r="Q62" s="93">
        <v>2677713.21302666</v>
      </c>
      <c r="R62" s="93">
        <v>79425715.455849901</v>
      </c>
      <c r="S62" s="93">
        <v>37697476.901983</v>
      </c>
      <c r="T62" s="93">
        <v>667235.98307429906</v>
      </c>
      <c r="U62" s="93">
        <v>6286325.1230289098</v>
      </c>
      <c r="V62" s="93">
        <v>2145902.72704635</v>
      </c>
      <c r="W62" s="93">
        <v>7995266.5440982701</v>
      </c>
      <c r="X62" s="93">
        <v>36398301.0092384</v>
      </c>
      <c r="Y62" s="93">
        <v>9224931.1068951599</v>
      </c>
      <c r="Z62" s="93">
        <v>301697.42838983599</v>
      </c>
      <c r="AA62" s="93">
        <v>63472.684004793104</v>
      </c>
      <c r="AB62" s="93">
        <v>4414.6576666666597</v>
      </c>
      <c r="AC62" s="93">
        <v>467975.695839327</v>
      </c>
      <c r="AD62" s="93">
        <v>1093795.10242568</v>
      </c>
      <c r="AE62" s="93">
        <v>3141521.0113291601</v>
      </c>
      <c r="AF62" s="93">
        <v>526369.34428452398</v>
      </c>
      <c r="AG62" s="93">
        <v>173097.379161091</v>
      </c>
      <c r="AH62" s="93">
        <v>131020.19819210599</v>
      </c>
      <c r="AI62" s="93">
        <v>219413.429348445</v>
      </c>
      <c r="AJ62" s="93">
        <v>160038.611641525</v>
      </c>
      <c r="AK62" s="93">
        <v>6967.0414961033503</v>
      </c>
      <c r="AL62" s="93">
        <v>1717279931.1202428</v>
      </c>
      <c r="AM62" s="93">
        <v>5344887.2446765797</v>
      </c>
      <c r="AN62" s="93">
        <v>143474364.02197701</v>
      </c>
      <c r="AO62" s="93">
        <v>27113921.3679916</v>
      </c>
      <c r="AP62" s="93">
        <v>1893213103.7548881</v>
      </c>
      <c r="AQ62" s="93">
        <v>26501194.898765493</v>
      </c>
      <c r="AR62" s="14"/>
    </row>
    <row r="63" spans="1:44" x14ac:dyDescent="0.2">
      <c r="A63" s="94"/>
      <c r="B63" s="92">
        <v>8</v>
      </c>
      <c r="C63" s="93">
        <v>589.99999999999795</v>
      </c>
      <c r="D63" s="93">
        <v>267056.67015937698</v>
      </c>
      <c r="E63" s="93">
        <v>870334133.80554092</v>
      </c>
      <c r="F63" s="93">
        <v>236361</v>
      </c>
      <c r="G63" s="93">
        <v>18179034.9982986</v>
      </c>
      <c r="H63" s="93">
        <v>1640508.0293478</v>
      </c>
      <c r="I63" s="93">
        <v>10140004.5249715</v>
      </c>
      <c r="J63" s="93">
        <v>2016401.47511181</v>
      </c>
      <c r="K63" s="93">
        <v>205009456.47581658</v>
      </c>
      <c r="L63" s="93">
        <v>6090160.4578208495</v>
      </c>
      <c r="M63" s="93">
        <v>233190237.25267145</v>
      </c>
      <c r="N63" s="93">
        <v>11985501.8423655</v>
      </c>
      <c r="O63" s="93">
        <v>172006363.94690809</v>
      </c>
      <c r="P63" s="93">
        <v>16476956.924605699</v>
      </c>
      <c r="Q63" s="93">
        <v>3991529.3235808699</v>
      </c>
      <c r="R63" s="93">
        <v>78209377.627646402</v>
      </c>
      <c r="S63" s="93">
        <v>41173184.298536696</v>
      </c>
      <c r="T63" s="93">
        <v>944102.17010634695</v>
      </c>
      <c r="U63" s="93">
        <v>5209541.7844398096</v>
      </c>
      <c r="V63" s="93">
        <v>2138220.6456005103</v>
      </c>
      <c r="W63" s="93">
        <v>7407118.3326828405</v>
      </c>
      <c r="X63" s="93">
        <v>36485158.0381025</v>
      </c>
      <c r="Y63" s="93">
        <v>9303430.0757605303</v>
      </c>
      <c r="Z63" s="93">
        <v>297176.262849961</v>
      </c>
      <c r="AA63" s="93">
        <v>66369.617323953091</v>
      </c>
      <c r="AB63" s="93">
        <v>4414.6576666666597</v>
      </c>
      <c r="AC63" s="93">
        <v>429384.98245444801</v>
      </c>
      <c r="AD63" s="93">
        <v>996930.12647803</v>
      </c>
      <c r="AE63" s="93">
        <v>2863312.2713863798</v>
      </c>
      <c r="AF63" s="93">
        <v>479754.80582057597</v>
      </c>
      <c r="AG63" s="93">
        <v>168233.55608440202</v>
      </c>
      <c r="AH63" s="93">
        <v>131295.14875094302</v>
      </c>
      <c r="AI63" s="93">
        <v>201834.65384061</v>
      </c>
      <c r="AJ63" s="93">
        <v>152723.11175788098</v>
      </c>
      <c r="AK63" s="93">
        <v>6507.0696313013395</v>
      </c>
      <c r="AL63" s="93">
        <v>1738232365.9641201</v>
      </c>
      <c r="AM63" s="93">
        <v>5373837.7060061106</v>
      </c>
      <c r="AN63" s="93">
        <v>142991881.27336201</v>
      </c>
      <c r="AO63" s="93">
        <v>28214043.658979401</v>
      </c>
      <c r="AP63" s="93">
        <v>1914812128.6024675</v>
      </c>
      <c r="AQ63" s="93">
        <v>27158082.160451736</v>
      </c>
      <c r="AR63" s="14"/>
    </row>
    <row r="64" spans="1:44" x14ac:dyDescent="0.2">
      <c r="A64" s="94"/>
      <c r="B64" s="92">
        <v>9</v>
      </c>
      <c r="C64" s="93">
        <v>589.99999999999795</v>
      </c>
      <c r="D64" s="93">
        <v>303295.96779737499</v>
      </c>
      <c r="E64" s="93">
        <v>787558296.10632503</v>
      </c>
      <c r="F64" s="93">
        <v>198473.625</v>
      </c>
      <c r="G64" s="93">
        <v>16389601.608171098</v>
      </c>
      <c r="H64" s="93">
        <v>1471706.9757727298</v>
      </c>
      <c r="I64" s="93">
        <v>9058849.3802132998</v>
      </c>
      <c r="J64" s="93">
        <v>1296380.4394988099</v>
      </c>
      <c r="K64" s="93">
        <v>184739954.56608966</v>
      </c>
      <c r="L64" s="93">
        <v>5555880.2890401399</v>
      </c>
      <c r="M64" s="93">
        <v>210902072.3894532</v>
      </c>
      <c r="N64" s="93">
        <v>10876828.693547001</v>
      </c>
      <c r="O64" s="93">
        <v>150858738.67688489</v>
      </c>
      <c r="P64" s="93">
        <v>14445112.1278759</v>
      </c>
      <c r="Q64" s="93">
        <v>2845532.2055613701</v>
      </c>
      <c r="R64" s="93">
        <v>69252361.574829206</v>
      </c>
      <c r="S64" s="93">
        <v>37355562.452123798</v>
      </c>
      <c r="T64" s="93">
        <v>751323.14343498403</v>
      </c>
      <c r="U64" s="93">
        <v>5730101.0897917505</v>
      </c>
      <c r="V64" s="93">
        <v>1842915.0100946599</v>
      </c>
      <c r="W64" s="93">
        <v>6306091.0333283497</v>
      </c>
      <c r="X64" s="93">
        <v>35629817.833301</v>
      </c>
      <c r="Y64" s="93">
        <v>8117441.2472930998</v>
      </c>
      <c r="Z64" s="93">
        <v>391999.94440457301</v>
      </c>
      <c r="AA64" s="93">
        <v>67440.283997858001</v>
      </c>
      <c r="AB64" s="93">
        <v>4414.6576666666597</v>
      </c>
      <c r="AC64" s="93">
        <v>432990.19349078101</v>
      </c>
      <c r="AD64" s="93">
        <v>998666.06053035299</v>
      </c>
      <c r="AE64" s="93">
        <v>2868298.0985194198</v>
      </c>
      <c r="AF64" s="93">
        <v>480590.19305792602</v>
      </c>
      <c r="AG64" s="93">
        <v>170482.37239536102</v>
      </c>
      <c r="AH64" s="93">
        <v>128577.72208982101</v>
      </c>
      <c r="AI64" s="93">
        <v>251576.916397503</v>
      </c>
      <c r="AJ64" s="93">
        <v>157647.37316356899</v>
      </c>
      <c r="AK64" s="93">
        <v>6907.6754409905197</v>
      </c>
      <c r="AL64" s="93">
        <v>1567446517.9265819</v>
      </c>
      <c r="AM64" s="93">
        <v>4790702.3716885494</v>
      </c>
      <c r="AN64" s="93">
        <v>134235898.30594698</v>
      </c>
      <c r="AO64" s="93">
        <v>26013386.759953599</v>
      </c>
      <c r="AP64" s="93">
        <v>1732486505.364171</v>
      </c>
      <c r="AQ64" s="93">
        <v>24727065.127612658</v>
      </c>
      <c r="AR64" s="14"/>
    </row>
    <row r="65" spans="1:44" x14ac:dyDescent="0.2">
      <c r="A65" s="94"/>
      <c r="B65" s="92">
        <v>10</v>
      </c>
      <c r="C65" s="93">
        <v>589.99999999999795</v>
      </c>
      <c r="D65" s="93">
        <v>473011.79202309402</v>
      </c>
      <c r="E65" s="93">
        <v>907121990.54273498</v>
      </c>
      <c r="F65" s="93">
        <v>173928</v>
      </c>
      <c r="G65" s="93">
        <v>18200809.9257195</v>
      </c>
      <c r="H65" s="93">
        <v>1578898.0539895999</v>
      </c>
      <c r="I65" s="93">
        <v>9985143.8436101507</v>
      </c>
      <c r="J65" s="93">
        <v>1107771.0429174101</v>
      </c>
      <c r="K65" s="93">
        <v>193711509.25595492</v>
      </c>
      <c r="L65" s="93">
        <v>5473808.0976193501</v>
      </c>
      <c r="M65" s="93">
        <v>223525795.66164148</v>
      </c>
      <c r="N65" s="93">
        <v>10864235.762819299</v>
      </c>
      <c r="O65" s="93">
        <v>158312894.3759827</v>
      </c>
      <c r="P65" s="93">
        <v>14669146.637211101</v>
      </c>
      <c r="Q65" s="93">
        <v>1278671.72914976</v>
      </c>
      <c r="R65" s="93">
        <v>73432095.433387294</v>
      </c>
      <c r="S65" s="93">
        <v>37924607.9077897</v>
      </c>
      <c r="T65" s="93">
        <v>761341.88298350899</v>
      </c>
      <c r="U65" s="93">
        <v>8277467.6590932198</v>
      </c>
      <c r="V65" s="93">
        <v>1494569.6702938101</v>
      </c>
      <c r="W65" s="93">
        <v>6083394.8949097106</v>
      </c>
      <c r="X65" s="93">
        <v>36124526.615186498</v>
      </c>
      <c r="Y65" s="93">
        <v>8507877.8371961303</v>
      </c>
      <c r="Z65" s="93">
        <v>522984.68699255201</v>
      </c>
      <c r="AA65" s="93">
        <v>71363.639537717099</v>
      </c>
      <c r="AB65" s="93">
        <v>4414.6576666666597</v>
      </c>
      <c r="AC65" s="93">
        <v>481397.024551332</v>
      </c>
      <c r="AD65" s="93">
        <v>1103034.0236420599</v>
      </c>
      <c r="AE65" s="93">
        <v>3168056.38807286</v>
      </c>
      <c r="AF65" s="93">
        <v>530815.40999809199</v>
      </c>
      <c r="AG65" s="93">
        <v>177628.22779361802</v>
      </c>
      <c r="AH65" s="93">
        <v>139020.90726951102</v>
      </c>
      <c r="AI65" s="93">
        <v>445626.53312734998</v>
      </c>
      <c r="AJ65" s="93">
        <v>161513.48308016901</v>
      </c>
      <c r="AK65" s="93">
        <v>6877.1591295978396</v>
      </c>
      <c r="AL65" s="93">
        <v>1725896818.7630749</v>
      </c>
      <c r="AM65" s="93">
        <v>4605099.4704969795</v>
      </c>
      <c r="AN65" s="93">
        <v>134411770.26131499</v>
      </c>
      <c r="AO65" s="93">
        <v>26422687.3499359</v>
      </c>
      <c r="AP65" s="93">
        <v>1891336375.8448229</v>
      </c>
      <c r="AQ65" s="93">
        <v>24717579.058784436</v>
      </c>
      <c r="AR65" s="14"/>
    </row>
    <row r="66" spans="1:44" x14ac:dyDescent="0.2">
      <c r="A66" s="94"/>
      <c r="B66" s="92">
        <v>11</v>
      </c>
      <c r="C66" s="93">
        <v>589.99999999999795</v>
      </c>
      <c r="D66" s="93">
        <v>648423.40686723904</v>
      </c>
      <c r="E66" s="93">
        <v>1076785586.9198499</v>
      </c>
      <c r="F66" s="93">
        <v>196629.25</v>
      </c>
      <c r="G66" s="93">
        <v>20592487.1309851</v>
      </c>
      <c r="H66" s="93">
        <v>1746549.8880058001</v>
      </c>
      <c r="I66" s="93">
        <v>11224528.2194649</v>
      </c>
      <c r="J66" s="93">
        <v>1195582.3948837598</v>
      </c>
      <c r="K66" s="93">
        <v>203159072.1974107</v>
      </c>
      <c r="L66" s="93">
        <v>5785862.08233192</v>
      </c>
      <c r="M66" s="93">
        <v>225487186.10055381</v>
      </c>
      <c r="N66" s="93">
        <v>10684226.1760982</v>
      </c>
      <c r="O66" s="93">
        <v>160539510.91153258</v>
      </c>
      <c r="P66" s="93">
        <v>13713647.6813653</v>
      </c>
      <c r="Q66" s="93">
        <v>366688.22940770799</v>
      </c>
      <c r="R66" s="93">
        <v>74471729.201131195</v>
      </c>
      <c r="S66" s="93">
        <v>36103943.948902003</v>
      </c>
      <c r="T66" s="93">
        <v>300805.10047807003</v>
      </c>
      <c r="U66" s="93">
        <v>10746381.1078781</v>
      </c>
      <c r="V66" s="93">
        <v>1509637.5148641099</v>
      </c>
      <c r="W66" s="93">
        <v>5061673.7030187398</v>
      </c>
      <c r="X66" s="93">
        <v>35667649.876858294</v>
      </c>
      <c r="Y66" s="93">
        <v>8264407.8165432606</v>
      </c>
      <c r="Z66" s="93">
        <v>556165.94361081196</v>
      </c>
      <c r="AA66" s="93">
        <v>89630.050449432907</v>
      </c>
      <c r="AB66" s="93">
        <v>4414.6576666666597</v>
      </c>
      <c r="AC66" s="93">
        <v>418081.83154858701</v>
      </c>
      <c r="AD66" s="93">
        <v>951719.01647462801</v>
      </c>
      <c r="AE66" s="93">
        <v>2733460.1156158703</v>
      </c>
      <c r="AF66" s="93">
        <v>457997.76716307004</v>
      </c>
      <c r="AG66" s="93">
        <v>167883.09057871898</v>
      </c>
      <c r="AH66" s="93">
        <v>126615.17975819101</v>
      </c>
      <c r="AI66" s="93">
        <v>219599.27265159701</v>
      </c>
      <c r="AJ66" s="93">
        <v>155348.44594613501</v>
      </c>
      <c r="AK66" s="93">
        <v>6756.1468279499395</v>
      </c>
      <c r="AL66" s="93">
        <v>1910140470.3767226</v>
      </c>
      <c r="AM66" s="93">
        <v>4517716.9292210797</v>
      </c>
      <c r="AN66" s="93">
        <v>132853726.37793098</v>
      </c>
      <c r="AO66" s="93">
        <v>24913391.402013503</v>
      </c>
      <c r="AP66" s="93">
        <v>2072425305.0858881</v>
      </c>
      <c r="AQ66" s="93">
        <v>26154662.348557077</v>
      </c>
      <c r="AR66" s="14"/>
    </row>
    <row r="67" spans="1:44" x14ac:dyDescent="0.2">
      <c r="A67" s="95"/>
      <c r="B67" s="96">
        <v>12</v>
      </c>
      <c r="C67" s="97">
        <v>589.99999999999795</v>
      </c>
      <c r="D67" s="97">
        <v>852577.99564054003</v>
      </c>
      <c r="E67" s="97">
        <v>1293846616.1417</v>
      </c>
      <c r="F67" s="97">
        <v>242994.14285714302</v>
      </c>
      <c r="G67" s="97">
        <v>26809316.925138798</v>
      </c>
      <c r="H67" s="97">
        <v>2234985.3660407499</v>
      </c>
      <c r="I67" s="97">
        <v>13344574.8126959</v>
      </c>
      <c r="J67" s="97">
        <v>1436209.65225947</v>
      </c>
      <c r="K67" s="97">
        <v>236833508.62528446</v>
      </c>
      <c r="L67" s="97">
        <v>6007873.2856672406</v>
      </c>
      <c r="M67" s="97">
        <v>255389868.8243199</v>
      </c>
      <c r="N67" s="97">
        <v>10469628.8260701</v>
      </c>
      <c r="O67" s="97">
        <v>171801200.88718769</v>
      </c>
      <c r="P67" s="97">
        <v>12754717.711288</v>
      </c>
      <c r="Q67" s="97">
        <v>265262.44247496699</v>
      </c>
      <c r="R67" s="97">
        <v>79263111.980726302</v>
      </c>
      <c r="S67" s="97">
        <v>34009958.3261685</v>
      </c>
      <c r="T67" s="97">
        <v>0</v>
      </c>
      <c r="U67" s="97">
        <v>14052758.044756599</v>
      </c>
      <c r="V67" s="97">
        <v>1678761.8524321399</v>
      </c>
      <c r="W67" s="97">
        <v>5435672.4201611495</v>
      </c>
      <c r="X67" s="97">
        <v>36700478.686019205</v>
      </c>
      <c r="Y67" s="97">
        <v>8744044.1618935</v>
      </c>
      <c r="Z67" s="97">
        <v>730066.70761286106</v>
      </c>
      <c r="AA67" s="97">
        <v>108908.459927082</v>
      </c>
      <c r="AB67" s="97">
        <v>4414.6576666666597</v>
      </c>
      <c r="AC67" s="97">
        <v>456763.18843630602</v>
      </c>
      <c r="AD67" s="97">
        <v>1033044.2366167199</v>
      </c>
      <c r="AE67" s="97">
        <v>2967036.6668920303</v>
      </c>
      <c r="AF67" s="97">
        <v>497134.07587852603</v>
      </c>
      <c r="AG67" s="97">
        <v>175151.332152958</v>
      </c>
      <c r="AH67" s="97">
        <v>136494.50441758599</v>
      </c>
      <c r="AI67" s="97">
        <v>224963.33664478801</v>
      </c>
      <c r="AJ67" s="97">
        <v>158841.839117539</v>
      </c>
      <c r="AK67" s="97">
        <v>6792.7742175639205</v>
      </c>
      <c r="AL67" s="97">
        <v>2218674322.8903632</v>
      </c>
      <c r="AM67" s="97">
        <v>4921377.52026542</v>
      </c>
      <c r="AN67" s="97">
        <v>135866925.057596</v>
      </c>
      <c r="AO67" s="97">
        <v>25524731.402940601</v>
      </c>
      <c r="AP67" s="97">
        <v>2384987356.8711658</v>
      </c>
      <c r="AQ67" s="97">
        <v>28887425.540378567</v>
      </c>
      <c r="AR67" s="14"/>
    </row>
    <row r="68" spans="1:44" x14ac:dyDescent="0.2">
      <c r="A68" s="92">
        <f>A56+1</f>
        <v>2028</v>
      </c>
      <c r="B68" s="92">
        <v>1</v>
      </c>
      <c r="C68" s="93">
        <v>589.99999999999795</v>
      </c>
      <c r="D68" s="93">
        <v>848338.76699972199</v>
      </c>
      <c r="E68" s="93">
        <v>1237735474.3236001</v>
      </c>
      <c r="F68" s="93">
        <v>259810</v>
      </c>
      <c r="G68" s="93">
        <v>27664640.624051601</v>
      </c>
      <c r="H68" s="93">
        <v>2410388.7589450702</v>
      </c>
      <c r="I68" s="93">
        <v>13575620.8932143</v>
      </c>
      <c r="J68" s="93">
        <v>1525936.7607140301</v>
      </c>
      <c r="K68" s="93">
        <v>238935556.26167402</v>
      </c>
      <c r="L68" s="93">
        <v>6926897.1100676497</v>
      </c>
      <c r="M68" s="93">
        <v>245626754.07102787</v>
      </c>
      <c r="N68" s="93">
        <v>11214552.2786729</v>
      </c>
      <c r="O68" s="93">
        <v>171036004.3485429</v>
      </c>
      <c r="P68" s="93">
        <v>13300318.2843548</v>
      </c>
      <c r="Q68" s="93">
        <v>291272.37562542199</v>
      </c>
      <c r="R68" s="93">
        <v>79543247.378206506</v>
      </c>
      <c r="S68" s="93">
        <v>36103163.486122102</v>
      </c>
      <c r="T68" s="93">
        <v>0</v>
      </c>
      <c r="U68" s="93">
        <v>14665438.332680101</v>
      </c>
      <c r="V68" s="93">
        <v>1657346.54837741</v>
      </c>
      <c r="W68" s="93">
        <v>5694825.5847503999</v>
      </c>
      <c r="X68" s="93">
        <v>37297941.700092502</v>
      </c>
      <c r="Y68" s="93">
        <v>8767544.1787216701</v>
      </c>
      <c r="Z68" s="93">
        <v>751517.36956114101</v>
      </c>
      <c r="AA68" s="93">
        <v>110190.418926181</v>
      </c>
      <c r="AB68" s="93">
        <v>4414.6576666666597</v>
      </c>
      <c r="AC68" s="93">
        <v>455122.03441931499</v>
      </c>
      <c r="AD68" s="93">
        <v>1022714.1024994999</v>
      </c>
      <c r="AE68" s="93">
        <v>2937367.18555396</v>
      </c>
      <c r="AF68" s="93">
        <v>492162.88345903897</v>
      </c>
      <c r="AG68" s="93">
        <v>175322.76991466302</v>
      </c>
      <c r="AH68" s="93">
        <v>128872.948711269</v>
      </c>
      <c r="AI68" s="93">
        <v>339065.73968799401</v>
      </c>
      <c r="AJ68" s="93">
        <v>158624.77813680802</v>
      </c>
      <c r="AK68" s="93">
        <v>6987.3273229392098</v>
      </c>
      <c r="AL68" s="93">
        <v>2161664024.2823005</v>
      </c>
      <c r="AM68" s="93">
        <v>5653106.0843380503</v>
      </c>
      <c r="AN68" s="93">
        <v>136683004.35002202</v>
      </c>
      <c r="AO68" s="93">
        <v>26157696.099158999</v>
      </c>
      <c r="AP68" s="93">
        <v>2330157830.8158193</v>
      </c>
      <c r="AQ68" s="93">
        <v>26657308.277561836</v>
      </c>
      <c r="AR68" s="14"/>
    </row>
    <row r="69" spans="1:44" x14ac:dyDescent="0.2">
      <c r="A69" s="94"/>
      <c r="B69" s="92">
        <v>2</v>
      </c>
      <c r="C69" s="93">
        <v>589.99999999999795</v>
      </c>
      <c r="D69" s="93">
        <v>866045.65049555805</v>
      </c>
      <c r="E69" s="93">
        <v>1102326005.8205299</v>
      </c>
      <c r="F69" s="93">
        <v>233365.535</v>
      </c>
      <c r="G69" s="93">
        <v>24592171.802913599</v>
      </c>
      <c r="H69" s="93">
        <v>2103700.4775126004</v>
      </c>
      <c r="I69" s="93">
        <v>11853362.040392799</v>
      </c>
      <c r="J69" s="93">
        <v>1373474.1838775401</v>
      </c>
      <c r="K69" s="93">
        <v>212124985.43315288</v>
      </c>
      <c r="L69" s="93">
        <v>6612412.0984454006</v>
      </c>
      <c r="M69" s="93">
        <v>223180979.02993792</v>
      </c>
      <c r="N69" s="93">
        <v>11441235.810331801</v>
      </c>
      <c r="O69" s="93">
        <v>157979169.77197853</v>
      </c>
      <c r="P69" s="93">
        <v>13743678.352251999</v>
      </c>
      <c r="Q69" s="93">
        <v>267856.63675643899</v>
      </c>
      <c r="R69" s="93">
        <v>73739015.191208288</v>
      </c>
      <c r="S69" s="93">
        <v>36150725.722292699</v>
      </c>
      <c r="T69" s="93">
        <v>0</v>
      </c>
      <c r="U69" s="93">
        <v>13597494.4712408</v>
      </c>
      <c r="V69" s="93">
        <v>1625538.23719315</v>
      </c>
      <c r="W69" s="93">
        <v>5785960.6048103394</v>
      </c>
      <c r="X69" s="93">
        <v>35128269.267435603</v>
      </c>
      <c r="Y69" s="93">
        <v>8503379.1049168911</v>
      </c>
      <c r="Z69" s="93">
        <v>581415.29800593609</v>
      </c>
      <c r="AA69" s="93">
        <v>107716.87058862101</v>
      </c>
      <c r="AB69" s="93">
        <v>4414.6576666666597</v>
      </c>
      <c r="AC69" s="93">
        <v>407324.370048307</v>
      </c>
      <c r="AD69" s="93">
        <v>909459.348341704</v>
      </c>
      <c r="AE69" s="93">
        <v>2612084.8826522604</v>
      </c>
      <c r="AF69" s="93">
        <v>437661.05715634301</v>
      </c>
      <c r="AG69" s="93">
        <v>181041.31063921301</v>
      </c>
      <c r="AH69" s="93">
        <v>138871.14709596901</v>
      </c>
      <c r="AI69" s="93">
        <v>193391.71934945302</v>
      </c>
      <c r="AJ69" s="93">
        <v>161628.46159122401</v>
      </c>
      <c r="AK69" s="93">
        <v>6937.16126750077</v>
      </c>
      <c r="AL69" s="93">
        <v>1948971361.5270777</v>
      </c>
      <c r="AM69" s="93">
        <v>5301053.16534964</v>
      </c>
      <c r="AN69" s="93">
        <v>128149360.88372999</v>
      </c>
      <c r="AO69" s="93">
        <v>23840885.566920597</v>
      </c>
      <c r="AP69" s="93">
        <v>2106262661.1430779</v>
      </c>
      <c r="AQ69" s="93">
        <v>23431945.037921585</v>
      </c>
      <c r="AR69" s="14"/>
    </row>
    <row r="70" spans="1:44" x14ac:dyDescent="0.2">
      <c r="A70" s="94"/>
      <c r="B70" s="92">
        <v>3</v>
      </c>
      <c r="C70" s="93">
        <v>589.99999999999795</v>
      </c>
      <c r="D70" s="93">
        <v>821425.47760367196</v>
      </c>
      <c r="E70" s="93">
        <v>1077187348.1073301</v>
      </c>
      <c r="F70" s="93">
        <v>213526.34</v>
      </c>
      <c r="G70" s="93">
        <v>24545262.121057898</v>
      </c>
      <c r="H70" s="93">
        <v>2260618.1329889102</v>
      </c>
      <c r="I70" s="93">
        <v>12154444.4161037</v>
      </c>
      <c r="J70" s="93">
        <v>1435106.1192234699</v>
      </c>
      <c r="K70" s="93">
        <v>221971941.00294271</v>
      </c>
      <c r="L70" s="93">
        <v>7030140.1228489904</v>
      </c>
      <c r="M70" s="93">
        <v>233414532.21801972</v>
      </c>
      <c r="N70" s="93">
        <v>11889192.654948199</v>
      </c>
      <c r="O70" s="93">
        <v>164171109.6113956</v>
      </c>
      <c r="P70" s="93">
        <v>14339266.527813898</v>
      </c>
      <c r="Q70" s="93">
        <v>283191.173764985</v>
      </c>
      <c r="R70" s="93">
        <v>78251572.631439805</v>
      </c>
      <c r="S70" s="93">
        <v>37497048.290038399</v>
      </c>
      <c r="T70" s="93">
        <v>0</v>
      </c>
      <c r="U70" s="93">
        <v>14165574.593720799</v>
      </c>
      <c r="V70" s="93">
        <v>1622517.6844206902</v>
      </c>
      <c r="W70" s="93">
        <v>6524869.5706383996</v>
      </c>
      <c r="X70" s="93">
        <v>36826065.977652401</v>
      </c>
      <c r="Y70" s="93">
        <v>8295743.2862124098</v>
      </c>
      <c r="Z70" s="93">
        <v>606314.25361138897</v>
      </c>
      <c r="AA70" s="93">
        <v>103698.75067091201</v>
      </c>
      <c r="AB70" s="93">
        <v>4414.6576666666597</v>
      </c>
      <c r="AC70" s="93">
        <v>491649.27521558001</v>
      </c>
      <c r="AD70" s="93">
        <v>1090768.38291582</v>
      </c>
      <c r="AE70" s="93">
        <v>3132827.8814051701</v>
      </c>
      <c r="AF70" s="93">
        <v>524912.78961518698</v>
      </c>
      <c r="AG70" s="93">
        <v>171059.325677607</v>
      </c>
      <c r="AH70" s="93">
        <v>126322.907584026</v>
      </c>
      <c r="AI70" s="93">
        <v>246576.674642228</v>
      </c>
      <c r="AJ70" s="93">
        <v>155067.528652465</v>
      </c>
      <c r="AK70" s="93">
        <v>6850.9812014573899</v>
      </c>
      <c r="AL70" s="93">
        <v>1961561549.469023</v>
      </c>
      <c r="AM70" s="93">
        <v>5464472.9703247808</v>
      </c>
      <c r="AN70" s="93">
        <v>133859893.520163</v>
      </c>
      <c r="AO70" s="93">
        <v>24952518.149711598</v>
      </c>
      <c r="AP70" s="93">
        <v>2125838434.1092224</v>
      </c>
      <c r="AQ70" s="93">
        <v>24954588.829289552</v>
      </c>
      <c r="AR70" s="14"/>
    </row>
    <row r="71" spans="1:44" x14ac:dyDescent="0.2">
      <c r="A71" s="94"/>
      <c r="B71" s="92">
        <v>4</v>
      </c>
      <c r="C71" s="93">
        <v>589.99999999999795</v>
      </c>
      <c r="D71" s="93">
        <v>582352.77084139397</v>
      </c>
      <c r="E71" s="93">
        <v>911623435.08373308</v>
      </c>
      <c r="F71" s="93">
        <v>180149.25</v>
      </c>
      <c r="G71" s="93">
        <v>20924854.906342</v>
      </c>
      <c r="H71" s="93">
        <v>1974453.81628361</v>
      </c>
      <c r="I71" s="93">
        <v>10425001.0118264</v>
      </c>
      <c r="J71" s="93">
        <v>1237733.4683106202</v>
      </c>
      <c r="K71" s="93">
        <v>195636967.30633739</v>
      </c>
      <c r="L71" s="93">
        <v>6127404.94416006</v>
      </c>
      <c r="M71" s="93">
        <v>211838254.4223153</v>
      </c>
      <c r="N71" s="93">
        <v>10995493.691194801</v>
      </c>
      <c r="O71" s="93">
        <v>154955105.24875399</v>
      </c>
      <c r="P71" s="93">
        <v>14087711.9325884</v>
      </c>
      <c r="Q71" s="93">
        <v>304560.932129258</v>
      </c>
      <c r="R71" s="93">
        <v>73988900.733472705</v>
      </c>
      <c r="S71" s="93">
        <v>35922379.344189301</v>
      </c>
      <c r="T71" s="93">
        <v>0</v>
      </c>
      <c r="U71" s="93">
        <v>10890305.5325468</v>
      </c>
      <c r="V71" s="93">
        <v>1656934.4621775299</v>
      </c>
      <c r="W71" s="93">
        <v>5966181.3496430004</v>
      </c>
      <c r="X71" s="93">
        <v>35343289.235805698</v>
      </c>
      <c r="Y71" s="93">
        <v>8927297.1942624692</v>
      </c>
      <c r="Z71" s="93">
        <v>421662.10676877503</v>
      </c>
      <c r="AA71" s="93">
        <v>87227.212893670498</v>
      </c>
      <c r="AB71" s="93">
        <v>4414.6576666666597</v>
      </c>
      <c r="AC71" s="93">
        <v>457617.44864329498</v>
      </c>
      <c r="AD71" s="93">
        <v>1008861.28422023</v>
      </c>
      <c r="AE71" s="93">
        <v>2897580.09966014</v>
      </c>
      <c r="AF71" s="93">
        <v>485496.46224542998</v>
      </c>
      <c r="AG71" s="93">
        <v>181067.15428430602</v>
      </c>
      <c r="AH71" s="93">
        <v>139221.387057663</v>
      </c>
      <c r="AI71" s="93">
        <v>203985.39061614202</v>
      </c>
      <c r="AJ71" s="93">
        <v>161677.38075053602</v>
      </c>
      <c r="AK71" s="93">
        <v>6988.1338894987302</v>
      </c>
      <c r="AL71" s="93">
        <v>1719645155.3556099</v>
      </c>
      <c r="AM71" s="93">
        <v>5042898.7400535801</v>
      </c>
      <c r="AN71" s="93">
        <v>121354417.025114</v>
      </c>
      <c r="AO71" s="93">
        <v>22279251.682791401</v>
      </c>
      <c r="AP71" s="93">
        <v>1868321722.8035691</v>
      </c>
      <c r="AQ71" s="93">
        <v>23829791.223515149</v>
      </c>
      <c r="AR71" s="14"/>
    </row>
    <row r="72" spans="1:44" x14ac:dyDescent="0.2">
      <c r="A72" s="94"/>
      <c r="B72" s="92">
        <v>5</v>
      </c>
      <c r="C72" s="93">
        <v>589.99999999999795</v>
      </c>
      <c r="D72" s="93">
        <v>436400.459138342</v>
      </c>
      <c r="E72" s="93">
        <v>804394263.22580302</v>
      </c>
      <c r="F72" s="93">
        <v>165744.375</v>
      </c>
      <c r="G72" s="93">
        <v>18871151.211345401</v>
      </c>
      <c r="H72" s="93">
        <v>1771338.7865935999</v>
      </c>
      <c r="I72" s="93">
        <v>10047530.7276779</v>
      </c>
      <c r="J72" s="93">
        <v>1124000.3266281502</v>
      </c>
      <c r="K72" s="93">
        <v>194787330.89877149</v>
      </c>
      <c r="L72" s="93">
        <v>5832333.1913896101</v>
      </c>
      <c r="M72" s="93">
        <v>216631183.1052011</v>
      </c>
      <c r="N72" s="93">
        <v>10862156.905041801</v>
      </c>
      <c r="O72" s="93">
        <v>158960178.46881133</v>
      </c>
      <c r="P72" s="93">
        <v>14557553.697753198</v>
      </c>
      <c r="Q72" s="93">
        <v>723153.37064956001</v>
      </c>
      <c r="R72" s="93">
        <v>74305239.304198995</v>
      </c>
      <c r="S72" s="93">
        <v>36965286.191473596</v>
      </c>
      <c r="T72" s="93">
        <v>292646.56280975603</v>
      </c>
      <c r="U72" s="93">
        <v>9409084.6562317498</v>
      </c>
      <c r="V72" s="93">
        <v>1660490.92250942</v>
      </c>
      <c r="W72" s="93">
        <v>6691284.7282445896</v>
      </c>
      <c r="X72" s="93">
        <v>35800971.948708296</v>
      </c>
      <c r="Y72" s="93">
        <v>8956287.23966722</v>
      </c>
      <c r="Z72" s="93">
        <v>312683.46038443502</v>
      </c>
      <c r="AA72" s="93">
        <v>67729.112893822705</v>
      </c>
      <c r="AB72" s="93">
        <v>4414.6576666666597</v>
      </c>
      <c r="AC72" s="93">
        <v>441662.07510364702</v>
      </c>
      <c r="AD72" s="93">
        <v>967582.519908658</v>
      </c>
      <c r="AE72" s="93">
        <v>2779022.1493466701</v>
      </c>
      <c r="AF72" s="93">
        <v>465631.79467161198</v>
      </c>
      <c r="AG72" s="93">
        <v>171992.75364263399</v>
      </c>
      <c r="AH72" s="93">
        <v>127315.581006184</v>
      </c>
      <c r="AI72" s="93">
        <v>385049.48972026497</v>
      </c>
      <c r="AJ72" s="93">
        <v>155844.73668763498</v>
      </c>
      <c r="AK72" s="93">
        <v>6876.1006767354402</v>
      </c>
      <c r="AL72" s="93">
        <v>1619132004.7353568</v>
      </c>
      <c r="AM72" s="93">
        <v>5549236.3612808604</v>
      </c>
      <c r="AN72" s="93">
        <v>123908583.21455701</v>
      </c>
      <c r="AO72" s="93">
        <v>24099348.014044601</v>
      </c>
      <c r="AP72" s="93">
        <v>1772689172.3252392</v>
      </c>
      <c r="AQ72" s="93">
        <v>23785628.059987836</v>
      </c>
      <c r="AR72" s="14"/>
    </row>
    <row r="73" spans="1:44" x14ac:dyDescent="0.2">
      <c r="A73" s="94"/>
      <c r="B73" s="92">
        <v>6</v>
      </c>
      <c r="C73" s="93">
        <v>589.99999999999795</v>
      </c>
      <c r="D73" s="93">
        <v>316490.58928320697</v>
      </c>
      <c r="E73" s="93">
        <v>783395722.53286302</v>
      </c>
      <c r="F73" s="93">
        <v>183269.5</v>
      </c>
      <c r="G73" s="93">
        <v>17761278.290790498</v>
      </c>
      <c r="H73" s="93">
        <v>1601759.5019894401</v>
      </c>
      <c r="I73" s="93">
        <v>9486343.1853101496</v>
      </c>
      <c r="J73" s="93">
        <v>1011734.5728532</v>
      </c>
      <c r="K73" s="93">
        <v>191555506.3215093</v>
      </c>
      <c r="L73" s="93">
        <v>5753549.4452745998</v>
      </c>
      <c r="M73" s="93">
        <v>217613130.64835772</v>
      </c>
      <c r="N73" s="93">
        <v>11149048.2826147</v>
      </c>
      <c r="O73" s="93">
        <v>159954909.32773069</v>
      </c>
      <c r="P73" s="93">
        <v>15274574.0534593</v>
      </c>
      <c r="Q73" s="93">
        <v>1449772.4230182001</v>
      </c>
      <c r="R73" s="93">
        <v>73486471.959670097</v>
      </c>
      <c r="S73" s="93">
        <v>38641041.228195198</v>
      </c>
      <c r="T73" s="93">
        <v>630070.86667351099</v>
      </c>
      <c r="U73" s="93">
        <v>7953002.8653072808</v>
      </c>
      <c r="V73" s="93">
        <v>1816769.14934614</v>
      </c>
      <c r="W73" s="93">
        <v>7353850.5917766998</v>
      </c>
      <c r="X73" s="93">
        <v>35043147.640328698</v>
      </c>
      <c r="Y73" s="93">
        <v>8474091.328475561</v>
      </c>
      <c r="Z73" s="93">
        <v>242294.67139904198</v>
      </c>
      <c r="AA73" s="93">
        <v>63429.272893754896</v>
      </c>
      <c r="AB73" s="93">
        <v>4414.6576666666597</v>
      </c>
      <c r="AC73" s="93">
        <v>418924.779335987</v>
      </c>
      <c r="AD73" s="93">
        <v>912052.93570214405</v>
      </c>
      <c r="AE73" s="93">
        <v>2619534.00101955</v>
      </c>
      <c r="AF73" s="93">
        <v>438909.17471989099</v>
      </c>
      <c r="AG73" s="93">
        <v>163119.67544233202</v>
      </c>
      <c r="AH73" s="93">
        <v>125571.65144963299</v>
      </c>
      <c r="AI73" s="93">
        <v>211482.56610748501</v>
      </c>
      <c r="AJ73" s="93">
        <v>145161.943681504</v>
      </c>
      <c r="AK73" s="93">
        <v>6278.7847167911805</v>
      </c>
      <c r="AL73" s="93">
        <v>1595257298.4189615</v>
      </c>
      <c r="AM73" s="93">
        <v>5235207.1793291997</v>
      </c>
      <c r="AN73" s="93">
        <v>137104036.36781901</v>
      </c>
      <c r="AO73" s="93">
        <v>26231355.232387099</v>
      </c>
      <c r="AP73" s="93">
        <v>1763827897.1984968</v>
      </c>
      <c r="AQ73" s="93">
        <v>23967784.899174068</v>
      </c>
      <c r="AR73" s="14"/>
    </row>
    <row r="74" spans="1:44" x14ac:dyDescent="0.2">
      <c r="A74" s="94"/>
      <c r="B74" s="92">
        <v>7</v>
      </c>
      <c r="C74" s="93">
        <v>589.99999999999795</v>
      </c>
      <c r="D74" s="93">
        <v>274419.219392706</v>
      </c>
      <c r="E74" s="93">
        <v>880674139.88636398</v>
      </c>
      <c r="F74" s="93">
        <v>214898.875</v>
      </c>
      <c r="G74" s="93">
        <v>18229250.897789799</v>
      </c>
      <c r="H74" s="93">
        <v>1719037.43945621</v>
      </c>
      <c r="I74" s="93">
        <v>10259473.5193698</v>
      </c>
      <c r="J74" s="93">
        <v>1331289.65962767</v>
      </c>
      <c r="K74" s="93">
        <v>207485160.4223412</v>
      </c>
      <c r="L74" s="93">
        <v>5438655.9031050503</v>
      </c>
      <c r="M74" s="93">
        <v>234595441.99892208</v>
      </c>
      <c r="N74" s="93">
        <v>10560852.3339967</v>
      </c>
      <c r="O74" s="93">
        <v>176100737.44173902</v>
      </c>
      <c r="P74" s="93">
        <v>14505862.874103101</v>
      </c>
      <c r="Q74" s="93">
        <v>2670010.2516501402</v>
      </c>
      <c r="R74" s="93">
        <v>78611665.377268493</v>
      </c>
      <c r="S74" s="93">
        <v>36915500.171003707</v>
      </c>
      <c r="T74" s="93">
        <v>665316.54936435493</v>
      </c>
      <c r="U74" s="93">
        <v>6268241.2896342902</v>
      </c>
      <c r="V74" s="93">
        <v>2149147.6207390199</v>
      </c>
      <c r="W74" s="93">
        <v>7993866.44832893</v>
      </c>
      <c r="X74" s="93">
        <v>36455099.402126394</v>
      </c>
      <c r="Y74" s="93">
        <v>9223881.0350681599</v>
      </c>
      <c r="Z74" s="93">
        <v>244852.583572748</v>
      </c>
      <c r="AA74" s="93">
        <v>63472.684004793104</v>
      </c>
      <c r="AB74" s="93">
        <v>4414.6576666666597</v>
      </c>
      <c r="AC74" s="93">
        <v>501977.80875293998</v>
      </c>
      <c r="AD74" s="93">
        <v>1086104.1149766999</v>
      </c>
      <c r="AE74" s="93">
        <v>3119431.5005832599</v>
      </c>
      <c r="AF74" s="93">
        <v>522668.19403120497</v>
      </c>
      <c r="AG74" s="93">
        <v>173694.68924902601</v>
      </c>
      <c r="AH74" s="93">
        <v>128850.93212402299</v>
      </c>
      <c r="AI74" s="93">
        <v>217870.63040235799</v>
      </c>
      <c r="AJ74" s="93">
        <v>157247.375532848</v>
      </c>
      <c r="AK74" s="93">
        <v>6991.0827853987403</v>
      </c>
      <c r="AL74" s="93">
        <v>1748570114.8700731</v>
      </c>
      <c r="AM74" s="93">
        <v>5348586.1531666201</v>
      </c>
      <c r="AN74" s="93">
        <v>143573654.89920101</v>
      </c>
      <c r="AO74" s="93">
        <v>27132685.452125702</v>
      </c>
      <c r="AP74" s="93">
        <v>1924625041.3745663</v>
      </c>
      <c r="AQ74" s="93">
        <v>26501194.898765493</v>
      </c>
      <c r="AR74" s="14"/>
    </row>
    <row r="75" spans="1:44" x14ac:dyDescent="0.2">
      <c r="A75" s="94"/>
      <c r="B75" s="92">
        <v>8</v>
      </c>
      <c r="C75" s="93">
        <v>589.99999999999795</v>
      </c>
      <c r="D75" s="93">
        <v>267056.67015937698</v>
      </c>
      <c r="E75" s="93">
        <v>892175312.74525702</v>
      </c>
      <c r="F75" s="93">
        <v>236361</v>
      </c>
      <c r="G75" s="93">
        <v>18044033.9929046</v>
      </c>
      <c r="H75" s="93">
        <v>1612636.1186766601</v>
      </c>
      <c r="I75" s="93">
        <v>10103390.5408142</v>
      </c>
      <c r="J75" s="93">
        <v>1982143.2082907599</v>
      </c>
      <c r="K75" s="93">
        <v>207233926.98355073</v>
      </c>
      <c r="L75" s="93">
        <v>5967259.6371738799</v>
      </c>
      <c r="M75" s="93">
        <v>234455672.83244321</v>
      </c>
      <c r="N75" s="93">
        <v>11743631.6941988</v>
      </c>
      <c r="O75" s="93">
        <v>177631963.7411952</v>
      </c>
      <c r="P75" s="93">
        <v>16144448.1932145</v>
      </c>
      <c r="Q75" s="93">
        <v>3961887.4602039899</v>
      </c>
      <c r="R75" s="93">
        <v>77015454.663976505</v>
      </c>
      <c r="S75" s="93">
        <v>40342300.092121199</v>
      </c>
      <c r="T75" s="93">
        <v>937091.08606525499</v>
      </c>
      <c r="U75" s="93">
        <v>5170854.7265950199</v>
      </c>
      <c r="V75" s="93">
        <v>2139444.2629800001</v>
      </c>
      <c r="W75" s="93">
        <v>7405646.3640244398</v>
      </c>
      <c r="X75" s="93">
        <v>36508055.453575604</v>
      </c>
      <c r="Y75" s="93">
        <v>9302326.0992667284</v>
      </c>
      <c r="Z75" s="93">
        <v>244810.86491152202</v>
      </c>
      <c r="AA75" s="93">
        <v>66369.617323953091</v>
      </c>
      <c r="AB75" s="93">
        <v>4414.6576666666597</v>
      </c>
      <c r="AC75" s="93">
        <v>459607.56792367902</v>
      </c>
      <c r="AD75" s="93">
        <v>988311.16694179899</v>
      </c>
      <c r="AE75" s="93">
        <v>2838557.5047771498</v>
      </c>
      <c r="AF75" s="93">
        <v>475607.08558536996</v>
      </c>
      <c r="AG75" s="93">
        <v>168314.53317898102</v>
      </c>
      <c r="AH75" s="93">
        <v>128859.859448538</v>
      </c>
      <c r="AI75" s="93">
        <v>200089.69231496498</v>
      </c>
      <c r="AJ75" s="93">
        <v>149609.88520053399</v>
      </c>
      <c r="AK75" s="93">
        <v>6510.2017269737498</v>
      </c>
      <c r="AL75" s="93">
        <v>1766112550.2036874</v>
      </c>
      <c r="AM75" s="93">
        <v>5372320.9387618396</v>
      </c>
      <c r="AN75" s="93">
        <v>142951521.77358299</v>
      </c>
      <c r="AO75" s="93">
        <v>28206080.2370096</v>
      </c>
      <c r="AP75" s="93">
        <v>1942642473.1530418</v>
      </c>
      <c r="AQ75" s="93">
        <v>27158082.160451736</v>
      </c>
      <c r="AR75" s="14"/>
    </row>
    <row r="76" spans="1:44" x14ac:dyDescent="0.2">
      <c r="A76" s="94"/>
      <c r="B76" s="92">
        <v>9</v>
      </c>
      <c r="C76" s="93">
        <v>589.99999999999795</v>
      </c>
      <c r="D76" s="93">
        <v>303388.61600484105</v>
      </c>
      <c r="E76" s="93">
        <v>805721682.56032097</v>
      </c>
      <c r="F76" s="93">
        <v>198473.625</v>
      </c>
      <c r="G76" s="93">
        <v>16292893.330196898</v>
      </c>
      <c r="H76" s="93">
        <v>1449256.9798100898</v>
      </c>
      <c r="I76" s="93">
        <v>9037389.5913077798</v>
      </c>
      <c r="J76" s="93">
        <v>1276604.94334918</v>
      </c>
      <c r="K76" s="93">
        <v>187232545.7275005</v>
      </c>
      <c r="L76" s="93">
        <v>5443072.5571187902</v>
      </c>
      <c r="M76" s="93">
        <v>212574715.81864297</v>
      </c>
      <c r="N76" s="93">
        <v>10655983.3348311</v>
      </c>
      <c r="O76" s="93">
        <v>157192818.50899228</v>
      </c>
      <c r="P76" s="93">
        <v>14151815.611082701</v>
      </c>
      <c r="Q76" s="93">
        <v>2828741.8938687001</v>
      </c>
      <c r="R76" s="93">
        <v>68314010.164973393</v>
      </c>
      <c r="S76" s="93">
        <v>36597087.457048103</v>
      </c>
      <c r="T76" s="93">
        <v>746889.89550493797</v>
      </c>
      <c r="U76" s="93">
        <v>5696290.1270691901</v>
      </c>
      <c r="V76" s="93">
        <v>1843590.2698153199</v>
      </c>
      <c r="W76" s="93">
        <v>6304733.3468716498</v>
      </c>
      <c r="X76" s="93">
        <v>35644947.489729695</v>
      </c>
      <c r="Y76" s="93">
        <v>8116422.9824505802</v>
      </c>
      <c r="Z76" s="93">
        <v>337935.23575399799</v>
      </c>
      <c r="AA76" s="93">
        <v>67440.283997858001</v>
      </c>
      <c r="AB76" s="93">
        <v>4414.6576666666597</v>
      </c>
      <c r="AC76" s="93">
        <v>462156.47079754499</v>
      </c>
      <c r="AD76" s="93">
        <v>987714.89190938498</v>
      </c>
      <c r="AE76" s="93">
        <v>2836844.9257587399</v>
      </c>
      <c r="AF76" s="93">
        <v>475320.13888289401</v>
      </c>
      <c r="AG76" s="93">
        <v>171298.31709998898</v>
      </c>
      <c r="AH76" s="93">
        <v>126598.455415146</v>
      </c>
      <c r="AI76" s="93">
        <v>248818.175171082</v>
      </c>
      <c r="AJ76" s="93">
        <v>155092.494874681</v>
      </c>
      <c r="AK76" s="93">
        <v>6940.7362267959297</v>
      </c>
      <c r="AL76" s="93">
        <v>1593504519.6150444</v>
      </c>
      <c r="AM76" s="93">
        <v>4789916.8463532999</v>
      </c>
      <c r="AN76" s="93">
        <v>134213887.81753901</v>
      </c>
      <c r="AO76" s="93">
        <v>26009121.378226597</v>
      </c>
      <c r="AP76" s="93">
        <v>1758517445.6571631</v>
      </c>
      <c r="AQ76" s="93">
        <v>24727065.127612658</v>
      </c>
      <c r="AR76" s="14"/>
    </row>
    <row r="77" spans="1:44" x14ac:dyDescent="0.2">
      <c r="A77" s="94"/>
      <c r="B77" s="92">
        <v>10</v>
      </c>
      <c r="C77" s="93">
        <v>589.99999999999795</v>
      </c>
      <c r="D77" s="93">
        <v>472363.25457083201</v>
      </c>
      <c r="E77" s="93">
        <v>923243367.11965799</v>
      </c>
      <c r="F77" s="93">
        <v>173928</v>
      </c>
      <c r="G77" s="93">
        <v>18074232.717747699</v>
      </c>
      <c r="H77" s="93">
        <v>1551394.5803444402</v>
      </c>
      <c r="I77" s="93">
        <v>9949340.9055075292</v>
      </c>
      <c r="J77" s="93">
        <v>1088474.3241667799</v>
      </c>
      <c r="K77" s="93">
        <v>196454292.47304118</v>
      </c>
      <c r="L77" s="93">
        <v>5333973.9123335499</v>
      </c>
      <c r="M77" s="93">
        <v>225295172.46633101</v>
      </c>
      <c r="N77" s="93">
        <v>10586697.4330946</v>
      </c>
      <c r="O77" s="93">
        <v>165337643.9741649</v>
      </c>
      <c r="P77" s="93">
        <v>14294407.8571386</v>
      </c>
      <c r="Q77" s="93">
        <v>1269779.2294176701</v>
      </c>
      <c r="R77" s="93">
        <v>72295393.454266205</v>
      </c>
      <c r="S77" s="93">
        <v>36955783.909122996</v>
      </c>
      <c r="T77" s="93">
        <v>756047.14443872194</v>
      </c>
      <c r="U77" s="93">
        <v>8219902.1579072308</v>
      </c>
      <c r="V77" s="93">
        <v>1494396.10532829</v>
      </c>
      <c r="W77" s="93">
        <v>6081929.0729678497</v>
      </c>
      <c r="X77" s="93">
        <v>36123311.660427898</v>
      </c>
      <c r="Y77" s="93">
        <v>8506778.4707397409</v>
      </c>
      <c r="Z77" s="93">
        <v>460306.91796638304</v>
      </c>
      <c r="AA77" s="93">
        <v>71363.639537717099</v>
      </c>
      <c r="AB77" s="93">
        <v>4414.6576666666597</v>
      </c>
      <c r="AC77" s="93">
        <v>511381.77114359097</v>
      </c>
      <c r="AD77" s="93">
        <v>1086275.73927001</v>
      </c>
      <c r="AE77" s="93">
        <v>3119924.4277524399</v>
      </c>
      <c r="AF77" s="93">
        <v>522750.78515502193</v>
      </c>
      <c r="AG77" s="93">
        <v>178137.34403310801</v>
      </c>
      <c r="AH77" s="93">
        <v>136761.53711562301</v>
      </c>
      <c r="AI77" s="93">
        <v>438856.17427547905</v>
      </c>
      <c r="AJ77" s="93">
        <v>158586.43554885601</v>
      </c>
      <c r="AK77" s="93">
        <v>6896.8703739080602</v>
      </c>
      <c r="AL77" s="93">
        <v>1750254856.5225544</v>
      </c>
      <c r="AM77" s="93">
        <v>4602170.2236470599</v>
      </c>
      <c r="AN77" s="93">
        <v>134326272.595705</v>
      </c>
      <c r="AO77" s="93">
        <v>26405880.205121297</v>
      </c>
      <c r="AP77" s="93">
        <v>1915589179.5470278</v>
      </c>
      <c r="AQ77" s="93">
        <v>24717579.058784436</v>
      </c>
      <c r="AR77" s="14"/>
    </row>
    <row r="78" spans="1:44" x14ac:dyDescent="0.2">
      <c r="A78" s="94"/>
      <c r="B78" s="92">
        <v>11</v>
      </c>
      <c r="C78" s="93">
        <v>589.99999999999795</v>
      </c>
      <c r="D78" s="93">
        <v>647774.86941497703</v>
      </c>
      <c r="E78" s="93">
        <v>1093271831.45823</v>
      </c>
      <c r="F78" s="93">
        <v>196629.25</v>
      </c>
      <c r="G78" s="93">
        <v>20502161.3573118</v>
      </c>
      <c r="H78" s="93">
        <v>1721790.3057146801</v>
      </c>
      <c r="I78" s="93">
        <v>11209092.0033774</v>
      </c>
      <c r="J78" s="93">
        <v>1178633.4826910801</v>
      </c>
      <c r="K78" s="93">
        <v>206404718.15444368</v>
      </c>
      <c r="L78" s="93">
        <v>5643233.9206352001</v>
      </c>
      <c r="M78" s="93">
        <v>227856820.86538431</v>
      </c>
      <c r="N78" s="93">
        <v>10420847.699915402</v>
      </c>
      <c r="O78" s="93">
        <v>168595680.25284401</v>
      </c>
      <c r="P78" s="93">
        <v>13375590.47725</v>
      </c>
      <c r="Q78" s="93">
        <v>365079.80795732798</v>
      </c>
      <c r="R78" s="93">
        <v>73532547.86743699</v>
      </c>
      <c r="S78" s="93">
        <v>35213940.163440503</v>
      </c>
      <c r="T78" s="93">
        <v>299485.66522711003</v>
      </c>
      <c r="U78" s="93">
        <v>10699243.7620304</v>
      </c>
      <c r="V78" s="93">
        <v>1509486.61757413</v>
      </c>
      <c r="W78" s="93">
        <v>5060314.5617810693</v>
      </c>
      <c r="X78" s="93">
        <v>35666593.595828399</v>
      </c>
      <c r="Y78" s="93">
        <v>8263388.4606150202</v>
      </c>
      <c r="Z78" s="93">
        <v>498942.69898457301</v>
      </c>
      <c r="AA78" s="93">
        <v>89630.050449432907</v>
      </c>
      <c r="AB78" s="93">
        <v>4414.6576666666597</v>
      </c>
      <c r="AC78" s="93">
        <v>442537.50359676004</v>
      </c>
      <c r="AD78" s="93">
        <v>934357.84592966607</v>
      </c>
      <c r="AE78" s="93">
        <v>2683596.5882264101</v>
      </c>
      <c r="AF78" s="93">
        <v>449643.01412431797</v>
      </c>
      <c r="AG78" s="93">
        <v>168880.72628040001</v>
      </c>
      <c r="AH78" s="93">
        <v>124798.88168274</v>
      </c>
      <c r="AI78" s="93">
        <v>215593.362968111</v>
      </c>
      <c r="AJ78" s="93">
        <v>152995.30039634299</v>
      </c>
      <c r="AK78" s="93">
        <v>6796.2948455860305</v>
      </c>
      <c r="AL78" s="93">
        <v>1937407661.5242548</v>
      </c>
      <c r="AM78" s="93">
        <v>4514923.4457023004</v>
      </c>
      <c r="AN78" s="93">
        <v>132771577.65085098</v>
      </c>
      <c r="AO78" s="93">
        <v>24897986.464216601</v>
      </c>
      <c r="AP78" s="93">
        <v>2099592149.0850248</v>
      </c>
      <c r="AQ78" s="93">
        <v>26154662.348557077</v>
      </c>
      <c r="AR78" s="14"/>
    </row>
    <row r="79" spans="1:44" x14ac:dyDescent="0.2">
      <c r="A79" s="95"/>
      <c r="B79" s="96">
        <v>12</v>
      </c>
      <c r="C79" s="97">
        <v>589.99999999999795</v>
      </c>
      <c r="D79" s="97">
        <v>849983.84583149408</v>
      </c>
      <c r="E79" s="97">
        <v>1310289161.4808998</v>
      </c>
      <c r="F79" s="97">
        <v>242994.14285714302</v>
      </c>
      <c r="G79" s="97">
        <v>26784213.916419901</v>
      </c>
      <c r="H79" s="97">
        <v>2211692.0690776701</v>
      </c>
      <c r="I79" s="97">
        <v>13370718.521533499</v>
      </c>
      <c r="J79" s="97">
        <v>1421241.2956699301</v>
      </c>
      <c r="K79" s="97">
        <v>241050715.6190595</v>
      </c>
      <c r="L79" s="97">
        <v>5877519.2144376701</v>
      </c>
      <c r="M79" s="97">
        <v>258697852.23367018</v>
      </c>
      <c r="N79" s="97">
        <v>10242467.120613301</v>
      </c>
      <c r="O79" s="97">
        <v>181356429.76957723</v>
      </c>
      <c r="P79" s="97">
        <v>12477975.958925001</v>
      </c>
      <c r="Q79" s="97">
        <v>265014.06294986297</v>
      </c>
      <c r="R79" s="97">
        <v>78522795.879715189</v>
      </c>
      <c r="S79" s="97">
        <v>33272037.215092402</v>
      </c>
      <c r="T79" s="97">
        <v>0</v>
      </c>
      <c r="U79" s="97">
        <v>14039599.6898195</v>
      </c>
      <c r="V79" s="97">
        <v>1678636.63518756</v>
      </c>
      <c r="W79" s="97">
        <v>5434284.5164969601</v>
      </c>
      <c r="X79" s="97">
        <v>36699602.165307097</v>
      </c>
      <c r="Y79" s="97">
        <v>8743003.2341453489</v>
      </c>
      <c r="Z79" s="97">
        <v>666394.41062898096</v>
      </c>
      <c r="AA79" s="97">
        <v>108908.459927082</v>
      </c>
      <c r="AB79" s="97">
        <v>4414.6576666666597</v>
      </c>
      <c r="AC79" s="97">
        <v>483796.33151323796</v>
      </c>
      <c r="AD79" s="97">
        <v>1015336.25774346</v>
      </c>
      <c r="AE79" s="97">
        <v>2916177.0611257101</v>
      </c>
      <c r="AF79" s="97">
        <v>488612.42753008497</v>
      </c>
      <c r="AG79" s="97">
        <v>176676.79622798099</v>
      </c>
      <c r="AH79" s="97">
        <v>135044.991505588</v>
      </c>
      <c r="AI79" s="97">
        <v>221107.116483675</v>
      </c>
      <c r="AJ79" s="97">
        <v>156860.19313625598</v>
      </c>
      <c r="AK79" s="97">
        <v>6851.9352465510501</v>
      </c>
      <c r="AL79" s="97">
        <v>2249908709.2260218</v>
      </c>
      <c r="AM79" s="97">
        <v>4918337.7762119099</v>
      </c>
      <c r="AN79" s="97">
        <v>135783005.32662401</v>
      </c>
      <c r="AO79" s="97">
        <v>25508965.766148802</v>
      </c>
      <c r="AP79" s="97">
        <v>2416119018.095006</v>
      </c>
      <c r="AQ79" s="97">
        <v>28887425.540378567</v>
      </c>
      <c r="AR79" s="14"/>
    </row>
    <row r="80" spans="1:44" x14ac:dyDescent="0.2">
      <c r="AR80" s="14"/>
    </row>
    <row r="81" spans="1:44" x14ac:dyDescent="0.2">
      <c r="A81" s="62" t="s">
        <v>180</v>
      </c>
      <c r="B81" s="63"/>
      <c r="C81" s="64">
        <f>SUM(C20:C31)</f>
        <v>7079.9999999999773</v>
      </c>
      <c r="D81" s="64">
        <f t="shared" ref="D81:AQ81" si="0">SUM(D20:D31)</f>
        <v>6782580.058544145</v>
      </c>
      <c r="E81" s="64">
        <f t="shared" si="0"/>
        <v>11231237165.043671</v>
      </c>
      <c r="F81" s="64">
        <f t="shared" si="0"/>
        <v>2499149.8928571432</v>
      </c>
      <c r="G81" s="64">
        <f t="shared" si="0"/>
        <v>257550092.0793606</v>
      </c>
      <c r="H81" s="64">
        <f t="shared" si="0"/>
        <v>23725324.897671271</v>
      </c>
      <c r="I81" s="64">
        <f t="shared" si="0"/>
        <v>132545680.08827549</v>
      </c>
      <c r="J81" s="64">
        <f t="shared" si="0"/>
        <v>16945944.921549469</v>
      </c>
      <c r="K81" s="64">
        <f t="shared" si="0"/>
        <v>2417953153.723527</v>
      </c>
      <c r="L81" s="64">
        <f t="shared" si="0"/>
        <v>78748854.967941135</v>
      </c>
      <c r="M81" s="64">
        <f t="shared" si="0"/>
        <v>2681134734.2832527</v>
      </c>
      <c r="N81" s="64">
        <f t="shared" si="0"/>
        <v>144103591.43793121</v>
      </c>
      <c r="O81" s="64">
        <f t="shared" si="0"/>
        <v>1761784031.5753474</v>
      </c>
      <c r="P81" s="64">
        <f t="shared" si="0"/>
        <v>186162757.14405188</v>
      </c>
      <c r="Q81" s="64">
        <f t="shared" si="0"/>
        <v>15040573.846487813</v>
      </c>
      <c r="R81" s="64">
        <f t="shared" si="0"/>
        <v>911076740.28573632</v>
      </c>
      <c r="S81" s="64">
        <f t="shared" si="0"/>
        <v>481791765.78036523</v>
      </c>
      <c r="T81" s="64">
        <f t="shared" si="0"/>
        <v>4440266.6219169199</v>
      </c>
      <c r="U81" s="64">
        <f>SUM(U20:U31)</f>
        <v>123233807.4336848</v>
      </c>
      <c r="V81" s="64">
        <f t="shared" si="0"/>
        <v>20838769.342811804</v>
      </c>
      <c r="W81" s="64">
        <f t="shared" si="0"/>
        <v>76365553.115414649</v>
      </c>
      <c r="X81" s="64">
        <f t="shared" si="0"/>
        <v>432177455.41858798</v>
      </c>
      <c r="Y81" s="64">
        <f t="shared" si="0"/>
        <v>104130997.39585206</v>
      </c>
      <c r="Z81" s="64">
        <f t="shared" si="0"/>
        <v>8111676.2529063579</v>
      </c>
      <c r="AA81" s="64">
        <f t="shared" si="0"/>
        <v>1007176.3741077983</v>
      </c>
      <c r="AB81" s="64">
        <f t="shared" si="0"/>
        <v>52975.891999999913</v>
      </c>
      <c r="AC81" s="64">
        <f t="shared" si="0"/>
        <v>4036955.0437910389</v>
      </c>
      <c r="AD81" s="64">
        <f t="shared" si="0"/>
        <v>12476612.394769978</v>
      </c>
      <c r="AE81" s="64">
        <f t="shared" si="0"/>
        <v>35834444.587891154</v>
      </c>
      <c r="AF81" s="64">
        <f t="shared" si="0"/>
        <v>6004146.7278131917</v>
      </c>
      <c r="AG81" s="64">
        <f t="shared" si="0"/>
        <v>2064002.9353680729</v>
      </c>
      <c r="AH81" s="64">
        <f t="shared" si="0"/>
        <v>1678110.425158499</v>
      </c>
      <c r="AI81" s="64">
        <f t="shared" si="0"/>
        <v>3244198.2401985014</v>
      </c>
      <c r="AJ81" s="64">
        <f t="shared" si="0"/>
        <v>2010975.4093952777</v>
      </c>
      <c r="AK81" s="64">
        <f t="shared" si="0"/>
        <v>81251.225248890172</v>
      </c>
      <c r="AL81" s="64">
        <f t="shared" si="0"/>
        <v>21186878594.863487</v>
      </c>
      <c r="AM81" s="64">
        <f t="shared" si="0"/>
        <v>61985111.214060783</v>
      </c>
      <c r="AN81" s="64">
        <f t="shared" si="0"/>
        <v>1609653723.4185431</v>
      </c>
      <c r="AO81" s="64">
        <f t="shared" si="0"/>
        <v>306665680.3443619</v>
      </c>
      <c r="AP81" s="64">
        <f t="shared" si="0"/>
        <v>23165183109.840454</v>
      </c>
      <c r="AQ81" s="64">
        <f t="shared" si="0"/>
        <v>304641655.46200001</v>
      </c>
      <c r="AR81" s="14"/>
    </row>
    <row r="82" spans="1:44" x14ac:dyDescent="0.2">
      <c r="A82" s="4"/>
      <c r="AR82" s="14"/>
    </row>
  </sheetData>
  <pageMargins left="0.7" right="0.7" top="0.75" bottom="0.75" header="0.3" footer="0.3"/>
  <pageSetup scale="6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BB5AE-B95D-4DB6-8573-9D1F2BFCDD6F}">
  <sheetPr>
    <tabColor rgb="FFFFC000"/>
  </sheetPr>
  <dimension ref="A1"/>
  <sheetViews>
    <sheetView workbookViewId="0">
      <selection activeCell="Z36" sqref="Z36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8BF315698D26A4F99680F65ECF22F08" ma:contentTypeVersion="16" ma:contentTypeDescription="" ma:contentTypeScope="" ma:versionID="6e8eda9415c4d2887f8b4608ab46022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2023-10-06T07:00:00+00:00</OpenedDate>
    <SignificantOrder xmlns="dc463f71-b30c-4ab2-9473-d307f9d35888">false</SignificantOrder>
    <Date1 xmlns="dc463f71-b30c-4ab2-9473-d307f9d35888">2023-10-06T07:00:00+00:00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230825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3BF65C8-B9FC-430D-AB9B-FDFE0BBCDA7C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345B8EED-1577-4560-BDC8-CB45183E9653}"/>
</file>

<file path=customXml/itemProps3.xml><?xml version="1.0" encoding="utf-8"?>
<ds:datastoreItem xmlns:ds="http://schemas.openxmlformats.org/officeDocument/2006/customXml" ds:itemID="{4ACD8AB9-45A6-4A7A-A269-3B65A5175C2F}"/>
</file>

<file path=customXml/itemProps4.xml><?xml version="1.0" encoding="utf-8"?>
<ds:datastoreItem xmlns:ds="http://schemas.openxmlformats.org/officeDocument/2006/customXml" ds:itemID="{BFF36594-E36A-4CA0-80A9-439FC4F49610}"/>
</file>

<file path=customXml/itemProps5.xml><?xml version="1.0" encoding="utf-8"?>
<ds:datastoreItem xmlns:ds="http://schemas.openxmlformats.org/officeDocument/2006/customXml" ds:itemID="{83D7AB70-5584-4CA1-8606-B1BEF1DBC1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Rate Summary</vt:lpstr>
      <vt:lpstr>Street &amp; Area Lighting</vt:lpstr>
      <vt:lpstr>Revenue Rate Impacts</vt:lpstr>
      <vt:lpstr>Typical Residential Notice</vt:lpstr>
      <vt:lpstr>Rate Spread and Design</vt:lpstr>
      <vt:lpstr>Workpapers--&gt;</vt:lpstr>
      <vt:lpstr>SCH 141A 2023 True-up</vt:lpstr>
      <vt:lpstr>F2023 Energy</vt:lpstr>
      <vt:lpstr>2022 GRC (UE-220066)--&gt;</vt:lpstr>
      <vt:lpstr>Exhibit No.__(BDJ-141A)</vt:lpstr>
      <vt:lpstr>Sch 139 Credit Calculation</vt:lpstr>
      <vt:lpstr>Alloc for Sch 141A</vt:lpstr>
      <vt:lpstr>'Alloc for Sch 141A'!Print_Area</vt:lpstr>
      <vt:lpstr>'Exhibit No.__(BDJ-141A)'!Print_Area</vt:lpstr>
      <vt:lpstr>'F2023 Energy'!Print_Area</vt:lpstr>
      <vt:lpstr>'Rate Spread and Design'!Print_Area</vt:lpstr>
      <vt:lpstr>'Rate Summary'!Print_Area</vt:lpstr>
      <vt:lpstr>'Street &amp; Area Lighting'!Print_Area</vt:lpstr>
      <vt:lpstr>'Typical Residential Notice'!Print_Area</vt:lpstr>
      <vt:lpstr>'Exhibit No.__(BDJ-141A)'!Print_Titles</vt:lpstr>
      <vt:lpstr>'F2023 Energy'!Print_Titles</vt:lpstr>
      <vt:lpstr>'Street &amp; Area Lighting'!Print_Titles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Zakharova, Elena</cp:lastModifiedBy>
  <cp:lastPrinted>2021-03-15T17:22:18Z</cp:lastPrinted>
  <dcterms:created xsi:type="dcterms:W3CDTF">2014-04-04T17:25:38Z</dcterms:created>
  <dcterms:modified xsi:type="dcterms:W3CDTF">2023-10-04T22:27:41Z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0x0101006E56B4D1795A2E4DB2F0B01679ED314A0038BF315698D26A4F99680F65ECF22F08</vt:lpwstr>
  </property>
  <property fmtid="{D5CDD505-2E9C-101B-9397-08002B2CF9AE}" pid="3" name="_docset_NoMedatataSyncRequired">
    <vt:lpwstr>False</vt:lpwstr>
  </property>
</Properties>
</file>