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estern Region\2000 Western Region Office\WUTC\WUTC-Columbia 2025\Fuel Surcharge G-48\2023\10-1-2023\"/>
    </mc:Choice>
  </mc:AlternateContent>
  <xr:revisionPtr revIDLastSave="0" documentId="13_ncr:1_{54C03B7D-560A-4AC6-80EF-C2154663BD1B}" xr6:coauthVersionLast="47" xr6:coauthVersionMax="47" xr10:uidLastSave="{00000000-0000-0000-0000-000000000000}"/>
  <bookViews>
    <workbookView xWindow="286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tc={A10D00E5-522F-4025-A975-B6DF061BF7AA}</author>
    <author>tc={30EE06FA-BAEB-4BE4-AB72-B1F353A19D7C}</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Fiorito for G-60</t>
      </text>
    </comment>
    <comment ref="G56" authorId="2"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3"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D68" authorId="4"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<sst xmlns="http://schemas.openxmlformats.org/spreadsheetml/2006/main" count="606" uniqueCount="294">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</sst>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9">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68" fontId="1" fillId="18" borderId="0" xfId="0" applyNumberFormat="1" applyFont="1" applyFill="1" applyProtection="1">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Fiorito for G-60</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D6" sqref="D6:F6"/>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4" t="s">
        <v>0</v>
      </c>
      <c r="B1" s="224"/>
      <c r="C1" s="224"/>
      <c r="D1" s="224"/>
      <c r="E1" s="224"/>
      <c r="F1" s="224"/>
    </row>
    <row r="2" spans="1:6" ht="26.25" customHeight="1" x14ac:dyDescent="0.2">
      <c r="A2" s="237" t="s">
        <v>1</v>
      </c>
      <c r="B2" s="238"/>
      <c r="C2" s="58" t="s">
        <v>2</v>
      </c>
      <c r="D2" s="234" t="s">
        <v>166</v>
      </c>
      <c r="E2" s="234"/>
      <c r="F2" s="234"/>
    </row>
    <row r="3" spans="1:6" ht="5.25" customHeight="1" x14ac:dyDescent="0.2">
      <c r="A3" s="239"/>
      <c r="B3" s="240"/>
      <c r="C3" s="59"/>
      <c r="D3" s="59"/>
      <c r="F3" s="59"/>
    </row>
    <row r="4" spans="1:6" x14ac:dyDescent="0.2">
      <c r="A4" s="239"/>
      <c r="B4" s="240"/>
      <c r="C4" s="60" t="s">
        <v>4</v>
      </c>
      <c r="D4" s="236">
        <v>45200</v>
      </c>
      <c r="E4" s="236"/>
      <c r="F4" s="236"/>
    </row>
    <row r="5" spans="1:6" ht="5.25" customHeight="1" x14ac:dyDescent="0.2">
      <c r="A5" s="239"/>
      <c r="B5" s="240"/>
      <c r="C5" s="59"/>
      <c r="D5" s="59"/>
      <c r="F5" s="59"/>
    </row>
    <row r="6" spans="1:6" x14ac:dyDescent="0.2">
      <c r="A6" s="239"/>
      <c r="B6" s="240"/>
      <c r="C6" s="60" t="s">
        <v>5</v>
      </c>
      <c r="D6" s="247">
        <v>1575740</v>
      </c>
      <c r="E6" s="247"/>
      <c r="F6" s="247"/>
    </row>
    <row r="7" spans="1:6" x14ac:dyDescent="0.2">
      <c r="A7" s="241"/>
      <c r="B7" s="241"/>
      <c r="C7" s="241"/>
      <c r="D7" s="241"/>
      <c r="E7" s="241"/>
      <c r="F7" s="241"/>
    </row>
    <row r="8" spans="1:6" ht="28.5" customHeight="1" x14ac:dyDescent="0.2">
      <c r="A8" s="237" t="s">
        <v>6</v>
      </c>
      <c r="B8" s="238"/>
      <c r="C8" s="61" t="s">
        <v>7</v>
      </c>
      <c r="D8" s="249">
        <f>IF(AND(D2&gt;"", D4&gt;0, D6&gt;0), F45, 0)</f>
        <v>1.7880029999999998E-2</v>
      </c>
      <c r="E8" s="249"/>
      <c r="F8" s="249"/>
    </row>
    <row r="9" spans="1:6" ht="5.25" customHeight="1" x14ac:dyDescent="0.2">
      <c r="A9" s="239"/>
      <c r="B9" s="240"/>
      <c r="C9" s="62"/>
      <c r="D9" s="62"/>
      <c r="E9" s="62"/>
      <c r="F9" s="62"/>
    </row>
    <row r="10" spans="1:6" ht="29.25" customHeight="1" x14ac:dyDescent="0.2">
      <c r="A10" s="239"/>
      <c r="B10" s="240"/>
      <c r="C10" s="61" t="s">
        <v>8</v>
      </c>
      <c r="D10" s="235">
        <f>IF(AND(D2&gt;"", D4&gt;0, D6&gt;0), IF(F45&lt;F61, F45,F61), 0)</f>
        <v>6.2024754050992986E-3</v>
      </c>
      <c r="E10" s="235"/>
      <c r="F10" s="235"/>
    </row>
    <row r="11" spans="1:6" ht="5.25" customHeight="1" x14ac:dyDescent="0.2">
      <c r="A11" s="239"/>
      <c r="B11" s="240"/>
      <c r="C11" s="62"/>
      <c r="D11" s="62"/>
      <c r="E11" s="62"/>
      <c r="F11" s="62"/>
    </row>
    <row r="12" spans="1:6" ht="39" customHeight="1" x14ac:dyDescent="0.2">
      <c r="A12" s="239"/>
      <c r="B12" s="240"/>
      <c r="C12" s="248"/>
      <c r="D12" s="248"/>
      <c r="E12" s="248"/>
      <c r="F12" s="248"/>
    </row>
    <row r="13" spans="1:6" x14ac:dyDescent="0.2">
      <c r="A13" s="63"/>
      <c r="B13" s="64"/>
      <c r="C13" s="64"/>
      <c r="D13" s="65"/>
      <c r="E13" s="63"/>
      <c r="F13" s="63"/>
    </row>
    <row r="14" spans="1:6" ht="25.5" x14ac:dyDescent="0.2">
      <c r="A14" s="66" t="s">
        <v>9</v>
      </c>
      <c r="B14" s="59"/>
      <c r="C14" s="60"/>
      <c r="D14" s="59"/>
      <c r="F14" s="59"/>
    </row>
    <row r="15" spans="1:6" x14ac:dyDescent="0.2">
      <c r="A15" s="59">
        <v>1</v>
      </c>
      <c r="B15" s="225" t="s">
        <v>10</v>
      </c>
      <c r="C15" s="226"/>
      <c r="D15" s="226"/>
      <c r="E15" s="226"/>
      <c r="F15" s="227"/>
    </row>
    <row r="16" spans="1:6" x14ac:dyDescent="0.2">
      <c r="A16" s="59">
        <v>2</v>
      </c>
      <c r="C16" s="57" t="s">
        <v>11</v>
      </c>
      <c r="F16" s="67">
        <f>IF(D2="","",VLOOKUP(D2,CompanyInfo,3, FALSE))</f>
        <v>1327743</v>
      </c>
    </row>
    <row r="17" spans="1:8" x14ac:dyDescent="0.2">
      <c r="A17" s="59">
        <v>3</v>
      </c>
      <c r="C17" s="57" t="s">
        <v>12</v>
      </c>
      <c r="F17" s="67">
        <f>IF(D2="","",VLOOKUP(D2,CompanyInfo,4, FALSE))</f>
        <v>47897</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West</v>
      </c>
    </row>
    <row r="22" spans="1:8" x14ac:dyDescent="0.2">
      <c r="A22" s="59">
        <v>8</v>
      </c>
      <c r="B22" s="59"/>
      <c r="C22" s="60" t="s">
        <v>17</v>
      </c>
      <c r="D22" s="59"/>
      <c r="F22" s="67">
        <f>IF(D2="","",VLOOKUP(D2,CompanyInfo,7,FALSE ))</f>
        <v>1693449</v>
      </c>
    </row>
    <row r="23" spans="1:8" x14ac:dyDescent="0.2">
      <c r="A23" s="59">
        <v>9</v>
      </c>
      <c r="B23" s="59"/>
      <c r="C23" s="60"/>
      <c r="D23" s="59"/>
      <c r="F23" s="59"/>
    </row>
    <row r="24" spans="1:8" x14ac:dyDescent="0.2">
      <c r="A24" s="59">
        <v>10</v>
      </c>
      <c r="B24" s="228" t="s">
        <v>18</v>
      </c>
      <c r="C24" s="229"/>
      <c r="D24" s="229"/>
      <c r="E24" s="229"/>
      <c r="F24" s="230"/>
    </row>
    <row r="25" spans="1:8" x14ac:dyDescent="0.2">
      <c r="A25" s="59">
        <v>11</v>
      </c>
      <c r="C25" s="60" t="s">
        <v>19</v>
      </c>
      <c r="F25" s="67">
        <f>+F17</f>
        <v>47897</v>
      </c>
    </row>
    <row r="26" spans="1:8" x14ac:dyDescent="0.2">
      <c r="A26" s="59">
        <v>12</v>
      </c>
      <c r="C26" s="69" t="s">
        <v>20</v>
      </c>
      <c r="E26" s="59" t="s">
        <v>21</v>
      </c>
      <c r="F26" s="70">
        <f>+F16</f>
        <v>1327743</v>
      </c>
    </row>
    <row r="27" spans="1:8" x14ac:dyDescent="0.2">
      <c r="A27" s="59">
        <v>13</v>
      </c>
      <c r="C27" s="57" t="s">
        <v>22</v>
      </c>
      <c r="E27" s="59" t="s">
        <v>23</v>
      </c>
      <c r="F27" s="71">
        <f>F17/F16</f>
        <v>3.6073999260399038E-2</v>
      </c>
    </row>
    <row r="28" spans="1:8" x14ac:dyDescent="0.2">
      <c r="A28" s="59">
        <v>14</v>
      </c>
      <c r="C28" s="57" t="s">
        <v>24</v>
      </c>
      <c r="E28" s="59" t="s">
        <v>25</v>
      </c>
      <c r="F28" s="72">
        <v>100</v>
      </c>
    </row>
    <row r="29" spans="1:8" x14ac:dyDescent="0.2">
      <c r="A29" s="59">
        <v>15</v>
      </c>
      <c r="C29" s="57" t="s">
        <v>26</v>
      </c>
      <c r="E29" s="59" t="s">
        <v>23</v>
      </c>
      <c r="F29" s="73">
        <f>ROUND(F27,4)</f>
        <v>3.61E-2</v>
      </c>
    </row>
    <row r="30" spans="1:8" x14ac:dyDescent="0.2">
      <c r="A30" s="59">
        <v>16</v>
      </c>
    </row>
    <row r="31" spans="1:8" x14ac:dyDescent="0.2">
      <c r="A31" s="59">
        <v>17</v>
      </c>
      <c r="B31" s="228" t="s">
        <v>27</v>
      </c>
      <c r="C31" s="229"/>
      <c r="D31" s="229"/>
      <c r="E31" s="229"/>
      <c r="F31" s="230"/>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5.0279999999999996</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2.1909999999999998</v>
      </c>
    </row>
    <row r="35" spans="1:6" x14ac:dyDescent="0.2">
      <c r="A35" s="59">
        <v>21</v>
      </c>
      <c r="C35" s="69" t="s">
        <v>33</v>
      </c>
      <c r="E35" s="59" t="s">
        <v>21</v>
      </c>
      <c r="F35" s="77">
        <f>+F33</f>
        <v>2.8369999999999997</v>
      </c>
    </row>
    <row r="36" spans="1:6" x14ac:dyDescent="0.2">
      <c r="A36" s="59">
        <v>22</v>
      </c>
      <c r="C36" s="57" t="s">
        <v>34</v>
      </c>
      <c r="E36" s="59" t="s">
        <v>23</v>
      </c>
      <c r="F36" s="71">
        <f>F34/F35</f>
        <v>0.77229467747620728</v>
      </c>
    </row>
    <row r="37" spans="1:6" x14ac:dyDescent="0.2">
      <c r="A37" s="59">
        <v>23</v>
      </c>
      <c r="C37" s="57" t="s">
        <v>24</v>
      </c>
      <c r="E37" s="59" t="s">
        <v>25</v>
      </c>
      <c r="F37" s="72">
        <v>100</v>
      </c>
    </row>
    <row r="38" spans="1:6" x14ac:dyDescent="0.2">
      <c r="A38" s="59">
        <v>24</v>
      </c>
      <c r="C38" s="57" t="s">
        <v>35</v>
      </c>
      <c r="E38" s="59" t="s">
        <v>23</v>
      </c>
      <c r="F38" s="73">
        <f>ROUND(F36,4)</f>
        <v>0.77229999999999999</v>
      </c>
    </row>
    <row r="39" spans="1:6" x14ac:dyDescent="0.2">
      <c r="A39" s="59">
        <v>25</v>
      </c>
    </row>
    <row r="40" spans="1:6" ht="56.25" customHeight="1" x14ac:dyDescent="0.2">
      <c r="A40" s="78">
        <v>26</v>
      </c>
      <c r="B40" s="231" t="s">
        <v>36</v>
      </c>
      <c r="C40" s="232"/>
      <c r="D40" s="232"/>
      <c r="E40" s="232"/>
      <c r="F40" s="233"/>
    </row>
    <row r="41" spans="1:6" x14ac:dyDescent="0.2">
      <c r="A41" s="59">
        <v>27</v>
      </c>
      <c r="C41" s="69" t="s">
        <v>37</v>
      </c>
      <c r="F41" s="79">
        <f>F29</f>
        <v>3.61E-2</v>
      </c>
    </row>
    <row r="42" spans="1:6" x14ac:dyDescent="0.2">
      <c r="A42" s="59">
        <v>28</v>
      </c>
      <c r="C42" s="69" t="s">
        <v>38</v>
      </c>
      <c r="E42" s="59" t="s">
        <v>25</v>
      </c>
      <c r="F42" s="80">
        <f>F38</f>
        <v>0.77229999999999999</v>
      </c>
    </row>
    <row r="43" spans="1:6" x14ac:dyDescent="0.2">
      <c r="A43" s="59">
        <v>29</v>
      </c>
      <c r="B43" s="57" t="s">
        <v>39</v>
      </c>
      <c r="C43" s="57" t="s">
        <v>40</v>
      </c>
      <c r="E43" s="59" t="s">
        <v>23</v>
      </c>
      <c r="F43" s="79">
        <f>F42*F41</f>
        <v>2.788003E-2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1.7880029999999998E-2</v>
      </c>
    </row>
    <row r="46" spans="1:6" ht="13.5" thickTop="1" x14ac:dyDescent="0.2">
      <c r="A46" s="59">
        <v>32</v>
      </c>
      <c r="C46" s="69"/>
    </row>
    <row r="47" spans="1:6" ht="64.5" customHeight="1" x14ac:dyDescent="0.2">
      <c r="A47" s="78">
        <v>33</v>
      </c>
      <c r="B47" s="244" t="s">
        <v>43</v>
      </c>
      <c r="C47" s="245"/>
      <c r="D47" s="245"/>
      <c r="E47" s="245"/>
      <c r="F47" s="246"/>
    </row>
    <row r="48" spans="1:6" x14ac:dyDescent="0.2">
      <c r="A48" s="59">
        <v>34</v>
      </c>
      <c r="C48" s="57" t="s">
        <v>44</v>
      </c>
      <c r="F48" s="79">
        <f>F45</f>
        <v>1.7880029999999998E-2</v>
      </c>
    </row>
    <row r="49" spans="1:7" x14ac:dyDescent="0.2">
      <c r="A49" s="59">
        <v>35</v>
      </c>
      <c r="C49" s="57" t="s">
        <v>45</v>
      </c>
      <c r="E49" s="59" t="s">
        <v>25</v>
      </c>
      <c r="F49" s="70">
        <f>F16</f>
        <v>1327743</v>
      </c>
    </row>
    <row r="50" spans="1:7" x14ac:dyDescent="0.2">
      <c r="A50" s="59">
        <v>36</v>
      </c>
      <c r="C50" s="57" t="s">
        <v>46</v>
      </c>
      <c r="E50" s="59" t="s">
        <v>23</v>
      </c>
      <c r="F50" s="67">
        <f>F49*F48</f>
        <v>23740.084672289999</v>
      </c>
    </row>
    <row r="51" spans="1:7" x14ac:dyDescent="0.2">
      <c r="A51" s="59">
        <v>37</v>
      </c>
    </row>
    <row r="52" spans="1:7" x14ac:dyDescent="0.2">
      <c r="A52" s="59">
        <v>38</v>
      </c>
      <c r="C52" s="57" t="s">
        <v>47</v>
      </c>
      <c r="F52" s="79">
        <f>F29</f>
        <v>3.61E-2</v>
      </c>
    </row>
    <row r="53" spans="1:7" x14ac:dyDescent="0.2">
      <c r="A53" s="59">
        <v>39</v>
      </c>
      <c r="C53" s="57" t="s">
        <v>48</v>
      </c>
      <c r="E53" s="59" t="s">
        <v>25</v>
      </c>
      <c r="F53" s="70">
        <f>IF(D6&gt;F22, D6, F22)</f>
        <v>1693449</v>
      </c>
    </row>
    <row r="54" spans="1:7" x14ac:dyDescent="0.2">
      <c r="A54" s="59">
        <v>40</v>
      </c>
      <c r="C54" s="57" t="s">
        <v>49</v>
      </c>
      <c r="E54" s="59" t="s">
        <v>23</v>
      </c>
      <c r="F54" s="67">
        <f>F53*F52</f>
        <v>61133.508900000001</v>
      </c>
    </row>
    <row r="55" spans="1:7" x14ac:dyDescent="0.2">
      <c r="A55" s="59">
        <v>41</v>
      </c>
      <c r="F55" s="67"/>
    </row>
    <row r="56" spans="1:7" x14ac:dyDescent="0.2">
      <c r="A56" s="59">
        <v>42</v>
      </c>
      <c r="C56" s="57" t="s">
        <v>50</v>
      </c>
      <c r="F56" s="67">
        <f>F17</f>
        <v>47897</v>
      </c>
    </row>
    <row r="57" spans="1:7" x14ac:dyDescent="0.2">
      <c r="A57" s="59">
        <v>43</v>
      </c>
      <c r="C57" s="57" t="s">
        <v>51</v>
      </c>
      <c r="E57" s="59" t="s">
        <v>52</v>
      </c>
      <c r="F57" s="67">
        <f>F50</f>
        <v>23740.084672289999</v>
      </c>
    </row>
    <row r="58" spans="1:7" x14ac:dyDescent="0.2">
      <c r="A58" s="59">
        <v>44</v>
      </c>
      <c r="C58" s="57" t="s">
        <v>53</v>
      </c>
      <c r="E58" s="59" t="s">
        <v>31</v>
      </c>
      <c r="F58" s="70">
        <f>F54</f>
        <v>61133.508900000001</v>
      </c>
    </row>
    <row r="59" spans="1:7" x14ac:dyDescent="0.2">
      <c r="A59" s="59">
        <v>45</v>
      </c>
      <c r="C59" s="57" t="s">
        <v>54</v>
      </c>
      <c r="E59" s="59" t="s">
        <v>23</v>
      </c>
      <c r="F59" s="67">
        <f>F56+F57-F58</f>
        <v>10503.575772290002</v>
      </c>
    </row>
    <row r="60" spans="1:7" x14ac:dyDescent="0.2">
      <c r="A60" s="59">
        <v>46</v>
      </c>
      <c r="C60" s="57" t="s">
        <v>55</v>
      </c>
      <c r="E60" s="59" t="s">
        <v>21</v>
      </c>
      <c r="F60" s="83">
        <f>F53</f>
        <v>1693449</v>
      </c>
    </row>
    <row r="61" spans="1:7" ht="13.5" thickBot="1" x14ac:dyDescent="0.25">
      <c r="A61" s="59">
        <v>47</v>
      </c>
      <c r="C61" s="84" t="s">
        <v>56</v>
      </c>
      <c r="E61" s="59" t="s">
        <v>23</v>
      </c>
      <c r="F61" s="82">
        <f>IF(AND(D2&gt;"", D4&gt;0, D6&gt;0), IF(F60=0, 0, F59/F60), 0)</f>
        <v>6.2024754050992986E-3</v>
      </c>
    </row>
    <row r="62" spans="1:7" ht="13.5" thickTop="1" x14ac:dyDescent="0.2"/>
    <row r="63" spans="1:7" x14ac:dyDescent="0.2">
      <c r="A63" s="242">
        <f ca="1">NOW()</f>
        <v>45177.571943171293</v>
      </c>
      <c r="B63" s="242"/>
      <c r="C63" s="242"/>
      <c r="D63" s="243" t="s">
        <v>57</v>
      </c>
      <c r="E63" s="243"/>
      <c r="F63" s="243"/>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9950D600-C5FB-46EC-AA23-FA04E0E6AFB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17" activePane="bottomRight" state="frozen"/>
      <selection pane="topRight" activeCell="I14" sqref="I14"/>
      <selection pane="bottomLeft" activeCell="I14" sqref="I14"/>
      <selection pane="bottomRight" activeCell="C227" sqref="C227"/>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0" t="s">
        <v>59</v>
      </c>
      <c r="D4" s="250"/>
      <c r="E4" s="250"/>
      <c r="F4" s="250"/>
      <c r="G4" s="250"/>
      <c r="J4" s="37" t="s">
        <v>58</v>
      </c>
      <c r="L4" s="250" t="s">
        <v>60</v>
      </c>
      <c r="M4" s="250"/>
      <c r="N4" s="250"/>
      <c r="O4" s="250"/>
      <c r="P4" s="250"/>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18" activePane="bottomLeft" state="frozen"/>
      <selection activeCell="I14" sqref="I14"/>
      <selection pane="bottomLeft" activeCell="D240" sqref="D240"/>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23">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4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122">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122">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122"/>
      <c r="F240" s="128" t="str">
        <f t="shared" si="35"/>
        <v>NA</v>
      </c>
      <c r="G240" s="128"/>
      <c r="H240" s="128" t="str">
        <f t="shared" si="36"/>
        <v>NA</v>
      </c>
      <c r="I240" s="128"/>
      <c r="J240" s="128" t="str">
        <f t="shared" si="37"/>
        <v>NA</v>
      </c>
      <c r="K240" s="124"/>
      <c r="L240" s="125"/>
      <c r="M240" s="218">
        <v>45199</v>
      </c>
      <c r="N240" s="124"/>
      <c r="O240" s="126">
        <f t="shared" si="34"/>
        <v>0</v>
      </c>
      <c r="P240" s="124"/>
      <c r="Q240" s="124" t="str">
        <f t="shared" si="38"/>
        <v>NA</v>
      </c>
      <c r="R240" s="124"/>
      <c r="S240" s="124" t="str">
        <f t="shared" si="39"/>
        <v>NA</v>
      </c>
      <c r="T240" s="124"/>
      <c r="U240" s="124" t="str">
        <f t="shared" si="40"/>
        <v>NA</v>
      </c>
      <c r="V240" s="124"/>
    </row>
    <row r="241" spans="2:22" x14ac:dyDescent="0.2">
      <c r="B241" s="49">
        <v>45230</v>
      </c>
      <c r="D241" s="122"/>
      <c r="F241" s="128" t="str">
        <f t="shared" si="35"/>
        <v>NA</v>
      </c>
      <c r="G241" s="128"/>
      <c r="H241" s="128" t="str">
        <f t="shared" si="36"/>
        <v>NA</v>
      </c>
      <c r="I241" s="128"/>
      <c r="J241" s="128" t="str">
        <f t="shared" si="37"/>
        <v>NA</v>
      </c>
      <c r="K241" s="124"/>
      <c r="L241" s="125"/>
      <c r="M241" s="218">
        <v>45230</v>
      </c>
      <c r="N241" s="124"/>
      <c r="O241" s="126">
        <f t="shared" si="34"/>
        <v>0</v>
      </c>
      <c r="P241" s="124"/>
      <c r="Q241" s="124" t="str">
        <f t="shared" si="38"/>
        <v>NA</v>
      </c>
      <c r="R241" s="124"/>
      <c r="S241" s="124" t="str">
        <f t="shared" si="39"/>
        <v>NA</v>
      </c>
      <c r="T241" s="124"/>
      <c r="U241" s="124" t="str">
        <f t="shared" si="40"/>
        <v>NA</v>
      </c>
      <c r="V241" s="124"/>
    </row>
    <row r="242" spans="2:22" x14ac:dyDescent="0.2">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0" t="s">
        <v>70</v>
      </c>
      <c r="D3" s="250"/>
      <c r="E3" s="250"/>
      <c r="F3" s="250"/>
      <c r="G3" s="2"/>
      <c r="H3" s="2"/>
      <c r="I3" s="2"/>
      <c r="J3" s="2"/>
      <c r="K3" s="2"/>
      <c r="L3" s="2"/>
      <c r="N3" s="250" t="s">
        <v>71</v>
      </c>
      <c r="O3" s="250"/>
      <c r="P3" s="250"/>
      <c r="Q3" s="250"/>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2" t="s">
        <v>81</v>
      </c>
      <c r="AA1" s="252"/>
      <c r="AB1" s="252"/>
      <c r="AC1" s="252"/>
      <c r="AD1" s="252"/>
    </row>
    <row r="2" spans="2:33" x14ac:dyDescent="0.2">
      <c r="B2" s="5" t="s">
        <v>82</v>
      </c>
      <c r="Z2" s="217"/>
      <c r="AA2" s="217"/>
      <c r="AB2" s="217"/>
      <c r="AC2" s="217"/>
      <c r="AD2" s="217"/>
    </row>
    <row r="3" spans="2:33" x14ac:dyDescent="0.2">
      <c r="B3" s="5" t="s">
        <v>81</v>
      </c>
      <c r="Z3" s="252" t="s">
        <v>83</v>
      </c>
      <c r="AA3" s="252"/>
      <c r="AB3" s="252"/>
      <c r="AC3" s="252"/>
      <c r="AD3" s="252"/>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3" t="s">
        <v>85</v>
      </c>
      <c r="E10" s="253"/>
      <c r="F10" s="253"/>
      <c r="G10" s="254" t="s">
        <v>86</v>
      </c>
      <c r="H10" s="253"/>
      <c r="I10" s="253"/>
      <c r="K10" s="11"/>
      <c r="L10" s="11"/>
      <c r="M10" s="255" t="s">
        <v>87</v>
      </c>
      <c r="N10" s="255"/>
      <c r="O10" s="255"/>
      <c r="P10" s="255"/>
      <c r="Q10" s="255"/>
      <c r="R10" s="256"/>
      <c r="S10" s="259" t="s">
        <v>88</v>
      </c>
      <c r="T10" s="260"/>
      <c r="U10" s="260"/>
      <c r="V10" s="260"/>
      <c r="W10" s="260"/>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7" t="s">
        <v>92</v>
      </c>
      <c r="M12" s="257"/>
      <c r="N12" s="257"/>
      <c r="P12" s="257" t="s">
        <v>93</v>
      </c>
      <c r="Q12" s="257"/>
      <c r="R12" s="258"/>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1" t="s">
        <v>94</v>
      </c>
      <c r="AB14" s="251"/>
      <c r="AC14" s="251"/>
      <c r="AE14" s="251" t="s">
        <v>95</v>
      </c>
      <c r="AF14" s="251"/>
      <c r="AG14" s="251"/>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1" t="s">
        <v>106</v>
      </c>
      <c r="AB52" s="251"/>
      <c r="AC52" s="251"/>
      <c r="AE52" s="251" t="s">
        <v>107</v>
      </c>
      <c r="AF52" s="251"/>
      <c r="AG52" s="251"/>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1" t="s">
        <v>109</v>
      </c>
      <c r="AB104" s="251"/>
      <c r="AC104" s="251"/>
      <c r="AE104" s="251" t="s">
        <v>110</v>
      </c>
      <c r="AF104" s="251"/>
      <c r="AG104" s="251"/>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1" t="s">
        <v>111</v>
      </c>
      <c r="AB160" s="251"/>
      <c r="AC160" s="251"/>
      <c r="AE160" s="251" t="s">
        <v>112</v>
      </c>
      <c r="AF160" s="251"/>
      <c r="AG160" s="251"/>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1" t="s">
        <v>113</v>
      </c>
      <c r="AB212" s="251"/>
      <c r="AC212" s="251"/>
      <c r="AE212" s="251" t="s">
        <v>114</v>
      </c>
      <c r="AF212" s="251"/>
      <c r="AG212" s="251"/>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1" t="s">
        <v>115</v>
      </c>
      <c r="AB264" s="251"/>
      <c r="AC264" s="251"/>
      <c r="AE264" s="251" t="s">
        <v>116</v>
      </c>
      <c r="AF264" s="251"/>
      <c r="AG264" s="251"/>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1" t="s">
        <v>117</v>
      </c>
      <c r="AB316" s="251"/>
      <c r="AC316" s="251"/>
      <c r="AE316" s="251" t="s">
        <v>118</v>
      </c>
      <c r="AF316" s="251"/>
      <c r="AG316" s="251"/>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1" t="s">
        <v>128</v>
      </c>
      <c r="AB368" s="251"/>
      <c r="AC368" s="251"/>
      <c r="AE368" s="251" t="s">
        <v>129</v>
      </c>
      <c r="AF368" s="251"/>
      <c r="AG368" s="251"/>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1" t="s">
        <v>131</v>
      </c>
      <c r="AB420" s="251"/>
      <c r="AC420" s="251"/>
      <c r="AE420" s="251" t="s">
        <v>132</v>
      </c>
      <c r="AF420" s="251"/>
      <c r="AG420" s="251"/>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1" t="s">
        <v>133</v>
      </c>
      <c r="AB472" s="251"/>
      <c r="AC472" s="251"/>
      <c r="AE472" s="251" t="s">
        <v>134</v>
      </c>
      <c r="AF472" s="251"/>
      <c r="AG472" s="251"/>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30" activePane="bottomRight" state="frozen"/>
      <selection pane="topRight" activeCell="D9" sqref="D9"/>
      <selection pane="bottomLeft" activeCell="D9" sqref="D9"/>
      <selection pane="bottomRight" activeCell="H59" sqref="H59"/>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292</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0</v>
      </c>
      <c r="H3" s="159"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0</v>
      </c>
      <c r="H4" s="159"/>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5"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5"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5"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45" x14ac:dyDescent="0.2">
      <c r="A18" s="144" t="s">
        <v>181</v>
      </c>
      <c r="B18" s="146">
        <v>3</v>
      </c>
      <c r="C18" s="199">
        <f t="shared" si="0"/>
        <v>12887298</v>
      </c>
      <c r="D18" s="195">
        <v>239299</v>
      </c>
      <c r="E18" s="160">
        <v>44957</v>
      </c>
      <c r="F18" s="160">
        <v>44986</v>
      </c>
      <c r="G18" s="195">
        <v>0</v>
      </c>
      <c r="H18" s="159" t="s">
        <v>171</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182</v>
      </c>
    </row>
    <row r="19" spans="1:17" ht="30" x14ac:dyDescent="0.2">
      <c r="A19" s="145" t="s">
        <v>183</v>
      </c>
      <c r="B19" s="146">
        <v>2</v>
      </c>
      <c r="C19" s="199">
        <f t="shared" si="0"/>
        <v>250449</v>
      </c>
      <c r="D19" s="195">
        <v>8166</v>
      </c>
      <c r="E19" s="160">
        <v>38352</v>
      </c>
      <c r="F19" s="160">
        <v>44197</v>
      </c>
      <c r="G19" s="195">
        <v>0</v>
      </c>
      <c r="H19" s="159" t="s">
        <v>171</v>
      </c>
      <c r="I19" s="152" t="s">
        <v>146</v>
      </c>
      <c r="J19" s="154">
        <f>+IF(I19="West",(+VLOOKUP(E19,'Weekly OPIS Averages'!$B$15:$J$323,9,FALSE)),(+VLOOKUP(E19,'Weekly OPIS Averages'!$M$15:$U$323,9,FALSE)))</f>
        <v>1.8734162499999998</v>
      </c>
      <c r="K19" s="195">
        <v>250449</v>
      </c>
      <c r="L19" s="195"/>
      <c r="M19" s="202">
        <f t="shared" si="1"/>
        <v>250449</v>
      </c>
      <c r="N19" s="206"/>
      <c r="O19" s="206"/>
      <c r="P19" s="206"/>
      <c r="Q19" s="155" t="s">
        <v>184</v>
      </c>
    </row>
    <row r="20" spans="1:17" x14ac:dyDescent="0.2">
      <c r="A20" s="145" t="s">
        <v>185</v>
      </c>
      <c r="B20" s="146"/>
      <c r="C20" s="199">
        <f t="shared" si="0"/>
        <v>299821</v>
      </c>
      <c r="D20" s="195">
        <v>17163</v>
      </c>
      <c r="E20" s="160">
        <v>42735</v>
      </c>
      <c r="F20" s="160">
        <v>43252</v>
      </c>
      <c r="G20" s="195">
        <v>325310</v>
      </c>
      <c r="H20" s="159" t="s">
        <v>150</v>
      </c>
      <c r="I20" s="152"/>
      <c r="J20" s="154">
        <f>+IF(I20="West",(+VLOOKUP(E20,'Weekly OPIS Averages'!$B$15:$J$323,9,FALSE)),(+VLOOKUP(E20,'Weekly OPIS Averages'!$M$15:$U$323,9,FALSE)))</f>
        <v>2.4405833333333331</v>
      </c>
      <c r="K20" s="195">
        <v>299821</v>
      </c>
      <c r="L20" s="195"/>
      <c r="M20" s="202">
        <f>+K20+L20</f>
        <v>299821</v>
      </c>
      <c r="N20" s="206"/>
      <c r="O20" s="206"/>
      <c r="P20" s="206">
        <v>44774</v>
      </c>
      <c r="Q20" s="176" t="s">
        <v>186</v>
      </c>
    </row>
    <row r="21" spans="1:17" ht="45" x14ac:dyDescent="0.2">
      <c r="A21" s="145" t="s">
        <v>187</v>
      </c>
      <c r="B21" s="146">
        <v>2</v>
      </c>
      <c r="C21" s="199">
        <f t="shared" si="0"/>
        <v>16819260</v>
      </c>
      <c r="D21" s="195">
        <v>422771</v>
      </c>
      <c r="E21" s="160">
        <v>43982</v>
      </c>
      <c r="F21" s="160">
        <v>44080</v>
      </c>
      <c r="G21" s="210">
        <v>0</v>
      </c>
      <c r="H21" s="159" t="s">
        <v>150</v>
      </c>
      <c r="I21" s="152" t="s">
        <v>146</v>
      </c>
      <c r="J21" s="154">
        <f>+IF(I21="West",(+VLOOKUP(E21,'Weekly OPIS Averages'!$B$15:$J$323,9,FALSE)),(+VLOOKUP(E21,'Weekly OPIS Averages'!$M$15:$U$323,9,FALSE)))</f>
        <v>3.1080833333333331</v>
      </c>
      <c r="K21" s="195">
        <v>16819260</v>
      </c>
      <c r="L21" s="195"/>
      <c r="M21" s="202">
        <f t="shared" si="1"/>
        <v>16819260</v>
      </c>
      <c r="N21" s="206"/>
      <c r="O21" s="206"/>
      <c r="P21" s="206"/>
      <c r="Q21" s="155" t="s">
        <v>188</v>
      </c>
    </row>
    <row r="22" spans="1:17" ht="30" x14ac:dyDescent="0.2">
      <c r="A22" s="145" t="s">
        <v>189</v>
      </c>
      <c r="B22" s="146">
        <v>2</v>
      </c>
      <c r="C22" s="199">
        <f t="shared" si="0"/>
        <v>4870249</v>
      </c>
      <c r="D22" s="195">
        <v>228218</v>
      </c>
      <c r="E22" s="160">
        <v>44286</v>
      </c>
      <c r="F22" s="160">
        <v>44409</v>
      </c>
      <c r="G22" s="210">
        <v>0</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190</v>
      </c>
    </row>
    <row r="23" spans="1:17" ht="30" x14ac:dyDescent="0.2">
      <c r="A23" s="145" t="s">
        <v>191</v>
      </c>
      <c r="B23" s="146">
        <v>2</v>
      </c>
      <c r="C23" s="199">
        <f t="shared" si="0"/>
        <v>32655511</v>
      </c>
      <c r="D23" s="195">
        <v>1043907</v>
      </c>
      <c r="E23" s="160">
        <v>44500</v>
      </c>
      <c r="F23" s="160">
        <v>44631</v>
      </c>
      <c r="G23" s="210">
        <v>0</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192</v>
      </c>
    </row>
    <row r="24" spans="1:17" s="131" customFormat="1" ht="30" x14ac:dyDescent="0.2">
      <c r="A24" s="145" t="s">
        <v>193</v>
      </c>
      <c r="B24" s="146">
        <v>2</v>
      </c>
      <c r="C24" s="199">
        <f t="shared" si="0"/>
        <v>37555041</v>
      </c>
      <c r="D24" s="195">
        <v>856902</v>
      </c>
      <c r="E24" s="160">
        <v>43799</v>
      </c>
      <c r="F24" s="160">
        <v>43952</v>
      </c>
      <c r="G24" s="210">
        <v>0</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194</v>
      </c>
    </row>
    <row r="25" spans="1:17" s="131" customFormat="1" ht="30" x14ac:dyDescent="0.2">
      <c r="A25" s="149" t="s">
        <v>195</v>
      </c>
      <c r="B25" s="150">
        <v>2</v>
      </c>
      <c r="C25" s="200">
        <f t="shared" si="0"/>
        <v>0</v>
      </c>
      <c r="D25" s="196"/>
      <c r="E25" s="162"/>
      <c r="F25" s="162"/>
      <c r="G25" s="196"/>
      <c r="H25" s="161"/>
      <c r="I25" s="151"/>
      <c r="J25" s="166"/>
      <c r="K25" s="196"/>
      <c r="L25" s="195"/>
      <c r="M25" s="202"/>
      <c r="N25" s="206"/>
      <c r="O25" s="206"/>
      <c r="P25" s="206"/>
      <c r="Q25" s="155" t="s">
        <v>196</v>
      </c>
    </row>
    <row r="26" spans="1:17" x14ac:dyDescent="0.2">
      <c r="A26" s="145" t="s">
        <v>197</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198</v>
      </c>
    </row>
    <row r="27" spans="1:17" ht="30" x14ac:dyDescent="0.2">
      <c r="A27" s="147" t="s">
        <v>199</v>
      </c>
      <c r="B27" s="146">
        <v>3</v>
      </c>
      <c r="C27" s="199">
        <f t="shared" si="0"/>
        <v>0</v>
      </c>
      <c r="D27" s="195">
        <v>0</v>
      </c>
      <c r="E27" s="160">
        <v>38352</v>
      </c>
      <c r="F27" s="160">
        <v>35796</v>
      </c>
      <c r="G27" s="195">
        <v>0</v>
      </c>
      <c r="H27" s="159" t="s">
        <v>171</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200</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201</v>
      </c>
    </row>
    <row r="29" spans="1:17" x14ac:dyDescent="0.2">
      <c r="A29" s="147" t="s">
        <v>202</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203</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204</v>
      </c>
    </row>
    <row r="31" spans="1:17" x14ac:dyDescent="0.2">
      <c r="A31" s="144" t="s">
        <v>205</v>
      </c>
      <c r="B31" s="146">
        <v>1</v>
      </c>
      <c r="C31" s="199">
        <f t="shared" si="0"/>
        <v>1100153</v>
      </c>
      <c r="D31" s="195">
        <v>38643</v>
      </c>
      <c r="E31" s="160">
        <v>43921</v>
      </c>
      <c r="F31" s="160">
        <v>43983</v>
      </c>
      <c r="G31" s="195">
        <v>1445601</v>
      </c>
      <c r="H31" s="159" t="s">
        <v>150</v>
      </c>
      <c r="I31" s="152" t="s">
        <v>151</v>
      </c>
      <c r="J31" s="154">
        <f>+IF(I31="West",(+VLOOKUP(E31,'Weekly OPIS Averages'!$B$15:$J$323,9,FALSE)),(+VLOOKUP(E31,'Weekly OPIS Averages'!$M$15:$U$323,9,FALSE)))</f>
        <v>3.2226666666666657</v>
      </c>
      <c r="K31" s="195">
        <v>1100153</v>
      </c>
      <c r="L31" s="195"/>
      <c r="M31" s="202">
        <f t="shared" si="2"/>
        <v>1100153</v>
      </c>
      <c r="N31" s="206"/>
      <c r="O31" s="206"/>
      <c r="P31" s="206">
        <v>44774</v>
      </c>
      <c r="Q31" s="155" t="s">
        <v>206</v>
      </c>
    </row>
    <row r="32" spans="1:17" x14ac:dyDescent="0.2">
      <c r="A32" s="147" t="s">
        <v>207</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208</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209</v>
      </c>
    </row>
    <row r="34" spans="1:17" ht="30" x14ac:dyDescent="0.2">
      <c r="A34" s="144" t="s">
        <v>210</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211</v>
      </c>
    </row>
    <row r="35" spans="1:17" x14ac:dyDescent="0.2">
      <c r="A35" s="147" t="s">
        <v>212</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213</v>
      </c>
    </row>
    <row r="36" spans="1:17" x14ac:dyDescent="0.2">
      <c r="A36" s="147" t="s">
        <v>214</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215</v>
      </c>
    </row>
    <row r="37" spans="1:17" x14ac:dyDescent="0.2">
      <c r="A37" s="144" t="s">
        <v>216</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217</v>
      </c>
    </row>
    <row r="38" spans="1:17" ht="30" x14ac:dyDescent="0.2">
      <c r="A38" s="222" t="s">
        <v>290</v>
      </c>
      <c r="B38" s="146">
        <v>3</v>
      </c>
      <c r="C38" s="199">
        <f t="shared" si="0"/>
        <v>12887298</v>
      </c>
      <c r="D38" s="195">
        <f>D18</f>
        <v>239299</v>
      </c>
      <c r="E38" s="160">
        <f>E18</f>
        <v>44957</v>
      </c>
      <c r="F38" s="160">
        <f>F18</f>
        <v>44986</v>
      </c>
      <c r="G38" s="195">
        <v>3116070.34</v>
      </c>
      <c r="H38" s="159" t="s">
        <v>171</v>
      </c>
      <c r="I38" s="152" t="s">
        <v>146</v>
      </c>
      <c r="J38" s="154">
        <f>+IF(I38="West",(+VLOOKUP(E38,'Weekly OPIS Averages'!$B$15:$J$323,9,FALSE)),(+VLOOKUP(E38,'Weekly OPIS Averages'!$M$15:$U$323,9,FALSE)))</f>
        <v>5.2735833333333337</v>
      </c>
      <c r="K38" s="195">
        <f>K18</f>
        <v>12887298</v>
      </c>
      <c r="L38" s="195"/>
      <c r="M38" s="202">
        <f t="shared" si="2"/>
        <v>12887298</v>
      </c>
      <c r="N38" s="206"/>
      <c r="O38" s="206"/>
      <c r="P38" s="206"/>
      <c r="Q38" s="155" t="s">
        <v>218</v>
      </c>
    </row>
    <row r="39" spans="1:17" x14ac:dyDescent="0.2">
      <c r="A39" s="144" t="s">
        <v>219</v>
      </c>
      <c r="B39" s="146">
        <v>3</v>
      </c>
      <c r="C39" s="199">
        <f t="shared" si="0"/>
        <v>7117694</v>
      </c>
      <c r="D39" s="195">
        <v>49314</v>
      </c>
      <c r="E39" s="160">
        <v>44985</v>
      </c>
      <c r="F39" s="160">
        <v>45047</v>
      </c>
      <c r="G39" s="210">
        <v>0</v>
      </c>
      <c r="H39" s="159" t="s">
        <v>150</v>
      </c>
      <c r="I39" s="152" t="s">
        <v>146</v>
      </c>
      <c r="J39" s="154">
        <f>+IF(I39="West",(+VLOOKUP(E39,'Weekly OPIS Averages'!$B$15:$J$323,9,FALSE)),(+VLOOKUP(E39,'Weekly OPIS Averages'!$M$15:$U$323,9,FALSE)))</f>
        <v>5.3050000000000006</v>
      </c>
      <c r="K39" s="195">
        <v>7117694</v>
      </c>
      <c r="L39" s="195"/>
      <c r="M39" s="202">
        <f t="shared" si="2"/>
        <v>7117694</v>
      </c>
      <c r="N39" s="206"/>
      <c r="O39" s="206"/>
      <c r="P39" s="206"/>
      <c r="Q39" s="155" t="s">
        <v>220</v>
      </c>
    </row>
    <row r="40" spans="1:17" x14ac:dyDescent="0.2">
      <c r="A40" s="144" t="s">
        <v>221</v>
      </c>
      <c r="B40" s="146">
        <v>3</v>
      </c>
      <c r="C40" s="199">
        <f t="shared" si="0"/>
        <v>13000986</v>
      </c>
      <c r="D40" s="195">
        <v>757801</v>
      </c>
      <c r="E40" s="160">
        <v>44957</v>
      </c>
      <c r="F40" s="160">
        <v>44986</v>
      </c>
      <c r="G40" s="210">
        <v>0</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222</v>
      </c>
    </row>
    <row r="41" spans="1:17" ht="30" x14ac:dyDescent="0.2">
      <c r="A41" s="144" t="s">
        <v>291</v>
      </c>
      <c r="B41" s="146">
        <v>3</v>
      </c>
      <c r="C41" s="199">
        <f t="shared" si="0"/>
        <v>3502541</v>
      </c>
      <c r="D41" s="195">
        <v>49408</v>
      </c>
      <c r="E41" s="160">
        <v>44957</v>
      </c>
      <c r="F41" s="160">
        <v>45047</v>
      </c>
      <c r="G41" s="210"/>
      <c r="H41" s="159"/>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223</v>
      </c>
    </row>
    <row r="42" spans="1:17" x14ac:dyDescent="0.2">
      <c r="A42" s="145" t="s">
        <v>224</v>
      </c>
      <c r="B42" s="146">
        <v>3</v>
      </c>
      <c r="C42" s="199">
        <f t="shared" si="0"/>
        <v>2359894</v>
      </c>
      <c r="D42" s="195">
        <v>241803</v>
      </c>
      <c r="E42" s="160">
        <v>44651</v>
      </c>
      <c r="F42" s="160">
        <v>44652</v>
      </c>
      <c r="G42" s="210">
        <v>0</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225</v>
      </c>
    </row>
    <row r="43" spans="1:17" ht="30" x14ac:dyDescent="0.2">
      <c r="A43" s="147" t="s">
        <v>226</v>
      </c>
      <c r="B43" s="146">
        <v>1</v>
      </c>
      <c r="C43" s="199">
        <f t="shared" si="0"/>
        <v>42000</v>
      </c>
      <c r="D43" s="195">
        <v>89778</v>
      </c>
      <c r="E43" s="160">
        <v>39263</v>
      </c>
      <c r="F43" s="160">
        <v>39264</v>
      </c>
      <c r="G43" s="195">
        <v>1913791</v>
      </c>
      <c r="H43" s="159" t="s">
        <v>171</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227</v>
      </c>
    </row>
    <row r="44" spans="1:17" s="133" customFormat="1" ht="15.75" x14ac:dyDescent="0.25">
      <c r="A44" s="145" t="s">
        <v>228</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229</v>
      </c>
    </row>
    <row r="45" spans="1:17" x14ac:dyDescent="0.2">
      <c r="A45" s="147" t="s">
        <v>230</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231</v>
      </c>
    </row>
    <row r="46" spans="1:17" x14ac:dyDescent="0.2">
      <c r="A46" s="147" t="s">
        <v>232</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233</v>
      </c>
    </row>
    <row r="47" spans="1:17" ht="30" x14ac:dyDescent="0.2">
      <c r="A47" s="145" t="s">
        <v>234</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235</v>
      </c>
    </row>
    <row r="48" spans="1:17" x14ac:dyDescent="0.2">
      <c r="A48" s="145" t="s">
        <v>236</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237</v>
      </c>
    </row>
    <row r="49" spans="1:17" ht="30" x14ac:dyDescent="0.2">
      <c r="A49" s="145" t="s">
        <v>238</v>
      </c>
      <c r="B49" s="146">
        <v>1</v>
      </c>
      <c r="C49" s="199">
        <f t="shared" si="0"/>
        <v>600452</v>
      </c>
      <c r="D49" s="195">
        <v>26055</v>
      </c>
      <c r="E49" s="160">
        <v>43830</v>
      </c>
      <c r="F49" s="160">
        <v>44038</v>
      </c>
      <c r="G49" s="195">
        <v>456870</v>
      </c>
      <c r="H49" s="159" t="s">
        <v>150</v>
      </c>
      <c r="I49" s="152" t="s">
        <v>146</v>
      </c>
      <c r="J49" s="154">
        <f>+IF(I49="West",(+VLOOKUP(E49,'Weekly OPIS Averages'!$B$15:$J$323,9,FALSE)),(+VLOOKUP(E49,'Weekly OPIS Averages'!$M$15:$U$323,9,FALSE)))</f>
        <v>3.2326666666666668</v>
      </c>
      <c r="K49" s="195">
        <v>600452</v>
      </c>
      <c r="L49" s="195"/>
      <c r="M49" s="202">
        <f t="shared" si="2"/>
        <v>600452</v>
      </c>
      <c r="N49" s="206"/>
      <c r="O49" s="206"/>
      <c r="P49" s="206">
        <v>44774</v>
      </c>
      <c r="Q49" s="155" t="s">
        <v>239</v>
      </c>
    </row>
    <row r="50" spans="1:17" x14ac:dyDescent="0.2">
      <c r="A50" s="147" t="s">
        <v>240</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7" t="s">
        <v>241</v>
      </c>
      <c r="B51" s="146">
        <v>3</v>
      </c>
      <c r="C51" s="199">
        <f t="shared" si="0"/>
        <v>0</v>
      </c>
      <c r="D51" s="195"/>
      <c r="E51" s="160">
        <v>39813</v>
      </c>
      <c r="F51" s="160" t="s">
        <v>242</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7" t="s">
        <v>243</v>
      </c>
      <c r="B52" s="146">
        <v>1</v>
      </c>
      <c r="C52" s="199">
        <f t="shared" si="0"/>
        <v>0</v>
      </c>
      <c r="D52" s="195">
        <v>62345</v>
      </c>
      <c r="E52" s="160">
        <v>38868</v>
      </c>
      <c r="F52" s="160"/>
      <c r="G52" s="195">
        <v>111023</v>
      </c>
      <c r="H52" s="159"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5" t="s">
        <v>244</v>
      </c>
      <c r="B53" s="146">
        <v>2</v>
      </c>
      <c r="C53" s="199">
        <f t="shared" si="0"/>
        <v>5966020</v>
      </c>
      <c r="D53" s="195">
        <v>248251</v>
      </c>
      <c r="E53" s="160">
        <v>44651</v>
      </c>
      <c r="F53" s="160">
        <v>44682</v>
      </c>
      <c r="G53" s="210">
        <v>0</v>
      </c>
      <c r="H53" s="159" t="s">
        <v>150</v>
      </c>
      <c r="I53" s="152" t="s">
        <v>151</v>
      </c>
      <c r="J53" s="154">
        <f>+IF(I53="West",(+VLOOKUP(E53,'Weekly OPIS Averages'!$B$15:$J$323,9,FALSE)),(+VLOOKUP(E53,'Weekly OPIS Averages'!$M$15:$U$323,9,FALSE)))</f>
        <v>3.8619166666666671</v>
      </c>
      <c r="K53" s="195">
        <v>5966020</v>
      </c>
      <c r="L53" s="195"/>
      <c r="M53" s="202">
        <f t="shared" si="2"/>
        <v>5966020</v>
      </c>
      <c r="N53" s="206"/>
      <c r="O53" s="206"/>
      <c r="P53" s="206"/>
      <c r="Q53" s="155" t="s">
        <v>245</v>
      </c>
    </row>
    <row r="54" spans="1:17" s="85" customFormat="1" x14ac:dyDescent="0.2">
      <c r="A54" s="144" t="s">
        <v>246</v>
      </c>
      <c r="B54" s="146">
        <v>3</v>
      </c>
      <c r="C54" s="199">
        <f t="shared" si="0"/>
        <v>4198588</v>
      </c>
      <c r="D54" s="195">
        <v>344667</v>
      </c>
      <c r="E54" s="160">
        <v>44834</v>
      </c>
      <c r="F54" s="160">
        <v>44835</v>
      </c>
      <c r="G54" s="210">
        <v>0</v>
      </c>
      <c r="H54" s="159" t="s">
        <v>150</v>
      </c>
      <c r="I54" s="152" t="s">
        <v>151</v>
      </c>
      <c r="J54" s="154">
        <f>+IF(I54="West",(+VLOOKUP(E54,'Weekly OPIS Averages'!$B$15:$J$323,9,FALSE)),(+VLOOKUP(E54,'Weekly OPIS Averages'!$M$15:$U$323,9,FALSE)))</f>
        <v>4.8794999999999993</v>
      </c>
      <c r="K54" s="195">
        <v>4198588</v>
      </c>
      <c r="L54" s="195"/>
      <c r="M54" s="202">
        <f t="shared" si="2"/>
        <v>4198588</v>
      </c>
      <c r="N54" s="206"/>
      <c r="O54" s="206"/>
      <c r="P54" s="206"/>
      <c r="Q54" s="155"/>
    </row>
    <row r="55" spans="1:17" s="85" customFormat="1" x14ac:dyDescent="0.2">
      <c r="A55" s="145" t="s">
        <v>247</v>
      </c>
      <c r="B55" s="146">
        <v>2</v>
      </c>
      <c r="C55" s="199">
        <f t="shared" si="0"/>
        <v>384996</v>
      </c>
      <c r="D55" s="195">
        <v>14573</v>
      </c>
      <c r="E55" s="160">
        <v>44196</v>
      </c>
      <c r="F55" s="160">
        <v>44348</v>
      </c>
      <c r="G55" s="210">
        <v>0</v>
      </c>
      <c r="H55" s="159"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248</v>
      </c>
    </row>
    <row r="56" spans="1:17" s="85" customFormat="1" x14ac:dyDescent="0.2">
      <c r="A56" s="144" t="s">
        <v>249</v>
      </c>
      <c r="B56" s="146"/>
      <c r="C56" s="199">
        <f t="shared" si="0"/>
        <v>0</v>
      </c>
      <c r="D56" s="195"/>
      <c r="E56" s="160"/>
      <c r="F56" s="160"/>
      <c r="G56" s="210">
        <v>0</v>
      </c>
      <c r="H56" s="159"/>
      <c r="I56" s="152"/>
      <c r="J56" s="154"/>
      <c r="K56" s="195"/>
      <c r="L56" s="195"/>
      <c r="M56" s="202">
        <f t="shared" si="2"/>
        <v>0</v>
      </c>
      <c r="N56" s="206"/>
      <c r="O56" s="206"/>
      <c r="P56" s="206"/>
      <c r="Q56" s="155" t="s">
        <v>250</v>
      </c>
    </row>
    <row r="57" spans="1:17" x14ac:dyDescent="0.2">
      <c r="A57" s="144" t="s">
        <v>251</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5" t="s">
        <v>252</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253</v>
      </c>
    </row>
    <row r="59" spans="1:17" ht="30" x14ac:dyDescent="0.2">
      <c r="A59" s="145" t="s">
        <v>254</v>
      </c>
      <c r="B59" s="146">
        <v>2</v>
      </c>
      <c r="C59" s="199">
        <f t="shared" si="0"/>
        <v>20995040</v>
      </c>
      <c r="D59" s="195">
        <v>1779754</v>
      </c>
      <c r="E59" s="160">
        <v>43069</v>
      </c>
      <c r="F59" s="160">
        <v>43101</v>
      </c>
      <c r="G59" s="195">
        <v>27993124</v>
      </c>
      <c r="H59" s="159" t="s">
        <v>150</v>
      </c>
      <c r="I59" s="152" t="s">
        <v>146</v>
      </c>
      <c r="J59" s="154">
        <f>+IF(I59="West",(+VLOOKUP(E59,'Weekly OPIS Averages'!$B$15:$J$323,9,FALSE)),(+VLOOKUP(E59,'Weekly OPIS Averages'!$M$15:$U$323,9,FALSE)))</f>
        <v>2.8068333333333335</v>
      </c>
      <c r="K59" s="195">
        <v>20995040</v>
      </c>
      <c r="L59" s="195"/>
      <c r="M59" s="202">
        <f t="shared" si="2"/>
        <v>20995040</v>
      </c>
      <c r="N59" s="206"/>
      <c r="O59" s="206"/>
      <c r="P59" s="206">
        <v>44774</v>
      </c>
      <c r="Q59" s="155" t="s">
        <v>255</v>
      </c>
    </row>
    <row r="60" spans="1:17" ht="30" x14ac:dyDescent="0.2">
      <c r="A60" s="147" t="s">
        <v>256</v>
      </c>
      <c r="B60" s="146">
        <v>2</v>
      </c>
      <c r="C60" s="199"/>
      <c r="D60" s="195"/>
      <c r="E60" s="160"/>
      <c r="F60" s="160"/>
      <c r="G60" s="195">
        <v>300156</v>
      </c>
      <c r="H60" s="159" t="s">
        <v>150</v>
      </c>
      <c r="I60" s="152"/>
      <c r="J60" s="154"/>
      <c r="K60" s="195"/>
      <c r="L60" s="195"/>
      <c r="M60" s="202"/>
      <c r="N60" s="206"/>
      <c r="O60" s="206"/>
      <c r="P60" s="206">
        <v>44774</v>
      </c>
      <c r="Q60" s="153" t="s">
        <v>257</v>
      </c>
    </row>
    <row r="61" spans="1:17" x14ac:dyDescent="0.2">
      <c r="A61" s="144" t="s">
        <v>258</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259</v>
      </c>
    </row>
    <row r="62" spans="1:17" x14ac:dyDescent="0.2">
      <c r="A62" s="145" t="s">
        <v>260</v>
      </c>
      <c r="B62" s="146">
        <v>3</v>
      </c>
      <c r="C62" s="199">
        <f t="shared" si="0"/>
        <v>16174456</v>
      </c>
      <c r="D62" s="195">
        <v>744674</v>
      </c>
      <c r="E62" s="160">
        <v>41243</v>
      </c>
      <c r="F62" s="160">
        <v>41306</v>
      </c>
      <c r="G62" s="211">
        <v>0</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261</v>
      </c>
    </row>
    <row r="63" spans="1:17" x14ac:dyDescent="0.2">
      <c r="A63" s="145" t="s">
        <v>262</v>
      </c>
      <c r="B63" s="146">
        <v>3</v>
      </c>
      <c r="C63" s="199">
        <f t="shared" si="0"/>
        <v>2995656</v>
      </c>
      <c r="D63" s="195">
        <v>340309</v>
      </c>
      <c r="E63" s="160">
        <v>41851</v>
      </c>
      <c r="F63" s="160">
        <v>41913</v>
      </c>
      <c r="G63" s="211">
        <v>0</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263</v>
      </c>
    </row>
    <row r="64" spans="1:17" s="101" customFormat="1" ht="30" x14ac:dyDescent="0.2">
      <c r="A64" s="169" t="s">
        <v>264</v>
      </c>
      <c r="B64" s="146">
        <v>3</v>
      </c>
      <c r="C64" s="199">
        <f t="shared" si="0"/>
        <v>8195712</v>
      </c>
      <c r="D64" s="195">
        <v>439829</v>
      </c>
      <c r="E64" s="160">
        <v>43434</v>
      </c>
      <c r="F64" s="160">
        <v>43525</v>
      </c>
      <c r="G64" s="211">
        <v>0</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265</v>
      </c>
    </row>
    <row r="65" spans="1:17" s="101" customFormat="1" x14ac:dyDescent="0.2">
      <c r="A65" s="145" t="s">
        <v>266</v>
      </c>
      <c r="B65" s="146">
        <v>3</v>
      </c>
      <c r="C65" s="199">
        <f t="shared" si="0"/>
        <v>1810124</v>
      </c>
      <c r="D65" s="195">
        <v>98511</v>
      </c>
      <c r="E65" s="160">
        <v>40359</v>
      </c>
      <c r="F65" s="160">
        <v>40513</v>
      </c>
      <c r="G65" s="211">
        <v>0</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267</v>
      </c>
    </row>
    <row r="66" spans="1:17" s="101" customFormat="1" ht="45" x14ac:dyDescent="0.2">
      <c r="A66" s="169" t="s">
        <v>268</v>
      </c>
      <c r="B66" s="146">
        <v>3</v>
      </c>
      <c r="C66" s="199">
        <f t="shared" si="0"/>
        <v>59098312.600000001</v>
      </c>
      <c r="D66" s="195">
        <v>2225515</v>
      </c>
      <c r="E66" s="160">
        <v>42247</v>
      </c>
      <c r="F66" s="160">
        <v>42248</v>
      </c>
      <c r="G66" s="211">
        <v>0</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269</v>
      </c>
    </row>
    <row r="67" spans="1:17" s="101" customFormat="1" x14ac:dyDescent="0.2">
      <c r="A67" s="145" t="s">
        <v>270</v>
      </c>
      <c r="B67" s="146">
        <v>3</v>
      </c>
      <c r="C67" s="199">
        <f t="shared" si="0"/>
        <v>10025512</v>
      </c>
      <c r="D67" s="195">
        <v>655544.39</v>
      </c>
      <c r="E67" s="160">
        <v>43312</v>
      </c>
      <c r="F67" s="160">
        <v>43435</v>
      </c>
      <c r="G67" s="211">
        <v>0</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271</v>
      </c>
    </row>
    <row r="68" spans="1:17" s="101" customFormat="1" ht="30" x14ac:dyDescent="0.2">
      <c r="A68" s="145" t="s">
        <v>272</v>
      </c>
      <c r="B68" s="146">
        <v>3</v>
      </c>
      <c r="C68" s="199">
        <f t="shared" si="0"/>
        <v>14580117</v>
      </c>
      <c r="D68" s="195">
        <v>19729</v>
      </c>
      <c r="E68" s="160">
        <v>40329</v>
      </c>
      <c r="F68" s="160">
        <v>44256</v>
      </c>
      <c r="G68" s="211">
        <v>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273</v>
      </c>
    </row>
    <row r="69" spans="1:17" s="101" customFormat="1" x14ac:dyDescent="0.2">
      <c r="A69" s="145" t="s">
        <v>274</v>
      </c>
      <c r="B69" s="146">
        <v>3</v>
      </c>
      <c r="C69" s="199">
        <f t="shared" ref="C69:C73" si="3">+M69</f>
        <v>12563224.15</v>
      </c>
      <c r="D69" s="195">
        <v>467375</v>
      </c>
      <c r="E69" s="160">
        <v>42035</v>
      </c>
      <c r="F69" s="160">
        <v>42157</v>
      </c>
      <c r="G69" s="211">
        <v>0</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275</v>
      </c>
    </row>
    <row r="70" spans="1:17" s="101" customFormat="1" x14ac:dyDescent="0.2">
      <c r="A70" s="145" t="s">
        <v>276</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277</v>
      </c>
    </row>
    <row r="71" spans="1:17" s="101" customFormat="1" ht="15.75" x14ac:dyDescent="0.2">
      <c r="A71" s="169" t="s">
        <v>278</v>
      </c>
      <c r="B71" s="146">
        <v>1</v>
      </c>
      <c r="C71" s="199">
        <f t="shared" si="3"/>
        <v>0</v>
      </c>
      <c r="D71" s="195"/>
      <c r="E71" s="160">
        <v>43555</v>
      </c>
      <c r="F71" s="160">
        <v>43556</v>
      </c>
      <c r="G71" s="195">
        <v>0</v>
      </c>
      <c r="H71" s="159" t="s">
        <v>293</v>
      </c>
      <c r="I71" s="152" t="s">
        <v>146</v>
      </c>
      <c r="J71" s="154">
        <f>+IF(I71="West",(+VLOOKUP(E71,'Weekly OPIS Averages'!$B$15:$J$323,9,FALSE)),(+VLOOKUP(E71,'Weekly OPIS Averages'!$M$15:$U$323,9,FALSE)))</f>
        <v>3.3649999999999998</v>
      </c>
      <c r="K71" s="195"/>
      <c r="L71" s="195"/>
      <c r="M71" s="202">
        <f t="shared" si="2"/>
        <v>0</v>
      </c>
      <c r="N71" s="206"/>
      <c r="O71" s="206"/>
      <c r="P71" s="206">
        <v>44774</v>
      </c>
      <c r="Q71" s="157" t="s">
        <v>279</v>
      </c>
    </row>
    <row r="72" spans="1:17" s="101" customFormat="1" x14ac:dyDescent="0.2">
      <c r="A72" s="145" t="s">
        <v>280</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281</v>
      </c>
    </row>
    <row r="73" spans="1:17" x14ac:dyDescent="0.2">
      <c r="A73" s="213" t="s">
        <v>282</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283</v>
      </c>
    </row>
    <row r="74" spans="1:17" x14ac:dyDescent="0.2">
      <c r="C74" s="130"/>
      <c r="M74" s="135"/>
    </row>
    <row r="75" spans="1:17" x14ac:dyDescent="0.2">
      <c r="C75" s="130"/>
      <c r="M75" s="135"/>
    </row>
    <row r="76" spans="1:17" ht="15.75" thickBot="1" x14ac:dyDescent="0.25">
      <c r="A76" s="129" t="s">
        <v>284</v>
      </c>
      <c r="B76" s="139"/>
      <c r="C76" s="130">
        <f t="shared" ref="C76" si="4">+M76</f>
        <v>481241826.5</v>
      </c>
      <c r="D76" s="140"/>
      <c r="E76" s="141"/>
      <c r="F76" s="142"/>
      <c r="G76" s="143"/>
      <c r="H76" s="143"/>
      <c r="K76" s="140">
        <f>SUM(K3:K73)</f>
        <v>480242033.5</v>
      </c>
      <c r="L76" s="171">
        <f>SUM(L3:L73)</f>
        <v>999793</v>
      </c>
      <c r="M76" s="135">
        <f t="shared" si="2"/>
        <v>481241826.5</v>
      </c>
    </row>
    <row r="77" spans="1:17" x14ac:dyDescent="0.2">
      <c r="B77" s="139"/>
      <c r="C77" s="261" t="s">
        <v>285</v>
      </c>
      <c r="D77" s="262"/>
      <c r="E77" s="170"/>
      <c r="F77" s="142"/>
      <c r="G77" s="143"/>
      <c r="H77" s="143"/>
      <c r="K77" s="165"/>
      <c r="M77" s="135"/>
    </row>
    <row r="78" spans="1:17" x14ac:dyDescent="0.2">
      <c r="B78" s="139"/>
      <c r="C78" s="263" t="s">
        <v>286</v>
      </c>
      <c r="D78" s="264"/>
      <c r="E78" s="170"/>
      <c r="F78" s="142"/>
      <c r="G78" s="143"/>
      <c r="H78" s="143"/>
      <c r="K78" s="165"/>
      <c r="M78" s="135"/>
    </row>
    <row r="79" spans="1:17" x14ac:dyDescent="0.2">
      <c r="B79" s="139"/>
      <c r="C79" s="265" t="s">
        <v>287</v>
      </c>
      <c r="D79" s="266"/>
      <c r="E79" s="170"/>
      <c r="F79" s="142"/>
      <c r="G79" s="143"/>
      <c r="H79" s="143"/>
      <c r="K79" s="165"/>
      <c r="L79" s="171">
        <f>+M76-K76</f>
        <v>999793</v>
      </c>
      <c r="M79" s="135">
        <f t="shared" si="2"/>
        <v>999793</v>
      </c>
    </row>
    <row r="80" spans="1:17" ht="15.75" thickBot="1" x14ac:dyDescent="0.25">
      <c r="B80" s="139"/>
      <c r="C80" s="267" t="s">
        <v>288</v>
      </c>
      <c r="D80" s="268"/>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289</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864A5D0B34EAC43B71DB027F023BC4D" ma:contentTypeVersion="24" ma:contentTypeDescription="" ma:contentTypeScope="" ma:versionID="404e9fa65214bf64a0e1faf2e342b75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2023-09-12T07:00:00+00:00</OpenedDate>
    <SignificantOrder xmlns="dc463f71-b30c-4ab2-9473-d307f9d35888">false</SignificantOrder>
    <Date1 xmlns="dc463f71-b30c-4ab2-9473-d307f9d35888">2023-09-12T07:00:00+00:00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230753</DocketNumber>
    <DelegatedOrder xmlns="dc463f71-b30c-4ab2-9473-d307f9d35888">false</DelegatedOrder>
  </documentManagement>
</p:properties>
</file>

<file path=customXml/itemProps1.xml><?xml version="1.0" encoding="utf-8"?>
<ds:datastoreItem xmlns:ds="http://schemas.openxmlformats.org/officeDocument/2006/customXml" ds:itemID="{E975204A-630F-406B-9066-87B9E9CFCB48}"/>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30535A39-2E81-4587-9AA2-82AA823D7A05}"/>
</file>

<file path=customXml/itemProps5.xml><?xml version="1.0" encoding="utf-8"?>
<ds:datastoreItem xmlns:ds="http://schemas.openxmlformats.org/officeDocument/2006/customXml" ds:itemID="{C90EA895-0163-42FB-8515-F11C3FCD4C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Artem Savka</cp:lastModifiedBy>
  <cp:revision/>
  <dcterms:created xsi:type="dcterms:W3CDTF">2005-10-11T17:22:03Z</dcterms:created>
  <dcterms:modified xsi:type="dcterms:W3CDTF">2023-09-08T20:45:31Z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0x0101006E56B4D1795A2E4DB2F0B01679ED314A007864A5D0B34EAC43B71DB027F023BC4D</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