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rport01fps01\public\Evan Burmester\WUTC\Skagit\"/>
    </mc:Choice>
  </mc:AlternateContent>
  <xr:revisionPtr revIDLastSave="0" documentId="13_ncr:1_{33BE72AB-14A4-4D48-89E0-BD6760BC8EE2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Rebate Analysis" sheetId="6" r:id="rId1"/>
    <sheet name="Commodity Revenue" sheetId="7" r:id="rId2"/>
    <sheet name="Tonnages Collected" sheetId="5" r:id="rId3"/>
    <sheet name="CRC Prices" sheetId="1" r:id="rId4"/>
    <sheet name="CRC Composition" sheetId="2" r:id="rId5"/>
    <sheet name="Customers" sheetId="4" r:id="rId6"/>
  </sheets>
  <definedNames>
    <definedName name="_xlnm.Print_Area" localSheetId="4">'CRC Composition'!$A$1:$AC$19</definedName>
    <definedName name="_xlnm.Print_Area" localSheetId="3">'CRC Prices'!$A$1:$K$20</definedName>
    <definedName name="_xlnm.Print_Area" localSheetId="5">Customers!$B$1:$T$23</definedName>
    <definedName name="_xlnm.Print_Area" localSheetId="0">'Rebate Analysis'!$Y$1:$AD$32</definedName>
    <definedName name="_xlnm.Print_Area" localSheetId="2">'Tonnages Collected'!$A$1:$I$22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8" i="2" l="1"/>
  <c r="X17" i="2"/>
  <c r="X16" i="2"/>
  <c r="X15" i="2"/>
  <c r="X14" i="2"/>
  <c r="X13" i="2"/>
  <c r="X12" i="2"/>
  <c r="X11" i="2"/>
  <c r="X10" i="2"/>
  <c r="X9" i="2"/>
  <c r="X8" i="2"/>
  <c r="V18" i="2"/>
  <c r="V17" i="2"/>
  <c r="V16" i="2"/>
  <c r="V15" i="2"/>
  <c r="V14" i="2"/>
  <c r="V13" i="2"/>
  <c r="V12" i="2"/>
  <c r="V11" i="2"/>
  <c r="V10" i="2"/>
  <c r="V9" i="2"/>
  <c r="V8" i="2"/>
  <c r="T18" i="2"/>
  <c r="T17" i="2"/>
  <c r="T16" i="2"/>
  <c r="T15" i="2"/>
  <c r="T14" i="2"/>
  <c r="T13" i="2"/>
  <c r="T12" i="2"/>
  <c r="T11" i="2"/>
  <c r="T10" i="2"/>
  <c r="T9" i="2"/>
  <c r="T8" i="2"/>
  <c r="R18" i="2"/>
  <c r="R17" i="2"/>
  <c r="R16" i="2"/>
  <c r="R15" i="2"/>
  <c r="R14" i="2"/>
  <c r="R13" i="2"/>
  <c r="R12" i="2"/>
  <c r="R11" i="2"/>
  <c r="R10" i="2"/>
  <c r="R9" i="2"/>
  <c r="R8" i="2"/>
  <c r="P18" i="2"/>
  <c r="P17" i="2"/>
  <c r="P16" i="2"/>
  <c r="P15" i="2"/>
  <c r="P14" i="2"/>
  <c r="P13" i="2"/>
  <c r="P12" i="2"/>
  <c r="P11" i="2"/>
  <c r="P10" i="2"/>
  <c r="P9" i="2"/>
  <c r="P8" i="2"/>
  <c r="N8" i="2"/>
  <c r="N18" i="2"/>
  <c r="N17" i="2"/>
  <c r="N16" i="2"/>
  <c r="N15" i="2"/>
  <c r="N14" i="2"/>
  <c r="N13" i="2"/>
  <c r="N12" i="2"/>
  <c r="N11" i="2"/>
  <c r="N10" i="2"/>
  <c r="N9" i="2"/>
  <c r="D11" i="6" l="1"/>
  <c r="D10" i="6"/>
  <c r="R19" i="2" l="1"/>
  <c r="N12" i="4" l="1"/>
  <c r="M12" i="4"/>
  <c r="K12" i="4"/>
  <c r="J12" i="4"/>
  <c r="I12" i="4"/>
  <c r="H12" i="4"/>
  <c r="G12" i="4"/>
  <c r="F12" i="4"/>
  <c r="E12" i="4"/>
  <c r="D12" i="4"/>
  <c r="C12" i="4"/>
  <c r="Q23" i="6" l="1"/>
  <c r="P10" i="6" l="1"/>
  <c r="Q10" i="6" l="1"/>
  <c r="X29" i="6" l="1"/>
  <c r="C22" i="5" l="1"/>
  <c r="A29" i="7" l="1"/>
  <c r="A30" i="7"/>
  <c r="A31" i="7"/>
  <c r="A32" i="7"/>
  <c r="A33" i="7"/>
  <c r="A34" i="7"/>
  <c r="A35" i="7"/>
  <c r="A36" i="7"/>
  <c r="A37" i="7"/>
  <c r="A38" i="7"/>
  <c r="A39" i="7"/>
  <c r="A28" i="7"/>
  <c r="O18" i="4" l="1"/>
  <c r="O17" i="4"/>
  <c r="O12" i="4"/>
  <c r="O11" i="4"/>
  <c r="O10" i="4"/>
  <c r="O9" i="4"/>
  <c r="O7" i="4"/>
  <c r="N13" i="4"/>
  <c r="M13" i="4"/>
  <c r="L13" i="4"/>
  <c r="K13" i="4"/>
  <c r="N20" i="4"/>
  <c r="AA39" i="7" s="1"/>
  <c r="M20" i="4"/>
  <c r="AA38" i="7" s="1"/>
  <c r="O19" i="4"/>
  <c r="N23" i="4" l="1"/>
  <c r="M23" i="4"/>
  <c r="O20" i="4"/>
  <c r="M14" i="4" l="1"/>
  <c r="M21" i="4"/>
  <c r="N14" i="4"/>
  <c r="N21" i="4"/>
  <c r="AH11" i="6"/>
  <c r="AB10" i="6" s="1"/>
  <c r="AN10" i="6" l="1"/>
  <c r="AS12" i="6"/>
  <c r="AU18" i="6" s="1"/>
  <c r="AU11" i="6" l="1"/>
  <c r="AU23" i="6"/>
  <c r="AV25" i="6" s="1"/>
  <c r="AU10" i="6"/>
  <c r="AV27" i="6" l="1"/>
  <c r="AN11" i="6"/>
  <c r="AH10" i="6" s="1"/>
  <c r="AU12" i="6"/>
  <c r="AU16" i="6" s="1"/>
  <c r="T19" i="2" l="1"/>
  <c r="P19" i="2"/>
  <c r="N19" i="2"/>
  <c r="L19" i="2"/>
  <c r="J19" i="2"/>
  <c r="H19" i="2"/>
  <c r="F19" i="2"/>
  <c r="D19" i="2"/>
  <c r="B19" i="2"/>
  <c r="I16" i="2" l="1"/>
  <c r="I12" i="2"/>
  <c r="I8" i="2"/>
  <c r="I13" i="2"/>
  <c r="I15" i="2"/>
  <c r="I11" i="2"/>
  <c r="I14" i="2"/>
  <c r="I10" i="2"/>
  <c r="I17" i="2"/>
  <c r="I9" i="2"/>
  <c r="I18" i="2"/>
  <c r="D13" i="5" s="1"/>
  <c r="E13" i="5" s="1"/>
  <c r="G15" i="2"/>
  <c r="G11" i="2"/>
  <c r="G16" i="2"/>
  <c r="G14" i="2"/>
  <c r="G10" i="2"/>
  <c r="G17" i="2"/>
  <c r="G13" i="2"/>
  <c r="G9" i="2"/>
  <c r="G12" i="2"/>
  <c r="G8" i="2"/>
  <c r="G18" i="2"/>
  <c r="D12" i="5" s="1"/>
  <c r="E12" i="5" s="1"/>
  <c r="O15" i="2"/>
  <c r="O11" i="2"/>
  <c r="O8" i="2"/>
  <c r="O14" i="2"/>
  <c r="O10" i="2"/>
  <c r="O17" i="2"/>
  <c r="O13" i="2"/>
  <c r="O9" i="2"/>
  <c r="O16" i="2"/>
  <c r="O12" i="2"/>
  <c r="O18" i="2"/>
  <c r="D16" i="5" s="1"/>
  <c r="E16" i="5" s="1"/>
  <c r="Q16" i="2"/>
  <c r="Q12" i="2"/>
  <c r="Q8" i="2"/>
  <c r="Q15" i="2"/>
  <c r="Q11" i="2"/>
  <c r="Q14" i="2"/>
  <c r="Q10" i="2"/>
  <c r="Q17" i="2"/>
  <c r="Q13" i="2"/>
  <c r="Q9" i="2"/>
  <c r="Q18" i="2"/>
  <c r="D17" i="5" s="1"/>
  <c r="E17" i="5" s="1"/>
  <c r="C10" i="2"/>
  <c r="C14" i="2"/>
  <c r="C13" i="2"/>
  <c r="C11" i="2"/>
  <c r="C15" i="2"/>
  <c r="C8" i="2"/>
  <c r="C12" i="2"/>
  <c r="C16" i="2"/>
  <c r="C9" i="2"/>
  <c r="C17" i="2"/>
  <c r="C18" i="2"/>
  <c r="D10" i="5" s="1"/>
  <c r="E10" i="5" s="1"/>
  <c r="K17" i="2"/>
  <c r="K13" i="2"/>
  <c r="K9" i="2"/>
  <c r="K10" i="2"/>
  <c r="K16" i="2"/>
  <c r="K12" i="2"/>
  <c r="K8" i="2"/>
  <c r="K15" i="2"/>
  <c r="K11" i="2"/>
  <c r="K14" i="2"/>
  <c r="K18" i="2"/>
  <c r="D14" i="5" s="1"/>
  <c r="E14" i="5" s="1"/>
  <c r="S17" i="2"/>
  <c r="S13" i="2"/>
  <c r="S9" i="2"/>
  <c r="S16" i="2"/>
  <c r="S12" i="2"/>
  <c r="S8" i="2"/>
  <c r="S15" i="2"/>
  <c r="S11" i="2"/>
  <c r="S14" i="2"/>
  <c r="S10" i="2"/>
  <c r="S18" i="2"/>
  <c r="D18" i="5" s="1"/>
  <c r="E18" i="5" s="1"/>
  <c r="E18" i="2"/>
  <c r="D11" i="5" s="1"/>
  <c r="E11" i="5" s="1"/>
  <c r="E14" i="2"/>
  <c r="E10" i="2"/>
  <c r="E15" i="2"/>
  <c r="E17" i="2"/>
  <c r="E13" i="2"/>
  <c r="E9" i="2"/>
  <c r="E16" i="2"/>
  <c r="E12" i="2"/>
  <c r="E8" i="2"/>
  <c r="E11" i="2"/>
  <c r="M14" i="2"/>
  <c r="M10" i="2"/>
  <c r="M17" i="2"/>
  <c r="M13" i="2"/>
  <c r="M9" i="2"/>
  <c r="M16" i="2"/>
  <c r="M12" i="2"/>
  <c r="M8" i="2"/>
  <c r="M15" i="2"/>
  <c r="M11" i="2"/>
  <c r="M18" i="2"/>
  <c r="D15" i="5" s="1"/>
  <c r="E15" i="5" s="1"/>
  <c r="U14" i="2"/>
  <c r="U10" i="2"/>
  <c r="U17" i="2"/>
  <c r="U13" i="2"/>
  <c r="U9" i="2"/>
  <c r="U16" i="2"/>
  <c r="U12" i="2"/>
  <c r="U8" i="2"/>
  <c r="U15" i="2"/>
  <c r="U11" i="2"/>
  <c r="U18" i="2"/>
  <c r="D19" i="5" s="1"/>
  <c r="E19" i="5" s="1"/>
  <c r="M19" i="2" l="1"/>
  <c r="C19" i="2"/>
  <c r="E19" i="2"/>
  <c r="I19" i="2"/>
  <c r="K19" i="2"/>
  <c r="S19" i="2"/>
  <c r="Q19" i="2"/>
  <c r="U19" i="2"/>
  <c r="O19" i="2"/>
  <c r="G19" i="2"/>
  <c r="Z13" i="2"/>
  <c r="AE13" i="2" s="1"/>
  <c r="Z14" i="2"/>
  <c r="AE14" i="2" s="1"/>
  <c r="Z15" i="2"/>
  <c r="AE15" i="2" s="1"/>
  <c r="Z16" i="2"/>
  <c r="AE16" i="2" s="1"/>
  <c r="Z17" i="2"/>
  <c r="AE17" i="2" s="1"/>
  <c r="Z18" i="2"/>
  <c r="AE18" i="2" s="1"/>
  <c r="H20" i="4" l="1"/>
  <c r="J20" i="4"/>
  <c r="L20" i="4"/>
  <c r="K20" i="4"/>
  <c r="AA36" i="7" s="1"/>
  <c r="F20" i="4"/>
  <c r="O12" i="6" l="1"/>
  <c r="Q24" i="6" s="1"/>
  <c r="AA37" i="7"/>
  <c r="L23" i="4"/>
  <c r="K23" i="4"/>
  <c r="K14" i="4" s="1"/>
  <c r="AA31" i="7"/>
  <c r="AA35" i="7"/>
  <c r="AA33" i="7"/>
  <c r="I20" i="4"/>
  <c r="E20" i="4"/>
  <c r="D20" i="4"/>
  <c r="G20" i="4"/>
  <c r="C20" i="4"/>
  <c r="C10" i="6" s="1"/>
  <c r="C11" i="6" l="1"/>
  <c r="C12" i="6" s="1"/>
  <c r="Q18" i="6"/>
  <c r="L14" i="4"/>
  <c r="L21" i="4"/>
  <c r="AG12" i="6"/>
  <c r="AI18" i="6" s="1"/>
  <c r="AI10" i="6"/>
  <c r="AA30" i="7"/>
  <c r="AA28" i="7"/>
  <c r="AA34" i="7"/>
  <c r="AA32" i="7"/>
  <c r="AA29" i="7"/>
  <c r="K21" i="4"/>
  <c r="E24" i="6" l="1"/>
  <c r="E18" i="6"/>
  <c r="U12" i="6"/>
  <c r="W18" i="6" s="1"/>
  <c r="B38" i="7"/>
  <c r="F20" i="5"/>
  <c r="B37" i="7"/>
  <c r="F19" i="5"/>
  <c r="G19" i="5" s="1"/>
  <c r="B36" i="7"/>
  <c r="F18" i="5"/>
  <c r="G18" i="5" s="1"/>
  <c r="AA12" i="6"/>
  <c r="AC18" i="6" s="1"/>
  <c r="AC10" i="6"/>
  <c r="B39" i="7" l="1"/>
  <c r="F21" i="5"/>
  <c r="X19" i="2"/>
  <c r="Z12" i="2"/>
  <c r="AE12" i="2" s="1"/>
  <c r="Z11" i="2"/>
  <c r="AE11" i="2" s="1"/>
  <c r="Z10" i="2"/>
  <c r="AE10" i="2" s="1"/>
  <c r="Z9" i="2"/>
  <c r="AE9" i="2" s="1"/>
  <c r="Z8" i="2"/>
  <c r="V19" i="2"/>
  <c r="W17" i="2" l="1"/>
  <c r="W13" i="2"/>
  <c r="W9" i="2"/>
  <c r="W10" i="2"/>
  <c r="W16" i="2"/>
  <c r="W12" i="2"/>
  <c r="W8" i="2"/>
  <c r="W14" i="2"/>
  <c r="W15" i="2"/>
  <c r="W11" i="2"/>
  <c r="W18" i="2"/>
  <c r="D20" i="5" s="1"/>
  <c r="E20" i="5" s="1"/>
  <c r="G20" i="5" s="1"/>
  <c r="Y18" i="2"/>
  <c r="D21" i="5" s="1"/>
  <c r="E21" i="5" s="1"/>
  <c r="Y14" i="2"/>
  <c r="Y10" i="2"/>
  <c r="Y15" i="2"/>
  <c r="Y17" i="2"/>
  <c r="Y13" i="2"/>
  <c r="Y9" i="2"/>
  <c r="Y16" i="2"/>
  <c r="Y12" i="2"/>
  <c r="Y8" i="2"/>
  <c r="Y11" i="2"/>
  <c r="Z19" i="2"/>
  <c r="AA9" i="2" s="1"/>
  <c r="G21" i="5" l="1"/>
  <c r="E22" i="5"/>
  <c r="D22" i="5" s="1"/>
  <c r="AA12" i="2"/>
  <c r="AA10" i="2"/>
  <c r="AA18" i="2"/>
  <c r="AA14" i="2"/>
  <c r="AA15" i="2"/>
  <c r="AA17" i="2"/>
  <c r="AA13" i="2"/>
  <c r="AA16" i="2"/>
  <c r="AA11" i="2"/>
  <c r="AA8" i="2"/>
  <c r="W19" i="2"/>
  <c r="AC13" i="2"/>
  <c r="H7" i="7" s="1"/>
  <c r="AC10" i="2"/>
  <c r="E7" i="7" s="1"/>
  <c r="E19" i="7" s="1"/>
  <c r="E39" i="7" s="1"/>
  <c r="AC8" i="2"/>
  <c r="C7" i="7" s="1"/>
  <c r="C19" i="7" s="1"/>
  <c r="C39" i="7" s="1"/>
  <c r="AC15" i="2"/>
  <c r="AC16" i="2"/>
  <c r="AC9" i="2"/>
  <c r="D7" i="7" s="1"/>
  <c r="D19" i="7" s="1"/>
  <c r="D39" i="7" s="1"/>
  <c r="AC17" i="2"/>
  <c r="AC14" i="2"/>
  <c r="AC11" i="2"/>
  <c r="F7" i="7" s="1"/>
  <c r="AC12" i="2"/>
  <c r="G7" i="7" s="1"/>
  <c r="G19" i="7" s="1"/>
  <c r="G39" i="7" s="1"/>
  <c r="Y19" i="2"/>
  <c r="L7" i="7" l="1"/>
  <c r="L14" i="7" s="1"/>
  <c r="K7" i="7"/>
  <c r="K18" i="7" s="1"/>
  <c r="K38" i="7" s="1"/>
  <c r="I7" i="7"/>
  <c r="I14" i="7" s="1"/>
  <c r="J7" i="7"/>
  <c r="J13" i="7" s="1"/>
  <c r="F9" i="7"/>
  <c r="F11" i="7"/>
  <c r="F13" i="7"/>
  <c r="F15" i="7"/>
  <c r="F17" i="7"/>
  <c r="F37" i="7" s="1"/>
  <c r="F8" i="7"/>
  <c r="F10" i="7"/>
  <c r="F12" i="7"/>
  <c r="F14" i="7"/>
  <c r="F16" i="7"/>
  <c r="F18" i="7"/>
  <c r="F38" i="7" s="1"/>
  <c r="H10" i="7"/>
  <c r="H12" i="7"/>
  <c r="H14" i="7"/>
  <c r="H16" i="7"/>
  <c r="H18" i="7"/>
  <c r="H38" i="7" s="1"/>
  <c r="H9" i="7"/>
  <c r="H11" i="7"/>
  <c r="H13" i="7"/>
  <c r="H15" i="7"/>
  <c r="H17" i="7"/>
  <c r="H37" i="7" s="1"/>
  <c r="H8" i="7"/>
  <c r="H19" i="7"/>
  <c r="H39" i="7" s="1"/>
  <c r="C8" i="7"/>
  <c r="C9" i="7"/>
  <c r="C11" i="7"/>
  <c r="C13" i="7"/>
  <c r="C15" i="7"/>
  <c r="C17" i="7"/>
  <c r="C37" i="7" s="1"/>
  <c r="C12" i="7"/>
  <c r="C16" i="7"/>
  <c r="C18" i="7"/>
  <c r="C38" i="7" s="1"/>
  <c r="C10" i="7"/>
  <c r="C14" i="7"/>
  <c r="G8" i="7"/>
  <c r="G9" i="7"/>
  <c r="G11" i="7"/>
  <c r="G13" i="7"/>
  <c r="G15" i="7"/>
  <c r="G17" i="7"/>
  <c r="G37" i="7" s="1"/>
  <c r="G14" i="7"/>
  <c r="G10" i="7"/>
  <c r="G12" i="7"/>
  <c r="G16" i="7"/>
  <c r="G18" i="7"/>
  <c r="G38" i="7" s="1"/>
  <c r="D10" i="7"/>
  <c r="D12" i="7"/>
  <c r="D14" i="7"/>
  <c r="D16" i="7"/>
  <c r="D18" i="7"/>
  <c r="D38" i="7" s="1"/>
  <c r="D8" i="7"/>
  <c r="D9" i="7"/>
  <c r="D11" i="7"/>
  <c r="D13" i="7"/>
  <c r="D15" i="7"/>
  <c r="D17" i="7"/>
  <c r="D37" i="7" s="1"/>
  <c r="E10" i="7"/>
  <c r="E12" i="7"/>
  <c r="E14" i="7"/>
  <c r="E16" i="7"/>
  <c r="E18" i="7"/>
  <c r="E38" i="7" s="1"/>
  <c r="E11" i="7"/>
  <c r="E15" i="7"/>
  <c r="E17" i="7"/>
  <c r="E37" i="7" s="1"/>
  <c r="E8" i="7"/>
  <c r="E9" i="7"/>
  <c r="E13" i="7"/>
  <c r="F19" i="7"/>
  <c r="F39" i="7" s="1"/>
  <c r="AC19" i="2"/>
  <c r="K9" i="7" l="1"/>
  <c r="L11" i="7"/>
  <c r="J18" i="7"/>
  <c r="J38" i="7" s="1"/>
  <c r="J19" i="7"/>
  <c r="J39" i="7" s="1"/>
  <c r="K17" i="7"/>
  <c r="K37" i="7" s="1"/>
  <c r="J10" i="7"/>
  <c r="K19" i="7"/>
  <c r="K39" i="7" s="1"/>
  <c r="K13" i="7"/>
  <c r="L8" i="7"/>
  <c r="I9" i="7"/>
  <c r="K10" i="7"/>
  <c r="K16" i="7"/>
  <c r="J14" i="7"/>
  <c r="J17" i="7"/>
  <c r="J37" i="7" s="1"/>
  <c r="J9" i="7"/>
  <c r="L16" i="7"/>
  <c r="I16" i="7"/>
  <c r="L15" i="7"/>
  <c r="L12" i="7"/>
  <c r="I15" i="7"/>
  <c r="I12" i="7"/>
  <c r="I8" i="7"/>
  <c r="L19" i="7"/>
  <c r="L39" i="7" s="1"/>
  <c r="K12" i="7"/>
  <c r="K11" i="7"/>
  <c r="K8" i="7"/>
  <c r="L13" i="7"/>
  <c r="L18" i="7"/>
  <c r="L38" i="7" s="1"/>
  <c r="L10" i="7"/>
  <c r="J12" i="7"/>
  <c r="J11" i="7"/>
  <c r="I11" i="7"/>
  <c r="I18" i="7"/>
  <c r="I38" i="7" s="1"/>
  <c r="I10" i="7"/>
  <c r="K14" i="7"/>
  <c r="K15" i="7"/>
  <c r="I19" i="7"/>
  <c r="I39" i="7" s="1"/>
  <c r="L17" i="7"/>
  <c r="L37" i="7" s="1"/>
  <c r="L9" i="7"/>
  <c r="J16" i="7"/>
  <c r="J8" i="7"/>
  <c r="I17" i="7"/>
  <c r="I37" i="7" s="1"/>
  <c r="I13" i="7"/>
  <c r="J15" i="7"/>
  <c r="AA40" i="7"/>
  <c r="M39" i="7" l="1"/>
  <c r="AB39" i="7" s="1"/>
  <c r="M38" i="7"/>
  <c r="AB38" i="7" s="1"/>
  <c r="M37" i="7"/>
  <c r="AB37" i="7" s="1"/>
  <c r="AO10" i="6"/>
  <c r="AM12" i="6"/>
  <c r="AO18" i="6" s="1"/>
  <c r="J36" i="7" l="1"/>
  <c r="H36" i="7"/>
  <c r="I36" i="7"/>
  <c r="F36" i="7"/>
  <c r="T19" i="7" l="1"/>
  <c r="AF19" i="7" s="1"/>
  <c r="U19" i="7"/>
  <c r="S19" i="7"/>
  <c r="U18" i="7"/>
  <c r="U17" i="7"/>
  <c r="U16" i="7"/>
  <c r="S17" i="7"/>
  <c r="T16" i="7"/>
  <c r="AF16" i="7" s="1"/>
  <c r="V18" i="7"/>
  <c r="V16" i="7"/>
  <c r="R16" i="7"/>
  <c r="S18" i="7"/>
  <c r="T17" i="7"/>
  <c r="AF17" i="7" s="1"/>
  <c r="P19" i="7"/>
  <c r="AB19" i="7" s="1"/>
  <c r="R19" i="7"/>
  <c r="AD19" i="7" s="1"/>
  <c r="AA19" i="2"/>
  <c r="D36" i="7"/>
  <c r="G36" i="7"/>
  <c r="E36" i="7"/>
  <c r="K36" i="7"/>
  <c r="L36" i="7"/>
  <c r="C36" i="7"/>
  <c r="V17" i="7" l="1"/>
  <c r="AH17" i="7" s="1"/>
  <c r="Q16" i="7"/>
  <c r="Q17" i="7"/>
  <c r="R18" i="7"/>
  <c r="X17" i="7"/>
  <c r="W16" i="7"/>
  <c r="Q18" i="7"/>
  <c r="AC18" i="7" s="1"/>
  <c r="W17" i="7"/>
  <c r="T18" i="7"/>
  <c r="O17" i="7"/>
  <c r="S16" i="7"/>
  <c r="O18" i="7"/>
  <c r="X18" i="7"/>
  <c r="W18" i="7"/>
  <c r="O16" i="7"/>
  <c r="X16" i="7"/>
  <c r="P17" i="7"/>
  <c r="R17" i="7"/>
  <c r="AD17" i="7" s="1"/>
  <c r="P16" i="7"/>
  <c r="AB16" i="7" s="1"/>
  <c r="P18" i="7"/>
  <c r="AB18" i="7" s="1"/>
  <c r="O19" i="7"/>
  <c r="X19" i="7"/>
  <c r="V19" i="7"/>
  <c r="W19" i="7"/>
  <c r="Q19" i="7"/>
  <c r="AE18" i="7"/>
  <c r="AG16" i="7"/>
  <c r="AG17" i="7"/>
  <c r="AH16" i="7"/>
  <c r="AH18" i="7"/>
  <c r="AD16" i="7"/>
  <c r="AE17" i="7"/>
  <c r="AG18" i="7"/>
  <c r="AE19" i="7"/>
  <c r="AG19" i="7"/>
  <c r="M19" i="7"/>
  <c r="M17" i="7"/>
  <c r="M18" i="7"/>
  <c r="M16" i="7"/>
  <c r="AF18" i="7" l="1"/>
  <c r="AJ19" i="7"/>
  <c r="AJ16" i="7"/>
  <c r="AJ18" i="7"/>
  <c r="AJ17" i="7"/>
  <c r="AC19" i="7"/>
  <c r="AH19" i="7"/>
  <c r="AD18" i="7"/>
  <c r="AC16" i="7"/>
  <c r="AE16" i="7"/>
  <c r="AC17" i="7"/>
  <c r="AB17" i="7"/>
  <c r="AI18" i="7"/>
  <c r="AI19" i="7"/>
  <c r="AI17" i="7"/>
  <c r="AI16" i="7"/>
  <c r="M36" i="7"/>
  <c r="AB36" i="7" s="1"/>
  <c r="Y17" i="7"/>
  <c r="Y16" i="7"/>
  <c r="Y18" i="7"/>
  <c r="Y19" i="7"/>
  <c r="Q25" i="7" l="1"/>
  <c r="U25" i="7"/>
  <c r="L25" i="7"/>
  <c r="R25" i="7"/>
  <c r="V25" i="7"/>
  <c r="O25" i="7"/>
  <c r="S25" i="7"/>
  <c r="H25" i="7"/>
  <c r="T25" i="7"/>
  <c r="X25" i="7"/>
  <c r="I25" i="7"/>
  <c r="W25" i="7"/>
  <c r="K25" i="7" l="1"/>
  <c r="J25" i="7"/>
  <c r="G25" i="7"/>
  <c r="F25" i="7"/>
  <c r="C25" i="7"/>
  <c r="E25" i="7"/>
  <c r="AO11" i="6" l="1"/>
  <c r="AO12" i="6" s="1"/>
  <c r="AO23" i="6" l="1"/>
  <c r="AO16" i="6"/>
  <c r="AP20" i="6" s="1"/>
  <c r="AI11" i="6" l="1"/>
  <c r="AI12" i="6" s="1"/>
  <c r="AP27" i="6"/>
  <c r="AJ25" i="6" l="1"/>
  <c r="AB11" i="6" s="1"/>
  <c r="J13" i="4"/>
  <c r="J23" i="4" s="1"/>
  <c r="J21" i="4" s="1"/>
  <c r="B35" i="7" s="1"/>
  <c r="E13" i="4"/>
  <c r="H13" i="4"/>
  <c r="C13" i="4"/>
  <c r="O8" i="4"/>
  <c r="O13" i="4" s="1"/>
  <c r="I13" i="4"/>
  <c r="I23" i="4" s="1"/>
  <c r="I21" i="4" s="1"/>
  <c r="F13" i="4"/>
  <c r="D13" i="4"/>
  <c r="G13" i="4"/>
  <c r="G23" i="4" s="1"/>
  <c r="G21" i="4" s="1"/>
  <c r="B34" i="7" l="1"/>
  <c r="F17" i="5"/>
  <c r="G17" i="5" s="1"/>
  <c r="F16" i="5"/>
  <c r="G16" i="5" s="1"/>
  <c r="B32" i="7"/>
  <c r="F14" i="5"/>
  <c r="G14" i="5" s="1"/>
  <c r="AC11" i="6"/>
  <c r="AC12" i="6" s="1"/>
  <c r="W10" i="6"/>
  <c r="G14" i="4"/>
  <c r="D23" i="4"/>
  <c r="F23" i="4"/>
  <c r="F21" i="4" s="1"/>
  <c r="I14" i="4"/>
  <c r="O23" i="4"/>
  <c r="O14" i="4" s="1"/>
  <c r="H23" i="4"/>
  <c r="H21" i="4" s="1"/>
  <c r="J14" i="4"/>
  <c r="E23" i="4"/>
  <c r="E21" i="4" s="1"/>
  <c r="C23" i="4"/>
  <c r="C21" i="4" s="1"/>
  <c r="B28" i="7" l="1"/>
  <c r="F10" i="5"/>
  <c r="G10" i="5" s="1"/>
  <c r="B30" i="7"/>
  <c r="F12" i="5"/>
  <c r="G12" i="5" s="1"/>
  <c r="B31" i="7"/>
  <c r="F13" i="5"/>
  <c r="G13" i="5" s="1"/>
  <c r="B33" i="7"/>
  <c r="F15" i="5"/>
  <c r="G15" i="5" s="1"/>
  <c r="F14" i="4"/>
  <c r="D14" i="4"/>
  <c r="P8" i="4"/>
  <c r="P13" i="4"/>
  <c r="D21" i="4"/>
  <c r="C14" i="4"/>
  <c r="E14" i="4"/>
  <c r="P11" i="4"/>
  <c r="P17" i="4"/>
  <c r="P7" i="4"/>
  <c r="P20" i="4"/>
  <c r="P19" i="4"/>
  <c r="O21" i="4"/>
  <c r="B40" i="7" s="1"/>
  <c r="P9" i="4"/>
  <c r="P18" i="4"/>
  <c r="P23" i="4"/>
  <c r="P12" i="4"/>
  <c r="P10" i="4"/>
  <c r="H14" i="4"/>
  <c r="P37" i="7" l="1"/>
  <c r="T37" i="7"/>
  <c r="X37" i="7"/>
  <c r="Q38" i="7"/>
  <c r="U38" i="7"/>
  <c r="O39" i="7"/>
  <c r="S39" i="7"/>
  <c r="Q37" i="7"/>
  <c r="U37" i="7"/>
  <c r="R38" i="7"/>
  <c r="V38" i="7"/>
  <c r="P39" i="7"/>
  <c r="T39" i="7"/>
  <c r="X39" i="7"/>
  <c r="O37" i="7"/>
  <c r="S37" i="7"/>
  <c r="W37" i="7"/>
  <c r="P38" i="7"/>
  <c r="T38" i="7"/>
  <c r="X38" i="7"/>
  <c r="R39" i="7"/>
  <c r="V39" i="7"/>
  <c r="R37" i="7"/>
  <c r="V37" i="7"/>
  <c r="O38" i="7"/>
  <c r="S38" i="7"/>
  <c r="W38" i="7"/>
  <c r="Q39" i="7"/>
  <c r="U39" i="7"/>
  <c r="W39" i="7"/>
  <c r="B29" i="7"/>
  <c r="C29" i="7" s="1"/>
  <c r="F11" i="5"/>
  <c r="G11" i="5" s="1"/>
  <c r="G22" i="5" s="1"/>
  <c r="F22" i="5" s="1"/>
  <c r="X12" i="7"/>
  <c r="AJ12" i="7" s="1"/>
  <c r="L32" i="7"/>
  <c r="M15" i="7"/>
  <c r="O15" i="7"/>
  <c r="O35" i="7" s="1"/>
  <c r="C35" i="7"/>
  <c r="W14" i="7"/>
  <c r="AI14" i="7" s="1"/>
  <c r="K34" i="7"/>
  <c r="O12" i="7"/>
  <c r="O32" i="7" s="1"/>
  <c r="M12" i="7"/>
  <c r="C32" i="7"/>
  <c r="P12" i="7"/>
  <c r="AB12" i="7" s="1"/>
  <c r="D32" i="7"/>
  <c r="V15" i="7"/>
  <c r="AH15" i="7" s="1"/>
  <c r="J35" i="7"/>
  <c r="W15" i="7"/>
  <c r="AI15" i="7" s="1"/>
  <c r="K35" i="7"/>
  <c r="U15" i="7"/>
  <c r="AG15" i="7" s="1"/>
  <c r="I35" i="7"/>
  <c r="P14" i="7"/>
  <c r="AB14" i="7" s="1"/>
  <c r="D34" i="7"/>
  <c r="T14" i="7"/>
  <c r="AF14" i="7" s="1"/>
  <c r="H34" i="7"/>
  <c r="T15" i="7"/>
  <c r="AF15" i="7" s="1"/>
  <c r="H35" i="7"/>
  <c r="W12" i="7"/>
  <c r="AI12" i="7" s="1"/>
  <c r="K32" i="7"/>
  <c r="T12" i="7"/>
  <c r="AF12" i="7" s="1"/>
  <c r="H32" i="7"/>
  <c r="Q15" i="7"/>
  <c r="AC15" i="7" s="1"/>
  <c r="E35" i="7"/>
  <c r="R15" i="7"/>
  <c r="AD15" i="7" s="1"/>
  <c r="F35" i="7"/>
  <c r="O14" i="7"/>
  <c r="O34" i="7" s="1"/>
  <c r="M14" i="7"/>
  <c r="C34" i="7"/>
  <c r="Q14" i="7"/>
  <c r="AC14" i="7" s="1"/>
  <c r="E34" i="7"/>
  <c r="V14" i="7"/>
  <c r="AH14" i="7" s="1"/>
  <c r="J34" i="7"/>
  <c r="V12" i="7"/>
  <c r="AH12" i="7" s="1"/>
  <c r="J32" i="7"/>
  <c r="X15" i="7"/>
  <c r="AJ15" i="7" s="1"/>
  <c r="L35" i="7"/>
  <c r="U14" i="7"/>
  <c r="AG14" i="7" s="1"/>
  <c r="I34" i="7"/>
  <c r="Q12" i="7"/>
  <c r="AC12" i="7" s="1"/>
  <c r="E32" i="7"/>
  <c r="R12" i="7"/>
  <c r="AD12" i="7" s="1"/>
  <c r="F32" i="7"/>
  <c r="S12" i="7"/>
  <c r="AE12" i="7" s="1"/>
  <c r="G32" i="7"/>
  <c r="U12" i="7"/>
  <c r="AG12" i="7" s="1"/>
  <c r="I32" i="7"/>
  <c r="P15" i="7"/>
  <c r="AB15" i="7" s="1"/>
  <c r="D35" i="7"/>
  <c r="S15" i="7"/>
  <c r="AE15" i="7" s="1"/>
  <c r="G35" i="7"/>
  <c r="X14" i="7"/>
  <c r="AJ14" i="7" s="1"/>
  <c r="L34" i="7"/>
  <c r="R14" i="7"/>
  <c r="AD14" i="7" s="1"/>
  <c r="F34" i="7"/>
  <c r="S14" i="7"/>
  <c r="AE14" i="7" s="1"/>
  <c r="G34" i="7"/>
  <c r="T9" i="7"/>
  <c r="AF9" i="7" s="1"/>
  <c r="U9" i="7"/>
  <c r="AG9" i="7" s="1"/>
  <c r="S9" i="7"/>
  <c r="AE9" i="7" s="1"/>
  <c r="V9" i="7"/>
  <c r="AH9" i="7" s="1"/>
  <c r="R9" i="7"/>
  <c r="AD9" i="7" s="1"/>
  <c r="X9" i="7"/>
  <c r="AJ9" i="7" s="1"/>
  <c r="W9" i="7"/>
  <c r="AI9" i="7" s="1"/>
  <c r="Q9" i="7"/>
  <c r="AC9" i="7" s="1"/>
  <c r="P9" i="7"/>
  <c r="AB9" i="7" s="1"/>
  <c r="X36" i="7"/>
  <c r="U36" i="7"/>
  <c r="R36" i="7"/>
  <c r="W36" i="7"/>
  <c r="Q36" i="7"/>
  <c r="P36" i="7"/>
  <c r="V36" i="7"/>
  <c r="T36" i="7"/>
  <c r="O36" i="7"/>
  <c r="S36" i="7"/>
  <c r="Y39" i="7" l="1"/>
  <c r="AC39" i="7" s="1"/>
  <c r="Y38" i="7"/>
  <c r="AC38" i="7" s="1"/>
  <c r="Y37" i="7"/>
  <c r="AC37" i="7" s="1"/>
  <c r="V29" i="7"/>
  <c r="V34" i="7"/>
  <c r="T35" i="7"/>
  <c r="M35" i="7"/>
  <c r="AB35" i="7" s="1"/>
  <c r="W35" i="7"/>
  <c r="V35" i="7"/>
  <c r="U35" i="7"/>
  <c r="S35" i="7"/>
  <c r="R35" i="7"/>
  <c r="Q35" i="7"/>
  <c r="M34" i="7"/>
  <c r="AB34" i="7" s="1"/>
  <c r="W34" i="7"/>
  <c r="T34" i="7"/>
  <c r="P34" i="7"/>
  <c r="Q29" i="7"/>
  <c r="M32" i="7"/>
  <c r="AB32" i="7" s="1"/>
  <c r="J29" i="7"/>
  <c r="E29" i="7"/>
  <c r="R29" i="7"/>
  <c r="T29" i="7"/>
  <c r="H29" i="7"/>
  <c r="R34" i="7"/>
  <c r="P29" i="7"/>
  <c r="X35" i="7"/>
  <c r="F29" i="7"/>
  <c r="X32" i="7"/>
  <c r="W32" i="7"/>
  <c r="U32" i="7"/>
  <c r="T32" i="7"/>
  <c r="R32" i="7"/>
  <c r="P32" i="7"/>
  <c r="X29" i="7"/>
  <c r="X13" i="7"/>
  <c r="L33" i="7"/>
  <c r="S13" i="7"/>
  <c r="G33" i="7"/>
  <c r="T13" i="7"/>
  <c r="H33" i="7"/>
  <c r="U13" i="7"/>
  <c r="I33" i="7"/>
  <c r="Y15" i="7"/>
  <c r="X34" i="7"/>
  <c r="Q32" i="7"/>
  <c r="U34" i="7"/>
  <c r="S32" i="7"/>
  <c r="U29" i="7"/>
  <c r="S34" i="7"/>
  <c r="I29" i="7"/>
  <c r="W13" i="7"/>
  <c r="K33" i="7"/>
  <c r="P13" i="7"/>
  <c r="D33" i="7"/>
  <c r="Q13" i="7"/>
  <c r="E33" i="7"/>
  <c r="M13" i="7"/>
  <c r="O13" i="7"/>
  <c r="C33" i="7"/>
  <c r="Y12" i="7"/>
  <c r="Q34" i="7"/>
  <c r="V32" i="7"/>
  <c r="P35" i="7"/>
  <c r="K29" i="7"/>
  <c r="R13" i="7"/>
  <c r="F33" i="7"/>
  <c r="V13" i="7"/>
  <c r="J33" i="7"/>
  <c r="Y14" i="7"/>
  <c r="Q11" i="7"/>
  <c r="E31" i="7"/>
  <c r="T10" i="7"/>
  <c r="H30" i="7"/>
  <c r="G29" i="7"/>
  <c r="X11" i="7"/>
  <c r="L31" i="7"/>
  <c r="P11" i="7"/>
  <c r="D31" i="7"/>
  <c r="M9" i="7"/>
  <c r="O9" i="7"/>
  <c r="V10" i="7"/>
  <c r="J30" i="7"/>
  <c r="P10" i="7"/>
  <c r="D30" i="7"/>
  <c r="S11" i="7"/>
  <c r="G31" i="7"/>
  <c r="W10" i="7"/>
  <c r="K30" i="7"/>
  <c r="S29" i="7"/>
  <c r="W11" i="7"/>
  <c r="K31" i="7"/>
  <c r="R11" i="7"/>
  <c r="F31" i="7"/>
  <c r="Q10" i="7"/>
  <c r="E30" i="7"/>
  <c r="S10" i="7"/>
  <c r="G30" i="7"/>
  <c r="O11" i="7"/>
  <c r="M11" i="7"/>
  <c r="C31" i="7"/>
  <c r="X10" i="7"/>
  <c r="L30" i="7"/>
  <c r="W29" i="7"/>
  <c r="L29" i="7"/>
  <c r="V11" i="7"/>
  <c r="J31" i="7"/>
  <c r="U11" i="7"/>
  <c r="I31" i="7"/>
  <c r="T11" i="7"/>
  <c r="H31" i="7"/>
  <c r="R10" i="7"/>
  <c r="F30" i="7"/>
  <c r="O10" i="7"/>
  <c r="M10" i="7"/>
  <c r="C30" i="7"/>
  <c r="U10" i="7"/>
  <c r="I30" i="7"/>
  <c r="D29" i="7"/>
  <c r="Y36" i="7"/>
  <c r="AC36" i="7" s="1"/>
  <c r="Y35" i="7" l="1"/>
  <c r="AC35" i="7" s="1"/>
  <c r="Y34" i="7"/>
  <c r="AC34" i="7" s="1"/>
  <c r="Y32" i="7"/>
  <c r="AC32" i="7" s="1"/>
  <c r="M33" i="7"/>
  <c r="AB33" i="7" s="1"/>
  <c r="M29" i="7"/>
  <c r="AB29" i="7" s="1"/>
  <c r="AB13" i="7"/>
  <c r="P33" i="7"/>
  <c r="AH13" i="7"/>
  <c r="V33" i="7"/>
  <c r="AG13" i="7"/>
  <c r="U33" i="7"/>
  <c r="AE13" i="7"/>
  <c r="S33" i="7"/>
  <c r="AC13" i="7"/>
  <c r="Q33" i="7"/>
  <c r="AI13" i="7"/>
  <c r="W33" i="7"/>
  <c r="AD13" i="7"/>
  <c r="R33" i="7"/>
  <c r="Y13" i="7"/>
  <c r="O33" i="7"/>
  <c r="AF13" i="7"/>
  <c r="T33" i="7"/>
  <c r="AJ13" i="7"/>
  <c r="X33" i="7"/>
  <c r="Y10" i="7"/>
  <c r="O30" i="7"/>
  <c r="AJ10" i="7"/>
  <c r="X30" i="7"/>
  <c r="U8" i="7"/>
  <c r="I20" i="7"/>
  <c r="I28" i="7"/>
  <c r="I40" i="7" s="1"/>
  <c r="AJ11" i="7"/>
  <c r="X31" i="7"/>
  <c r="M31" i="7"/>
  <c r="AB31" i="7" s="1"/>
  <c r="O8" i="7"/>
  <c r="C20" i="7"/>
  <c r="M8" i="7"/>
  <c r="M20" i="7" s="1"/>
  <c r="M7" i="7" s="1"/>
  <c r="C28" i="7"/>
  <c r="D20" i="7"/>
  <c r="P8" i="7"/>
  <c r="D28" i="7"/>
  <c r="D40" i="7" s="1"/>
  <c r="T8" i="7"/>
  <c r="H20" i="7"/>
  <c r="H28" i="7"/>
  <c r="H40" i="7" s="1"/>
  <c r="AE10" i="7"/>
  <c r="S30" i="7"/>
  <c r="AD11" i="7"/>
  <c r="R31" i="7"/>
  <c r="AE11" i="7"/>
  <c r="S31" i="7"/>
  <c r="AF10" i="7"/>
  <c r="T30" i="7"/>
  <c r="AF11" i="7"/>
  <c r="T31" i="7"/>
  <c r="M30" i="7"/>
  <c r="AB30" i="7" s="1"/>
  <c r="AD10" i="7"/>
  <c r="R30" i="7"/>
  <c r="AG11" i="7"/>
  <c r="U31" i="7"/>
  <c r="Q8" i="7"/>
  <c r="E20" i="7"/>
  <c r="E28" i="7"/>
  <c r="E40" i="7" s="1"/>
  <c r="R8" i="7"/>
  <c r="F20" i="7"/>
  <c r="F28" i="7"/>
  <c r="F40" i="7" s="1"/>
  <c r="AH10" i="7"/>
  <c r="V30" i="7"/>
  <c r="AB11" i="7"/>
  <c r="P31" i="7"/>
  <c r="AH11" i="7"/>
  <c r="V31" i="7"/>
  <c r="J20" i="7"/>
  <c r="V8" i="7"/>
  <c r="J28" i="7"/>
  <c r="J40" i="7" s="1"/>
  <c r="AB10" i="7"/>
  <c r="P30" i="7"/>
  <c r="AG10" i="7"/>
  <c r="U30" i="7"/>
  <c r="Y11" i="7"/>
  <c r="O31" i="7"/>
  <c r="X8" i="7"/>
  <c r="L20" i="7"/>
  <c r="L28" i="7"/>
  <c r="L40" i="7" s="1"/>
  <c r="S8" i="7"/>
  <c r="G20" i="7"/>
  <c r="G28" i="7"/>
  <c r="G40" i="7" s="1"/>
  <c r="K20" i="7"/>
  <c r="W8" i="7"/>
  <c r="K28" i="7"/>
  <c r="K40" i="7" s="1"/>
  <c r="AC10" i="7"/>
  <c r="Q30" i="7"/>
  <c r="AI11" i="7"/>
  <c r="W31" i="7"/>
  <c r="AI10" i="7"/>
  <c r="W30" i="7"/>
  <c r="Y9" i="7"/>
  <c r="O29" i="7"/>
  <c r="Y29" i="7" s="1"/>
  <c r="AC11" i="7"/>
  <c r="Q31" i="7"/>
  <c r="X25" i="6" l="1"/>
  <c r="P11" i="6" s="1"/>
  <c r="AC29" i="7"/>
  <c r="Y33" i="7"/>
  <c r="AC33" i="7" s="1"/>
  <c r="AJ8" i="7"/>
  <c r="X20" i="7"/>
  <c r="AJ20" i="7" s="1"/>
  <c r="X28" i="7"/>
  <c r="X40" i="7" s="1"/>
  <c r="AE8" i="7"/>
  <c r="S20" i="7"/>
  <c r="AE20" i="7" s="1"/>
  <c r="F20" i="1" s="1"/>
  <c r="S28" i="7"/>
  <c r="S40" i="7" s="1"/>
  <c r="Y30" i="7"/>
  <c r="AC30" i="7" s="1"/>
  <c r="AI8" i="7"/>
  <c r="W20" i="7"/>
  <c r="AI20" i="7" s="1"/>
  <c r="J20" i="1" s="1"/>
  <c r="W28" i="7"/>
  <c r="W40" i="7" s="1"/>
  <c r="Q20" i="7"/>
  <c r="AC20" i="7" s="1"/>
  <c r="D20" i="1" s="1"/>
  <c r="AC8" i="7"/>
  <c r="Q28" i="7"/>
  <c r="Q40" i="7" s="1"/>
  <c r="P20" i="7"/>
  <c r="AB20" i="7" s="1"/>
  <c r="C20" i="1" s="1"/>
  <c r="AB8" i="7"/>
  <c r="P28" i="7"/>
  <c r="P40" i="7" s="1"/>
  <c r="AG8" i="7"/>
  <c r="U20" i="7"/>
  <c r="AG20" i="7" s="1"/>
  <c r="H20" i="1" s="1"/>
  <c r="U28" i="7"/>
  <c r="U40" i="7" s="1"/>
  <c r="AF8" i="7"/>
  <c r="T20" i="7"/>
  <c r="AF20" i="7" s="1"/>
  <c r="G20" i="1" s="1"/>
  <c r="T28" i="7"/>
  <c r="T40" i="7" s="1"/>
  <c r="M28" i="7"/>
  <c r="C40" i="7"/>
  <c r="Y31" i="7"/>
  <c r="AC31" i="7" s="1"/>
  <c r="AH8" i="7"/>
  <c r="V20" i="7"/>
  <c r="AH20" i="7" s="1"/>
  <c r="I20" i="1" s="1"/>
  <c r="V28" i="7"/>
  <c r="V40" i="7" s="1"/>
  <c r="AD8" i="7"/>
  <c r="R20" i="7"/>
  <c r="AD20" i="7" s="1"/>
  <c r="E20" i="1" s="1"/>
  <c r="R28" i="7"/>
  <c r="R40" i="7" s="1"/>
  <c r="O20" i="7"/>
  <c r="AA20" i="7" s="1"/>
  <c r="B20" i="1" s="1"/>
  <c r="Y8" i="7"/>
  <c r="Y20" i="7" s="1"/>
  <c r="O28" i="7"/>
  <c r="AI16" i="6"/>
  <c r="AJ20" i="6" s="1"/>
  <c r="AJ27" i="6" s="1"/>
  <c r="AC16" i="6"/>
  <c r="AD20" i="6" s="1"/>
  <c r="AD25" i="6"/>
  <c r="W11" i="6" s="1"/>
  <c r="W12" i="6" s="1"/>
  <c r="Q11" i="6" l="1"/>
  <c r="Q12" i="6" s="1"/>
  <c r="E10" i="6"/>
  <c r="K20" i="1"/>
  <c r="O40" i="7"/>
  <c r="Y28" i="7"/>
  <c r="AB28" i="7"/>
  <c r="M40" i="7"/>
  <c r="AB40" i="7" s="1"/>
  <c r="AD27" i="6"/>
  <c r="Y40" i="7" l="1"/>
  <c r="E14" i="6" s="1"/>
  <c r="AC28" i="7"/>
  <c r="E23" i="6" l="1"/>
  <c r="F25" i="6" s="1"/>
  <c r="R25" i="6"/>
  <c r="E11" i="6" s="1"/>
  <c r="E12" i="6" s="1"/>
  <c r="E16" i="6" s="1"/>
  <c r="F20" i="6" s="1"/>
  <c r="AC40" i="7"/>
  <c r="W16" i="6"/>
  <c r="Q16" i="6"/>
  <c r="R20" i="6" s="1"/>
  <c r="X20" i="6"/>
  <c r="X27" i="6" s="1"/>
  <c r="X31" i="6" s="1"/>
  <c r="F27" i="6" l="1"/>
  <c r="R27" i="6"/>
</calcChain>
</file>

<file path=xl/sharedStrings.xml><?xml version="1.0" encoding="utf-8"?>
<sst xmlns="http://schemas.openxmlformats.org/spreadsheetml/2006/main" count="342" uniqueCount="129">
  <si>
    <t>Passback Price/ton schedule</t>
  </si>
  <si>
    <t>Natural</t>
  </si>
  <si>
    <t>Colored</t>
  </si>
  <si>
    <t>Mixed</t>
  </si>
  <si>
    <t>Month</t>
  </si>
  <si>
    <t>ONP 6</t>
  </si>
  <si>
    <t>Mixed Paper</t>
  </si>
  <si>
    <t>OCC</t>
  </si>
  <si>
    <t>Alum.</t>
  </si>
  <si>
    <t>Tin</t>
  </si>
  <si>
    <t>Glass</t>
  </si>
  <si>
    <t>PET</t>
  </si>
  <si>
    <t>HDPE</t>
  </si>
  <si>
    <t>Plastics 3-7</t>
  </si>
  <si>
    <t>Average</t>
  </si>
  <si>
    <t>Stream Composition-CRC</t>
  </si>
  <si>
    <t>Total</t>
  </si>
  <si>
    <t>Tons</t>
  </si>
  <si>
    <t>Newspaper</t>
  </si>
  <si>
    <t>Mix Paper</t>
  </si>
  <si>
    <t>Aluminum</t>
  </si>
  <si>
    <t>HDPE Natl</t>
  </si>
  <si>
    <t>HDPE Col</t>
  </si>
  <si>
    <t>#3 - 7</t>
  </si>
  <si>
    <t>Residue</t>
  </si>
  <si>
    <t>Residential</t>
  </si>
  <si>
    <t>Contract Cities:</t>
  </si>
  <si>
    <t>Burlington</t>
  </si>
  <si>
    <t>Darrington</t>
  </si>
  <si>
    <t>Mount Vernon</t>
  </si>
  <si>
    <t>Stanwood</t>
  </si>
  <si>
    <t>Other</t>
  </si>
  <si>
    <t>WUTC:</t>
  </si>
  <si>
    <t>Skagit County</t>
  </si>
  <si>
    <t>Island County</t>
  </si>
  <si>
    <t>Snohomish County</t>
  </si>
  <si>
    <t>Jun</t>
  </si>
  <si>
    <t>Jul</t>
  </si>
  <si>
    <t>Aug</t>
  </si>
  <si>
    <t>Sep</t>
  </si>
  <si>
    <t>Oct</t>
  </si>
  <si>
    <t>Nov</t>
  </si>
  <si>
    <t>Dec</t>
  </si>
  <si>
    <t>Feb</t>
  </si>
  <si>
    <t>Mar</t>
  </si>
  <si>
    <t>Apr</t>
  </si>
  <si>
    <t>Less:</t>
  </si>
  <si>
    <t>CRC</t>
  </si>
  <si>
    <t xml:space="preserve">Res'l </t>
  </si>
  <si>
    <t>Collected</t>
  </si>
  <si>
    <t>Residual</t>
  </si>
  <si>
    <t>Net</t>
  </si>
  <si>
    <t>Rate</t>
  </si>
  <si>
    <t>WM Skagit County</t>
  </si>
  <si>
    <t>Commodity</t>
  </si>
  <si>
    <t>Customers</t>
  </si>
  <si>
    <t>Credit</t>
  </si>
  <si>
    <t>Credits</t>
  </si>
  <si>
    <t>May - June projected value without adjustment factor</t>
  </si>
  <si>
    <t>July - April projected value without adjustment factor</t>
  </si>
  <si>
    <t>Actual Commodity Revenue (adj. to reflect current customers)</t>
  </si>
  <si>
    <t>Owe Customer (company)</t>
  </si>
  <si>
    <t>Total Customers</t>
  </si>
  <si>
    <t>Projected Value</t>
  </si>
  <si>
    <t>Residential Commodity Adjustment</t>
  </si>
  <si>
    <t>Single Stream Tonnage and Revenue</t>
  </si>
  <si>
    <t>Total Single Stream Tonnage Processed</t>
  </si>
  <si>
    <t>Total Single Stream Commodity Revenue</t>
  </si>
  <si>
    <t>WM of Skagit County</t>
  </si>
  <si>
    <t>Cascade Recycling Center</t>
  </si>
  <si>
    <t>Monthly Price per ton of Commodities Sold</t>
  </si>
  <si>
    <t xml:space="preserve">Tonnage Delivered and Processed </t>
  </si>
  <si>
    <t>Waste Management of Skagit County</t>
  </si>
  <si>
    <t xml:space="preserve">% </t>
  </si>
  <si>
    <t>Excluding</t>
  </si>
  <si>
    <t>Average rate per ton</t>
  </si>
  <si>
    <t>Paper</t>
  </si>
  <si>
    <t>Plastics</t>
  </si>
  <si>
    <t>lbs./</t>
  </si>
  <si>
    <t>Customer</t>
  </si>
  <si>
    <t>Anacortes</t>
  </si>
  <si>
    <t>Projected Revenue May 2016-Apr 2017</t>
  </si>
  <si>
    <t>%</t>
  </si>
  <si>
    <t>Reg.</t>
  </si>
  <si>
    <t>Grand Total</t>
  </si>
  <si>
    <t>Tin Cans</t>
  </si>
  <si>
    <t>2017 - 2018 Rebate Calculation</t>
  </si>
  <si>
    <t>Projected Revenue May 2017-Apr 2018</t>
  </si>
  <si>
    <t>Adjust for Under/(Over) payment in 2016-2017</t>
  </si>
  <si>
    <t>2016 - 2017 Rebate Calculation</t>
  </si>
  <si>
    <t>Projected Revenue May 2015-Apr 2016</t>
  </si>
  <si>
    <t>Adjust for Under/(Over) payment in 2015-2016</t>
  </si>
  <si>
    <t>Total Current Customers</t>
  </si>
  <si>
    <t xml:space="preserve">Actual Commodity Revenue </t>
  </si>
  <si>
    <t>2018 - 2019 Rebate Calculation</t>
  </si>
  <si>
    <t>Adjust for Under/(Over) payment in 2017-2018</t>
  </si>
  <si>
    <t xml:space="preserve">Total </t>
  </si>
  <si>
    <t>Total Current Customers (annualized)</t>
  </si>
  <si>
    <t>2019 - 2020 Rebate Calculation</t>
  </si>
  <si>
    <t>Projected Revenue May 2018-Apr 2019</t>
  </si>
  <si>
    <t>Total Current Customers (most recent 6 months)</t>
  </si>
  <si>
    <r>
      <t>Projected Rev. May 2018-Apr 2019</t>
    </r>
    <r>
      <rPr>
        <b/>
        <i/>
        <sz val="11"/>
        <rFont val="Arial"/>
        <family val="2"/>
      </rPr>
      <t>(based on 6 mo. avg. - since "China Sword")</t>
    </r>
  </si>
  <si>
    <t>Adjust for Under/(Over) payment in 2018-2019</t>
  </si>
  <si>
    <t>Projected Rev. May 2019-Apr 2020 (based on most recent 6 mo. avg.)</t>
  </si>
  <si>
    <t>Residential Commodity Adjustment - as calculated</t>
  </si>
  <si>
    <t>Residential Commodity Adjustment - as proposed</t>
  </si>
  <si>
    <t>2020 - 2021 Rebate Calculation</t>
  </si>
  <si>
    <t>WUTC</t>
  </si>
  <si>
    <t>Recycling Customers by Jurisdiction - per Enspire</t>
  </si>
  <si>
    <t>Projected Revenue May 2019-Apr 2020</t>
  </si>
  <si>
    <t>Adjust for Under/(Over) payment in 2019-2020</t>
  </si>
  <si>
    <t>Projected Rev. May 2020-Apr 2021 (based on most recent 6 mo. avg.)</t>
  </si>
  <si>
    <t>Estimated cost of customer notice letters</t>
  </si>
  <si>
    <t>Residential Commodity Adjustment - as including cost of customer notices</t>
  </si>
  <si>
    <t>2021 - 2022 Rebate Calculation</t>
  </si>
  <si>
    <t>Projected Revenue May 2020-Apr 2021</t>
  </si>
  <si>
    <t>Projected Rev. May 2021-Apr 2022 (based on most recent 12 mo. avg.)</t>
  </si>
  <si>
    <t>Total Current Customers (most recent 12 months)</t>
  </si>
  <si>
    <t>Adjust for Under/(Over) payment in 2020-2021</t>
  </si>
  <si>
    <t>Revenue</t>
  </si>
  <si>
    <t>Per ton</t>
  </si>
  <si>
    <t>Residential Recycling Tons Collected - per Enspire</t>
  </si>
  <si>
    <t>2022 - 2023 Rebate Calculation</t>
  </si>
  <si>
    <t>Projected Revenue May 2022-Apr 2022</t>
  </si>
  <si>
    <t>Projected Rev. May 2022-Apr 2023 (based on most recent 12 mo. avg.)</t>
  </si>
  <si>
    <t>2023 - 2024 Rebate Calculation</t>
  </si>
  <si>
    <t>May, 22</t>
  </si>
  <si>
    <t>Jan., '23</t>
  </si>
  <si>
    <t>Adjust for Under/(Over) payment in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</si>
</sst>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&quot;$&quot;#,##0.0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i/>
      <u/>
      <sz val="10"/>
      <name val="Arial"/>
      <family val="2"/>
    </font>
    <font>
      <sz val="11"/>
      <color indexed="8"/>
      <name val="Calibri"/>
      <family val="2"/>
    </font>
    <font>
      <b/>
      <u val="doub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i/>
      <u/>
      <sz val="12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u val="singleAccounting"/>
      <sz val="12"/>
      <name val="Arial"/>
      <family val="2"/>
    </font>
    <font>
      <b/>
      <sz val="20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u/>
      <sz val="10"/>
      <name val="Arial"/>
      <family val="2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 val="singleAccounting"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 val="double"/>
      <sz val="10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u val="singleAccounting"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u val="double"/>
      <sz val="11"/>
      <name val="Calibri"/>
      <family val="2"/>
      <scheme val="minor"/>
    </font>
    <font>
      <b/>
      <i/>
      <u val="double"/>
      <sz val="10"/>
      <name val="Calibri"/>
      <family val="2"/>
      <scheme val="minor"/>
    </font>
    <font>
      <b/>
      <sz val="10"/>
      <color theme="1"/>
      <name val="Arial"/>
      <family val="2"/>
    </font>
    <font>
      <b/>
      <u val="doubleAccounting"/>
      <sz val="10"/>
      <color theme="1"/>
      <name val="Arial"/>
      <family val="2"/>
    </font>
    <font>
      <u/>
      <sz val="11"/>
      <name val="Calibri"/>
      <family val="2"/>
      <scheme val="minor"/>
    </font>
    <font>
      <u/>
      <sz val="10"/>
      <name val="Arial"/>
      <family val="2"/>
    </font>
    <font>
      <b/>
      <i/>
      <sz val="11"/>
      <name val="Arial"/>
      <family val="2"/>
    </font>
    <font>
      <b/>
      <u val="doubleAccounting"/>
      <sz val="12"/>
      <name val="Arial"/>
      <family val="2"/>
    </font>
    <font>
      <b/>
      <sz val="12"/>
      <color theme="1"/>
      <name val="Arial"/>
      <family val="2"/>
    </font>
    <font>
      <b/>
      <u val="singleAccounting"/>
      <sz val="12"/>
      <color theme="1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u val="singleAccounting"/>
      <sz val="9"/>
      <color rgb="FFFF0000"/>
      <name val="Arial"/>
      <family val="2"/>
    </font>
    <font>
      <u val="singleAccounting"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6" fillId="0" borderId="0" applyNumberFormat="0" applyFont="0" applyFill="0" applyBorder="0">
      <alignment horizontal="left" indent="4"/>
      <protection locked="0"/>
    </xf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1">
      <alignment horizontal="center"/>
    </xf>
    <xf numFmtId="3" fontId="7" fillId="0" borderId="0" applyFont="0" applyFill="0" applyBorder="0" applyAlignment="0" applyProtection="0"/>
    <xf numFmtId="0" fontId="7" fillId="2" borderId="0" applyNumberFormat="0" applyFont="0" applyBorder="0" applyAlignment="0" applyProtection="0"/>
    <xf numFmtId="164" fontId="4" fillId="3" borderId="0" applyFont="0" applyFill="0" applyBorder="0" applyAlignment="0" applyProtection="0">
      <alignment wrapText="1"/>
    </xf>
    <xf numFmtId="44" fontId="3" fillId="0" borderId="0" applyFont="0" applyFill="0" applyBorder="0" applyAlignment="0" applyProtection="0"/>
  </cellStyleXfs>
  <cellXfs count="348">
    <xf numFmtId="0" fontId="0" fillId="0" borderId="0" xfId="0"/>
    <xf numFmtId="0" fontId="5" fillId="4" borderId="2" xfId="0" applyFont="1" applyFill="1" applyBorder="1"/>
    <xf numFmtId="0" fontId="0" fillId="4" borderId="2" xfId="0" applyFill="1" applyBorder="1"/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 applyProtection="1">
      <alignment horizontal="center"/>
    </xf>
    <xf numFmtId="0" fontId="2" fillId="0" borderId="0" xfId="0" applyFont="1"/>
    <xf numFmtId="0" fontId="5" fillId="0" borderId="2" xfId="0" applyFont="1" applyBorder="1"/>
    <xf numFmtId="0" fontId="0" fillId="0" borderId="2" xfId="0" applyBorder="1"/>
    <xf numFmtId="17" fontId="5" fillId="0" borderId="2" xfId="0" applyNumberFormat="1" applyFont="1" applyFill="1" applyBorder="1" applyAlignment="1">
      <alignment horizontal="right"/>
    </xf>
    <xf numFmtId="0" fontId="0" fillId="0" borderId="3" xfId="0" applyBorder="1"/>
    <xf numFmtId="0" fontId="0" fillId="0" borderId="6" xfId="0" applyBorder="1"/>
    <xf numFmtId="43" fontId="3" fillId="0" borderId="7" xfId="4" applyFont="1" applyBorder="1" applyAlignment="1">
      <alignment horizontal="right"/>
    </xf>
    <xf numFmtId="0" fontId="5" fillId="0" borderId="11" xfId="0" applyFont="1" applyBorder="1"/>
    <xf numFmtId="0" fontId="0" fillId="0" borderId="0" xfId="0"/>
    <xf numFmtId="0" fontId="5" fillId="0" borderId="0" xfId="0" applyFont="1"/>
    <xf numFmtId="0" fontId="0" fillId="0" borderId="0" xfId="0"/>
    <xf numFmtId="17" fontId="9" fillId="0" borderId="4" xfId="0" applyNumberFormat="1" applyFont="1" applyBorder="1" applyAlignment="1">
      <alignment horizontal="right"/>
    </xf>
    <xf numFmtId="0" fontId="0" fillId="0" borderId="5" xfId="0" applyBorder="1"/>
    <xf numFmtId="0" fontId="9" fillId="0" borderId="7" xfId="0" applyFont="1" applyBorder="1" applyAlignment="1">
      <alignment horizontal="right"/>
    </xf>
    <xf numFmtId="0" fontId="0" fillId="0" borderId="8" xfId="0" applyBorder="1"/>
    <xf numFmtId="0" fontId="0" fillId="0" borderId="0" xfId="0"/>
    <xf numFmtId="0" fontId="12" fillId="0" borderId="0" xfId="0" applyFont="1"/>
    <xf numFmtId="164" fontId="0" fillId="0" borderId="0" xfId="1" applyNumberFormat="1" applyFont="1"/>
    <xf numFmtId="164" fontId="13" fillId="0" borderId="0" xfId="1" applyNumberFormat="1" applyFont="1"/>
    <xf numFmtId="164" fontId="11" fillId="0" borderId="0" xfId="1" applyNumberFormat="1" applyFont="1"/>
    <xf numFmtId="164" fontId="0" fillId="0" borderId="0" xfId="0" applyNumberFormat="1"/>
    <xf numFmtId="0" fontId="12" fillId="0" borderId="0" xfId="0" applyFont="1" applyAlignment="1">
      <alignment horizontal="center"/>
    </xf>
    <xf numFmtId="43" fontId="0" fillId="0" borderId="0" xfId="1" applyFont="1"/>
    <xf numFmtId="43" fontId="0" fillId="0" borderId="0" xfId="0" applyNumberFormat="1"/>
    <xf numFmtId="10" fontId="0" fillId="0" borderId="0" xfId="3" applyNumberFormat="1" applyFont="1"/>
    <xf numFmtId="43" fontId="13" fillId="0" borderId="0" xfId="1" applyFont="1"/>
    <xf numFmtId="43" fontId="13" fillId="0" borderId="0" xfId="0" applyNumberFormat="1" applyFont="1"/>
    <xf numFmtId="43" fontId="11" fillId="0" borderId="0" xfId="0" applyNumberFormat="1" applyFont="1"/>
    <xf numFmtId="10" fontId="11" fillId="0" borderId="0" xfId="3" applyNumberFormat="1" applyFont="1"/>
    <xf numFmtId="0" fontId="24" fillId="0" borderId="0" xfId="0" applyFont="1"/>
    <xf numFmtId="0" fontId="3" fillId="0" borderId="0" xfId="14" applyFill="1" applyProtection="1"/>
    <xf numFmtId="0" fontId="3" fillId="0" borderId="0" xfId="14" applyFont="1" applyFill="1" applyProtection="1"/>
    <xf numFmtId="10" fontId="3" fillId="0" borderId="0" xfId="20" applyNumberFormat="1" applyFont="1" applyFill="1" applyProtection="1"/>
    <xf numFmtId="0" fontId="5" fillId="0" borderId="0" xfId="14" applyFont="1" applyFill="1" applyAlignment="1" applyProtection="1">
      <alignment horizontal="center"/>
    </xf>
    <xf numFmtId="0" fontId="26" fillId="0" borderId="0" xfId="14" applyFont="1" applyFill="1" applyBorder="1" applyAlignment="1" applyProtection="1">
      <alignment horizontal="center"/>
    </xf>
    <xf numFmtId="165" fontId="27" fillId="0" borderId="0" xfId="3" applyNumberFormat="1" applyFont="1"/>
    <xf numFmtId="43" fontId="28" fillId="0" borderId="0" xfId="1" applyFont="1"/>
    <xf numFmtId="44" fontId="0" fillId="0" borderId="0" xfId="2" applyFont="1"/>
    <xf numFmtId="43" fontId="29" fillId="0" borderId="0" xfId="1" applyFont="1"/>
    <xf numFmtId="43" fontId="14" fillId="0" borderId="0" xfId="0" applyNumberFormat="1" applyFont="1"/>
    <xf numFmtId="0" fontId="2" fillId="0" borderId="0" xfId="0" applyFont="1" applyAlignment="1">
      <alignment horizontal="center"/>
    </xf>
    <xf numFmtId="0" fontId="31" fillId="0" borderId="0" xfId="0" applyFont="1"/>
    <xf numFmtId="0" fontId="32" fillId="0" borderId="0" xfId="0" applyFont="1"/>
    <xf numFmtId="164" fontId="32" fillId="0" borderId="0" xfId="1" applyNumberFormat="1" applyFont="1"/>
    <xf numFmtId="165" fontId="3" fillId="0" borderId="8" xfId="20" applyNumberFormat="1" applyFont="1" applyBorder="1" applyAlignment="1">
      <alignment horizontal="right"/>
    </xf>
    <xf numFmtId="43" fontId="5" fillId="0" borderId="9" xfId="4" applyFont="1" applyBorder="1"/>
    <xf numFmtId="9" fontId="5" fillId="0" borderId="10" xfId="0" applyNumberFormat="1" applyFont="1" applyBorder="1"/>
    <xf numFmtId="165" fontId="15" fillId="0" borderId="0" xfId="0" applyNumberFormat="1" applyFont="1"/>
    <xf numFmtId="17" fontId="12" fillId="0" borderId="0" xfId="0" applyNumberFormat="1" applyFont="1" applyAlignment="1">
      <alignment horizontal="center"/>
    </xf>
    <xf numFmtId="164" fontId="15" fillId="0" borderId="0" xfId="1" applyNumberFormat="1" applyFont="1"/>
    <xf numFmtId="165" fontId="33" fillId="0" borderId="0" xfId="3" applyNumberFormat="1" applyFont="1"/>
    <xf numFmtId="164" fontId="13" fillId="0" borderId="0" xfId="0" applyNumberFormat="1" applyFont="1"/>
    <xf numFmtId="164" fontId="11" fillId="0" borderId="0" xfId="1" applyNumberFormat="1" applyFont="1" applyFill="1"/>
    <xf numFmtId="164" fontId="0" fillId="0" borderId="0" xfId="1" applyNumberFormat="1" applyFont="1" applyFill="1"/>
    <xf numFmtId="166" fontId="0" fillId="0" borderId="0" xfId="2" applyNumberFormat="1" applyFont="1"/>
    <xf numFmtId="166" fontId="13" fillId="0" borderId="0" xfId="2" applyNumberFormat="1" applyFont="1"/>
    <xf numFmtId="166" fontId="11" fillId="0" borderId="0" xfId="2" applyNumberFormat="1" applyFont="1"/>
    <xf numFmtId="44" fontId="0" fillId="0" borderId="0" xfId="2" applyNumberFormat="1" applyFont="1"/>
    <xf numFmtId="44" fontId="13" fillId="0" borderId="0" xfId="2" applyNumberFormat="1" applyFont="1"/>
    <xf numFmtId="44" fontId="11" fillId="0" borderId="0" xfId="2" applyNumberFormat="1" applyFont="1"/>
    <xf numFmtId="166" fontId="3" fillId="0" borderId="0" xfId="2" applyNumberFormat="1" applyFont="1" applyFill="1" applyProtection="1"/>
    <xf numFmtId="166" fontId="5" fillId="0" borderId="0" xfId="2" applyNumberFormat="1" applyFont="1" applyFill="1" applyAlignment="1" applyProtection="1">
      <alignment horizontal="center"/>
    </xf>
    <xf numFmtId="166" fontId="26" fillId="0" borderId="0" xfId="2" applyNumberFormat="1" applyFont="1" applyFill="1" applyBorder="1" applyAlignment="1" applyProtection="1">
      <alignment horizontal="center"/>
    </xf>
    <xf numFmtId="166" fontId="12" fillId="0" borderId="0" xfId="2" applyNumberFormat="1" applyFont="1" applyAlignment="1">
      <alignment horizontal="center"/>
    </xf>
    <xf numFmtId="43" fontId="34" fillId="0" borderId="0" xfId="1" applyFont="1"/>
    <xf numFmtId="43" fontId="5" fillId="0" borderId="9" xfId="1" applyFont="1" applyBorder="1"/>
    <xf numFmtId="165" fontId="5" fillId="0" borderId="10" xfId="0" applyNumberFormat="1" applyFont="1" applyBorder="1"/>
    <xf numFmtId="0" fontId="0" fillId="0" borderId="24" xfId="0" applyBorder="1"/>
    <xf numFmtId="0" fontId="35" fillId="0" borderId="0" xfId="0" applyFont="1"/>
    <xf numFmtId="10" fontId="32" fillId="0" borderId="0" xfId="3" applyNumberFormat="1" applyFont="1"/>
    <xf numFmtId="43" fontId="37" fillId="0" borderId="7" xfId="4" applyFont="1" applyBorder="1" applyAlignment="1">
      <alignment horizontal="right"/>
    </xf>
    <xf numFmtId="165" fontId="0" fillId="0" borderId="0" xfId="3" applyNumberFormat="1" applyFont="1"/>
    <xf numFmtId="165" fontId="14" fillId="0" borderId="0" xfId="3" applyNumberFormat="1" applyFont="1"/>
    <xf numFmtId="43" fontId="36" fillId="0" borderId="9" xfId="1" applyFont="1" applyBorder="1" applyProtection="1">
      <protection locked="0"/>
    </xf>
    <xf numFmtId="0" fontId="38" fillId="0" borderId="6" xfId="0" applyFont="1" applyBorder="1"/>
    <xf numFmtId="165" fontId="38" fillId="0" borderId="8" xfId="3" applyNumberFormat="1" applyFont="1" applyBorder="1"/>
    <xf numFmtId="0" fontId="38" fillId="0" borderId="0" xfId="0" applyFont="1"/>
    <xf numFmtId="165" fontId="38" fillId="0" borderId="0" xfId="3" applyNumberFormat="1" applyFont="1"/>
    <xf numFmtId="165" fontId="39" fillId="0" borderId="8" xfId="3" applyNumberFormat="1" applyFont="1" applyBorder="1"/>
    <xf numFmtId="165" fontId="39" fillId="0" borderId="0" xfId="3" applyNumberFormat="1" applyFont="1" applyBorder="1"/>
    <xf numFmtId="44" fontId="0" fillId="0" borderId="0" xfId="0" applyNumberFormat="1"/>
    <xf numFmtId="164" fontId="35" fillId="0" borderId="0" xfId="1" applyNumberFormat="1" applyFont="1"/>
    <xf numFmtId="10" fontId="28" fillId="0" borderId="0" xfId="3" applyNumberFormat="1" applyFont="1"/>
    <xf numFmtId="164" fontId="28" fillId="0" borderId="0" xfId="1" applyNumberFormat="1" applyFont="1"/>
    <xf numFmtId="164" fontId="40" fillId="0" borderId="0" xfId="1" applyNumberFormat="1" applyFont="1"/>
    <xf numFmtId="165" fontId="41" fillId="0" borderId="0" xfId="3" applyNumberFormat="1" applyFont="1"/>
    <xf numFmtId="0" fontId="42" fillId="0" borderId="0" xfId="0" applyFont="1"/>
    <xf numFmtId="44" fontId="43" fillId="0" borderId="0" xfId="0" applyNumberFormat="1" applyFont="1"/>
    <xf numFmtId="10" fontId="44" fillId="0" borderId="0" xfId="3" applyNumberFormat="1" applyFont="1"/>
    <xf numFmtId="165" fontId="45" fillId="0" borderId="8" xfId="20" applyNumberFormat="1" applyFont="1" applyBorder="1" applyAlignment="1">
      <alignment horizontal="right"/>
    </xf>
    <xf numFmtId="165" fontId="2" fillId="0" borderId="0" xfId="3" applyNumberFormat="1" applyFont="1"/>
    <xf numFmtId="165" fontId="15" fillId="0" borderId="0" xfId="3" applyNumberFormat="1" applyFont="1"/>
    <xf numFmtId="165" fontId="0" fillId="0" borderId="8" xfId="3" applyNumberFormat="1" applyFont="1" applyBorder="1"/>
    <xf numFmtId="0" fontId="16" fillId="0" borderId="15" xfId="0" applyFont="1" applyFill="1" applyBorder="1"/>
    <xf numFmtId="0" fontId="4" fillId="0" borderId="16" xfId="0" applyFont="1" applyFill="1" applyBorder="1"/>
    <xf numFmtId="0" fontId="17" fillId="0" borderId="16" xfId="0" applyFont="1" applyFill="1" applyBorder="1"/>
    <xf numFmtId="0" fontId="17" fillId="0" borderId="17" xfId="0" applyFont="1" applyFill="1" applyBorder="1"/>
    <xf numFmtId="0" fontId="18" fillId="0" borderId="18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17" fillId="0" borderId="0" xfId="0" applyFont="1" applyFill="1" applyBorder="1"/>
    <xf numFmtId="0" fontId="17" fillId="0" borderId="19" xfId="0" applyFont="1" applyFill="1" applyBorder="1"/>
    <xf numFmtId="15" fontId="18" fillId="0" borderId="18" xfId="0" applyNumberFormat="1" applyFont="1" applyFill="1" applyBorder="1"/>
    <xf numFmtId="15" fontId="18" fillId="0" borderId="0" xfId="0" applyNumberFormat="1" applyFont="1" applyFill="1" applyBorder="1"/>
    <xf numFmtId="0" fontId="17" fillId="0" borderId="18" xfId="0" applyFont="1" applyFill="1" applyBorder="1"/>
    <xf numFmtId="0" fontId="18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8" fillId="0" borderId="20" xfId="0" applyFont="1" applyFill="1" applyBorder="1"/>
    <xf numFmtId="0" fontId="17" fillId="0" borderId="0" xfId="0" applyFont="1" applyFill="1" applyBorder="1" applyAlignment="1">
      <alignment horizontal="center"/>
    </xf>
    <xf numFmtId="41" fontId="17" fillId="0" borderId="0" xfId="0" applyNumberFormat="1" applyFont="1" applyFill="1" applyBorder="1"/>
    <xf numFmtId="44" fontId="22" fillId="0" borderId="0" xfId="7" applyFont="1" applyFill="1" applyBorder="1"/>
    <xf numFmtId="0" fontId="4" fillId="0" borderId="18" xfId="0" applyFont="1" applyFill="1" applyBorder="1"/>
    <xf numFmtId="0" fontId="4" fillId="0" borderId="0" xfId="0" applyFont="1" applyFill="1" applyBorder="1"/>
    <xf numFmtId="41" fontId="23" fillId="0" borderId="0" xfId="0" applyNumberFormat="1" applyFont="1" applyFill="1" applyBorder="1"/>
    <xf numFmtId="41" fontId="30" fillId="0" borderId="0" xfId="0" applyNumberFormat="1" applyFont="1" applyFill="1" applyBorder="1"/>
    <xf numFmtId="44" fontId="4" fillId="0" borderId="19" xfId="7" applyNumberFormat="1" applyFont="1" applyFill="1" applyBorder="1"/>
    <xf numFmtId="44" fontId="4" fillId="0" borderId="19" xfId="7" applyFont="1" applyFill="1" applyBorder="1"/>
    <xf numFmtId="166" fontId="4" fillId="0" borderId="0" xfId="7" applyNumberFormat="1" applyFont="1" applyFill="1" applyBorder="1"/>
    <xf numFmtId="44" fontId="23" fillId="0" borderId="19" xfId="7" applyNumberFormat="1" applyFont="1" applyFill="1" applyBorder="1"/>
    <xf numFmtId="44" fontId="18" fillId="0" borderId="21" xfId="7" applyNumberFormat="1" applyFont="1" applyFill="1" applyBorder="1"/>
    <xf numFmtId="44" fontId="18" fillId="0" borderId="19" xfId="7" applyNumberFormat="1" applyFont="1" applyFill="1" applyBorder="1"/>
    <xf numFmtId="0" fontId="0" fillId="0" borderId="22" xfId="0" applyFill="1" applyBorder="1"/>
    <xf numFmtId="0" fontId="0" fillId="0" borderId="1" xfId="0" applyFill="1" applyBorder="1"/>
    <xf numFmtId="0" fontId="0" fillId="0" borderId="23" xfId="0" applyFill="1" applyBorder="1"/>
    <xf numFmtId="0" fontId="16" fillId="5" borderId="15" xfId="0" applyFont="1" applyFill="1" applyBorder="1"/>
    <xf numFmtId="0" fontId="4" fillId="5" borderId="16" xfId="0" applyFont="1" applyFill="1" applyBorder="1"/>
    <xf numFmtId="0" fontId="17" fillId="5" borderId="16" xfId="0" applyFont="1" applyFill="1" applyBorder="1"/>
    <xf numFmtId="0" fontId="17" fillId="5" borderId="17" xfId="0" applyFont="1" applyFill="1" applyBorder="1"/>
    <xf numFmtId="0" fontId="18" fillId="5" borderId="18" xfId="0" applyFont="1" applyFill="1" applyBorder="1"/>
    <xf numFmtId="0" fontId="18" fillId="5" borderId="0" xfId="0" applyFont="1" applyFill="1" applyBorder="1"/>
    <xf numFmtId="0" fontId="19" fillId="5" borderId="0" xfId="0" applyFont="1" applyFill="1" applyBorder="1"/>
    <xf numFmtId="0" fontId="17" fillId="5" borderId="0" xfId="0" applyFont="1" applyFill="1" applyBorder="1"/>
    <xf numFmtId="0" fontId="17" fillId="5" borderId="19" xfId="0" applyFont="1" applyFill="1" applyBorder="1"/>
    <xf numFmtId="15" fontId="18" fillId="5" borderId="18" xfId="0" applyNumberFormat="1" applyFont="1" applyFill="1" applyBorder="1"/>
    <xf numFmtId="15" fontId="18" fillId="5" borderId="0" xfId="0" applyNumberFormat="1" applyFont="1" applyFill="1" applyBorder="1"/>
    <xf numFmtId="0" fontId="17" fillId="5" borderId="18" xfId="0" applyFont="1" applyFill="1" applyBorder="1"/>
    <xf numFmtId="0" fontId="18" fillId="5" borderId="0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0" fontId="18" fillId="5" borderId="20" xfId="0" applyFont="1" applyFill="1" applyBorder="1"/>
    <xf numFmtId="0" fontId="17" fillId="5" borderId="0" xfId="0" applyFont="1" applyFill="1" applyBorder="1" applyAlignment="1">
      <alignment horizontal="center"/>
    </xf>
    <xf numFmtId="41" fontId="17" fillId="5" borderId="0" xfId="0" applyNumberFormat="1" applyFont="1" applyFill="1" applyBorder="1"/>
    <xf numFmtId="44" fontId="22" fillId="5" borderId="0" xfId="7" applyFont="1" applyFill="1" applyBorder="1"/>
    <xf numFmtId="0" fontId="4" fillId="5" borderId="18" xfId="0" applyFont="1" applyFill="1" applyBorder="1"/>
    <xf numFmtId="0" fontId="4" fillId="5" borderId="0" xfId="0" applyFont="1" applyFill="1" applyBorder="1"/>
    <xf numFmtId="41" fontId="23" fillId="5" borderId="0" xfId="0" applyNumberFormat="1" applyFont="1" applyFill="1" applyBorder="1"/>
    <xf numFmtId="44" fontId="4" fillId="5" borderId="19" xfId="7" applyNumberFormat="1" applyFont="1" applyFill="1" applyBorder="1"/>
    <xf numFmtId="44" fontId="4" fillId="5" borderId="19" xfId="7" applyFont="1" applyFill="1" applyBorder="1"/>
    <xf numFmtId="166" fontId="4" fillId="5" borderId="0" xfId="7" applyNumberFormat="1" applyFont="1" applyFill="1" applyBorder="1"/>
    <xf numFmtId="44" fontId="23" fillId="5" borderId="19" xfId="7" applyNumberFormat="1" applyFont="1" applyFill="1" applyBorder="1"/>
    <xf numFmtId="44" fontId="18" fillId="5" borderId="21" xfId="7" applyNumberFormat="1" applyFont="1" applyFill="1" applyBorder="1"/>
    <xf numFmtId="44" fontId="18" fillId="5" borderId="19" xfId="7" applyNumberFormat="1" applyFont="1" applyFill="1" applyBorder="1"/>
    <xf numFmtId="0" fontId="0" fillId="5" borderId="22" xfId="0" applyFill="1" applyBorder="1"/>
    <xf numFmtId="0" fontId="0" fillId="5" borderId="1" xfId="0" applyFill="1" applyBorder="1"/>
    <xf numFmtId="0" fontId="0" fillId="5" borderId="23" xfId="0" applyFill="1" applyBorder="1"/>
    <xf numFmtId="0" fontId="16" fillId="6" borderId="15" xfId="0" applyFont="1" applyFill="1" applyBorder="1"/>
    <xf numFmtId="0" fontId="4" fillId="6" borderId="16" xfId="0" applyFont="1" applyFill="1" applyBorder="1"/>
    <xf numFmtId="0" fontId="17" fillId="6" borderId="16" xfId="0" applyFont="1" applyFill="1" applyBorder="1"/>
    <xf numFmtId="0" fontId="17" fillId="6" borderId="17" xfId="0" applyFont="1" applyFill="1" applyBorder="1"/>
    <xf numFmtId="0" fontId="18" fillId="6" borderId="18" xfId="0" applyFont="1" applyFill="1" applyBorder="1"/>
    <xf numFmtId="0" fontId="18" fillId="6" borderId="0" xfId="0" applyFont="1" applyFill="1" applyBorder="1"/>
    <xf numFmtId="0" fontId="19" fillId="6" borderId="0" xfId="0" applyFont="1" applyFill="1" applyBorder="1"/>
    <xf numFmtId="0" fontId="17" fillId="6" borderId="0" xfId="0" applyFont="1" applyFill="1" applyBorder="1"/>
    <xf numFmtId="0" fontId="17" fillId="6" borderId="19" xfId="0" applyFont="1" applyFill="1" applyBorder="1"/>
    <xf numFmtId="15" fontId="18" fillId="6" borderId="18" xfId="0" applyNumberFormat="1" applyFont="1" applyFill="1" applyBorder="1"/>
    <xf numFmtId="15" fontId="18" fillId="6" borderId="0" xfId="0" applyNumberFormat="1" applyFont="1" applyFill="1" applyBorder="1"/>
    <xf numFmtId="0" fontId="17" fillId="6" borderId="18" xfId="0" applyFont="1" applyFill="1" applyBorder="1"/>
    <xf numFmtId="0" fontId="18" fillId="6" borderId="0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18" fillId="6" borderId="20" xfId="0" applyFont="1" applyFill="1" applyBorder="1"/>
    <xf numFmtId="0" fontId="17" fillId="6" borderId="0" xfId="0" applyFont="1" applyFill="1" applyBorder="1" applyAlignment="1">
      <alignment horizontal="center"/>
    </xf>
    <xf numFmtId="41" fontId="17" fillId="6" borderId="0" xfId="0" applyNumberFormat="1" applyFont="1" applyFill="1" applyBorder="1"/>
    <xf numFmtId="44" fontId="22" fillId="6" borderId="0" xfId="7" applyFont="1" applyFill="1" applyBorder="1"/>
    <xf numFmtId="0" fontId="4" fillId="6" borderId="18" xfId="0" applyFont="1" applyFill="1" applyBorder="1"/>
    <xf numFmtId="0" fontId="4" fillId="6" borderId="0" xfId="0" applyFont="1" applyFill="1" applyBorder="1"/>
    <xf numFmtId="41" fontId="23" fillId="6" borderId="0" xfId="0" applyNumberFormat="1" applyFont="1" applyFill="1" applyBorder="1"/>
    <xf numFmtId="44" fontId="4" fillId="6" borderId="19" xfId="7" applyNumberFormat="1" applyFont="1" applyFill="1" applyBorder="1"/>
    <xf numFmtId="44" fontId="4" fillId="6" borderId="19" xfId="7" applyFont="1" applyFill="1" applyBorder="1"/>
    <xf numFmtId="166" fontId="4" fillId="6" borderId="0" xfId="7" applyNumberFormat="1" applyFont="1" applyFill="1" applyBorder="1"/>
    <xf numFmtId="44" fontId="23" fillId="6" borderId="19" xfId="7" applyNumberFormat="1" applyFont="1" applyFill="1" applyBorder="1"/>
    <xf numFmtId="44" fontId="18" fillId="6" borderId="21" xfId="7" applyNumberFormat="1" applyFont="1" applyFill="1" applyBorder="1"/>
    <xf numFmtId="44" fontId="18" fillId="6" borderId="19" xfId="7" applyNumberFormat="1" applyFont="1" applyFill="1" applyBorder="1"/>
    <xf numFmtId="0" fontId="0" fillId="6" borderId="22" xfId="0" applyFill="1" applyBorder="1"/>
    <xf numFmtId="0" fontId="0" fillId="6" borderId="1" xfId="0" applyFill="1" applyBorder="1"/>
    <xf numFmtId="0" fontId="0" fillId="6" borderId="23" xfId="0" applyFill="1" applyBorder="1"/>
    <xf numFmtId="0" fontId="16" fillId="7" borderId="15" xfId="0" applyFont="1" applyFill="1" applyBorder="1"/>
    <xf numFmtId="0" fontId="4" fillId="7" borderId="16" xfId="0" applyFont="1" applyFill="1" applyBorder="1"/>
    <xf numFmtId="0" fontId="17" fillId="7" borderId="16" xfId="0" applyFont="1" applyFill="1" applyBorder="1"/>
    <xf numFmtId="0" fontId="17" fillId="7" borderId="17" xfId="0" applyFont="1" applyFill="1" applyBorder="1"/>
    <xf numFmtId="0" fontId="18" fillId="7" borderId="18" xfId="0" applyFont="1" applyFill="1" applyBorder="1"/>
    <xf numFmtId="0" fontId="18" fillId="7" borderId="0" xfId="0" applyFont="1" applyFill="1" applyBorder="1"/>
    <xf numFmtId="0" fontId="19" fillId="7" borderId="0" xfId="0" applyFont="1" applyFill="1" applyBorder="1"/>
    <xf numFmtId="0" fontId="17" fillId="7" borderId="0" xfId="0" applyFont="1" applyFill="1" applyBorder="1"/>
    <xf numFmtId="0" fontId="17" fillId="7" borderId="19" xfId="0" applyFont="1" applyFill="1" applyBorder="1"/>
    <xf numFmtId="15" fontId="18" fillId="7" borderId="18" xfId="0" applyNumberFormat="1" applyFont="1" applyFill="1" applyBorder="1"/>
    <xf numFmtId="15" fontId="18" fillId="7" borderId="0" xfId="0" applyNumberFormat="1" applyFont="1" applyFill="1" applyBorder="1"/>
    <xf numFmtId="0" fontId="17" fillId="7" borderId="18" xfId="0" applyFont="1" applyFill="1" applyBorder="1"/>
    <xf numFmtId="0" fontId="18" fillId="7" borderId="0" xfId="0" applyFont="1" applyFill="1" applyBorder="1" applyAlignment="1">
      <alignment horizontal="center"/>
    </xf>
    <xf numFmtId="0" fontId="21" fillId="7" borderId="0" xfId="0" applyFont="1" applyFill="1" applyBorder="1" applyAlignment="1">
      <alignment horizontal="center"/>
    </xf>
    <xf numFmtId="0" fontId="18" fillId="7" borderId="20" xfId="0" applyFont="1" applyFill="1" applyBorder="1"/>
    <xf numFmtId="0" fontId="17" fillId="7" borderId="0" xfId="0" applyFont="1" applyFill="1" applyBorder="1" applyAlignment="1">
      <alignment horizontal="center"/>
    </xf>
    <xf numFmtId="41" fontId="17" fillId="7" borderId="0" xfId="0" applyNumberFormat="1" applyFont="1" applyFill="1" applyBorder="1"/>
    <xf numFmtId="44" fontId="22" fillId="7" borderId="0" xfId="7" applyFont="1" applyFill="1" applyBorder="1"/>
    <xf numFmtId="0" fontId="4" fillId="7" borderId="18" xfId="0" applyFont="1" applyFill="1" applyBorder="1"/>
    <xf numFmtId="0" fontId="4" fillId="7" borderId="0" xfId="0" applyFont="1" applyFill="1" applyBorder="1"/>
    <xf numFmtId="41" fontId="23" fillId="7" borderId="0" xfId="0" applyNumberFormat="1" applyFont="1" applyFill="1" applyBorder="1"/>
    <xf numFmtId="44" fontId="4" fillId="7" borderId="19" xfId="7" applyNumberFormat="1" applyFont="1" applyFill="1" applyBorder="1"/>
    <xf numFmtId="44" fontId="4" fillId="7" borderId="19" xfId="7" applyFont="1" applyFill="1" applyBorder="1"/>
    <xf numFmtId="166" fontId="4" fillId="7" borderId="0" xfId="7" applyNumberFormat="1" applyFont="1" applyFill="1" applyBorder="1"/>
    <xf numFmtId="44" fontId="23" fillId="7" borderId="19" xfId="7" applyNumberFormat="1" applyFont="1" applyFill="1" applyBorder="1"/>
    <xf numFmtId="44" fontId="18" fillId="7" borderId="21" xfId="7" applyNumberFormat="1" applyFont="1" applyFill="1" applyBorder="1"/>
    <xf numFmtId="44" fontId="18" fillId="7" borderId="19" xfId="7" applyNumberFormat="1" applyFont="1" applyFill="1" applyBorder="1"/>
    <xf numFmtId="0" fontId="0" fillId="7" borderId="22" xfId="0" applyFill="1" applyBorder="1"/>
    <xf numFmtId="0" fontId="0" fillId="7" borderId="1" xfId="0" applyFill="1" applyBorder="1"/>
    <xf numFmtId="0" fontId="0" fillId="7" borderId="23" xfId="0" applyFill="1" applyBorder="1"/>
    <xf numFmtId="167" fontId="18" fillId="7" borderId="21" xfId="7" applyNumberFormat="1" applyFont="1" applyFill="1" applyBorder="1"/>
    <xf numFmtId="43" fontId="0" fillId="0" borderId="0" xfId="1" applyFont="1" applyAlignment="1">
      <alignment horizontal="center"/>
    </xf>
    <xf numFmtId="166" fontId="48" fillId="7" borderId="0" xfId="2" applyNumberFormat="1" applyFont="1" applyFill="1" applyBorder="1"/>
    <xf numFmtId="167" fontId="18" fillId="7" borderId="19" xfId="7" applyNumberFormat="1" applyFont="1" applyFill="1" applyBorder="1"/>
    <xf numFmtId="44" fontId="47" fillId="7" borderId="19" xfId="7" applyNumberFormat="1" applyFont="1" applyFill="1" applyBorder="1"/>
    <xf numFmtId="44" fontId="48" fillId="7" borderId="0" xfId="2" applyFont="1" applyFill="1" applyBorder="1"/>
    <xf numFmtId="44" fontId="49" fillId="7" borderId="0" xfId="2" applyFont="1" applyFill="1" applyBorder="1"/>
    <xf numFmtId="44" fontId="18" fillId="7" borderId="0" xfId="7" applyNumberFormat="1" applyFont="1" applyFill="1" applyBorder="1"/>
    <xf numFmtId="9" fontId="0" fillId="0" borderId="0" xfId="3" applyFont="1"/>
    <xf numFmtId="10" fontId="0" fillId="0" borderId="0" xfId="0" applyNumberFormat="1"/>
    <xf numFmtId="165" fontId="13" fillId="0" borderId="8" xfId="3" applyNumberFormat="1" applyFont="1" applyBorder="1"/>
    <xf numFmtId="0" fontId="13" fillId="0" borderId="0" xfId="0" applyFont="1"/>
    <xf numFmtId="43" fontId="50" fillId="0" borderId="0" xfId="1" applyFont="1" applyBorder="1" applyAlignment="1" applyProtection="1">
      <alignment horizontal="right"/>
      <protection locked="0"/>
    </xf>
    <xf numFmtId="44" fontId="13" fillId="0" borderId="0" xfId="2" applyFont="1"/>
    <xf numFmtId="44" fontId="11" fillId="0" borderId="0" xfId="2" applyFont="1"/>
    <xf numFmtId="0" fontId="16" fillId="8" borderId="15" xfId="0" applyFont="1" applyFill="1" applyBorder="1"/>
    <xf numFmtId="0" fontId="4" fillId="8" borderId="16" xfId="0" applyFont="1" applyFill="1" applyBorder="1"/>
    <xf numFmtId="0" fontId="17" fillId="8" borderId="16" xfId="0" applyFont="1" applyFill="1" applyBorder="1"/>
    <xf numFmtId="0" fontId="17" fillId="8" borderId="17" xfId="0" applyFont="1" applyFill="1" applyBorder="1"/>
    <xf numFmtId="0" fontId="18" fillId="8" borderId="18" xfId="0" applyFont="1" applyFill="1" applyBorder="1"/>
    <xf numFmtId="0" fontId="18" fillId="8" borderId="0" xfId="0" applyFont="1" applyFill="1" applyBorder="1"/>
    <xf numFmtId="0" fontId="19" fillId="8" borderId="0" xfId="0" applyFont="1" applyFill="1" applyBorder="1"/>
    <xf numFmtId="0" fontId="17" fillId="8" borderId="0" xfId="0" applyFont="1" applyFill="1" applyBorder="1"/>
    <xf numFmtId="0" fontId="17" fillId="8" borderId="19" xfId="0" applyFont="1" applyFill="1" applyBorder="1"/>
    <xf numFmtId="15" fontId="18" fillId="8" borderId="18" xfId="0" applyNumberFormat="1" applyFont="1" applyFill="1" applyBorder="1"/>
    <xf numFmtId="15" fontId="18" fillId="8" borderId="0" xfId="0" applyNumberFormat="1" applyFont="1" applyFill="1" applyBorder="1"/>
    <xf numFmtId="0" fontId="17" fillId="8" borderId="18" xfId="0" applyFont="1" applyFill="1" applyBorder="1"/>
    <xf numFmtId="0" fontId="18" fillId="8" borderId="0" xfId="0" applyFont="1" applyFill="1" applyBorder="1" applyAlignment="1">
      <alignment horizontal="center"/>
    </xf>
    <xf numFmtId="0" fontId="21" fillId="8" borderId="0" xfId="0" applyFont="1" applyFill="1" applyBorder="1" applyAlignment="1">
      <alignment horizontal="center"/>
    </xf>
    <xf numFmtId="0" fontId="18" fillId="8" borderId="20" xfId="0" applyFont="1" applyFill="1" applyBorder="1"/>
    <xf numFmtId="0" fontId="17" fillId="8" borderId="0" xfId="0" applyFont="1" applyFill="1" applyBorder="1" applyAlignment="1">
      <alignment horizontal="center"/>
    </xf>
    <xf numFmtId="41" fontId="17" fillId="8" borderId="0" xfId="0" applyNumberFormat="1" applyFont="1" applyFill="1" applyBorder="1"/>
    <xf numFmtId="44" fontId="22" fillId="8" borderId="0" xfId="7" applyFont="1" applyFill="1" applyBorder="1"/>
    <xf numFmtId="0" fontId="4" fillId="8" borderId="18" xfId="0" applyFont="1" applyFill="1" applyBorder="1"/>
    <xf numFmtId="0" fontId="4" fillId="8" borderId="0" xfId="0" applyFont="1" applyFill="1" applyBorder="1"/>
    <xf numFmtId="41" fontId="23" fillId="8" borderId="0" xfId="0" applyNumberFormat="1" applyFont="1" applyFill="1" applyBorder="1"/>
    <xf numFmtId="44" fontId="4" fillId="8" borderId="19" xfId="7" applyNumberFormat="1" applyFont="1" applyFill="1" applyBorder="1"/>
    <xf numFmtId="44" fontId="4" fillId="8" borderId="19" xfId="7" applyFont="1" applyFill="1" applyBorder="1"/>
    <xf numFmtId="166" fontId="4" fillId="8" borderId="0" xfId="7" applyNumberFormat="1" applyFont="1" applyFill="1" applyBorder="1"/>
    <xf numFmtId="44" fontId="23" fillId="8" borderId="19" xfId="7" applyNumberFormat="1" applyFont="1" applyFill="1" applyBorder="1"/>
    <xf numFmtId="44" fontId="18" fillId="8" borderId="19" xfId="7" applyNumberFormat="1" applyFont="1" applyFill="1" applyBorder="1"/>
    <xf numFmtId="44" fontId="48" fillId="8" borderId="0" xfId="2" applyFont="1" applyFill="1" applyBorder="1"/>
    <xf numFmtId="44" fontId="49" fillId="8" borderId="0" xfId="2" applyFont="1" applyFill="1" applyBorder="1"/>
    <xf numFmtId="166" fontId="48" fillId="8" borderId="0" xfId="2" applyNumberFormat="1" applyFont="1" applyFill="1" applyBorder="1"/>
    <xf numFmtId="44" fontId="47" fillId="8" borderId="19" xfId="7" applyNumberFormat="1" applyFont="1" applyFill="1" applyBorder="1"/>
    <xf numFmtId="0" fontId="0" fillId="8" borderId="22" xfId="0" applyFill="1" applyBorder="1"/>
    <xf numFmtId="0" fontId="0" fillId="8" borderId="1" xfId="0" applyFill="1" applyBorder="1"/>
    <xf numFmtId="0" fontId="0" fillId="8" borderId="23" xfId="0" applyFill="1" applyBorder="1"/>
    <xf numFmtId="41" fontId="30" fillId="8" borderId="0" xfId="0" applyNumberFormat="1" applyFont="1" applyFill="1" applyBorder="1"/>
    <xf numFmtId="44" fontId="47" fillId="8" borderId="0" xfId="7" applyNumberFormat="1" applyFont="1" applyFill="1" applyBorder="1"/>
    <xf numFmtId="0" fontId="28" fillId="0" borderId="0" xfId="0" applyFont="1"/>
    <xf numFmtId="0" fontId="16" fillId="9" borderId="15" xfId="0" applyFont="1" applyFill="1" applyBorder="1"/>
    <xf numFmtId="0" fontId="4" fillId="9" borderId="16" xfId="0" applyFont="1" applyFill="1" applyBorder="1"/>
    <xf numFmtId="0" fontId="17" fillId="9" borderId="16" xfId="0" applyFont="1" applyFill="1" applyBorder="1"/>
    <xf numFmtId="0" fontId="17" fillId="9" borderId="17" xfId="0" applyFont="1" applyFill="1" applyBorder="1"/>
    <xf numFmtId="0" fontId="18" fillId="9" borderId="18" xfId="0" applyFont="1" applyFill="1" applyBorder="1"/>
    <xf numFmtId="0" fontId="18" fillId="9" borderId="0" xfId="0" applyFont="1" applyFill="1" applyBorder="1"/>
    <xf numFmtId="0" fontId="19" fillId="9" borderId="0" xfId="0" applyFont="1" applyFill="1" applyBorder="1"/>
    <xf numFmtId="0" fontId="17" fillId="9" borderId="0" xfId="0" applyFont="1" applyFill="1" applyBorder="1"/>
    <xf numFmtId="0" fontId="17" fillId="9" borderId="19" xfId="0" applyFont="1" applyFill="1" applyBorder="1"/>
    <xf numFmtId="15" fontId="18" fillId="9" borderId="18" xfId="0" applyNumberFormat="1" applyFont="1" applyFill="1" applyBorder="1"/>
    <xf numFmtId="15" fontId="18" fillId="9" borderId="0" xfId="0" applyNumberFormat="1" applyFont="1" applyFill="1" applyBorder="1"/>
    <xf numFmtId="0" fontId="17" fillId="9" borderId="18" xfId="0" applyFont="1" applyFill="1" applyBorder="1"/>
    <xf numFmtId="0" fontId="18" fillId="9" borderId="0" xfId="0" applyFont="1" applyFill="1" applyBorder="1" applyAlignment="1">
      <alignment horizontal="center"/>
    </xf>
    <xf numFmtId="0" fontId="21" fillId="9" borderId="0" xfId="0" applyFont="1" applyFill="1" applyBorder="1" applyAlignment="1">
      <alignment horizontal="center"/>
    </xf>
    <xf numFmtId="0" fontId="18" fillId="9" borderId="20" xfId="0" applyFont="1" applyFill="1" applyBorder="1"/>
    <xf numFmtId="0" fontId="17" fillId="9" borderId="0" xfId="0" applyFont="1" applyFill="1" applyBorder="1" applyAlignment="1">
      <alignment horizontal="center"/>
    </xf>
    <xf numFmtId="41" fontId="17" fillId="9" borderId="0" xfId="0" applyNumberFormat="1" applyFont="1" applyFill="1" applyBorder="1"/>
    <xf numFmtId="44" fontId="22" fillId="9" borderId="0" xfId="7" applyFont="1" applyFill="1" applyBorder="1"/>
    <xf numFmtId="0" fontId="4" fillId="9" borderId="18" xfId="0" applyFont="1" applyFill="1" applyBorder="1"/>
    <xf numFmtId="0" fontId="4" fillId="9" borderId="0" xfId="0" applyFont="1" applyFill="1" applyBorder="1"/>
    <xf numFmtId="41" fontId="23" fillId="9" borderId="0" xfId="0" applyNumberFormat="1" applyFont="1" applyFill="1" applyBorder="1"/>
    <xf numFmtId="44" fontId="4" fillId="9" borderId="19" xfId="7" applyNumberFormat="1" applyFont="1" applyFill="1" applyBorder="1"/>
    <xf numFmtId="44" fontId="4" fillId="9" borderId="19" xfId="7" applyFont="1" applyFill="1" applyBorder="1"/>
    <xf numFmtId="166" fontId="4" fillId="9" borderId="0" xfId="7" applyNumberFormat="1" applyFont="1" applyFill="1" applyBorder="1"/>
    <xf numFmtId="41" fontId="30" fillId="9" borderId="0" xfId="0" applyNumberFormat="1" applyFont="1" applyFill="1" applyBorder="1"/>
    <xf numFmtId="44" fontId="23" fillId="9" borderId="19" xfId="7" applyNumberFormat="1" applyFont="1" applyFill="1" applyBorder="1"/>
    <xf numFmtId="44" fontId="47" fillId="9" borderId="0" xfId="7" applyNumberFormat="1" applyFont="1" applyFill="1" applyBorder="1"/>
    <xf numFmtId="44" fontId="18" fillId="9" borderId="19" xfId="7" applyNumberFormat="1" applyFont="1" applyFill="1" applyBorder="1"/>
    <xf numFmtId="44" fontId="48" fillId="9" borderId="0" xfId="2" applyFont="1" applyFill="1" applyBorder="1"/>
    <xf numFmtId="44" fontId="49" fillId="9" borderId="0" xfId="2" applyFont="1" applyFill="1" applyBorder="1"/>
    <xf numFmtId="166" fontId="48" fillId="9" borderId="0" xfId="2" applyNumberFormat="1" applyFont="1" applyFill="1" applyBorder="1"/>
    <xf numFmtId="44" fontId="47" fillId="9" borderId="19" xfId="7" applyNumberFormat="1" applyFont="1" applyFill="1" applyBorder="1"/>
    <xf numFmtId="0" fontId="0" fillId="9" borderId="22" xfId="0" applyFill="1" applyBorder="1"/>
    <xf numFmtId="0" fontId="0" fillId="9" borderId="1" xfId="0" applyFill="1" applyBorder="1"/>
    <xf numFmtId="0" fontId="0" fillId="9" borderId="23" xfId="0" applyFill="1" applyBorder="1"/>
    <xf numFmtId="43" fontId="12" fillId="0" borderId="0" xfId="0" applyNumberFormat="1" applyFont="1" applyAlignment="1">
      <alignment horizontal="center"/>
    </xf>
    <xf numFmtId="44" fontId="51" fillId="0" borderId="2" xfId="7" applyFont="1" applyFill="1" applyBorder="1" applyProtection="1">
      <protection locked="0"/>
    </xf>
    <xf numFmtId="44" fontId="51" fillId="0" borderId="12" xfId="7" applyFont="1" applyFill="1" applyBorder="1" applyProtection="1">
      <protection locked="0"/>
    </xf>
    <xf numFmtId="44" fontId="51" fillId="0" borderId="2" xfId="2" applyFont="1" applyBorder="1" applyProtection="1">
      <protection locked="0"/>
    </xf>
    <xf numFmtId="44" fontId="51" fillId="0" borderId="2" xfId="2" applyFont="1" applyFill="1" applyBorder="1" applyProtection="1">
      <protection locked="0"/>
    </xf>
    <xf numFmtId="43" fontId="35" fillId="0" borderId="0" xfId="1" applyFont="1"/>
    <xf numFmtId="43" fontId="52" fillId="0" borderId="0" xfId="1" applyFont="1" applyBorder="1" applyAlignment="1" applyProtection="1">
      <alignment horizontal="right"/>
      <protection locked="0"/>
    </xf>
    <xf numFmtId="43" fontId="50" fillId="0" borderId="0" xfId="1" applyFont="1" applyFill="1" applyBorder="1" applyAlignment="1" applyProtection="1">
      <alignment horizontal="right"/>
      <protection locked="0"/>
    </xf>
    <xf numFmtId="43" fontId="52" fillId="0" borderId="0" xfId="1" applyFont="1" applyFill="1" applyBorder="1" applyAlignment="1" applyProtection="1">
      <alignment horizontal="right"/>
      <protection locked="0"/>
    </xf>
    <xf numFmtId="43" fontId="50" fillId="0" borderId="0" xfId="1" applyFont="1" applyBorder="1" applyProtection="1">
      <protection locked="0"/>
    </xf>
    <xf numFmtId="43" fontId="52" fillId="0" borderId="0" xfId="1" applyFont="1" applyBorder="1" applyProtection="1">
      <protection locked="0"/>
    </xf>
    <xf numFmtId="164" fontId="53" fillId="0" borderId="0" xfId="1" applyNumberFormat="1" applyFont="1"/>
    <xf numFmtId="43" fontId="53" fillId="0" borderId="0" xfId="1" applyFont="1"/>
    <xf numFmtId="43" fontId="33" fillId="0" borderId="0" xfId="1" applyFont="1"/>
    <xf numFmtId="41" fontId="30" fillId="5" borderId="0" xfId="0" applyNumberFormat="1" applyFont="1" applyFill="1" applyBorder="1"/>
    <xf numFmtId="44" fontId="47" fillId="5" borderId="0" xfId="7" applyNumberFormat="1" applyFont="1" applyFill="1" applyBorder="1"/>
    <xf numFmtId="44" fontId="48" fillId="5" borderId="0" xfId="2" applyFont="1" applyFill="1" applyBorder="1"/>
    <xf numFmtId="44" fontId="49" fillId="5" borderId="0" xfId="2" applyFont="1" applyFill="1" applyBorder="1"/>
    <xf numFmtId="166" fontId="48" fillId="5" borderId="0" xfId="2" applyNumberFormat="1" applyFont="1" applyFill="1" applyBorder="1"/>
    <xf numFmtId="44" fontId="47" fillId="5" borderId="19" xfId="7" applyNumberFormat="1" applyFont="1" applyFill="1" applyBorder="1"/>
    <xf numFmtId="0" fontId="20" fillId="5" borderId="18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20" fillId="5" borderId="19" xfId="0" applyFont="1" applyFill="1" applyBorder="1" applyAlignment="1">
      <alignment horizontal="center"/>
    </xf>
    <xf numFmtId="0" fontId="20" fillId="8" borderId="18" xfId="0" applyFont="1" applyFill="1" applyBorder="1" applyAlignment="1">
      <alignment horizontal="center"/>
    </xf>
    <xf numFmtId="0" fontId="20" fillId="8" borderId="0" xfId="0" applyFont="1" applyFill="1" applyBorder="1" applyAlignment="1">
      <alignment horizontal="center"/>
    </xf>
    <xf numFmtId="0" fontId="20" fillId="8" borderId="19" xfId="0" applyFont="1" applyFill="1" applyBorder="1" applyAlignment="1">
      <alignment horizontal="center"/>
    </xf>
    <xf numFmtId="0" fontId="20" fillId="6" borderId="18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19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20" fillId="7" borderId="18" xfId="0" applyFont="1" applyFill="1" applyBorder="1" applyAlignment="1">
      <alignment horizontal="center"/>
    </xf>
    <xf numFmtId="0" fontId="20" fillId="7" borderId="0" xfId="0" applyFont="1" applyFill="1" applyBorder="1" applyAlignment="1">
      <alignment horizontal="center"/>
    </xf>
    <xf numFmtId="0" fontId="20" fillId="7" borderId="19" xfId="0" applyFont="1" applyFill="1" applyBorder="1" applyAlignment="1">
      <alignment horizontal="center"/>
    </xf>
    <xf numFmtId="0" fontId="20" fillId="9" borderId="18" xfId="0" applyFont="1" applyFill="1" applyBorder="1" applyAlignment="1">
      <alignment horizontal="center"/>
    </xf>
    <xf numFmtId="0" fontId="20" fillId="9" borderId="0" xfId="0" applyFont="1" applyFill="1" applyBorder="1" applyAlignment="1">
      <alignment horizontal="center"/>
    </xf>
    <xf numFmtId="0" fontId="20" fillId="9" borderId="19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166" fontId="25" fillId="0" borderId="0" xfId="2" applyNumberFormat="1" applyFont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</cellXfs>
  <cellStyles count="35">
    <cellStyle name="Comma" xfId="1" builtinId="3"/>
    <cellStyle name="Comma 2" xfId="4" xr:uid="{00000000-0005-0000-0000-000001000000}"/>
    <cellStyle name="Comma 2 2" xfId="5" xr:uid="{00000000-0005-0000-0000-000002000000}"/>
    <cellStyle name="Comma 3" xfId="6" xr:uid="{00000000-0005-0000-0000-000003000000}"/>
    <cellStyle name="Currency" xfId="2" builtinId="4"/>
    <cellStyle name="Currency 2" xfId="7" xr:uid="{00000000-0005-0000-0000-000005000000}"/>
    <cellStyle name="Currency 2 2" xfId="8" xr:uid="{00000000-0005-0000-0000-000006000000}"/>
    <cellStyle name="Currency 3" xfId="9" xr:uid="{00000000-0005-0000-0000-000007000000}"/>
    <cellStyle name="Currency 4" xfId="10" xr:uid="{00000000-0005-0000-0000-000008000000}"/>
    <cellStyle name="Currency 4 2" xfId="11" xr:uid="{00000000-0005-0000-0000-000009000000}"/>
    <cellStyle name="Currency 5" xfId="12" xr:uid="{00000000-0005-0000-0000-00000A000000}"/>
    <cellStyle name="Currency 5 2" xfId="34" xr:uid="{00000000-0005-0000-0000-00000B000000}"/>
    <cellStyle name="Currency 6" xfId="13" xr:uid="{00000000-0005-0000-0000-00000C000000}"/>
    <cellStyle name="Normal" xfId="0" builtinId="0"/>
    <cellStyle name="Normal 2" xfId="14" xr:uid="{00000000-0005-0000-0000-00000E000000}"/>
    <cellStyle name="Normal 2 2" xfId="15" xr:uid="{00000000-0005-0000-0000-00000F000000}"/>
    <cellStyle name="Normal 3" xfId="16" xr:uid="{00000000-0005-0000-0000-000010000000}"/>
    <cellStyle name="Normal 4" xfId="17" xr:uid="{00000000-0005-0000-0000-000011000000}"/>
    <cellStyle name="Normal 5" xfId="18" xr:uid="{00000000-0005-0000-0000-000012000000}"/>
    <cellStyle name="Normal 6" xfId="19" xr:uid="{00000000-0005-0000-0000-000013000000}"/>
    <cellStyle name="Percent" xfId="3" builtinId="5"/>
    <cellStyle name="Percent 2" xfId="20" xr:uid="{00000000-0005-0000-0000-000015000000}"/>
    <cellStyle name="Percent 2 2" xfId="21" xr:uid="{00000000-0005-0000-0000-000016000000}"/>
    <cellStyle name="Percent 3" xfId="22" xr:uid="{00000000-0005-0000-0000-000017000000}"/>
    <cellStyle name="Percent 3 2" xfId="23" xr:uid="{00000000-0005-0000-0000-000018000000}"/>
    <cellStyle name="Percent 4" xfId="24" xr:uid="{00000000-0005-0000-0000-000019000000}"/>
    <cellStyle name="Percent 4 2" xfId="25" xr:uid="{00000000-0005-0000-0000-00001A000000}"/>
    <cellStyle name="PS_Comma" xfId="26" xr:uid="{00000000-0005-0000-0000-00001B000000}"/>
    <cellStyle name="PSChar" xfId="27" xr:uid="{00000000-0005-0000-0000-00001C000000}"/>
    <cellStyle name="PSDate" xfId="28" xr:uid="{00000000-0005-0000-0000-00001D000000}"/>
    <cellStyle name="PSDec" xfId="29" xr:uid="{00000000-0005-0000-0000-00001E000000}"/>
    <cellStyle name="PSHeading" xfId="30" xr:uid="{00000000-0005-0000-0000-00001F000000}"/>
    <cellStyle name="PSInt" xfId="31" xr:uid="{00000000-0005-0000-0000-000020000000}"/>
    <cellStyle name="PSSpacer" xfId="32" xr:uid="{00000000-0005-0000-0000-000021000000}"/>
    <cellStyle name="WM_STANDARD" xfId="33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4"/>
  <sheetViews>
    <sheetView tabSelected="1" workbookViewId="0">
      <selection activeCell="E14" sqref="E14"/>
    </sheetView>
  </sheetViews>
  <sheetFormatPr defaultRowHeight="15" x14ac:dyDescent="0.25"/>
  <cols>
    <col min="1" max="1" width="52.85546875" style="20" customWidth="1"/>
    <col min="2" max="2" width="9.140625" style="20"/>
    <col min="3" max="3" width="13.42578125" style="20" bestFit="1" customWidth="1"/>
    <col min="4" max="4" width="14" style="20" bestFit="1" customWidth="1"/>
    <col min="5" max="5" width="12.28515625" style="20" bestFit="1" customWidth="1"/>
    <col min="6" max="6" width="9.140625" style="20"/>
    <col min="7" max="7" width="78.85546875" style="20" bestFit="1" customWidth="1"/>
    <col min="8" max="8" width="10.42578125" style="20" customWidth="1"/>
    <col min="9" max="9" width="13.42578125" style="20" bestFit="1" customWidth="1"/>
    <col min="10" max="10" width="14" style="20" bestFit="1" customWidth="1"/>
    <col min="11" max="11" width="12.28515625" style="20" bestFit="1" customWidth="1"/>
    <col min="12" max="12" width="8.42578125" style="20" bestFit="1" customWidth="1"/>
    <col min="13" max="13" width="84.7109375" style="20" bestFit="1" customWidth="1"/>
    <col min="14" max="14" width="9.140625" style="20"/>
    <col min="15" max="15" width="13.42578125" style="20" bestFit="1" customWidth="1"/>
    <col min="16" max="16" width="14" style="20" bestFit="1" customWidth="1"/>
    <col min="17" max="17" width="12.28515625" style="20" bestFit="1" customWidth="1"/>
    <col min="18" max="18" width="9.140625" style="20"/>
    <col min="19" max="19" width="77.5703125" style="20" bestFit="1" customWidth="1"/>
    <col min="20" max="20" width="9.42578125" style="20" customWidth="1"/>
    <col min="21" max="21" width="13.42578125" style="20" bestFit="1" customWidth="1"/>
    <col min="22" max="22" width="14" style="20" bestFit="1" customWidth="1"/>
    <col min="23" max="23" width="11" style="20" bestFit="1" customWidth="1"/>
    <col min="24" max="24" width="9.140625" style="20" bestFit="1" customWidth="1"/>
    <col min="25" max="25" width="53.42578125" style="20" customWidth="1"/>
    <col min="26" max="26" width="9.140625" style="20"/>
    <col min="27" max="27" width="13.42578125" style="20" bestFit="1" customWidth="1"/>
    <col min="28" max="28" width="14" style="20" bestFit="1" customWidth="1"/>
    <col min="29" max="29" width="11.7109375" style="20" bestFit="1" customWidth="1"/>
    <col min="30" max="30" width="9.140625" style="20" bestFit="1" customWidth="1"/>
    <col min="31" max="31" width="53.85546875" style="20" bestFit="1" customWidth="1"/>
    <col min="32" max="32" width="9.140625" style="20"/>
    <col min="33" max="33" width="13.42578125" style="20" bestFit="1" customWidth="1"/>
    <col min="34" max="34" width="14" style="20" bestFit="1" customWidth="1"/>
    <col min="35" max="35" width="12.28515625" style="20" bestFit="1" customWidth="1"/>
    <col min="36" max="36" width="9.140625" style="20"/>
    <col min="37" max="37" width="70" style="20" bestFit="1" customWidth="1"/>
    <col min="38" max="38" width="3.7109375" style="20" customWidth="1"/>
    <col min="39" max="39" width="13.42578125" style="20" bestFit="1" customWidth="1"/>
    <col min="40" max="40" width="14" style="20" bestFit="1" customWidth="1"/>
    <col min="41" max="41" width="17.5703125" style="20" bestFit="1" customWidth="1"/>
    <col min="42" max="42" width="11.7109375" style="20" bestFit="1" customWidth="1"/>
    <col min="43" max="43" width="70" bestFit="1" customWidth="1"/>
    <col min="45" max="45" width="13.42578125" bestFit="1" customWidth="1"/>
    <col min="46" max="46" width="14" bestFit="1" customWidth="1"/>
    <col min="47" max="47" width="12.28515625" bestFit="1" customWidth="1"/>
    <col min="48" max="48" width="9.140625" bestFit="1" customWidth="1"/>
  </cols>
  <sheetData>
    <row r="1" spans="1:48" ht="23.25" x14ac:dyDescent="0.35">
      <c r="A1" s="129" t="s">
        <v>53</v>
      </c>
      <c r="B1" s="130"/>
      <c r="C1" s="131"/>
      <c r="D1" s="131"/>
      <c r="E1" s="131"/>
      <c r="F1" s="132"/>
      <c r="G1" s="270" t="s">
        <v>53</v>
      </c>
      <c r="H1" s="271"/>
      <c r="I1" s="272"/>
      <c r="J1" s="272"/>
      <c r="K1" s="272"/>
      <c r="L1" s="273"/>
      <c r="M1" s="234" t="s">
        <v>53</v>
      </c>
      <c r="N1" s="235"/>
      <c r="O1" s="236"/>
      <c r="P1" s="236"/>
      <c r="Q1" s="236"/>
      <c r="R1" s="237"/>
      <c r="S1" s="189" t="s">
        <v>53</v>
      </c>
      <c r="T1" s="190"/>
      <c r="U1" s="191"/>
      <c r="V1" s="191"/>
      <c r="W1" s="191"/>
      <c r="X1" s="192"/>
      <c r="Y1" s="189" t="s">
        <v>53</v>
      </c>
      <c r="Z1" s="190"/>
      <c r="AA1" s="191"/>
      <c r="AB1" s="191"/>
      <c r="AC1" s="191"/>
      <c r="AD1" s="192"/>
      <c r="AE1" s="129" t="s">
        <v>53</v>
      </c>
      <c r="AF1" s="130"/>
      <c r="AG1" s="131"/>
      <c r="AH1" s="131"/>
      <c r="AI1" s="131"/>
      <c r="AJ1" s="132"/>
      <c r="AK1" s="159" t="s">
        <v>53</v>
      </c>
      <c r="AL1" s="160"/>
      <c r="AM1" s="161"/>
      <c r="AN1" s="161"/>
      <c r="AO1" s="161"/>
      <c r="AP1" s="162"/>
      <c r="AQ1" s="98" t="s">
        <v>53</v>
      </c>
      <c r="AR1" s="99"/>
      <c r="AS1" s="100"/>
      <c r="AT1" s="100"/>
      <c r="AU1" s="100"/>
      <c r="AV1" s="101"/>
    </row>
    <row r="2" spans="1:48" ht="15.75" x14ac:dyDescent="0.25">
      <c r="A2" s="133" t="s">
        <v>125</v>
      </c>
      <c r="B2" s="134"/>
      <c r="C2" s="135"/>
      <c r="D2" s="136"/>
      <c r="E2" s="136"/>
      <c r="F2" s="137"/>
      <c r="G2" s="274" t="s">
        <v>122</v>
      </c>
      <c r="H2" s="275"/>
      <c r="I2" s="276"/>
      <c r="J2" s="277"/>
      <c r="K2" s="277"/>
      <c r="L2" s="278"/>
      <c r="M2" s="238" t="s">
        <v>114</v>
      </c>
      <c r="N2" s="239"/>
      <c r="O2" s="240"/>
      <c r="P2" s="241"/>
      <c r="Q2" s="241"/>
      <c r="R2" s="242"/>
      <c r="S2" s="193" t="s">
        <v>106</v>
      </c>
      <c r="T2" s="194"/>
      <c r="U2" s="195"/>
      <c r="V2" s="196"/>
      <c r="W2" s="196"/>
      <c r="X2" s="197"/>
      <c r="Y2" s="193" t="s">
        <v>98</v>
      </c>
      <c r="Z2" s="194"/>
      <c r="AA2" s="195"/>
      <c r="AB2" s="196"/>
      <c r="AC2" s="196"/>
      <c r="AD2" s="197"/>
      <c r="AE2" s="133" t="s">
        <v>94</v>
      </c>
      <c r="AF2" s="134"/>
      <c r="AG2" s="135"/>
      <c r="AH2" s="136"/>
      <c r="AI2" s="136"/>
      <c r="AJ2" s="137"/>
      <c r="AK2" s="163" t="s">
        <v>86</v>
      </c>
      <c r="AL2" s="164"/>
      <c r="AM2" s="165"/>
      <c r="AN2" s="166"/>
      <c r="AO2" s="166"/>
      <c r="AP2" s="167"/>
      <c r="AQ2" s="102" t="s">
        <v>89</v>
      </c>
      <c r="AR2" s="103"/>
      <c r="AS2" s="104"/>
      <c r="AT2" s="105"/>
      <c r="AU2" s="105"/>
      <c r="AV2" s="106"/>
    </row>
    <row r="3" spans="1:48" ht="15.75" x14ac:dyDescent="0.25">
      <c r="A3" s="138"/>
      <c r="B3" s="139"/>
      <c r="C3" s="136"/>
      <c r="D3" s="136"/>
      <c r="E3" s="136"/>
      <c r="F3" s="137"/>
      <c r="G3" s="279"/>
      <c r="H3" s="280"/>
      <c r="I3" s="277"/>
      <c r="J3" s="277"/>
      <c r="K3" s="277"/>
      <c r="L3" s="278"/>
      <c r="M3" s="243"/>
      <c r="N3" s="244"/>
      <c r="O3" s="241"/>
      <c r="P3" s="241"/>
      <c r="Q3" s="241"/>
      <c r="R3" s="242"/>
      <c r="S3" s="198"/>
      <c r="T3" s="199"/>
      <c r="U3" s="196"/>
      <c r="V3" s="196"/>
      <c r="W3" s="196"/>
      <c r="X3" s="197"/>
      <c r="Y3" s="198"/>
      <c r="Z3" s="199"/>
      <c r="AA3" s="196"/>
      <c r="AB3" s="196"/>
      <c r="AC3" s="196"/>
      <c r="AD3" s="197"/>
      <c r="AE3" s="138"/>
      <c r="AF3" s="139"/>
      <c r="AG3" s="136"/>
      <c r="AH3" s="136"/>
      <c r="AI3" s="136"/>
      <c r="AJ3" s="137"/>
      <c r="AK3" s="168"/>
      <c r="AL3" s="169"/>
      <c r="AM3" s="166"/>
      <c r="AN3" s="166"/>
      <c r="AO3" s="166"/>
      <c r="AP3" s="167"/>
      <c r="AQ3" s="107"/>
      <c r="AR3" s="108"/>
      <c r="AS3" s="105"/>
      <c r="AT3" s="105"/>
      <c r="AU3" s="105"/>
      <c r="AV3" s="106"/>
    </row>
    <row r="4" spans="1:48" ht="15.75" x14ac:dyDescent="0.25">
      <c r="A4" s="140"/>
      <c r="B4" s="136"/>
      <c r="C4" s="136"/>
      <c r="D4" s="136"/>
      <c r="E4" s="136"/>
      <c r="F4" s="137"/>
      <c r="G4" s="281"/>
      <c r="H4" s="277"/>
      <c r="I4" s="277"/>
      <c r="J4" s="277"/>
      <c r="K4" s="277"/>
      <c r="L4" s="278"/>
      <c r="M4" s="245"/>
      <c r="N4" s="241"/>
      <c r="O4" s="241"/>
      <c r="P4" s="241"/>
      <c r="Q4" s="241"/>
      <c r="R4" s="242"/>
      <c r="S4" s="200"/>
      <c r="T4" s="196"/>
      <c r="U4" s="196"/>
      <c r="V4" s="196"/>
      <c r="W4" s="196"/>
      <c r="X4" s="197"/>
      <c r="Y4" s="200"/>
      <c r="Z4" s="196"/>
      <c r="AA4" s="196"/>
      <c r="AB4" s="196"/>
      <c r="AC4" s="196"/>
      <c r="AD4" s="197"/>
      <c r="AE4" s="140"/>
      <c r="AF4" s="136"/>
      <c r="AG4" s="136"/>
      <c r="AH4" s="136"/>
      <c r="AI4" s="136"/>
      <c r="AJ4" s="137"/>
      <c r="AK4" s="170"/>
      <c r="AL4" s="166"/>
      <c r="AM4" s="166"/>
      <c r="AN4" s="166"/>
      <c r="AO4" s="166"/>
      <c r="AP4" s="167"/>
      <c r="AQ4" s="109"/>
      <c r="AR4" s="105"/>
      <c r="AS4" s="105"/>
      <c r="AT4" s="105"/>
      <c r="AU4" s="105"/>
      <c r="AV4" s="106"/>
    </row>
    <row r="5" spans="1:48" ht="15.75" x14ac:dyDescent="0.25">
      <c r="A5" s="325" t="s">
        <v>25</v>
      </c>
      <c r="B5" s="326"/>
      <c r="C5" s="326"/>
      <c r="D5" s="326"/>
      <c r="E5" s="326"/>
      <c r="F5" s="327"/>
      <c r="G5" s="340" t="s">
        <v>25</v>
      </c>
      <c r="H5" s="341"/>
      <c r="I5" s="341"/>
      <c r="J5" s="341"/>
      <c r="K5" s="341"/>
      <c r="L5" s="342"/>
      <c r="M5" s="328" t="s">
        <v>25</v>
      </c>
      <c r="N5" s="329"/>
      <c r="O5" s="329"/>
      <c r="P5" s="329"/>
      <c r="Q5" s="329"/>
      <c r="R5" s="330"/>
      <c r="S5" s="337" t="s">
        <v>25</v>
      </c>
      <c r="T5" s="338"/>
      <c r="U5" s="338"/>
      <c r="V5" s="338"/>
      <c r="W5" s="338"/>
      <c r="X5" s="339"/>
      <c r="Y5" s="337" t="s">
        <v>25</v>
      </c>
      <c r="Z5" s="338"/>
      <c r="AA5" s="338"/>
      <c r="AB5" s="338"/>
      <c r="AC5" s="338"/>
      <c r="AD5" s="339"/>
      <c r="AE5" s="325" t="s">
        <v>25</v>
      </c>
      <c r="AF5" s="326"/>
      <c r="AG5" s="326"/>
      <c r="AH5" s="326"/>
      <c r="AI5" s="326"/>
      <c r="AJ5" s="327"/>
      <c r="AK5" s="331" t="s">
        <v>25</v>
      </c>
      <c r="AL5" s="332"/>
      <c r="AM5" s="332"/>
      <c r="AN5" s="332"/>
      <c r="AO5" s="332"/>
      <c r="AP5" s="333"/>
      <c r="AQ5" s="334" t="s">
        <v>25</v>
      </c>
      <c r="AR5" s="335"/>
      <c r="AS5" s="335"/>
      <c r="AT5" s="335"/>
      <c r="AU5" s="335"/>
      <c r="AV5" s="336"/>
    </row>
    <row r="6" spans="1:48" ht="15.75" x14ac:dyDescent="0.25">
      <c r="A6" s="140"/>
      <c r="B6" s="136"/>
      <c r="C6" s="136"/>
      <c r="D6" s="136"/>
      <c r="E6" s="136"/>
      <c r="F6" s="137"/>
      <c r="G6" s="281"/>
      <c r="H6" s="277"/>
      <c r="I6" s="277"/>
      <c r="J6" s="277"/>
      <c r="K6" s="277"/>
      <c r="L6" s="278"/>
      <c r="M6" s="245"/>
      <c r="N6" s="241"/>
      <c r="O6" s="241"/>
      <c r="P6" s="241"/>
      <c r="Q6" s="241"/>
      <c r="R6" s="242"/>
      <c r="S6" s="200"/>
      <c r="T6" s="196"/>
      <c r="U6" s="196"/>
      <c r="V6" s="196"/>
      <c r="W6" s="196"/>
      <c r="X6" s="197"/>
      <c r="Y6" s="200"/>
      <c r="Z6" s="196"/>
      <c r="AA6" s="196"/>
      <c r="AB6" s="196"/>
      <c r="AC6" s="196"/>
      <c r="AD6" s="197"/>
      <c r="AE6" s="140"/>
      <c r="AF6" s="136"/>
      <c r="AG6" s="136"/>
      <c r="AH6" s="136"/>
      <c r="AI6" s="136"/>
      <c r="AJ6" s="137"/>
      <c r="AK6" s="170"/>
      <c r="AL6" s="166"/>
      <c r="AM6" s="166"/>
      <c r="AN6" s="166"/>
      <c r="AO6" s="166"/>
      <c r="AP6" s="167"/>
      <c r="AQ6" s="109"/>
      <c r="AR6" s="105"/>
      <c r="AS6" s="105"/>
      <c r="AT6" s="105"/>
      <c r="AU6" s="105"/>
      <c r="AV6" s="106"/>
    </row>
    <row r="7" spans="1:48" ht="15.75" x14ac:dyDescent="0.25">
      <c r="A7" s="140"/>
      <c r="B7" s="136"/>
      <c r="C7" s="141"/>
      <c r="D7" s="141" t="s">
        <v>54</v>
      </c>
      <c r="E7" s="141" t="s">
        <v>16</v>
      </c>
      <c r="F7" s="137"/>
      <c r="G7" s="281"/>
      <c r="H7" s="277"/>
      <c r="I7" s="282"/>
      <c r="J7" s="282" t="s">
        <v>54</v>
      </c>
      <c r="K7" s="282" t="s">
        <v>16</v>
      </c>
      <c r="L7" s="278"/>
      <c r="M7" s="245"/>
      <c r="N7" s="241"/>
      <c r="O7" s="246"/>
      <c r="P7" s="246" t="s">
        <v>54</v>
      </c>
      <c r="Q7" s="246" t="s">
        <v>16</v>
      </c>
      <c r="R7" s="242"/>
      <c r="S7" s="200"/>
      <c r="T7" s="196"/>
      <c r="U7" s="201"/>
      <c r="V7" s="201" t="s">
        <v>54</v>
      </c>
      <c r="W7" s="201" t="s">
        <v>16</v>
      </c>
      <c r="X7" s="197"/>
      <c r="Y7" s="200"/>
      <c r="Z7" s="196"/>
      <c r="AA7" s="201"/>
      <c r="AB7" s="201" t="s">
        <v>54</v>
      </c>
      <c r="AC7" s="201" t="s">
        <v>16</v>
      </c>
      <c r="AD7" s="197"/>
      <c r="AE7" s="140"/>
      <c r="AF7" s="136"/>
      <c r="AG7" s="141"/>
      <c r="AH7" s="141" t="s">
        <v>54</v>
      </c>
      <c r="AI7" s="141" t="s">
        <v>16</v>
      </c>
      <c r="AJ7" s="137"/>
      <c r="AK7" s="170"/>
      <c r="AL7" s="166"/>
      <c r="AM7" s="171"/>
      <c r="AN7" s="171" t="s">
        <v>54</v>
      </c>
      <c r="AO7" s="171" t="s">
        <v>16</v>
      </c>
      <c r="AP7" s="167"/>
      <c r="AQ7" s="109"/>
      <c r="AR7" s="105"/>
      <c r="AS7" s="110"/>
      <c r="AT7" s="110" t="s">
        <v>54</v>
      </c>
      <c r="AU7" s="110" t="s">
        <v>16</v>
      </c>
      <c r="AV7" s="106"/>
    </row>
    <row r="8" spans="1:48" ht="15.75" x14ac:dyDescent="0.25">
      <c r="A8" s="140"/>
      <c r="B8" s="136"/>
      <c r="C8" s="142" t="s">
        <v>55</v>
      </c>
      <c r="D8" s="142" t="s">
        <v>56</v>
      </c>
      <c r="E8" s="142" t="s">
        <v>57</v>
      </c>
      <c r="F8" s="137"/>
      <c r="G8" s="281"/>
      <c r="H8" s="277"/>
      <c r="I8" s="283" t="s">
        <v>55</v>
      </c>
      <c r="J8" s="283" t="s">
        <v>56</v>
      </c>
      <c r="K8" s="283" t="s">
        <v>57</v>
      </c>
      <c r="L8" s="278"/>
      <c r="M8" s="245"/>
      <c r="N8" s="241"/>
      <c r="O8" s="247" t="s">
        <v>55</v>
      </c>
      <c r="P8" s="247" t="s">
        <v>56</v>
      </c>
      <c r="Q8" s="247" t="s">
        <v>57</v>
      </c>
      <c r="R8" s="242"/>
      <c r="S8" s="200"/>
      <c r="T8" s="196"/>
      <c r="U8" s="202" t="s">
        <v>55</v>
      </c>
      <c r="V8" s="202" t="s">
        <v>56</v>
      </c>
      <c r="W8" s="202" t="s">
        <v>57</v>
      </c>
      <c r="X8" s="197"/>
      <c r="Y8" s="200"/>
      <c r="Z8" s="196"/>
      <c r="AA8" s="202" t="s">
        <v>55</v>
      </c>
      <c r="AB8" s="202" t="s">
        <v>56</v>
      </c>
      <c r="AC8" s="202" t="s">
        <v>57</v>
      </c>
      <c r="AD8" s="197"/>
      <c r="AE8" s="140"/>
      <c r="AF8" s="136"/>
      <c r="AG8" s="142" t="s">
        <v>55</v>
      </c>
      <c r="AH8" s="142" t="s">
        <v>56</v>
      </c>
      <c r="AI8" s="142" t="s">
        <v>57</v>
      </c>
      <c r="AJ8" s="137"/>
      <c r="AK8" s="170"/>
      <c r="AL8" s="166"/>
      <c r="AM8" s="172" t="s">
        <v>55</v>
      </c>
      <c r="AN8" s="172" t="s">
        <v>56</v>
      </c>
      <c r="AO8" s="172" t="s">
        <v>57</v>
      </c>
      <c r="AP8" s="167"/>
      <c r="AQ8" s="109"/>
      <c r="AR8" s="105"/>
      <c r="AS8" s="111" t="s">
        <v>55</v>
      </c>
      <c r="AT8" s="111" t="s">
        <v>56</v>
      </c>
      <c r="AU8" s="111" t="s">
        <v>57</v>
      </c>
      <c r="AV8" s="106"/>
    </row>
    <row r="9" spans="1:48" ht="15.75" x14ac:dyDescent="0.25">
      <c r="A9" s="143" t="s">
        <v>123</v>
      </c>
      <c r="B9" s="134"/>
      <c r="C9" s="144"/>
      <c r="D9" s="144"/>
      <c r="E9" s="144"/>
      <c r="F9" s="137"/>
      <c r="G9" s="284" t="s">
        <v>123</v>
      </c>
      <c r="H9" s="275"/>
      <c r="I9" s="285"/>
      <c r="J9" s="285"/>
      <c r="K9" s="285"/>
      <c r="L9" s="278"/>
      <c r="M9" s="248" t="s">
        <v>115</v>
      </c>
      <c r="N9" s="239"/>
      <c r="O9" s="249"/>
      <c r="P9" s="249"/>
      <c r="Q9" s="249"/>
      <c r="R9" s="242"/>
      <c r="S9" s="203" t="s">
        <v>109</v>
      </c>
      <c r="T9" s="194"/>
      <c r="U9" s="204"/>
      <c r="V9" s="204"/>
      <c r="W9" s="204"/>
      <c r="X9" s="197"/>
      <c r="Y9" s="203" t="s">
        <v>99</v>
      </c>
      <c r="Z9" s="194"/>
      <c r="AA9" s="204"/>
      <c r="AB9" s="204"/>
      <c r="AC9" s="204"/>
      <c r="AD9" s="197"/>
      <c r="AE9" s="143" t="s">
        <v>87</v>
      </c>
      <c r="AF9" s="134"/>
      <c r="AG9" s="144"/>
      <c r="AH9" s="144"/>
      <c r="AI9" s="144"/>
      <c r="AJ9" s="137"/>
      <c r="AK9" s="173" t="s">
        <v>81</v>
      </c>
      <c r="AL9" s="164"/>
      <c r="AM9" s="174"/>
      <c r="AN9" s="174"/>
      <c r="AO9" s="174"/>
      <c r="AP9" s="167"/>
      <c r="AQ9" s="112" t="s">
        <v>90</v>
      </c>
      <c r="AR9" s="103"/>
      <c r="AS9" s="113"/>
      <c r="AT9" s="113"/>
      <c r="AU9" s="113"/>
      <c r="AV9" s="106"/>
    </row>
    <row r="10" spans="1:48" ht="15.75" x14ac:dyDescent="0.25">
      <c r="A10" s="140" t="s">
        <v>58</v>
      </c>
      <c r="B10" s="136"/>
      <c r="C10" s="145">
        <f>+Customers!C20+Customers!D20</f>
        <v>26278</v>
      </c>
      <c r="D10" s="146">
        <f>J11</f>
        <v>0.83</v>
      </c>
      <c r="E10" s="145">
        <f>C10*D10</f>
        <v>21810.739999999998</v>
      </c>
      <c r="F10" s="137"/>
      <c r="G10" s="281" t="s">
        <v>58</v>
      </c>
      <c r="H10" s="277"/>
      <c r="I10" s="286">
        <v>25781</v>
      </c>
      <c r="J10" s="287">
        <v>0.23</v>
      </c>
      <c r="K10" s="286">
        <v>5929.63</v>
      </c>
      <c r="L10" s="278"/>
      <c r="M10" s="245" t="s">
        <v>58</v>
      </c>
      <c r="N10" s="241"/>
      <c r="O10" s="250">
        <v>24268</v>
      </c>
      <c r="P10" s="251">
        <f>+V11</f>
        <v>0.6</v>
      </c>
      <c r="Q10" s="250">
        <f>O10*P10</f>
        <v>14560.8</v>
      </c>
      <c r="R10" s="242"/>
      <c r="S10" s="200" t="s">
        <v>58</v>
      </c>
      <c r="T10" s="196"/>
      <c r="U10" s="205">
        <v>22959</v>
      </c>
      <c r="V10" s="206">
        <v>1.25</v>
      </c>
      <c r="W10" s="205">
        <f>U10*V10</f>
        <v>28698.75</v>
      </c>
      <c r="X10" s="197"/>
      <c r="Y10" s="200" t="s">
        <v>58</v>
      </c>
      <c r="Z10" s="196"/>
      <c r="AA10" s="205">
        <v>21720</v>
      </c>
      <c r="AB10" s="206">
        <f>+AH11</f>
        <v>2.04</v>
      </c>
      <c r="AC10" s="205">
        <f>AA10*AB10</f>
        <v>44308.800000000003</v>
      </c>
      <c r="AD10" s="197"/>
      <c r="AE10" s="140" t="s">
        <v>58</v>
      </c>
      <c r="AF10" s="136"/>
      <c r="AG10" s="145">
        <v>20086</v>
      </c>
      <c r="AH10" s="146">
        <f>+AN11</f>
        <v>1.71</v>
      </c>
      <c r="AI10" s="145">
        <f>AG10*AH10</f>
        <v>34347.06</v>
      </c>
      <c r="AJ10" s="137"/>
      <c r="AK10" s="170" t="s">
        <v>58</v>
      </c>
      <c r="AL10" s="166"/>
      <c r="AM10" s="175">
        <v>18118</v>
      </c>
      <c r="AN10" s="176">
        <f>+AT11</f>
        <v>2.3199999999999998</v>
      </c>
      <c r="AO10" s="175">
        <f>AM10*AN10</f>
        <v>42033.759999999995</v>
      </c>
      <c r="AP10" s="167"/>
      <c r="AQ10" s="109" t="s">
        <v>58</v>
      </c>
      <c r="AR10" s="105"/>
      <c r="AS10" s="114">
        <v>17149</v>
      </c>
      <c r="AT10" s="115">
        <v>2.37</v>
      </c>
      <c r="AU10" s="114">
        <f>AS10*AT10</f>
        <v>40643.130000000005</v>
      </c>
      <c r="AV10" s="106"/>
    </row>
    <row r="11" spans="1:48" ht="17.25" x14ac:dyDescent="0.35">
      <c r="A11" s="147" t="s">
        <v>59</v>
      </c>
      <c r="B11" s="148"/>
      <c r="C11" s="149">
        <f>+Customers!O20-C10</f>
        <v>136342</v>
      </c>
      <c r="D11" s="146">
        <f>L25</f>
        <v>1.79</v>
      </c>
      <c r="E11" s="149">
        <f>C11*D11</f>
        <v>244052.18</v>
      </c>
      <c r="F11" s="137"/>
      <c r="G11" s="288" t="s">
        <v>59</v>
      </c>
      <c r="H11" s="289"/>
      <c r="I11" s="290">
        <v>130875</v>
      </c>
      <c r="J11" s="287">
        <v>0.83</v>
      </c>
      <c r="K11" s="290">
        <v>108626.25</v>
      </c>
      <c r="L11" s="278"/>
      <c r="M11" s="252" t="s">
        <v>59</v>
      </c>
      <c r="N11" s="253"/>
      <c r="O11" s="254">
        <v>124641</v>
      </c>
      <c r="P11" s="251">
        <f>+X25</f>
        <v>0.23</v>
      </c>
      <c r="Q11" s="254">
        <f>O11*P11</f>
        <v>28667.43</v>
      </c>
      <c r="R11" s="242"/>
      <c r="S11" s="207" t="s">
        <v>59</v>
      </c>
      <c r="T11" s="208"/>
      <c r="U11" s="209">
        <v>116746</v>
      </c>
      <c r="V11" s="206">
        <v>0.6</v>
      </c>
      <c r="W11" s="209">
        <f>U11*V11</f>
        <v>70047.599999999991</v>
      </c>
      <c r="X11" s="197"/>
      <c r="Y11" s="207" t="s">
        <v>59</v>
      </c>
      <c r="Z11" s="208"/>
      <c r="AA11" s="209">
        <v>111104</v>
      </c>
      <c r="AB11" s="206">
        <f>+AJ25</f>
        <v>1.25</v>
      </c>
      <c r="AC11" s="209">
        <f>AA11*AB11</f>
        <v>138880</v>
      </c>
      <c r="AD11" s="197"/>
      <c r="AE11" s="147" t="s">
        <v>59</v>
      </c>
      <c r="AF11" s="148"/>
      <c r="AG11" s="149">
        <v>104400</v>
      </c>
      <c r="AH11" s="146">
        <f>+AP25</f>
        <v>2.04</v>
      </c>
      <c r="AI11" s="149">
        <f>AG11*AH11</f>
        <v>212976</v>
      </c>
      <c r="AJ11" s="137"/>
      <c r="AK11" s="177" t="s">
        <v>59</v>
      </c>
      <c r="AL11" s="178"/>
      <c r="AM11" s="179">
        <v>93257</v>
      </c>
      <c r="AN11" s="176">
        <f>+AV25</f>
        <v>1.71</v>
      </c>
      <c r="AO11" s="179">
        <f>AM11*AN11</f>
        <v>159469.47</v>
      </c>
      <c r="AP11" s="167"/>
      <c r="AQ11" s="116" t="s">
        <v>59</v>
      </c>
      <c r="AR11" s="117"/>
      <c r="AS11" s="119">
        <v>87893</v>
      </c>
      <c r="AT11" s="115">
        <v>2.3199999999999998</v>
      </c>
      <c r="AU11" s="118">
        <f>AS11*AT11</f>
        <v>203911.75999999998</v>
      </c>
      <c r="AV11" s="106"/>
    </row>
    <row r="12" spans="1:48" ht="15.75" x14ac:dyDescent="0.25">
      <c r="A12" s="140" t="s">
        <v>16</v>
      </c>
      <c r="B12" s="136"/>
      <c r="C12" s="145">
        <f>SUM(C10:C11)</f>
        <v>162620</v>
      </c>
      <c r="D12" s="136"/>
      <c r="E12" s="145">
        <f>SUM(E10:E11)</f>
        <v>265862.92</v>
      </c>
      <c r="F12" s="137"/>
      <c r="G12" s="281" t="s">
        <v>16</v>
      </c>
      <c r="H12" s="277"/>
      <c r="I12" s="286">
        <v>156656</v>
      </c>
      <c r="J12" s="277"/>
      <c r="K12" s="286">
        <v>114555.88</v>
      </c>
      <c r="L12" s="278"/>
      <c r="M12" s="245" t="s">
        <v>16</v>
      </c>
      <c r="N12" s="241"/>
      <c r="O12" s="250">
        <f>SUM(O10:O11)</f>
        <v>148909</v>
      </c>
      <c r="P12" s="241"/>
      <c r="Q12" s="250">
        <f>SUM(Q10:Q11)</f>
        <v>43228.229999999996</v>
      </c>
      <c r="R12" s="242"/>
      <c r="S12" s="200" t="s">
        <v>16</v>
      </c>
      <c r="T12" s="196"/>
      <c r="U12" s="205">
        <f>SUM(U10:U11)</f>
        <v>139705</v>
      </c>
      <c r="V12" s="196"/>
      <c r="W12" s="205">
        <f>SUM(W10:W11)</f>
        <v>98746.349999999991</v>
      </c>
      <c r="X12" s="197"/>
      <c r="Y12" s="200" t="s">
        <v>16</v>
      </c>
      <c r="Z12" s="196"/>
      <c r="AA12" s="205">
        <f>SUM(AA10:AA11)</f>
        <v>132824</v>
      </c>
      <c r="AB12" s="196"/>
      <c r="AC12" s="205">
        <f>SUM(AC10:AC11)</f>
        <v>183188.8</v>
      </c>
      <c r="AD12" s="197"/>
      <c r="AE12" s="140" t="s">
        <v>16</v>
      </c>
      <c r="AF12" s="136"/>
      <c r="AG12" s="145">
        <f>SUM(AG10:AG11)</f>
        <v>124486</v>
      </c>
      <c r="AH12" s="136"/>
      <c r="AI12" s="145">
        <f>SUM(AI10:AI11)</f>
        <v>247323.06</v>
      </c>
      <c r="AJ12" s="137"/>
      <c r="AK12" s="170" t="s">
        <v>16</v>
      </c>
      <c r="AL12" s="166"/>
      <c r="AM12" s="175">
        <f>SUM(AM10:AM11)</f>
        <v>111375</v>
      </c>
      <c r="AN12" s="166"/>
      <c r="AO12" s="175">
        <f>SUM(AO10:AO11)</f>
        <v>201503.22999999998</v>
      </c>
      <c r="AP12" s="167"/>
      <c r="AQ12" s="109" t="s">
        <v>16</v>
      </c>
      <c r="AR12" s="105"/>
      <c r="AS12" s="114">
        <f>SUM(AS10:AS11)</f>
        <v>105042</v>
      </c>
      <c r="AT12" s="105"/>
      <c r="AU12" s="114">
        <f>SUM(AU10:AU11)</f>
        <v>244554.88999999998</v>
      </c>
      <c r="AV12" s="106"/>
    </row>
    <row r="13" spans="1:48" ht="15.75" x14ac:dyDescent="0.25">
      <c r="A13" s="140"/>
      <c r="B13" s="136"/>
      <c r="C13" s="136"/>
      <c r="D13" s="136"/>
      <c r="E13" s="136"/>
      <c r="F13" s="137"/>
      <c r="G13" s="281"/>
      <c r="H13" s="277"/>
      <c r="I13" s="277"/>
      <c r="J13" s="277"/>
      <c r="K13" s="277"/>
      <c r="L13" s="278"/>
      <c r="M13" s="245"/>
      <c r="N13" s="241"/>
      <c r="O13" s="241"/>
      <c r="P13" s="241"/>
      <c r="Q13" s="241"/>
      <c r="R13" s="242"/>
      <c r="S13" s="200"/>
      <c r="T13" s="196"/>
      <c r="U13" s="196"/>
      <c r="V13" s="196"/>
      <c r="W13" s="196"/>
      <c r="X13" s="197"/>
      <c r="Y13" s="200"/>
      <c r="Z13" s="196"/>
      <c r="AA13" s="196"/>
      <c r="AB13" s="196"/>
      <c r="AC13" s="196"/>
      <c r="AD13" s="197"/>
      <c r="AE13" s="140"/>
      <c r="AF13" s="136"/>
      <c r="AG13" s="136"/>
      <c r="AH13" s="136"/>
      <c r="AI13" s="136"/>
      <c r="AJ13" s="137"/>
      <c r="AK13" s="170"/>
      <c r="AL13" s="166"/>
      <c r="AM13" s="166"/>
      <c r="AN13" s="166"/>
      <c r="AO13" s="166"/>
      <c r="AP13" s="167"/>
      <c r="AQ13" s="109"/>
      <c r="AR13" s="105"/>
      <c r="AS13" s="105"/>
      <c r="AT13" s="105"/>
      <c r="AU13" s="105"/>
      <c r="AV13" s="106"/>
    </row>
    <row r="14" spans="1:48" ht="15.75" x14ac:dyDescent="0.25">
      <c r="A14" s="133" t="s">
        <v>93</v>
      </c>
      <c r="B14" s="136"/>
      <c r="C14" s="136"/>
      <c r="D14" s="136"/>
      <c r="E14" s="145">
        <f>+'Commodity Revenue'!Y40</f>
        <v>151290.02801276409</v>
      </c>
      <c r="F14" s="137"/>
      <c r="G14" s="274" t="s">
        <v>93</v>
      </c>
      <c r="H14" s="277"/>
      <c r="I14" s="277"/>
      <c r="J14" s="277"/>
      <c r="K14" s="286">
        <v>280854.09730823484</v>
      </c>
      <c r="L14" s="278"/>
      <c r="M14" s="238" t="s">
        <v>93</v>
      </c>
      <c r="N14" s="241"/>
      <c r="O14" s="241"/>
      <c r="P14" s="241"/>
      <c r="Q14" s="250">
        <v>123903.138016938</v>
      </c>
      <c r="R14" s="242"/>
      <c r="S14" s="193" t="s">
        <v>93</v>
      </c>
      <c r="T14" s="196"/>
      <c r="U14" s="196"/>
      <c r="V14" s="196"/>
      <c r="W14" s="205">
        <v>36118</v>
      </c>
      <c r="X14" s="197"/>
      <c r="Y14" s="193" t="s">
        <v>93</v>
      </c>
      <c r="Z14" s="196"/>
      <c r="AA14" s="196"/>
      <c r="AB14" s="196"/>
      <c r="AC14" s="205">
        <v>99599.598432167913</v>
      </c>
      <c r="AD14" s="197"/>
      <c r="AE14" s="133" t="s">
        <v>93</v>
      </c>
      <c r="AF14" s="136"/>
      <c r="AG14" s="136"/>
      <c r="AH14" s="136"/>
      <c r="AI14" s="145">
        <v>205192</v>
      </c>
      <c r="AJ14" s="137"/>
      <c r="AK14" s="163" t="s">
        <v>93</v>
      </c>
      <c r="AL14" s="166"/>
      <c r="AM14" s="166"/>
      <c r="AN14" s="166"/>
      <c r="AO14" s="175">
        <v>231469</v>
      </c>
      <c r="AP14" s="167"/>
      <c r="AQ14" s="102" t="s">
        <v>60</v>
      </c>
      <c r="AR14" s="105"/>
      <c r="AS14" s="105"/>
      <c r="AT14" s="105"/>
      <c r="AU14" s="114">
        <v>183627</v>
      </c>
      <c r="AV14" s="106"/>
    </row>
    <row r="15" spans="1:48" ht="15.75" x14ac:dyDescent="0.25">
      <c r="A15" s="140"/>
      <c r="B15" s="136"/>
      <c r="C15" s="136"/>
      <c r="D15" s="136"/>
      <c r="E15" s="136"/>
      <c r="F15" s="137"/>
      <c r="G15" s="281"/>
      <c r="H15" s="277"/>
      <c r="I15" s="277"/>
      <c r="J15" s="277"/>
      <c r="K15" s="277"/>
      <c r="L15" s="278"/>
      <c r="M15" s="245"/>
      <c r="N15" s="241"/>
      <c r="O15" s="241"/>
      <c r="P15" s="241"/>
      <c r="Q15" s="241"/>
      <c r="R15" s="242"/>
      <c r="S15" s="200"/>
      <c r="T15" s="196"/>
      <c r="U15" s="196"/>
      <c r="V15" s="196"/>
      <c r="W15" s="196"/>
      <c r="X15" s="197"/>
      <c r="Y15" s="200"/>
      <c r="Z15" s="196"/>
      <c r="AA15" s="196"/>
      <c r="AB15" s="196"/>
      <c r="AC15" s="196"/>
      <c r="AD15" s="197"/>
      <c r="AE15" s="140"/>
      <c r="AF15" s="136"/>
      <c r="AG15" s="136"/>
      <c r="AH15" s="136"/>
      <c r="AI15" s="136"/>
      <c r="AJ15" s="137"/>
      <c r="AK15" s="170"/>
      <c r="AL15" s="166"/>
      <c r="AM15" s="166"/>
      <c r="AN15" s="166"/>
      <c r="AO15" s="166"/>
      <c r="AP15" s="167"/>
      <c r="AQ15" s="109"/>
      <c r="AR15" s="105"/>
      <c r="AS15" s="105"/>
      <c r="AT15" s="105"/>
      <c r="AU15" s="105"/>
      <c r="AV15" s="106"/>
    </row>
    <row r="16" spans="1:48" ht="15.75" x14ac:dyDescent="0.25">
      <c r="A16" s="140" t="s">
        <v>61</v>
      </c>
      <c r="B16" s="136"/>
      <c r="C16" s="136"/>
      <c r="D16" s="136"/>
      <c r="E16" s="145">
        <f>E14-E12</f>
        <v>-114572.8919872359</v>
      </c>
      <c r="F16" s="137"/>
      <c r="G16" s="281" t="s">
        <v>61</v>
      </c>
      <c r="H16" s="277"/>
      <c r="I16" s="277"/>
      <c r="J16" s="277"/>
      <c r="K16" s="286">
        <v>166298.21730823483</v>
      </c>
      <c r="L16" s="278"/>
      <c r="M16" s="245" t="s">
        <v>61</v>
      </c>
      <c r="N16" s="241"/>
      <c r="O16" s="241"/>
      <c r="P16" s="241"/>
      <c r="Q16" s="250">
        <f>Q14-Q12</f>
        <v>80674.908016938003</v>
      </c>
      <c r="R16" s="242"/>
      <c r="S16" s="200" t="s">
        <v>61</v>
      </c>
      <c r="T16" s="196"/>
      <c r="U16" s="196"/>
      <c r="V16" s="196"/>
      <c r="W16" s="205">
        <f>W14-W12</f>
        <v>-62628.349999999991</v>
      </c>
      <c r="X16" s="197"/>
      <c r="Y16" s="200" t="s">
        <v>61</v>
      </c>
      <c r="Z16" s="196"/>
      <c r="AA16" s="196"/>
      <c r="AB16" s="196"/>
      <c r="AC16" s="205">
        <f>AC14-AC12</f>
        <v>-83589.201567832075</v>
      </c>
      <c r="AD16" s="197"/>
      <c r="AE16" s="140" t="s">
        <v>61</v>
      </c>
      <c r="AF16" s="136"/>
      <c r="AG16" s="136"/>
      <c r="AH16" s="136"/>
      <c r="AI16" s="145">
        <f>AI14-AI12</f>
        <v>-42131.06</v>
      </c>
      <c r="AJ16" s="137"/>
      <c r="AK16" s="170" t="s">
        <v>61</v>
      </c>
      <c r="AL16" s="166"/>
      <c r="AM16" s="166"/>
      <c r="AN16" s="166"/>
      <c r="AO16" s="175">
        <f>AO14-AO12</f>
        <v>29965.770000000019</v>
      </c>
      <c r="AP16" s="167"/>
      <c r="AQ16" s="109" t="s">
        <v>61</v>
      </c>
      <c r="AR16" s="105"/>
      <c r="AS16" s="105"/>
      <c r="AT16" s="105"/>
      <c r="AU16" s="114">
        <f>AU14-AU12</f>
        <v>-60927.889999999985</v>
      </c>
      <c r="AV16" s="106"/>
    </row>
    <row r="17" spans="1:48" ht="15.75" x14ac:dyDescent="0.25">
      <c r="A17" s="140"/>
      <c r="B17" s="136"/>
      <c r="C17" s="136"/>
      <c r="D17" s="136"/>
      <c r="E17" s="136"/>
      <c r="F17" s="137"/>
      <c r="G17" s="281"/>
      <c r="H17" s="277"/>
      <c r="I17" s="277"/>
      <c r="J17" s="277"/>
      <c r="K17" s="277"/>
      <c r="L17" s="278"/>
      <c r="M17" s="245"/>
      <c r="N17" s="241"/>
      <c r="O17" s="241"/>
      <c r="P17" s="241"/>
      <c r="Q17" s="241"/>
      <c r="R17" s="242"/>
      <c r="S17" s="200"/>
      <c r="T17" s="196"/>
      <c r="U17" s="196"/>
      <c r="V17" s="196"/>
      <c r="W17" s="196"/>
      <c r="X17" s="197"/>
      <c r="Y17" s="200"/>
      <c r="Z17" s="196"/>
      <c r="AA17" s="196"/>
      <c r="AB17" s="196"/>
      <c r="AC17" s="196"/>
      <c r="AD17" s="197"/>
      <c r="AE17" s="140"/>
      <c r="AF17" s="136"/>
      <c r="AG17" s="136"/>
      <c r="AH17" s="136"/>
      <c r="AI17" s="136"/>
      <c r="AJ17" s="137"/>
      <c r="AK17" s="170"/>
      <c r="AL17" s="166"/>
      <c r="AM17" s="166"/>
      <c r="AN17" s="166"/>
      <c r="AO17" s="166"/>
      <c r="AP17" s="167"/>
      <c r="AQ17" s="109"/>
      <c r="AR17" s="105"/>
      <c r="AS17" s="105"/>
      <c r="AT17" s="105"/>
      <c r="AU17" s="105"/>
      <c r="AV17" s="106"/>
    </row>
    <row r="18" spans="1:48" ht="15.75" x14ac:dyDescent="0.25">
      <c r="A18" s="140" t="s">
        <v>92</v>
      </c>
      <c r="B18" s="136"/>
      <c r="C18" s="136"/>
      <c r="D18" s="136"/>
      <c r="E18" s="145">
        <f>+C12</f>
        <v>162620</v>
      </c>
      <c r="F18" s="137"/>
      <c r="G18" s="281" t="s">
        <v>92</v>
      </c>
      <c r="H18" s="277"/>
      <c r="I18" s="277"/>
      <c r="J18" s="277"/>
      <c r="K18" s="286">
        <v>156656</v>
      </c>
      <c r="L18" s="278"/>
      <c r="M18" s="245" t="s">
        <v>92</v>
      </c>
      <c r="N18" s="241"/>
      <c r="O18" s="241"/>
      <c r="P18" s="241"/>
      <c r="Q18" s="250">
        <f>+O12</f>
        <v>148909</v>
      </c>
      <c r="R18" s="242"/>
      <c r="S18" s="200" t="s">
        <v>92</v>
      </c>
      <c r="T18" s="196"/>
      <c r="U18" s="196"/>
      <c r="V18" s="196"/>
      <c r="W18" s="205">
        <f>+U12</f>
        <v>139705</v>
      </c>
      <c r="X18" s="197"/>
      <c r="Y18" s="200" t="s">
        <v>92</v>
      </c>
      <c r="Z18" s="196"/>
      <c r="AA18" s="196"/>
      <c r="AB18" s="196"/>
      <c r="AC18" s="205">
        <f>+AA12</f>
        <v>132824</v>
      </c>
      <c r="AD18" s="197"/>
      <c r="AE18" s="140" t="s">
        <v>92</v>
      </c>
      <c r="AF18" s="136"/>
      <c r="AG18" s="136"/>
      <c r="AH18" s="136"/>
      <c r="AI18" s="145">
        <f>+AG12</f>
        <v>124486</v>
      </c>
      <c r="AJ18" s="137"/>
      <c r="AK18" s="170" t="s">
        <v>92</v>
      </c>
      <c r="AL18" s="166"/>
      <c r="AM18" s="166"/>
      <c r="AN18" s="166"/>
      <c r="AO18" s="175">
        <f>+AM12</f>
        <v>111375</v>
      </c>
      <c r="AP18" s="167"/>
      <c r="AQ18" s="109" t="s">
        <v>62</v>
      </c>
      <c r="AR18" s="105"/>
      <c r="AS18" s="105"/>
      <c r="AT18" s="105"/>
      <c r="AU18" s="114">
        <f>+AS12</f>
        <v>105042</v>
      </c>
      <c r="AV18" s="106"/>
    </row>
    <row r="19" spans="1:48" ht="15.75" x14ac:dyDescent="0.25">
      <c r="A19" s="140"/>
      <c r="B19" s="136"/>
      <c r="C19" s="136"/>
      <c r="D19" s="136"/>
      <c r="E19" s="136"/>
      <c r="F19" s="137"/>
      <c r="G19" s="281"/>
      <c r="H19" s="277"/>
      <c r="I19" s="277"/>
      <c r="J19" s="277"/>
      <c r="K19" s="277"/>
      <c r="L19" s="278"/>
      <c r="M19" s="245"/>
      <c r="N19" s="241"/>
      <c r="O19" s="241"/>
      <c r="P19" s="241"/>
      <c r="Q19" s="241"/>
      <c r="R19" s="242"/>
      <c r="S19" s="200"/>
      <c r="T19" s="196"/>
      <c r="U19" s="196"/>
      <c r="V19" s="196"/>
      <c r="W19" s="196"/>
      <c r="X19" s="197"/>
      <c r="Y19" s="200"/>
      <c r="Z19" s="196"/>
      <c r="AA19" s="196"/>
      <c r="AB19" s="196"/>
      <c r="AC19" s="196"/>
      <c r="AD19" s="197"/>
      <c r="AE19" s="140"/>
      <c r="AF19" s="136"/>
      <c r="AG19" s="136"/>
      <c r="AH19" s="136"/>
      <c r="AI19" s="136"/>
      <c r="AJ19" s="137"/>
      <c r="AK19" s="170"/>
      <c r="AL19" s="166"/>
      <c r="AM19" s="166"/>
      <c r="AN19" s="166"/>
      <c r="AO19" s="166"/>
      <c r="AP19" s="167"/>
      <c r="AQ19" s="109"/>
      <c r="AR19" s="105"/>
      <c r="AS19" s="105"/>
      <c r="AT19" s="105"/>
      <c r="AU19" s="105"/>
      <c r="AV19" s="106"/>
    </row>
    <row r="20" spans="1:48" ht="15.75" x14ac:dyDescent="0.25">
      <c r="A20" s="140" t="s">
        <v>128</v>
      </c>
      <c r="B20" s="136"/>
      <c r="C20" s="136"/>
      <c r="D20" s="136"/>
      <c r="E20" s="136"/>
      <c r="F20" s="150">
        <f>ROUND(+E16/E18,2)</f>
        <v>-0.7</v>
      </c>
      <c r="G20" s="281" t="s">
        <v>118</v>
      </c>
      <c r="H20" s="277"/>
      <c r="I20" s="277"/>
      <c r="J20" s="277"/>
      <c r="K20" s="277"/>
      <c r="L20" s="291">
        <v>1.06</v>
      </c>
      <c r="M20" s="245" t="s">
        <v>118</v>
      </c>
      <c r="N20" s="241"/>
      <c r="O20" s="241"/>
      <c r="P20" s="241"/>
      <c r="Q20" s="241"/>
      <c r="R20" s="255">
        <f>ROUND(+Q16/Q18,2)</f>
        <v>0.54</v>
      </c>
      <c r="S20" s="200" t="s">
        <v>110</v>
      </c>
      <c r="T20" s="196"/>
      <c r="U20" s="196"/>
      <c r="V20" s="196"/>
      <c r="W20" s="196"/>
      <c r="X20" s="210">
        <f>ROUND(+W16/W18,2)</f>
        <v>-0.45</v>
      </c>
      <c r="Y20" s="200" t="s">
        <v>102</v>
      </c>
      <c r="Z20" s="196"/>
      <c r="AA20" s="196"/>
      <c r="AB20" s="196"/>
      <c r="AC20" s="196"/>
      <c r="AD20" s="210">
        <f>+AC16/AC18</f>
        <v>-0.6293230257169794</v>
      </c>
      <c r="AE20" s="140" t="s">
        <v>95</v>
      </c>
      <c r="AF20" s="136"/>
      <c r="AG20" s="136"/>
      <c r="AH20" s="136"/>
      <c r="AI20" s="136"/>
      <c r="AJ20" s="150">
        <f>+AI16/AI18</f>
        <v>-0.33844014587985793</v>
      </c>
      <c r="AK20" s="170" t="s">
        <v>88</v>
      </c>
      <c r="AL20" s="166"/>
      <c r="AM20" s="166"/>
      <c r="AN20" s="166"/>
      <c r="AO20" s="166"/>
      <c r="AP20" s="180">
        <f>+AO16/AO18</f>
        <v>0.26905292929292945</v>
      </c>
      <c r="AQ20" s="109" t="s">
        <v>91</v>
      </c>
      <c r="AR20" s="105"/>
      <c r="AS20" s="105"/>
      <c r="AT20" s="105"/>
      <c r="AU20" s="105"/>
      <c r="AV20" s="120">
        <v>-0.65</v>
      </c>
    </row>
    <row r="21" spans="1:48" ht="15.75" x14ac:dyDescent="0.25">
      <c r="A21" s="140"/>
      <c r="B21" s="136"/>
      <c r="C21" s="136"/>
      <c r="D21" s="136"/>
      <c r="E21" s="136"/>
      <c r="F21" s="151"/>
      <c r="G21" s="281"/>
      <c r="H21" s="277"/>
      <c r="I21" s="277"/>
      <c r="J21" s="277"/>
      <c r="K21" s="277"/>
      <c r="L21" s="292"/>
      <c r="M21" s="245"/>
      <c r="N21" s="241"/>
      <c r="O21" s="241"/>
      <c r="P21" s="241"/>
      <c r="Q21" s="241"/>
      <c r="R21" s="256"/>
      <c r="S21" s="200"/>
      <c r="T21" s="196"/>
      <c r="U21" s="196"/>
      <c r="V21" s="196"/>
      <c r="W21" s="196"/>
      <c r="X21" s="211"/>
      <c r="Y21" s="200"/>
      <c r="Z21" s="196"/>
      <c r="AA21" s="196"/>
      <c r="AB21" s="196"/>
      <c r="AC21" s="196"/>
      <c r="AD21" s="211"/>
      <c r="AE21" s="140"/>
      <c r="AF21" s="136"/>
      <c r="AG21" s="136"/>
      <c r="AH21" s="136"/>
      <c r="AI21" s="136"/>
      <c r="AJ21" s="151"/>
      <c r="AK21" s="170"/>
      <c r="AL21" s="166"/>
      <c r="AM21" s="166"/>
      <c r="AN21" s="166"/>
      <c r="AO21" s="166"/>
      <c r="AP21" s="181"/>
      <c r="AQ21" s="109"/>
      <c r="AR21" s="105"/>
      <c r="AS21" s="105"/>
      <c r="AT21" s="105"/>
      <c r="AU21" s="105"/>
      <c r="AV21" s="121"/>
    </row>
    <row r="22" spans="1:48" ht="15.75" x14ac:dyDescent="0.25">
      <c r="A22" s="140"/>
      <c r="B22" s="136"/>
      <c r="C22" s="136"/>
      <c r="D22" s="136"/>
      <c r="E22" s="136"/>
      <c r="F22" s="151"/>
      <c r="G22" s="281"/>
      <c r="H22" s="277"/>
      <c r="I22" s="277"/>
      <c r="J22" s="277"/>
      <c r="K22" s="277"/>
      <c r="L22" s="292"/>
      <c r="M22" s="245"/>
      <c r="N22" s="241"/>
      <c r="O22" s="241"/>
      <c r="P22" s="241"/>
      <c r="Q22" s="241"/>
      <c r="R22" s="256"/>
      <c r="S22" s="200"/>
      <c r="T22" s="196"/>
      <c r="U22" s="196"/>
      <c r="V22" s="196"/>
      <c r="W22" s="196"/>
      <c r="X22" s="211"/>
      <c r="Y22" s="200"/>
      <c r="Z22" s="196"/>
      <c r="AA22" s="196"/>
      <c r="AB22" s="196"/>
      <c r="AC22" s="196"/>
      <c r="AD22" s="211"/>
      <c r="AE22" s="140"/>
      <c r="AF22" s="136"/>
      <c r="AG22" s="136"/>
      <c r="AH22" s="136"/>
      <c r="AI22" s="136"/>
      <c r="AJ22" s="151"/>
      <c r="AK22" s="170"/>
      <c r="AL22" s="166"/>
      <c r="AM22" s="166"/>
      <c r="AN22" s="166"/>
      <c r="AO22" s="166"/>
      <c r="AP22" s="181"/>
      <c r="AQ22" s="109"/>
      <c r="AR22" s="105"/>
      <c r="AS22" s="105"/>
      <c r="AT22" s="105"/>
      <c r="AU22" s="105"/>
      <c r="AV22" s="121"/>
    </row>
    <row r="23" spans="1:48" ht="15.75" x14ac:dyDescent="0.25">
      <c r="A23" s="143" t="s">
        <v>124</v>
      </c>
      <c r="B23" s="134"/>
      <c r="C23" s="136"/>
      <c r="D23" s="136"/>
      <c r="E23" s="152">
        <f>+E14</f>
        <v>151290.02801276409</v>
      </c>
      <c r="F23" s="151"/>
      <c r="G23" s="284" t="s">
        <v>124</v>
      </c>
      <c r="H23" s="275"/>
      <c r="I23" s="277"/>
      <c r="J23" s="277"/>
      <c r="K23" s="293">
        <v>280854.09730823484</v>
      </c>
      <c r="L23" s="292"/>
      <c r="M23" s="248" t="s">
        <v>116</v>
      </c>
      <c r="N23" s="239"/>
      <c r="O23" s="241"/>
      <c r="P23" s="241"/>
      <c r="Q23" s="257">
        <f>+Q14</f>
        <v>123903.138016938</v>
      </c>
      <c r="R23" s="256"/>
      <c r="S23" s="203" t="s">
        <v>111</v>
      </c>
      <c r="T23" s="194"/>
      <c r="U23" s="196"/>
      <c r="V23" s="196"/>
      <c r="W23" s="212">
        <v>15860</v>
      </c>
      <c r="X23" s="211"/>
      <c r="Y23" s="203" t="s">
        <v>103</v>
      </c>
      <c r="Z23" s="194"/>
      <c r="AA23" s="196"/>
      <c r="AB23" s="196"/>
      <c r="AC23" s="212">
        <v>39969.884180818815</v>
      </c>
      <c r="AD23" s="211"/>
      <c r="AE23" s="143" t="s">
        <v>101</v>
      </c>
      <c r="AF23" s="134"/>
      <c r="AG23" s="136"/>
      <c r="AH23" s="136"/>
      <c r="AI23" s="152">
        <v>78930</v>
      </c>
      <c r="AJ23" s="151"/>
      <c r="AK23" s="173" t="s">
        <v>87</v>
      </c>
      <c r="AL23" s="164"/>
      <c r="AM23" s="166"/>
      <c r="AN23" s="166"/>
      <c r="AO23" s="182">
        <f>+AO14</f>
        <v>231469</v>
      </c>
      <c r="AP23" s="181"/>
      <c r="AQ23" s="112" t="s">
        <v>81</v>
      </c>
      <c r="AR23" s="103"/>
      <c r="AS23" s="105"/>
      <c r="AT23" s="105"/>
      <c r="AU23" s="122">
        <f>+AU14</f>
        <v>183627</v>
      </c>
      <c r="AV23" s="121"/>
    </row>
    <row r="24" spans="1:48" ht="17.25" x14ac:dyDescent="0.35">
      <c r="A24" s="140" t="s">
        <v>117</v>
      </c>
      <c r="B24" s="136"/>
      <c r="C24" s="136"/>
      <c r="D24" s="136"/>
      <c r="E24" s="319">
        <f>+C12</f>
        <v>162620</v>
      </c>
      <c r="F24" s="151"/>
      <c r="G24" s="281" t="s">
        <v>117</v>
      </c>
      <c r="H24" s="277"/>
      <c r="I24" s="277"/>
      <c r="J24" s="277"/>
      <c r="K24" s="294">
        <v>156656</v>
      </c>
      <c r="L24" s="292"/>
      <c r="M24" s="245" t="s">
        <v>117</v>
      </c>
      <c r="N24" s="241"/>
      <c r="O24" s="241"/>
      <c r="P24" s="241"/>
      <c r="Q24" s="267">
        <f>+O12</f>
        <v>148909</v>
      </c>
      <c r="R24" s="256"/>
      <c r="S24" s="200" t="s">
        <v>100</v>
      </c>
      <c r="T24" s="196"/>
      <c r="U24" s="196"/>
      <c r="V24" s="196"/>
      <c r="W24" s="205">
        <v>70108</v>
      </c>
      <c r="X24" s="211"/>
      <c r="Y24" s="200" t="s">
        <v>97</v>
      </c>
      <c r="Z24" s="196"/>
      <c r="AA24" s="196"/>
      <c r="AB24" s="196"/>
      <c r="AC24" s="205">
        <v>66822</v>
      </c>
      <c r="AD24" s="211"/>
      <c r="AE24" s="140" t="s">
        <v>100</v>
      </c>
      <c r="AF24" s="136"/>
      <c r="AG24" s="136"/>
      <c r="AH24" s="136"/>
      <c r="AI24" s="145">
        <v>63172</v>
      </c>
      <c r="AJ24" s="151"/>
      <c r="AK24" s="170" t="s">
        <v>62</v>
      </c>
      <c r="AL24" s="166"/>
      <c r="AM24" s="166"/>
      <c r="AN24" s="166"/>
      <c r="AO24" s="175">
        <v>113724</v>
      </c>
      <c r="AP24" s="181"/>
      <c r="AQ24" s="109" t="s">
        <v>62</v>
      </c>
      <c r="AR24" s="105"/>
      <c r="AS24" s="105"/>
      <c r="AT24" s="105"/>
      <c r="AU24" s="114">
        <v>107280</v>
      </c>
      <c r="AV24" s="121"/>
    </row>
    <row r="25" spans="1:48" ht="17.25" x14ac:dyDescent="0.35">
      <c r="A25" s="140" t="s">
        <v>63</v>
      </c>
      <c r="B25" s="136"/>
      <c r="C25" s="136"/>
      <c r="D25" s="136"/>
      <c r="E25" s="136"/>
      <c r="F25" s="153">
        <f>ROUND(+E23/E24,2)</f>
        <v>0.93</v>
      </c>
      <c r="G25" s="281" t="s">
        <v>63</v>
      </c>
      <c r="H25" s="277"/>
      <c r="I25" s="277"/>
      <c r="J25" s="277"/>
      <c r="K25" s="277"/>
      <c r="L25" s="295">
        <v>1.79</v>
      </c>
      <c r="M25" s="245" t="s">
        <v>63</v>
      </c>
      <c r="N25" s="241"/>
      <c r="O25" s="241"/>
      <c r="P25" s="241"/>
      <c r="Q25" s="241"/>
      <c r="R25" s="258">
        <f>ROUND(+Q23/Q24,2)</f>
        <v>0.83</v>
      </c>
      <c r="S25" s="200" t="s">
        <v>63</v>
      </c>
      <c r="T25" s="196"/>
      <c r="U25" s="196"/>
      <c r="V25" s="196"/>
      <c r="W25" s="196"/>
      <c r="X25" s="213">
        <f>ROUND(+W23/W24,2)</f>
        <v>0.23</v>
      </c>
      <c r="Y25" s="200" t="s">
        <v>63</v>
      </c>
      <c r="Z25" s="196"/>
      <c r="AA25" s="196"/>
      <c r="AB25" s="196"/>
      <c r="AC25" s="196"/>
      <c r="AD25" s="213">
        <f>ROUND(+AC23/AC24,2)</f>
        <v>0.6</v>
      </c>
      <c r="AE25" s="140" t="s">
        <v>63</v>
      </c>
      <c r="AF25" s="136"/>
      <c r="AG25" s="136"/>
      <c r="AH25" s="136"/>
      <c r="AI25" s="136"/>
      <c r="AJ25" s="153">
        <f>ROUND(+AI23/AI24,2)</f>
        <v>1.25</v>
      </c>
      <c r="AK25" s="170" t="s">
        <v>63</v>
      </c>
      <c r="AL25" s="166"/>
      <c r="AM25" s="166"/>
      <c r="AN25" s="166"/>
      <c r="AO25" s="166"/>
      <c r="AP25" s="183">
        <v>2.04</v>
      </c>
      <c r="AQ25" s="109" t="s">
        <v>63</v>
      </c>
      <c r="AR25" s="105"/>
      <c r="AS25" s="105"/>
      <c r="AT25" s="105"/>
      <c r="AU25" s="105"/>
      <c r="AV25" s="123">
        <f>ROUND(+AU23/AU24,2)</f>
        <v>1.71</v>
      </c>
    </row>
    <row r="26" spans="1:48" ht="15.75" x14ac:dyDescent="0.25">
      <c r="A26" s="140"/>
      <c r="B26" s="136"/>
      <c r="C26" s="136"/>
      <c r="D26" s="136"/>
      <c r="E26" s="136"/>
      <c r="F26" s="151"/>
      <c r="G26" s="281"/>
      <c r="H26" s="277"/>
      <c r="I26" s="277"/>
      <c r="J26" s="277"/>
      <c r="K26" s="277"/>
      <c r="L26" s="292"/>
      <c r="M26" s="245"/>
      <c r="N26" s="241"/>
      <c r="O26" s="241"/>
      <c r="P26" s="241"/>
      <c r="Q26" s="241"/>
      <c r="R26" s="256"/>
      <c r="S26" s="200"/>
      <c r="T26" s="196"/>
      <c r="U26" s="196"/>
      <c r="V26" s="196"/>
      <c r="W26" s="196"/>
      <c r="X26" s="211"/>
      <c r="Y26" s="200"/>
      <c r="Z26" s="196"/>
      <c r="AA26" s="196"/>
      <c r="AB26" s="196"/>
      <c r="AC26" s="196"/>
      <c r="AD26" s="211"/>
      <c r="AE26" s="140"/>
      <c r="AF26" s="136"/>
      <c r="AG26" s="136"/>
      <c r="AH26" s="136"/>
      <c r="AI26" s="136"/>
      <c r="AJ26" s="151"/>
      <c r="AK26" s="170"/>
      <c r="AL26" s="166"/>
      <c r="AM26" s="166"/>
      <c r="AN26" s="166"/>
      <c r="AO26" s="166"/>
      <c r="AP26" s="181"/>
      <c r="AQ26" s="109"/>
      <c r="AR26" s="105"/>
      <c r="AS26" s="105"/>
      <c r="AT26" s="105"/>
      <c r="AU26" s="105"/>
      <c r="AV26" s="121"/>
    </row>
    <row r="27" spans="1:48" ht="18.75" thickBot="1" x14ac:dyDescent="0.45">
      <c r="A27" s="133" t="s">
        <v>104</v>
      </c>
      <c r="B27" s="134"/>
      <c r="C27" s="136"/>
      <c r="D27" s="136"/>
      <c r="E27" s="136"/>
      <c r="F27" s="320">
        <f>SUM(F20:F25)</f>
        <v>0.23000000000000009</v>
      </c>
      <c r="G27" s="274" t="s">
        <v>104</v>
      </c>
      <c r="H27" s="275"/>
      <c r="I27" s="277"/>
      <c r="J27" s="277"/>
      <c r="K27" s="277"/>
      <c r="L27" s="296">
        <v>2.85</v>
      </c>
      <c r="M27" s="238" t="s">
        <v>104</v>
      </c>
      <c r="N27" s="239"/>
      <c r="O27" s="241"/>
      <c r="P27" s="241"/>
      <c r="Q27" s="241"/>
      <c r="R27" s="268">
        <f>SUM(R20:R25)</f>
        <v>1.37</v>
      </c>
      <c r="S27" s="193" t="s">
        <v>104</v>
      </c>
      <c r="T27" s="194"/>
      <c r="U27" s="196"/>
      <c r="V27" s="196"/>
      <c r="W27" s="196"/>
      <c r="X27" s="226">
        <f>SUM(X20:X25)</f>
        <v>-0.22</v>
      </c>
      <c r="Y27" s="194" t="s">
        <v>104</v>
      </c>
      <c r="Z27" s="194"/>
      <c r="AA27" s="196"/>
      <c r="AB27" s="196"/>
      <c r="AC27" s="196"/>
      <c r="AD27" s="214">
        <f>SUM(AD20:AD25)</f>
        <v>-2.9323025716979423E-2</v>
      </c>
      <c r="AE27" s="133" t="s">
        <v>64</v>
      </c>
      <c r="AF27" s="134"/>
      <c r="AG27" s="136"/>
      <c r="AH27" s="136"/>
      <c r="AI27" s="136"/>
      <c r="AJ27" s="154">
        <f>SUM(AJ20:AJ25)</f>
        <v>0.91155985412014207</v>
      </c>
      <c r="AK27" s="163" t="s">
        <v>64</v>
      </c>
      <c r="AL27" s="164"/>
      <c r="AM27" s="166"/>
      <c r="AN27" s="166"/>
      <c r="AO27" s="166"/>
      <c r="AP27" s="184">
        <f>SUM(AP20:AP25)</f>
        <v>2.3090529292929296</v>
      </c>
      <c r="AQ27" s="102" t="s">
        <v>64</v>
      </c>
      <c r="AR27" s="103"/>
      <c r="AS27" s="105"/>
      <c r="AT27" s="105"/>
      <c r="AU27" s="105"/>
      <c r="AV27" s="124">
        <f>SUM(AV20:AV25)</f>
        <v>1.06</v>
      </c>
    </row>
    <row r="28" spans="1:48" s="20" customFormat="1" ht="16.5" thickTop="1" x14ac:dyDescent="0.25">
      <c r="A28" s="133"/>
      <c r="B28" s="134"/>
      <c r="C28" s="136"/>
      <c r="D28" s="136"/>
      <c r="E28" s="136"/>
      <c r="F28" s="155"/>
      <c r="G28" s="274"/>
      <c r="H28" s="275"/>
      <c r="I28" s="277"/>
      <c r="J28" s="277"/>
      <c r="K28" s="277"/>
      <c r="L28" s="297"/>
      <c r="M28" s="238"/>
      <c r="N28" s="239"/>
      <c r="O28" s="241"/>
      <c r="P28" s="241"/>
      <c r="Q28" s="241"/>
      <c r="R28" s="259"/>
      <c r="S28" s="193"/>
      <c r="T28" s="194"/>
      <c r="U28" s="196"/>
      <c r="V28" s="196"/>
      <c r="W28" s="196"/>
      <c r="X28" s="215"/>
      <c r="Y28" s="193"/>
      <c r="Z28" s="194"/>
      <c r="AA28" s="196"/>
      <c r="AB28" s="196"/>
      <c r="AC28" s="196"/>
      <c r="AD28" s="215"/>
      <c r="AE28" s="133"/>
      <c r="AF28" s="134"/>
      <c r="AG28" s="136"/>
      <c r="AH28" s="136"/>
      <c r="AI28" s="136"/>
      <c r="AJ28" s="155"/>
      <c r="AK28" s="163"/>
      <c r="AL28" s="164"/>
      <c r="AM28" s="166"/>
      <c r="AN28" s="166"/>
      <c r="AO28" s="166"/>
      <c r="AP28" s="185"/>
      <c r="AQ28" s="102"/>
      <c r="AR28" s="103"/>
      <c r="AS28" s="105"/>
      <c r="AT28" s="105"/>
      <c r="AU28" s="105"/>
      <c r="AV28" s="125"/>
    </row>
    <row r="29" spans="1:48" s="20" customFormat="1" ht="21" thickBot="1" x14ac:dyDescent="0.6">
      <c r="A29" s="133"/>
      <c r="B29" s="134"/>
      <c r="C29" s="136"/>
      <c r="D29" s="321"/>
      <c r="E29" s="136"/>
      <c r="F29" s="322"/>
      <c r="G29" s="274"/>
      <c r="H29" s="275"/>
      <c r="I29" s="277"/>
      <c r="J29" s="298"/>
      <c r="K29" s="277"/>
      <c r="L29" s="299"/>
      <c r="M29" s="238"/>
      <c r="N29" s="239"/>
      <c r="O29" s="241"/>
      <c r="P29" s="260"/>
      <c r="Q29" s="241"/>
      <c r="R29" s="261"/>
      <c r="S29" s="193" t="s">
        <v>112</v>
      </c>
      <c r="T29" s="194"/>
      <c r="U29" s="196"/>
      <c r="V29" s="224">
        <v>8313.5</v>
      </c>
      <c r="W29" s="196"/>
      <c r="X29" s="225">
        <f>ROUND(-V29/12400/12,2)</f>
        <v>-0.06</v>
      </c>
      <c r="Y29" s="193" t="s">
        <v>105</v>
      </c>
      <c r="Z29" s="194"/>
      <c r="AA29" s="196"/>
      <c r="AB29" s="196"/>
      <c r="AC29" s="196"/>
      <c r="AD29" s="219">
        <v>0</v>
      </c>
      <c r="AE29" s="133"/>
      <c r="AF29" s="134"/>
      <c r="AG29" s="136"/>
      <c r="AH29" s="136"/>
      <c r="AI29" s="136"/>
      <c r="AJ29" s="155"/>
      <c r="AK29" s="163"/>
      <c r="AL29" s="164"/>
      <c r="AM29" s="166"/>
      <c r="AN29" s="166"/>
      <c r="AO29" s="166"/>
      <c r="AP29" s="185"/>
      <c r="AQ29" s="102"/>
      <c r="AR29" s="103"/>
      <c r="AS29" s="105"/>
      <c r="AT29" s="105"/>
      <c r="AU29" s="105"/>
      <c r="AV29" s="125"/>
    </row>
    <row r="30" spans="1:48" s="20" customFormat="1" ht="16.5" thickTop="1" x14ac:dyDescent="0.25">
      <c r="A30" s="133"/>
      <c r="B30" s="134"/>
      <c r="C30" s="136"/>
      <c r="D30" s="323"/>
      <c r="E30" s="136"/>
      <c r="F30" s="155"/>
      <c r="G30" s="274"/>
      <c r="H30" s="275"/>
      <c r="I30" s="277"/>
      <c r="J30" s="300"/>
      <c r="K30" s="277"/>
      <c r="L30" s="297"/>
      <c r="M30" s="238"/>
      <c r="N30" s="239"/>
      <c r="O30" s="241"/>
      <c r="P30" s="262"/>
      <c r="Q30" s="241"/>
      <c r="R30" s="259"/>
      <c r="S30" s="193"/>
      <c r="T30" s="194"/>
      <c r="U30" s="196"/>
      <c r="V30" s="221"/>
      <c r="W30" s="196"/>
      <c r="X30" s="215"/>
      <c r="Y30" s="193"/>
      <c r="Z30" s="194"/>
      <c r="AA30" s="196"/>
      <c r="AB30" s="196"/>
      <c r="AC30" s="196"/>
      <c r="AD30" s="222"/>
      <c r="AE30" s="133"/>
      <c r="AF30" s="134"/>
      <c r="AG30" s="136"/>
      <c r="AH30" s="136"/>
      <c r="AI30" s="136"/>
      <c r="AJ30" s="155"/>
      <c r="AK30" s="163"/>
      <c r="AL30" s="164"/>
      <c r="AM30" s="166"/>
      <c r="AN30" s="166"/>
      <c r="AO30" s="166"/>
      <c r="AP30" s="185"/>
      <c r="AQ30" s="102"/>
      <c r="AR30" s="103"/>
      <c r="AS30" s="105"/>
      <c r="AT30" s="105"/>
      <c r="AU30" s="105"/>
      <c r="AV30" s="125"/>
    </row>
    <row r="31" spans="1:48" s="20" customFormat="1" ht="18" x14ac:dyDescent="0.4">
      <c r="A31" s="133"/>
      <c r="B31" s="134"/>
      <c r="C31" s="136"/>
      <c r="D31" s="136"/>
      <c r="E31" s="136"/>
      <c r="F31" s="324"/>
      <c r="G31" s="274"/>
      <c r="H31" s="275"/>
      <c r="I31" s="277"/>
      <c r="J31" s="277"/>
      <c r="K31" s="277"/>
      <c r="L31" s="301"/>
      <c r="M31" s="238"/>
      <c r="N31" s="239"/>
      <c r="O31" s="241"/>
      <c r="P31" s="241"/>
      <c r="Q31" s="241"/>
      <c r="R31" s="263"/>
      <c r="S31" s="193" t="s">
        <v>113</v>
      </c>
      <c r="T31" s="194"/>
      <c r="U31" s="196"/>
      <c r="V31" s="196"/>
      <c r="W31" s="196"/>
      <c r="X31" s="223">
        <f>+X27+X29</f>
        <v>-0.28000000000000003</v>
      </c>
      <c r="Y31" s="193"/>
      <c r="Z31" s="194"/>
      <c r="AA31" s="196"/>
      <c r="AB31" s="196"/>
      <c r="AC31" s="196"/>
      <c r="AD31" s="215"/>
      <c r="AE31" s="133"/>
      <c r="AF31" s="134"/>
      <c r="AG31" s="136"/>
      <c r="AH31" s="136"/>
      <c r="AI31" s="136"/>
      <c r="AJ31" s="155"/>
      <c r="AK31" s="163"/>
      <c r="AL31" s="164"/>
      <c r="AM31" s="166"/>
      <c r="AN31" s="166"/>
      <c r="AO31" s="166"/>
      <c r="AP31" s="185"/>
      <c r="AQ31" s="102"/>
      <c r="AR31" s="103"/>
      <c r="AS31" s="105"/>
      <c r="AT31" s="105"/>
      <c r="AU31" s="105"/>
      <c r="AV31" s="125"/>
    </row>
    <row r="32" spans="1:48" ht="15.75" thickBot="1" x14ac:dyDescent="0.3">
      <c r="A32" s="156"/>
      <c r="B32" s="157"/>
      <c r="C32" s="157"/>
      <c r="D32" s="157"/>
      <c r="E32" s="157"/>
      <c r="F32" s="158"/>
      <c r="G32" s="302"/>
      <c r="H32" s="303"/>
      <c r="I32" s="303"/>
      <c r="J32" s="303"/>
      <c r="K32" s="303"/>
      <c r="L32" s="304"/>
      <c r="M32" s="264"/>
      <c r="N32" s="265"/>
      <c r="O32" s="265"/>
      <c r="P32" s="265"/>
      <c r="Q32" s="265"/>
      <c r="R32" s="266"/>
      <c r="S32" s="216"/>
      <c r="T32" s="217"/>
      <c r="U32" s="217"/>
      <c r="V32" s="217"/>
      <c r="W32" s="217"/>
      <c r="X32" s="218"/>
      <c r="Y32" s="216"/>
      <c r="Z32" s="217"/>
      <c r="AA32" s="217"/>
      <c r="AB32" s="217"/>
      <c r="AC32" s="217"/>
      <c r="AD32" s="218"/>
      <c r="AE32" s="156"/>
      <c r="AF32" s="157"/>
      <c r="AG32" s="157"/>
      <c r="AH32" s="157"/>
      <c r="AI32" s="157"/>
      <c r="AJ32" s="158"/>
      <c r="AK32" s="186"/>
      <c r="AL32" s="187"/>
      <c r="AM32" s="187"/>
      <c r="AN32" s="187"/>
      <c r="AO32" s="187"/>
      <c r="AP32" s="188"/>
      <c r="AQ32" s="126"/>
      <c r="AR32" s="127"/>
      <c r="AS32" s="127"/>
      <c r="AT32" s="127"/>
      <c r="AU32" s="127"/>
      <c r="AV32" s="128"/>
    </row>
    <row r="34" spans="41:41" x14ac:dyDescent="0.25">
      <c r="AO34" s="28"/>
    </row>
  </sheetData>
  <mergeCells count="8">
    <mergeCell ref="A5:F5"/>
    <mergeCell ref="M5:R5"/>
    <mergeCell ref="AK5:AP5"/>
    <mergeCell ref="AQ5:AV5"/>
    <mergeCell ref="AE5:AJ5"/>
    <mergeCell ref="Y5:AD5"/>
    <mergeCell ref="S5:X5"/>
    <mergeCell ref="G5:L5"/>
  </mergeCells>
  <pageMargins left="0.7" right="0" top="0.5" bottom="0.5" header="0.3" footer="0"/>
  <pageSetup scale="86" orientation="portrait" r:id="rId1"/>
  <headerFooter>
    <oddFooter>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68"/>
  <sheetViews>
    <sheetView workbookViewId="0">
      <selection activeCell="A17" sqref="A17"/>
    </sheetView>
  </sheetViews>
  <sheetFormatPr defaultRowHeight="15" x14ac:dyDescent="0.25"/>
  <cols>
    <col min="1" max="1" width="10.140625" style="20" customWidth="1"/>
    <col min="2" max="2" width="7.7109375" style="20" bestFit="1" customWidth="1"/>
    <col min="3" max="5" width="9.5703125" style="20" bestFit="1" customWidth="1"/>
    <col min="6" max="6" width="7.7109375" style="20" bestFit="1" customWidth="1"/>
    <col min="7" max="7" width="8" style="20" bestFit="1" customWidth="1"/>
    <col min="8" max="9" width="9.5703125" style="20" bestFit="1" customWidth="1"/>
    <col min="10" max="10" width="7.5703125" style="20" bestFit="1" customWidth="1"/>
    <col min="11" max="11" width="8.140625" style="20" bestFit="1" customWidth="1"/>
    <col min="12" max="12" width="7.85546875" style="20" bestFit="1" customWidth="1"/>
    <col min="13" max="13" width="9.5703125" style="20" bestFit="1" customWidth="1"/>
    <col min="14" max="14" width="2" style="20" customWidth="1"/>
    <col min="15" max="16" width="10" style="27" bestFit="1" customWidth="1"/>
    <col min="17" max="17" width="10" style="20" bestFit="1" customWidth="1"/>
    <col min="18" max="19" width="9" style="20" bestFit="1" customWidth="1"/>
    <col min="20" max="20" width="10.7109375" style="20" bestFit="1" customWidth="1"/>
    <col min="21" max="21" width="9" style="20" bestFit="1" customWidth="1"/>
    <col min="22" max="22" width="10" style="20" bestFit="1" customWidth="1"/>
    <col min="23" max="23" width="9.28515625" style="20" bestFit="1" customWidth="1"/>
    <col min="24" max="24" width="9" style="20" bestFit="1" customWidth="1"/>
    <col min="25" max="25" width="10" style="20" bestFit="1" customWidth="1"/>
    <col min="26" max="26" width="2.5703125" style="20" customWidth="1"/>
    <col min="27" max="27" width="11.85546875" style="20" bestFit="1" customWidth="1"/>
    <col min="28" max="29" width="9.5703125" style="20" bestFit="1" customWidth="1"/>
    <col min="30" max="30" width="10.5703125" style="20" bestFit="1" customWidth="1"/>
    <col min="31" max="31" width="9" style="20" bestFit="1" customWidth="1"/>
    <col min="32" max="32" width="8.7109375" style="20" bestFit="1" customWidth="1"/>
    <col min="33" max="33" width="9" style="20" bestFit="1" customWidth="1"/>
    <col min="34" max="35" width="10.5703125" style="20" bestFit="1" customWidth="1"/>
    <col min="36" max="36" width="9.7109375" style="20" bestFit="1" customWidth="1"/>
    <col min="37" max="16384" width="9.140625" style="20"/>
  </cols>
  <sheetData>
    <row r="1" spans="1:36" ht="26.25" x14ac:dyDescent="0.4">
      <c r="A1" s="34" t="s">
        <v>72</v>
      </c>
      <c r="O1" s="20"/>
      <c r="P1" s="20"/>
    </row>
    <row r="2" spans="1:36" ht="21" x14ac:dyDescent="0.35">
      <c r="A2" s="47" t="s">
        <v>65</v>
      </c>
      <c r="O2" s="20"/>
      <c r="P2" s="20"/>
    </row>
    <row r="3" spans="1:36" x14ac:dyDescent="0.25">
      <c r="O3" s="20"/>
      <c r="P3" s="20"/>
    </row>
    <row r="4" spans="1:36" ht="15.75" x14ac:dyDescent="0.25">
      <c r="C4" s="343" t="s">
        <v>66</v>
      </c>
      <c r="D4" s="343"/>
      <c r="E4" s="343"/>
      <c r="F4" s="343"/>
      <c r="G4" s="343"/>
      <c r="H4" s="343"/>
      <c r="I4" s="343"/>
      <c r="J4" s="343"/>
      <c r="K4" s="343"/>
      <c r="L4" s="343"/>
      <c r="M4" s="343"/>
      <c r="O4" s="343" t="s">
        <v>67</v>
      </c>
      <c r="P4" s="343"/>
      <c r="Q4" s="343"/>
      <c r="R4" s="343"/>
      <c r="S4" s="343"/>
      <c r="T4" s="343"/>
      <c r="U4" s="343"/>
      <c r="V4" s="343"/>
      <c r="W4" s="343"/>
      <c r="X4" s="343"/>
      <c r="AA4" s="343" t="s">
        <v>75</v>
      </c>
      <c r="AB4" s="343"/>
      <c r="AC4" s="343"/>
      <c r="AD4" s="343"/>
      <c r="AE4" s="343"/>
      <c r="AF4" s="343"/>
      <c r="AG4" s="343"/>
      <c r="AH4" s="343"/>
      <c r="AI4" s="343"/>
      <c r="AJ4" s="343"/>
    </row>
    <row r="5" spans="1:36" x14ac:dyDescent="0.25">
      <c r="C5" s="35"/>
      <c r="D5" s="38" t="s">
        <v>3</v>
      </c>
      <c r="E5" s="36"/>
      <c r="F5" s="35"/>
      <c r="G5" s="37"/>
      <c r="H5" s="35"/>
      <c r="I5" s="38"/>
      <c r="J5" s="38" t="s">
        <v>1</v>
      </c>
      <c r="K5" s="38" t="s">
        <v>2</v>
      </c>
      <c r="L5" s="38" t="s">
        <v>3</v>
      </c>
      <c r="O5" s="35"/>
      <c r="P5" s="38" t="s">
        <v>3</v>
      </c>
      <c r="Q5" s="36"/>
      <c r="R5" s="35"/>
      <c r="S5" s="37"/>
      <c r="T5" s="35"/>
      <c r="U5" s="38"/>
      <c r="V5" s="38" t="s">
        <v>1</v>
      </c>
      <c r="W5" s="38" t="s">
        <v>2</v>
      </c>
      <c r="X5" s="38" t="s">
        <v>3</v>
      </c>
      <c r="AA5" s="35"/>
      <c r="AB5" s="38" t="s">
        <v>3</v>
      </c>
      <c r="AC5" s="36"/>
      <c r="AD5" s="35"/>
      <c r="AE5" s="37"/>
      <c r="AF5" s="35"/>
      <c r="AG5" s="38"/>
      <c r="AH5" s="38" t="s">
        <v>1</v>
      </c>
      <c r="AI5" s="38" t="s">
        <v>2</v>
      </c>
      <c r="AJ5" s="38" t="s">
        <v>3</v>
      </c>
    </row>
    <row r="6" spans="1:36" x14ac:dyDescent="0.25">
      <c r="C6" s="39" t="s">
        <v>5</v>
      </c>
      <c r="D6" s="39" t="s">
        <v>76</v>
      </c>
      <c r="E6" s="39" t="s">
        <v>7</v>
      </c>
      <c r="F6" s="39" t="s">
        <v>8</v>
      </c>
      <c r="G6" s="39" t="s">
        <v>9</v>
      </c>
      <c r="H6" s="39" t="s">
        <v>10</v>
      </c>
      <c r="I6" s="39" t="s">
        <v>11</v>
      </c>
      <c r="J6" s="39" t="s">
        <v>12</v>
      </c>
      <c r="K6" s="39" t="s">
        <v>12</v>
      </c>
      <c r="L6" s="39" t="s">
        <v>77</v>
      </c>
      <c r="M6" s="39" t="s">
        <v>16</v>
      </c>
      <c r="O6" s="39" t="s">
        <v>5</v>
      </c>
      <c r="P6" s="39" t="s">
        <v>76</v>
      </c>
      <c r="Q6" s="39" t="s">
        <v>7</v>
      </c>
      <c r="R6" s="39" t="s">
        <v>8</v>
      </c>
      <c r="S6" s="39" t="s">
        <v>9</v>
      </c>
      <c r="T6" s="39" t="s">
        <v>10</v>
      </c>
      <c r="U6" s="39" t="s">
        <v>11</v>
      </c>
      <c r="V6" s="39" t="s">
        <v>12</v>
      </c>
      <c r="W6" s="39" t="s">
        <v>12</v>
      </c>
      <c r="X6" s="39" t="s">
        <v>77</v>
      </c>
      <c r="Y6" s="26" t="s">
        <v>16</v>
      </c>
      <c r="AA6" s="39" t="s">
        <v>5</v>
      </c>
      <c r="AB6" s="39" t="s">
        <v>76</v>
      </c>
      <c r="AC6" s="39" t="s">
        <v>7</v>
      </c>
      <c r="AD6" s="39" t="s">
        <v>8</v>
      </c>
      <c r="AE6" s="39" t="s">
        <v>9</v>
      </c>
      <c r="AF6" s="39" t="s">
        <v>10</v>
      </c>
      <c r="AG6" s="39" t="s">
        <v>11</v>
      </c>
      <c r="AH6" s="39" t="s">
        <v>12</v>
      </c>
      <c r="AI6" s="39" t="s">
        <v>12</v>
      </c>
      <c r="AJ6" s="39" t="s">
        <v>77</v>
      </c>
    </row>
    <row r="7" spans="1:36" x14ac:dyDescent="0.25">
      <c r="C7" s="40">
        <f>+'CRC Composition'!$AC8</f>
        <v>0</v>
      </c>
      <c r="D7" s="40">
        <f>+'CRC Composition'!$AC9</f>
        <v>0.43766104420018043</v>
      </c>
      <c r="E7" s="40">
        <f>+'CRC Composition'!$AC10</f>
        <v>0.27957293128590516</v>
      </c>
      <c r="F7" s="40">
        <f>+'CRC Composition'!$AC11</f>
        <v>9.1507523433781053E-3</v>
      </c>
      <c r="G7" s="40">
        <f>+'CRC Composition'!AC12</f>
        <v>7.2943958593797899E-3</v>
      </c>
      <c r="H7" s="40">
        <f>+'CRC Composition'!AC13</f>
        <v>0.23781699234718315</v>
      </c>
      <c r="I7" s="40">
        <f>+'CRC Composition'!AC14</f>
        <v>1.1546014111547822E-2</v>
      </c>
      <c r="J7" s="40">
        <f>+'CRC Composition'!$AC15</f>
        <v>1.2802298594832002E-2</v>
      </c>
      <c r="K7" s="40">
        <f>+'CRC Composition'!$AC16</f>
        <v>1.7793407751607749E-3</v>
      </c>
      <c r="L7" s="40">
        <f>+'CRC Composition'!$AC17</f>
        <v>2.376230482432665E-3</v>
      </c>
      <c r="M7" s="40">
        <f>+M20/$M$20</f>
        <v>1</v>
      </c>
      <c r="O7" s="20"/>
      <c r="P7" s="20"/>
      <c r="Y7" s="22"/>
      <c r="AA7" s="27"/>
    </row>
    <row r="8" spans="1:36" x14ac:dyDescent="0.25">
      <c r="A8" s="20" t="s">
        <v>126</v>
      </c>
      <c r="C8" s="41">
        <f>+'Tonnages Collected'!$E10*C$7</f>
        <v>0</v>
      </c>
      <c r="D8" s="41">
        <f>+'Tonnages Collected'!$E10*D$7</f>
        <v>301.65759689516653</v>
      </c>
      <c r="E8" s="41">
        <f>+'Tonnages Collected'!$E10*E$7</f>
        <v>192.6954654206551</v>
      </c>
      <c r="F8" s="41">
        <f>+'Tonnages Collected'!$E10*F$7</f>
        <v>6.3071502439309741</v>
      </c>
      <c r="G8" s="41">
        <f>+'Tonnages Collected'!$E10*G$7</f>
        <v>5.0276577157187461</v>
      </c>
      <c r="H8" s="41">
        <f>+'Tonnages Collected'!$E10*H$7</f>
        <v>163.91521101310278</v>
      </c>
      <c r="I8" s="41">
        <f>+'Tonnages Collected'!$E10*I$7</f>
        <v>7.9580828971704056</v>
      </c>
      <c r="J8" s="41">
        <f>+'Tonnages Collected'!$E10*J$7</f>
        <v>8.8239761798059444</v>
      </c>
      <c r="K8" s="41">
        <f>+'Tonnages Collected'!$E10*K$7</f>
        <v>1.2264094997842188</v>
      </c>
      <c r="L8" s="41">
        <f>+'Tonnages Collected'!$E10*L$7</f>
        <v>1.6378153516259066</v>
      </c>
      <c r="M8" s="28">
        <f t="shared" ref="M8:M19" si="0">SUM(C8:L8)</f>
        <v>689.24936521696065</v>
      </c>
      <c r="O8" s="59">
        <f>+C8*'CRC Prices'!B8</f>
        <v>0</v>
      </c>
      <c r="P8" s="59">
        <f>+D8*'CRC Prices'!C8</f>
        <v>10561.032467299779</v>
      </c>
      <c r="Q8" s="59">
        <f>+E8*'CRC Prices'!D8</f>
        <v>29881.285822780985</v>
      </c>
      <c r="R8" s="59">
        <f>+F8*'CRC Prices'!E8</f>
        <v>11683.238968852858</v>
      </c>
      <c r="S8" s="59">
        <f>+G8*'CRC Prices'!F8</f>
        <v>1266.668084898181</v>
      </c>
      <c r="T8" s="59">
        <f>+H8*'CRC Prices'!G8</f>
        <v>-10408.615899332026</v>
      </c>
      <c r="U8" s="59">
        <f>+I8*'CRC Prices'!H8</f>
        <v>5015.2634226257615</v>
      </c>
      <c r="V8" s="59">
        <f>+J8*'CRC Prices'!I8</f>
        <v>9529.8942741904193</v>
      </c>
      <c r="W8" s="59">
        <f>+K8*'CRC Prices'!J8</f>
        <v>588.67655989642503</v>
      </c>
      <c r="X8" s="59">
        <f>+L8*'CRC Prices'!K8</f>
        <v>-307.09037842985748</v>
      </c>
      <c r="Y8" s="59">
        <f>SUM(O8:X8)</f>
        <v>57810.353322782525</v>
      </c>
      <c r="AA8" s="62"/>
      <c r="AB8" s="62">
        <f t="shared" ref="AB8:AI19" si="1">+P8/D8</f>
        <v>35.01</v>
      </c>
      <c r="AC8" s="62">
        <f t="shared" si="1"/>
        <v>155.07</v>
      </c>
      <c r="AD8" s="62">
        <f t="shared" si="1"/>
        <v>1852.38</v>
      </c>
      <c r="AE8" s="62">
        <f t="shared" si="1"/>
        <v>251.94000000000003</v>
      </c>
      <c r="AF8" s="62">
        <f t="shared" si="1"/>
        <v>-63.5</v>
      </c>
      <c r="AG8" s="62">
        <f t="shared" si="1"/>
        <v>630.21</v>
      </c>
      <c r="AH8" s="62">
        <f t="shared" si="1"/>
        <v>1080</v>
      </c>
      <c r="AI8" s="62">
        <f t="shared" si="1"/>
        <v>480</v>
      </c>
      <c r="AJ8" s="62">
        <f>+X8/L8</f>
        <v>-187.5</v>
      </c>
    </row>
    <row r="9" spans="1:36" x14ac:dyDescent="0.25">
      <c r="A9" s="20" t="s">
        <v>36</v>
      </c>
      <c r="C9" s="41">
        <f>+'Tonnages Collected'!$E11*C$7</f>
        <v>0</v>
      </c>
      <c r="D9" s="41">
        <f>+'Tonnages Collected'!$E11*D$7</f>
        <v>364.57958944942959</v>
      </c>
      <c r="E9" s="41">
        <f>+'Tonnages Collected'!$E11*E$7</f>
        <v>232.88932350755215</v>
      </c>
      <c r="F9" s="41">
        <f>+'Tonnages Collected'!$E11*F$7</f>
        <v>7.6227427062854414</v>
      </c>
      <c r="G9" s="41">
        <f>+'Tonnages Collected'!$E11*G$7</f>
        <v>6.0763640788599274</v>
      </c>
      <c r="H9" s="41">
        <f>+'Tonnages Collected'!$E11*H$7</f>
        <v>198.10586887504033</v>
      </c>
      <c r="I9" s="41">
        <f>+'Tonnages Collected'!$E11*I$7</f>
        <v>9.6180392117331834</v>
      </c>
      <c r="J9" s="41">
        <f>+'Tonnages Collected'!$E11*J$7</f>
        <v>10.664546976627939</v>
      </c>
      <c r="K9" s="41">
        <f>+'Tonnages Collected'!$E11*K$7</f>
        <v>1.4822231448180549</v>
      </c>
      <c r="L9" s="41">
        <f>+'Tonnages Collected'!$E11*L$7</f>
        <v>1.9794430991812817</v>
      </c>
      <c r="M9" s="28">
        <f t="shared" si="0"/>
        <v>833.01814104952769</v>
      </c>
      <c r="O9" s="59">
        <f>+C9*'CRC Prices'!B9</f>
        <v>0</v>
      </c>
      <c r="P9" s="59">
        <f>+D9*'CRC Prices'!C9</f>
        <v>17193.573438435098</v>
      </c>
      <c r="Q9" s="59">
        <f>+E9*'CRC Prices'!D9</f>
        <v>34351.17521736394</v>
      </c>
      <c r="R9" s="59">
        <f>+F9*'CRC Prices'!E9</f>
        <v>12656.344624953968</v>
      </c>
      <c r="S9" s="59">
        <f>+G9*'CRC Prices'!F9</f>
        <v>1279.1961658815919</v>
      </c>
      <c r="T9" s="59">
        <f>+H9*'CRC Prices'!G9</f>
        <v>-12579.72267356506</v>
      </c>
      <c r="U9" s="59">
        <f>+I9*'CRC Prices'!H9</f>
        <v>5645.1157545425567</v>
      </c>
      <c r="V9" s="59">
        <f>+J9*'CRC Prices'!I9</f>
        <v>12210.90628823899</v>
      </c>
      <c r="W9" s="59">
        <f>+K9*'CRC Prices'!J9</f>
        <v>711.46710951266641</v>
      </c>
      <c r="X9" s="59">
        <f>+L9*'CRC Prices'!K9</f>
        <v>-371.14558109649033</v>
      </c>
      <c r="Y9" s="59">
        <f t="shared" ref="Y9:Y19" si="2">SUM(O9:X9)</f>
        <v>71096.910344267264</v>
      </c>
      <c r="AA9" s="62"/>
      <c r="AB9" s="62">
        <f t="shared" si="1"/>
        <v>47.16</v>
      </c>
      <c r="AC9" s="62">
        <f t="shared" si="1"/>
        <v>147.5</v>
      </c>
      <c r="AD9" s="62">
        <f t="shared" si="1"/>
        <v>1660.34</v>
      </c>
      <c r="AE9" s="62">
        <f t="shared" si="1"/>
        <v>210.52</v>
      </c>
      <c r="AF9" s="62">
        <f t="shared" si="1"/>
        <v>-63.499999999999993</v>
      </c>
      <c r="AG9" s="62">
        <f t="shared" si="1"/>
        <v>586.92999999999995</v>
      </c>
      <c r="AH9" s="62">
        <f t="shared" si="1"/>
        <v>1145</v>
      </c>
      <c r="AI9" s="62">
        <f t="shared" si="1"/>
        <v>480</v>
      </c>
      <c r="AJ9" s="62">
        <f t="shared" ref="AJ9:AJ20" si="3">+X9/L9</f>
        <v>-187.5</v>
      </c>
    </row>
    <row r="10" spans="1:36" x14ac:dyDescent="0.25">
      <c r="A10" s="20" t="s">
        <v>37</v>
      </c>
      <c r="C10" s="41">
        <f>+'Tonnages Collected'!$E12*C$7</f>
        <v>0</v>
      </c>
      <c r="D10" s="41">
        <f>+'Tonnages Collected'!$E12*D$7</f>
        <v>250.47250306803898</v>
      </c>
      <c r="E10" s="41">
        <f>+'Tonnages Collected'!$E12*E$7</f>
        <v>159.99900566252103</v>
      </c>
      <c r="F10" s="41">
        <f>+'Tonnages Collected'!$E12*F$7</f>
        <v>5.2369564867036722</v>
      </c>
      <c r="G10" s="41">
        <f>+'Tonnages Collected'!$E12*G$7</f>
        <v>4.1745675414335679</v>
      </c>
      <c r="H10" s="41">
        <f>+'Tonnages Collected'!$E12*H$7</f>
        <v>136.10216886944738</v>
      </c>
      <c r="I10" s="41">
        <f>+'Tonnages Collected'!$E12*I$7</f>
        <v>6.6077598024820752</v>
      </c>
      <c r="J10" s="41">
        <f>+'Tonnages Collected'!$E12*J$7</f>
        <v>7.3267287928996989</v>
      </c>
      <c r="K10" s="41">
        <f>+'Tonnages Collected'!$E12*K$7</f>
        <v>1.0183130156809153</v>
      </c>
      <c r="L10" s="41">
        <f>+'Tonnages Collected'!$E12*L$7</f>
        <v>1.3599117506315133</v>
      </c>
      <c r="M10" s="28">
        <f t="shared" si="0"/>
        <v>572.29791498983877</v>
      </c>
      <c r="O10" s="59">
        <f>+C10*'CRC Prices'!B10</f>
        <v>0</v>
      </c>
      <c r="P10" s="59">
        <f>+D10*'CRC Prices'!C10</f>
        <v>12541.158228616712</v>
      </c>
      <c r="Q10" s="59">
        <f>+E10*'CRC Prices'!D10</f>
        <v>25513.441442945605</v>
      </c>
      <c r="R10" s="59">
        <f>+F10*'CRC Prices'!E10</f>
        <v>7921.8393383069115</v>
      </c>
      <c r="S10" s="59">
        <f>+G10*'CRC Prices'!F10</f>
        <v>701.78654939039711</v>
      </c>
      <c r="T10" s="59">
        <f>+H10*'CRC Prices'!G10</f>
        <v>-8642.4877232099079</v>
      </c>
      <c r="U10" s="59">
        <f>+I10*'CRC Prices'!H10</f>
        <v>1850.172744694981</v>
      </c>
      <c r="V10" s="59">
        <f>+J10*'CRC Prices'!I10</f>
        <v>6300.9867618937415</v>
      </c>
      <c r="W10" s="59">
        <f>+K10*'CRC Prices'!J10</f>
        <v>346.22642533151117</v>
      </c>
      <c r="X10" s="59">
        <f>+L10*'CRC Prices'!K10</f>
        <v>-254.98345324340875</v>
      </c>
      <c r="Y10" s="59">
        <f t="shared" si="2"/>
        <v>46278.140314726537</v>
      </c>
      <c r="AA10" s="62"/>
      <c r="AB10" s="62">
        <f t="shared" si="1"/>
        <v>50.07</v>
      </c>
      <c r="AC10" s="62">
        <f t="shared" si="1"/>
        <v>159.46</v>
      </c>
      <c r="AD10" s="62">
        <f t="shared" si="1"/>
        <v>1512.68</v>
      </c>
      <c r="AE10" s="62">
        <f t="shared" si="1"/>
        <v>168.11</v>
      </c>
      <c r="AF10" s="62">
        <f t="shared" si="1"/>
        <v>-63.499999999999993</v>
      </c>
      <c r="AG10" s="62">
        <f t="shared" si="1"/>
        <v>280</v>
      </c>
      <c r="AH10" s="62">
        <f t="shared" si="1"/>
        <v>860</v>
      </c>
      <c r="AI10" s="62">
        <f t="shared" si="1"/>
        <v>340</v>
      </c>
      <c r="AJ10" s="62">
        <f t="shared" si="3"/>
        <v>-187.5</v>
      </c>
    </row>
    <row r="11" spans="1:36" x14ac:dyDescent="0.25">
      <c r="A11" s="20" t="s">
        <v>38</v>
      </c>
      <c r="C11" s="41">
        <f>+'Tonnages Collected'!$E13*C$7</f>
        <v>0</v>
      </c>
      <c r="D11" s="41">
        <f>+'Tonnages Collected'!$E13*D$7</f>
        <v>252.40006155023755</v>
      </c>
      <c r="E11" s="41">
        <f>+'Tonnages Collected'!$E13*E$7</f>
        <v>161.23030824755708</v>
      </c>
      <c r="F11" s="41">
        <f>+'Tonnages Collected'!$E13*F$7</f>
        <v>5.2772584750385292</v>
      </c>
      <c r="G11" s="41">
        <f>+'Tonnages Collected'!$E13*G$7</f>
        <v>4.2066937148675247</v>
      </c>
      <c r="H11" s="41">
        <f>+'Tonnages Collected'!$E13*H$7</f>
        <v>137.14956883086614</v>
      </c>
      <c r="I11" s="41">
        <f>+'Tonnages Collected'!$E13*I$7</f>
        <v>6.6586110667908978</v>
      </c>
      <c r="J11" s="41">
        <f>+'Tonnages Collected'!$E13*J$7</f>
        <v>7.3831130189466032</v>
      </c>
      <c r="K11" s="41">
        <f>+'Tonnages Collected'!$E13*K$7</f>
        <v>1.0261496359360964</v>
      </c>
      <c r="L11" s="41">
        <f>+'Tonnages Collected'!$E13*L$7</f>
        <v>1.3703772085075789</v>
      </c>
      <c r="M11" s="28">
        <f t="shared" si="0"/>
        <v>576.70214174874786</v>
      </c>
      <c r="O11" s="59">
        <f>+C11*'CRC Prices'!B11</f>
        <v>0</v>
      </c>
      <c r="P11" s="59">
        <f>+D11*'CRC Prices'!C11</f>
        <v>7892.5499246759282</v>
      </c>
      <c r="Q11" s="59">
        <f>+E11*'CRC Prices'!D11</f>
        <v>18833.312306397143</v>
      </c>
      <c r="R11" s="59">
        <f>+F11*'CRC Prices'!E11</f>
        <v>7019.9147686657525</v>
      </c>
      <c r="S11" s="59">
        <f>+G11*'CRC Prices'!F11</f>
        <v>651.11205318719544</v>
      </c>
      <c r="T11" s="59">
        <f>+H11*'CRC Prices'!G11</f>
        <v>-8708.9976207599993</v>
      </c>
      <c r="U11" s="59">
        <f>+I11*'CRC Prices'!H11</f>
        <v>481.08464957564235</v>
      </c>
      <c r="V11" s="59">
        <f>+J11*'CRC Prices'!I11</f>
        <v>5758.8281547783508</v>
      </c>
      <c r="W11" s="59">
        <f>+K11*'CRC Prices'!J11</f>
        <v>307.84489078082891</v>
      </c>
      <c r="X11" s="59">
        <f>+L11*'CRC Prices'!K11</f>
        <v>-256.94572659517104</v>
      </c>
      <c r="Y11" s="59">
        <f t="shared" si="2"/>
        <v>31978.703400705672</v>
      </c>
      <c r="AA11" s="62"/>
      <c r="AB11" s="62">
        <f t="shared" si="1"/>
        <v>31.27</v>
      </c>
      <c r="AC11" s="62">
        <f t="shared" si="1"/>
        <v>116.81</v>
      </c>
      <c r="AD11" s="62">
        <f t="shared" si="1"/>
        <v>1330.22</v>
      </c>
      <c r="AE11" s="62">
        <f t="shared" si="1"/>
        <v>154.78</v>
      </c>
      <c r="AF11" s="62">
        <f t="shared" si="1"/>
        <v>-63.499999999999993</v>
      </c>
      <c r="AG11" s="62">
        <f t="shared" si="1"/>
        <v>72.25</v>
      </c>
      <c r="AH11" s="62">
        <f t="shared" si="1"/>
        <v>780</v>
      </c>
      <c r="AI11" s="62">
        <f t="shared" si="1"/>
        <v>300</v>
      </c>
      <c r="AJ11" s="62">
        <f t="shared" si="3"/>
        <v>-187.5</v>
      </c>
    </row>
    <row r="12" spans="1:36" x14ac:dyDescent="0.25">
      <c r="A12" s="20" t="s">
        <v>39</v>
      </c>
      <c r="C12" s="41">
        <f>+'Tonnages Collected'!$E14*C$7</f>
        <v>0</v>
      </c>
      <c r="D12" s="41">
        <f>+'Tonnages Collected'!$E14*D$7</f>
        <v>252.80100759139179</v>
      </c>
      <c r="E12" s="41">
        <f>+'Tonnages Collected'!$E14*E$7</f>
        <v>161.48642804962404</v>
      </c>
      <c r="F12" s="41">
        <f>+'Tonnages Collected'!$E14*F$7</f>
        <v>5.2856415787537916</v>
      </c>
      <c r="G12" s="41">
        <f>+'Tonnages Collected'!$E14*G$7</f>
        <v>4.2133761902241673</v>
      </c>
      <c r="H12" s="41">
        <f>+'Tonnages Collected'!$E14*H$7</f>
        <v>137.36743556327104</v>
      </c>
      <c r="I12" s="41">
        <f>+'Tonnages Collected'!$E14*I$7</f>
        <v>6.6691884958549714</v>
      </c>
      <c r="J12" s="41">
        <f>+'Tonnages Collected'!$E14*J$7</f>
        <v>7.3948413438850329</v>
      </c>
      <c r="K12" s="41">
        <f>+'Tonnages Collected'!$E14*K$7</f>
        <v>1.0277797093664809</v>
      </c>
      <c r="L12" s="41">
        <f>+'Tonnages Collected'!$E14*L$7</f>
        <v>1.3725540990886049</v>
      </c>
      <c r="M12" s="28">
        <f t="shared" si="0"/>
        <v>577.61825262145976</v>
      </c>
      <c r="O12" s="59">
        <f>+C12*'CRC Prices'!B12</f>
        <v>0</v>
      </c>
      <c r="P12" s="59">
        <f>+D12*'CRC Prices'!C12</f>
        <v>1380.2935014489992</v>
      </c>
      <c r="Q12" s="59">
        <f>+E12*'CRC Prices'!D12</f>
        <v>13346.853278301427</v>
      </c>
      <c r="R12" s="59">
        <f>+F12*'CRC Prices'!E12</f>
        <v>6449.0641466532879</v>
      </c>
      <c r="S12" s="59">
        <f>+G12*'CRC Prices'!F12</f>
        <v>623.36900734366554</v>
      </c>
      <c r="T12" s="59">
        <f>+H12*'CRC Prices'!G12</f>
        <v>-8722.8321582677108</v>
      </c>
      <c r="U12" s="59">
        <f>+I12*'CRC Prices'!H12</f>
        <v>533.53507966839766</v>
      </c>
      <c r="V12" s="59">
        <f>+J12*'CRC Prices'!I12</f>
        <v>3460.3420584575624</v>
      </c>
      <c r="W12" s="59">
        <f>+K12*'CRC Prices'!J12</f>
        <v>113.05576803031289</v>
      </c>
      <c r="X12" s="59">
        <f>+L12*'CRC Prices'!K12</f>
        <v>-257.35389357911345</v>
      </c>
      <c r="Y12" s="59">
        <f t="shared" si="2"/>
        <v>16926.326788056827</v>
      </c>
      <c r="AA12" s="62"/>
      <c r="AB12" s="62">
        <f t="shared" si="1"/>
        <v>5.46</v>
      </c>
      <c r="AC12" s="62">
        <f t="shared" si="1"/>
        <v>82.65</v>
      </c>
      <c r="AD12" s="62">
        <f t="shared" si="1"/>
        <v>1220.1099999999999</v>
      </c>
      <c r="AE12" s="62">
        <f t="shared" si="1"/>
        <v>147.94999999999999</v>
      </c>
      <c r="AF12" s="62">
        <f t="shared" si="1"/>
        <v>-63.5</v>
      </c>
      <c r="AG12" s="62">
        <f t="shared" si="1"/>
        <v>79.999999999999986</v>
      </c>
      <c r="AH12" s="62">
        <f t="shared" si="1"/>
        <v>467.94</v>
      </c>
      <c r="AI12" s="62">
        <f t="shared" si="1"/>
        <v>110</v>
      </c>
      <c r="AJ12" s="62">
        <f t="shared" si="3"/>
        <v>-187.50000000000003</v>
      </c>
    </row>
    <row r="13" spans="1:36" x14ac:dyDescent="0.25">
      <c r="A13" s="20" t="s">
        <v>40</v>
      </c>
      <c r="C13" s="41">
        <f>+'Tonnages Collected'!$E15*C$7</f>
        <v>0</v>
      </c>
      <c r="D13" s="41">
        <f>+'Tonnages Collected'!$E15*D$7</f>
        <v>260.95408880041884</v>
      </c>
      <c r="E13" s="41">
        <f>+'Tonnages Collected'!$E15*E$7</f>
        <v>166.69452423004893</v>
      </c>
      <c r="F13" s="41">
        <f>+'Tonnages Collected'!$E15*F$7</f>
        <v>5.4561087198620424</v>
      </c>
      <c r="G13" s="41">
        <f>+'Tonnages Collected'!$E15*G$7</f>
        <v>4.3492617176212836</v>
      </c>
      <c r="H13" s="41">
        <f>+'Tonnages Collected'!$E15*H$7</f>
        <v>141.79767050692828</v>
      </c>
      <c r="I13" s="41">
        <f>+'Tonnages Collected'!$E15*I$7</f>
        <v>6.8842763862201135</v>
      </c>
      <c r="J13" s="41">
        <f>+'Tonnages Collected'!$E15*J$7</f>
        <v>7.6333322525210265</v>
      </c>
      <c r="K13" s="41">
        <f>+'Tonnages Collected'!$E15*K$7</f>
        <v>1.0609266161580839</v>
      </c>
      <c r="L13" s="41">
        <f>+'Tonnages Collected'!$E15*L$7</f>
        <v>1.4168203191494835</v>
      </c>
      <c r="M13" s="28">
        <f t="shared" si="0"/>
        <v>596.24700954892808</v>
      </c>
      <c r="O13" s="59">
        <f>+C13*'CRC Prices'!B13</f>
        <v>0</v>
      </c>
      <c r="P13" s="59">
        <f>+D13*'CRC Prices'!C13</f>
        <v>-3582.8996392297508</v>
      </c>
      <c r="Q13" s="59">
        <f>+E13*'CRC Prices'!D13</f>
        <v>8741.4608506237655</v>
      </c>
      <c r="R13" s="59">
        <f>+F13*'CRC Prices'!E13</f>
        <v>6317.7919699898548</v>
      </c>
      <c r="S13" s="59">
        <f>+G13*'CRC Prices'!F13</f>
        <v>623.85810077559688</v>
      </c>
      <c r="T13" s="59">
        <f>+H13*'CRC Prices'!G13</f>
        <v>-9004.1520771899468</v>
      </c>
      <c r="U13" s="59">
        <f>+I13*'CRC Prices'!H13</f>
        <v>550.74211089760911</v>
      </c>
      <c r="V13" s="59">
        <f>+J13*'CRC Prices'!I13</f>
        <v>5953.9991569664007</v>
      </c>
      <c r="W13" s="59">
        <f>+K13*'CRC Prices'!J13</f>
        <v>137.92046010055091</v>
      </c>
      <c r="X13" s="59">
        <f>+L13*'CRC Prices'!K13</f>
        <v>-265.65380984052814</v>
      </c>
      <c r="Y13" s="59">
        <f t="shared" si="2"/>
        <v>9473.0671230935532</v>
      </c>
      <c r="AA13" s="62"/>
      <c r="AB13" s="62">
        <f t="shared" si="1"/>
        <v>-13.73</v>
      </c>
      <c r="AC13" s="62">
        <f t="shared" si="1"/>
        <v>52.44</v>
      </c>
      <c r="AD13" s="62">
        <f t="shared" si="1"/>
        <v>1157.93</v>
      </c>
      <c r="AE13" s="62">
        <f t="shared" si="1"/>
        <v>143.44</v>
      </c>
      <c r="AF13" s="62">
        <f t="shared" si="1"/>
        <v>-63.500000000000007</v>
      </c>
      <c r="AG13" s="62">
        <f t="shared" si="1"/>
        <v>80</v>
      </c>
      <c r="AH13" s="62">
        <f t="shared" si="1"/>
        <v>780</v>
      </c>
      <c r="AI13" s="62">
        <f t="shared" si="1"/>
        <v>130</v>
      </c>
      <c r="AJ13" s="62">
        <f t="shared" si="3"/>
        <v>-187.5</v>
      </c>
    </row>
    <row r="14" spans="1:36" x14ac:dyDescent="0.25">
      <c r="A14" s="20" t="s">
        <v>41</v>
      </c>
      <c r="C14" s="41">
        <f>+'Tonnages Collected'!$E16*C$7</f>
        <v>0</v>
      </c>
      <c r="D14" s="41">
        <f>+'Tonnages Collected'!$E16*D$7</f>
        <v>289.85821812465412</v>
      </c>
      <c r="E14" s="41">
        <f>+'Tonnages Collected'!$E16*E$7</f>
        <v>185.15815554594755</v>
      </c>
      <c r="F14" s="41">
        <f>+'Tonnages Collected'!$E16*F$7</f>
        <v>6.0604451867514131</v>
      </c>
      <c r="G14" s="41">
        <f>+'Tonnages Collected'!$E16*G$7</f>
        <v>4.8310001863647916</v>
      </c>
      <c r="H14" s="41">
        <f>+'Tonnages Collected'!$E16*H$7</f>
        <v>157.50364478404404</v>
      </c>
      <c r="I14" s="41">
        <f>+'Tonnages Collected'!$E16*I$7</f>
        <v>7.6468013801215156</v>
      </c>
      <c r="J14" s="41">
        <f>+'Tonnages Collected'!$E16*J$7</f>
        <v>8.4788251268268517</v>
      </c>
      <c r="K14" s="41">
        <f>+'Tonnages Collected'!$E16*K$7</f>
        <v>1.1784383219831254</v>
      </c>
      <c r="L14" s="41">
        <f>+'Tonnages Collected'!$E16*L$7</f>
        <v>1.5737519768297796</v>
      </c>
      <c r="M14" s="28">
        <f t="shared" si="0"/>
        <v>662.28928063352305</v>
      </c>
      <c r="O14" s="59">
        <f>+C14*'CRC Prices'!B14</f>
        <v>0</v>
      </c>
      <c r="P14" s="59">
        <f>+D14*'CRC Prices'!C14</f>
        <v>-857.98032564897619</v>
      </c>
      <c r="Q14" s="59">
        <f>+E14*'CRC Prices'!D14</f>
        <v>9213.469819966349</v>
      </c>
      <c r="R14" s="59">
        <f>+F14*'CRC Prices'!E14</f>
        <v>7785.3690958046</v>
      </c>
      <c r="S14" s="59">
        <f>+G14*'CRC Prices'!F14</f>
        <v>713.49041752421601</v>
      </c>
      <c r="T14" s="59">
        <f>+H14*'CRC Prices'!G14</f>
        <v>-10001.481443786797</v>
      </c>
      <c r="U14" s="59">
        <f>+I14*'CRC Prices'!H14</f>
        <v>621.45554816247557</v>
      </c>
      <c r="V14" s="59">
        <f>+J14*'CRC Prices'!I14</f>
        <v>9241.9193882412692</v>
      </c>
      <c r="W14" s="59">
        <f>+K14*'CRC Prices'!J14</f>
        <v>188.55013151730006</v>
      </c>
      <c r="X14" s="59">
        <f>+L14*'CRC Prices'!K14</f>
        <v>-295.07849565558371</v>
      </c>
      <c r="Y14" s="59">
        <f t="shared" si="2"/>
        <v>16609.71413612485</v>
      </c>
      <c r="AA14" s="62"/>
      <c r="AB14" s="62">
        <f t="shared" si="1"/>
        <v>-2.96</v>
      </c>
      <c r="AC14" s="62">
        <f t="shared" si="1"/>
        <v>49.759999999999991</v>
      </c>
      <c r="AD14" s="62">
        <f t="shared" si="1"/>
        <v>1284.6199999999999</v>
      </c>
      <c r="AE14" s="62">
        <f t="shared" si="1"/>
        <v>147.69</v>
      </c>
      <c r="AF14" s="62">
        <f t="shared" si="1"/>
        <v>-63.5</v>
      </c>
      <c r="AG14" s="62">
        <f t="shared" si="1"/>
        <v>81.27</v>
      </c>
      <c r="AH14" s="62">
        <f t="shared" si="1"/>
        <v>1090</v>
      </c>
      <c r="AI14" s="62">
        <f t="shared" si="1"/>
        <v>160</v>
      </c>
      <c r="AJ14" s="62">
        <f t="shared" si="3"/>
        <v>-187.50000000000003</v>
      </c>
    </row>
    <row r="15" spans="1:36" x14ac:dyDescent="0.25">
      <c r="A15" s="20" t="s">
        <v>42</v>
      </c>
      <c r="C15" s="41">
        <f>+'Tonnages Collected'!$E17*C$7</f>
        <v>0</v>
      </c>
      <c r="D15" s="41">
        <f>+'Tonnages Collected'!$E17*D$7</f>
        <v>286.84134688484681</v>
      </c>
      <c r="E15" s="41">
        <f>+'Tonnages Collected'!$E17*E$7</f>
        <v>183.23101227605375</v>
      </c>
      <c r="F15" s="41">
        <f>+'Tonnages Collected'!$E17*F$7</f>
        <v>5.9973675106978179</v>
      </c>
      <c r="G15" s="41">
        <f>+'Tonnages Collected'!$E17*G$7</f>
        <v>4.7807186879962345</v>
      </c>
      <c r="H15" s="41">
        <f>+'Tonnages Collected'!$E17*H$7</f>
        <v>155.86433222914016</v>
      </c>
      <c r="I15" s="41">
        <f>+'Tonnages Collected'!$E17*I$7</f>
        <v>7.5672127615566742</v>
      </c>
      <c r="J15" s="41">
        <f>+'Tonnages Collected'!$E17*J$7</f>
        <v>8.3905767278751995</v>
      </c>
      <c r="K15" s="41">
        <f>+'Tonnages Collected'!$E17*K$7</f>
        <v>1.1661730265415147</v>
      </c>
      <c r="L15" s="41">
        <f>+'Tonnages Collected'!$E17*L$7</f>
        <v>1.5573722201742486</v>
      </c>
      <c r="M15" s="28">
        <f t="shared" si="0"/>
        <v>655.39611232488232</v>
      </c>
      <c r="O15" s="59">
        <f>+C15*'CRC Prices'!B15</f>
        <v>0</v>
      </c>
      <c r="P15" s="59">
        <f>+D15*'CRC Prices'!C15</f>
        <v>2045.1788032889579</v>
      </c>
      <c r="Q15" s="59">
        <f>+E15*'CRC Prices'!D15</f>
        <v>12104.240670956111</v>
      </c>
      <c r="R15" s="59">
        <f>+F15*'CRC Prices'!E15</f>
        <v>8043.5493579977001</v>
      </c>
      <c r="S15" s="59">
        <f>+G15*'CRC Prices'!F15</f>
        <v>785.23304450338151</v>
      </c>
      <c r="T15" s="59">
        <f>+H15*'CRC Prices'!G15</f>
        <v>-9897.3850965504007</v>
      </c>
      <c r="U15" s="59">
        <f>+I15*'CRC Prices'!H15</f>
        <v>644.27249451893522</v>
      </c>
      <c r="V15" s="59">
        <f>+J15*'CRC Prices'!I15</f>
        <v>9145.7286333839675</v>
      </c>
      <c r="W15" s="59">
        <f>+K15*'CRC Prices'!J15</f>
        <v>93.29384212332117</v>
      </c>
      <c r="X15" s="59">
        <f>+L15*'CRC Prices'!K15</f>
        <v>-292.00729128267159</v>
      </c>
      <c r="Y15" s="59">
        <f t="shared" si="2"/>
        <v>22672.104458939302</v>
      </c>
      <c r="AA15" s="62"/>
      <c r="AB15" s="62">
        <f t="shared" si="1"/>
        <v>7.13</v>
      </c>
      <c r="AC15" s="62">
        <f t="shared" si="1"/>
        <v>66.06</v>
      </c>
      <c r="AD15" s="62">
        <f t="shared" si="1"/>
        <v>1341.18</v>
      </c>
      <c r="AE15" s="62">
        <f t="shared" si="1"/>
        <v>164.25</v>
      </c>
      <c r="AF15" s="62">
        <f t="shared" si="1"/>
        <v>-63.5</v>
      </c>
      <c r="AG15" s="62">
        <f t="shared" si="1"/>
        <v>85.14</v>
      </c>
      <c r="AH15" s="62">
        <f t="shared" si="1"/>
        <v>1090</v>
      </c>
      <c r="AI15" s="62">
        <f t="shared" si="1"/>
        <v>80</v>
      </c>
      <c r="AJ15" s="62">
        <f t="shared" si="3"/>
        <v>-187.49999999999997</v>
      </c>
    </row>
    <row r="16" spans="1:36" x14ac:dyDescent="0.25">
      <c r="A16" s="20" t="s">
        <v>127</v>
      </c>
      <c r="C16" s="41">
        <f>+'Tonnages Collected'!$E18*C$7</f>
        <v>0</v>
      </c>
      <c r="D16" s="41">
        <f>+'Tonnages Collected'!$E18*D$7</f>
        <v>321.80472964618559</v>
      </c>
      <c r="E16" s="41">
        <f>+'Tonnages Collected'!$E18*E$7</f>
        <v>205.56522624321619</v>
      </c>
      <c r="F16" s="41">
        <f>+'Tonnages Collected'!$E18*F$7</f>
        <v>6.7283927206760898</v>
      </c>
      <c r="G16" s="41">
        <f>+'Tonnages Collected'!$E18*G$7</f>
        <v>5.363445338731843</v>
      </c>
      <c r="H16" s="41">
        <f>+'Tonnages Collected'!$E18*H$7</f>
        <v>174.86279380293703</v>
      </c>
      <c r="I16" s="41">
        <f>+'Tonnages Collected'!$E18*I$7</f>
        <v>8.4895880017099294</v>
      </c>
      <c r="J16" s="41">
        <f>+'Tonnages Collected'!$E18*J$7</f>
        <v>9.4133126371541831</v>
      </c>
      <c r="K16" s="41">
        <f>+'Tonnages Collected'!$E18*K$7</f>
        <v>1.3083190397844675</v>
      </c>
      <c r="L16" s="41">
        <f>+'Tonnages Collected'!$E18*L$7</f>
        <v>1.7472018999856733</v>
      </c>
      <c r="M16" s="28">
        <f t="shared" si="0"/>
        <v>735.28300933038099</v>
      </c>
      <c r="O16" s="59">
        <f>+C16*'CRC Prices'!B16</f>
        <v>0</v>
      </c>
      <c r="P16" s="59">
        <f>+D16*'CRC Prices'!C16</f>
        <v>7144.0649981453198</v>
      </c>
      <c r="Q16" s="59">
        <f>+E16*'CRC Prices'!D16</f>
        <v>14911.701511682904</v>
      </c>
      <c r="R16" s="59">
        <f>+F16*'CRC Prices'!E16</f>
        <v>10721.290096834109</v>
      </c>
      <c r="S16" s="59">
        <f>+G16*'CRC Prices'!F16</f>
        <v>1044.9600553451251</v>
      </c>
      <c r="T16" s="59">
        <f>+H16*'CRC Prices'!G16</f>
        <v>-11103.787406486501</v>
      </c>
      <c r="U16" s="59">
        <f>+I16*'CRC Prices'!H16</f>
        <v>997.86617372098522</v>
      </c>
      <c r="V16" s="59">
        <f>+J16*'CRC Prices'!I16</f>
        <v>10542.910153612685</v>
      </c>
      <c r="W16" s="59">
        <f>+K16*'CRC Prices'!J16</f>
        <v>0</v>
      </c>
      <c r="X16" s="59">
        <f>+L16*'CRC Prices'!K16</f>
        <v>-327.60035624731375</v>
      </c>
      <c r="Y16" s="59">
        <f t="shared" si="2"/>
        <v>33931.405226607305</v>
      </c>
      <c r="AA16" s="62"/>
      <c r="AB16" s="62">
        <f t="shared" si="1"/>
        <v>22.2</v>
      </c>
      <c r="AC16" s="62">
        <f t="shared" si="1"/>
        <v>72.540000000000006</v>
      </c>
      <c r="AD16" s="62">
        <f t="shared" si="1"/>
        <v>1593.44</v>
      </c>
      <c r="AE16" s="62">
        <f t="shared" si="1"/>
        <v>194.83</v>
      </c>
      <c r="AF16" s="62">
        <f t="shared" si="1"/>
        <v>-63.499999999999993</v>
      </c>
      <c r="AG16" s="62">
        <f t="shared" si="1"/>
        <v>117.54</v>
      </c>
      <c r="AH16" s="62">
        <f t="shared" si="1"/>
        <v>1120</v>
      </c>
      <c r="AI16" s="62">
        <f t="shared" si="1"/>
        <v>0</v>
      </c>
      <c r="AJ16" s="62">
        <f t="shared" si="3"/>
        <v>-187.5</v>
      </c>
    </row>
    <row r="17" spans="1:36" x14ac:dyDescent="0.25">
      <c r="A17" s="20" t="s">
        <v>43</v>
      </c>
      <c r="C17" s="41">
        <f>+'Tonnages Collected'!$E19*C$7</f>
        <v>0</v>
      </c>
      <c r="D17" s="41">
        <f>+'Tonnages Collected'!$E19*D$7</f>
        <v>270.92965992489349</v>
      </c>
      <c r="E17" s="41">
        <f>+'Tonnages Collected'!$E19*E$7</f>
        <v>173.06680638190707</v>
      </c>
      <c r="F17" s="41">
        <f>+'Tonnages Collected'!$E19*F$7</f>
        <v>5.6646810432467785</v>
      </c>
      <c r="G17" s="41">
        <f>+'Tonnages Collected'!$E19*G$7</f>
        <v>4.515522264840639</v>
      </c>
      <c r="H17" s="41">
        <f>+'Tonnages Collected'!$E19*H$7</f>
        <v>147.21821307795702</v>
      </c>
      <c r="I17" s="41">
        <f>+'Tonnages Collected'!$E19*I$7</f>
        <v>7.1474437082842002</v>
      </c>
      <c r="J17" s="41">
        <f>+'Tonnages Collected'!$E19*J$7</f>
        <v>7.9251339604452422</v>
      </c>
      <c r="K17" s="41">
        <f>+'Tonnages Collected'!$E19*K$7</f>
        <v>1.1014829797927133</v>
      </c>
      <c r="L17" s="41">
        <f>+'Tonnages Collected'!$E19*L$7</f>
        <v>1.4709815393443741</v>
      </c>
      <c r="M17" s="28">
        <f t="shared" si="0"/>
        <v>619.03992488071162</v>
      </c>
      <c r="O17" s="59">
        <f>+C17*'CRC Prices'!B17</f>
        <v>0</v>
      </c>
      <c r="P17" s="59">
        <f>+D17*'CRC Prices'!C17</f>
        <v>7897.5995868106447</v>
      </c>
      <c r="Q17" s="59">
        <f>+E17*'CRC Prices'!D17</f>
        <v>16226.743766367608</v>
      </c>
      <c r="R17" s="59">
        <f>+F17*'CRC Prices'!E17</f>
        <v>8577.9698569781631</v>
      </c>
      <c r="S17" s="59">
        <f>+G17*'CRC Prices'!F17</f>
        <v>978.69429568156011</v>
      </c>
      <c r="T17" s="59">
        <f>+H17*'CRC Prices'!G17</f>
        <v>-9348.3565304502699</v>
      </c>
      <c r="U17" s="59">
        <f>+I17*'CRC Prices'!H17</f>
        <v>841.75444552463023</v>
      </c>
      <c r="V17" s="59">
        <f>+J17*'CRC Prices'!I17</f>
        <v>9510.1607525342915</v>
      </c>
      <c r="W17" s="59">
        <f>+K17*'CRC Prices'!J17</f>
        <v>0</v>
      </c>
      <c r="X17" s="59">
        <f>+L17*'CRC Prices'!K17</f>
        <v>-275.80903862707015</v>
      </c>
      <c r="Y17" s="59">
        <f t="shared" si="2"/>
        <v>34408.757134819563</v>
      </c>
      <c r="AA17" s="62"/>
      <c r="AB17" s="62">
        <f t="shared" si="1"/>
        <v>29.15</v>
      </c>
      <c r="AC17" s="62">
        <f t="shared" si="1"/>
        <v>93.76</v>
      </c>
      <c r="AD17" s="62">
        <f t="shared" si="1"/>
        <v>1514.2899999999997</v>
      </c>
      <c r="AE17" s="62">
        <f t="shared" si="1"/>
        <v>216.74</v>
      </c>
      <c r="AF17" s="62">
        <f t="shared" si="1"/>
        <v>-63.499999999999993</v>
      </c>
      <c r="AG17" s="62">
        <f t="shared" si="1"/>
        <v>117.77</v>
      </c>
      <c r="AH17" s="62">
        <f t="shared" si="1"/>
        <v>1200</v>
      </c>
      <c r="AI17" s="62">
        <f t="shared" si="1"/>
        <v>0</v>
      </c>
      <c r="AJ17" s="62">
        <f t="shared" si="3"/>
        <v>-187.5</v>
      </c>
    </row>
    <row r="18" spans="1:36" x14ac:dyDescent="0.25">
      <c r="A18" s="20" t="s">
        <v>44</v>
      </c>
      <c r="C18" s="41">
        <f>+'Tonnages Collected'!$E20*C$7</f>
        <v>0</v>
      </c>
      <c r="D18" s="41">
        <f>+'Tonnages Collected'!$E20*D$7</f>
        <v>325.72974069797584</v>
      </c>
      <c r="E18" s="41">
        <f>+'Tonnages Collected'!$E20*E$7</f>
        <v>208.07247896680258</v>
      </c>
      <c r="F18" s="41">
        <f>+'Tonnages Collected'!$E20*F$7</f>
        <v>6.8104580645213293</v>
      </c>
      <c r="G18" s="41">
        <f>+'Tonnages Collected'!$E20*G$7</f>
        <v>5.4288625942623661</v>
      </c>
      <c r="H18" s="41">
        <f>+'Tonnages Collected'!$E20*H$7</f>
        <v>176.99557289222528</v>
      </c>
      <c r="I18" s="41">
        <f>+'Tonnages Collected'!$E20*I$7</f>
        <v>8.5931344187203109</v>
      </c>
      <c r="J18" s="41">
        <f>+'Tonnages Collected'!$E20*J$7</f>
        <v>9.528125605178019</v>
      </c>
      <c r="K18" s="41">
        <f>+'Tonnages Collected'!$E20*K$7</f>
        <v>1.3242764394661553</v>
      </c>
      <c r="L18" s="41">
        <f>+'Tonnages Collected'!$E20*L$7</f>
        <v>1.7685122976752676</v>
      </c>
      <c r="M18" s="28">
        <f t="shared" si="0"/>
        <v>744.25116197682712</v>
      </c>
      <c r="O18" s="59">
        <f>+C18*'CRC Prices'!B18</f>
        <v>0</v>
      </c>
      <c r="P18" s="59">
        <f>+D18*'CRC Prices'!C18</f>
        <v>11038.980912254401</v>
      </c>
      <c r="Q18" s="59">
        <f>+E18*'CRC Prices'!D18</f>
        <v>20268.340176156238</v>
      </c>
      <c r="R18" s="59">
        <f>+F18*'CRC Prices'!E18</f>
        <v>9779.8858852332742</v>
      </c>
      <c r="S18" s="59">
        <f>+G18*'CRC Prices'!F18</f>
        <v>1332.4600351357551</v>
      </c>
      <c r="T18" s="59">
        <f>+H18*'CRC Prices'!G18</f>
        <v>-11239.218878656306</v>
      </c>
      <c r="U18" s="59">
        <f>+I18*'CRC Prices'!H18</f>
        <v>1522.3596936204904</v>
      </c>
      <c r="V18" s="59">
        <f>+J18*'CRC Prices'!I18</f>
        <v>12100.719518576085</v>
      </c>
      <c r="W18" s="59">
        <f>+K18*'CRC Prices'!J18</f>
        <v>0</v>
      </c>
      <c r="X18" s="59">
        <f>+L18*'CRC Prices'!K18</f>
        <v>-331.59605581411267</v>
      </c>
      <c r="Y18" s="59">
        <f t="shared" si="2"/>
        <v>44471.931286505831</v>
      </c>
      <c r="AA18" s="62"/>
      <c r="AB18" s="62">
        <f t="shared" si="1"/>
        <v>33.89</v>
      </c>
      <c r="AC18" s="62">
        <f t="shared" si="1"/>
        <v>97.41</v>
      </c>
      <c r="AD18" s="62">
        <f t="shared" si="1"/>
        <v>1436.01</v>
      </c>
      <c r="AE18" s="62">
        <f t="shared" si="1"/>
        <v>245.44</v>
      </c>
      <c r="AF18" s="62">
        <f t="shared" si="1"/>
        <v>-63.5</v>
      </c>
      <c r="AG18" s="62">
        <f t="shared" si="1"/>
        <v>177.16</v>
      </c>
      <c r="AH18" s="62">
        <f t="shared" si="1"/>
        <v>1270</v>
      </c>
      <c r="AI18" s="62">
        <f t="shared" si="1"/>
        <v>0</v>
      </c>
      <c r="AJ18" s="62">
        <f t="shared" si="3"/>
        <v>-187.5</v>
      </c>
    </row>
    <row r="19" spans="1:36" ht="17.25" x14ac:dyDescent="0.4">
      <c r="A19" s="20" t="s">
        <v>45</v>
      </c>
      <c r="C19" s="43">
        <f>+'Tonnages Collected'!$E21*C$7</f>
        <v>0</v>
      </c>
      <c r="D19" s="43">
        <f>+'Tonnages Collected'!$E21*D$7</f>
        <v>285.34060736504466</v>
      </c>
      <c r="E19" s="43">
        <f>+'Tonnages Collected'!$E21*E$7</f>
        <v>182.2723568229178</v>
      </c>
      <c r="F19" s="43">
        <f>+'Tonnages Collected'!$E21*F$7</f>
        <v>5.9659895851099334</v>
      </c>
      <c r="G19" s="43">
        <f>+'Tonnages Collected'!$E21*G$7</f>
        <v>4.7557062079404471</v>
      </c>
      <c r="H19" s="43">
        <f>+'Tonnages Collected'!$E21*H$7</f>
        <v>155.04885787147114</v>
      </c>
      <c r="I19" s="43">
        <f>+'Tonnages Collected'!$E21*I$7</f>
        <v>7.5276214844644702</v>
      </c>
      <c r="J19" s="43">
        <f>+'Tonnages Collected'!$E21*J$7</f>
        <v>8.3466776518660861</v>
      </c>
      <c r="K19" s="43">
        <f>+'Tonnages Collected'!$E21*K$7</f>
        <v>1.160071667839693</v>
      </c>
      <c r="L19" s="43">
        <f>+'Tonnages Collected'!$E21*L$7</f>
        <v>1.549224126939992</v>
      </c>
      <c r="M19" s="44">
        <f t="shared" si="0"/>
        <v>651.96711278359419</v>
      </c>
      <c r="O19" s="60">
        <f>+C19*'CRC Prices'!B19</f>
        <v>0</v>
      </c>
      <c r="P19" s="60">
        <f>+D19*'CRC Prices'!C19</f>
        <v>9070.9779081347697</v>
      </c>
      <c r="Q19" s="60">
        <f>+E19*'CRC Prices'!D19</f>
        <v>20297.849655800124</v>
      </c>
      <c r="R19" s="60">
        <f>+F19*'CRC Prices'!E19</f>
        <v>8688.1513130038929</v>
      </c>
      <c r="S19" s="60">
        <f>+G19*'CRC Prices'!F19</f>
        <v>1141.8926175885808</v>
      </c>
      <c r="T19" s="60">
        <f>+H19*'CRC Prices'!G19</f>
        <v>-9845.602474838417</v>
      </c>
      <c r="U19" s="60">
        <f>+I19*'CRC Prices'!H19</f>
        <v>1505.524296892894</v>
      </c>
      <c r="V19" s="60">
        <f>+J19*'CRC Prices'!I19</f>
        <v>10391.613676573277</v>
      </c>
      <c r="W19" s="60">
        <f>+K19*'CRC Prices'!J19</f>
        <v>313.21935031671711</v>
      </c>
      <c r="X19" s="60">
        <f>+L19*'CRC Prices'!K19</f>
        <v>-290.47952380124849</v>
      </c>
      <c r="Y19" s="60">
        <f t="shared" si="2"/>
        <v>41273.146819670583</v>
      </c>
      <c r="AA19" s="63"/>
      <c r="AB19" s="63">
        <f t="shared" si="1"/>
        <v>31.79</v>
      </c>
      <c r="AC19" s="63">
        <f t="shared" si="1"/>
        <v>111.35999999999999</v>
      </c>
      <c r="AD19" s="63">
        <f t="shared" si="1"/>
        <v>1456.2799999999997</v>
      </c>
      <c r="AE19" s="63">
        <f t="shared" si="1"/>
        <v>240.11</v>
      </c>
      <c r="AF19" s="63">
        <f t="shared" si="1"/>
        <v>-63.5</v>
      </c>
      <c r="AG19" s="63">
        <f t="shared" si="1"/>
        <v>200</v>
      </c>
      <c r="AH19" s="63">
        <f t="shared" si="1"/>
        <v>1245</v>
      </c>
      <c r="AI19" s="63">
        <f t="shared" si="1"/>
        <v>270</v>
      </c>
      <c r="AJ19" s="63">
        <f t="shared" si="3"/>
        <v>-187.5</v>
      </c>
    </row>
    <row r="20" spans="1:36" ht="17.25" x14ac:dyDescent="0.4">
      <c r="C20" s="32">
        <f>SUM(C8:C19)</f>
        <v>0</v>
      </c>
      <c r="D20" s="32">
        <f t="shared" ref="D20:M20" si="4">SUM(D8:D19)</f>
        <v>3463.3691499982842</v>
      </c>
      <c r="E20" s="32">
        <f t="shared" si="4"/>
        <v>2212.3610913548027</v>
      </c>
      <c r="F20" s="32">
        <f t="shared" si="4"/>
        <v>72.413192321577824</v>
      </c>
      <c r="G20" s="32">
        <f t="shared" si="4"/>
        <v>57.723176238861541</v>
      </c>
      <c r="H20" s="32">
        <f t="shared" si="4"/>
        <v>1881.9313383164306</v>
      </c>
      <c r="I20" s="32">
        <f t="shared" si="4"/>
        <v>91.367759615108753</v>
      </c>
      <c r="J20" s="32">
        <f t="shared" si="4"/>
        <v>101.30919027403182</v>
      </c>
      <c r="K20" s="32">
        <f t="shared" si="4"/>
        <v>14.08056309715152</v>
      </c>
      <c r="L20" s="32">
        <f t="shared" si="4"/>
        <v>18.803965889133707</v>
      </c>
      <c r="M20" s="32">
        <f t="shared" si="4"/>
        <v>7913.3594271053835</v>
      </c>
      <c r="O20" s="61">
        <f>SUM(O8:O19)</f>
        <v>0</v>
      </c>
      <c r="P20" s="61">
        <f t="shared" ref="P20:X20" si="5">SUM(P8:P19)</f>
        <v>82324.529804231875</v>
      </c>
      <c r="Q20" s="61">
        <f t="shared" si="5"/>
        <v>223689.87451934221</v>
      </c>
      <c r="R20" s="61">
        <f t="shared" si="5"/>
        <v>105644.40942327438</v>
      </c>
      <c r="S20" s="61">
        <f t="shared" si="5"/>
        <v>11142.720427255246</v>
      </c>
      <c r="T20" s="61">
        <f t="shared" si="5"/>
        <v>-119502.63998309334</v>
      </c>
      <c r="U20" s="61">
        <f t="shared" si="5"/>
        <v>20209.146414445357</v>
      </c>
      <c r="V20" s="61">
        <f t="shared" si="5"/>
        <v>104148.00881744704</v>
      </c>
      <c r="W20" s="61">
        <f t="shared" si="5"/>
        <v>2800.2545376096336</v>
      </c>
      <c r="X20" s="61">
        <f t="shared" si="5"/>
        <v>-3525.7436042125696</v>
      </c>
      <c r="Y20" s="61">
        <f t="shared" ref="Y20" si="6">SUM(Y8:Y19)</f>
        <v>426930.5603562998</v>
      </c>
      <c r="AA20" s="64" t="e">
        <f t="shared" ref="AA20" si="7">+O20/C20</f>
        <v>#DIV/0!</v>
      </c>
      <c r="AB20" s="64">
        <f t="shared" ref="AB20" si="8">+P20/D20</f>
        <v>23.770070771772239</v>
      </c>
      <c r="AC20" s="64">
        <f t="shared" ref="AC20" si="9">+Q20/E20</f>
        <v>101.10911613544934</v>
      </c>
      <c r="AD20" s="64">
        <f t="shared" ref="AD20" si="10">+R20/F20</f>
        <v>1458.9110911464988</v>
      </c>
      <c r="AE20" s="64">
        <f t="shared" ref="AE20" si="11">+S20/G20</f>
        <v>193.03720192295177</v>
      </c>
      <c r="AF20" s="64">
        <f t="shared" ref="AF20" si="12">+T20/H20</f>
        <v>-63.5</v>
      </c>
      <c r="AG20" s="64">
        <f t="shared" ref="AG20" si="13">+U20/I20</f>
        <v>221.18465528297284</v>
      </c>
      <c r="AH20" s="64">
        <f t="shared" ref="AH20" si="14">+V20/J20</f>
        <v>1028.0213328695697</v>
      </c>
      <c r="AI20" s="64">
        <f t="shared" ref="AI20" si="15">+W20/K20</f>
        <v>198.87376082112237</v>
      </c>
      <c r="AJ20" s="64">
        <f t="shared" si="3"/>
        <v>-187.49999999999997</v>
      </c>
    </row>
    <row r="21" spans="1:36" x14ac:dyDescent="0.25"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</row>
    <row r="22" spans="1:36" x14ac:dyDescent="0.25"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42"/>
      <c r="AA22" s="27"/>
    </row>
    <row r="23" spans="1:36" ht="15.75" x14ac:dyDescent="0.25">
      <c r="C23" s="343" t="s">
        <v>66</v>
      </c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O23" s="344" t="s">
        <v>67</v>
      </c>
      <c r="P23" s="344"/>
      <c r="Q23" s="344"/>
      <c r="R23" s="344"/>
      <c r="S23" s="344"/>
      <c r="T23" s="344"/>
      <c r="U23" s="344"/>
      <c r="V23" s="344"/>
      <c r="W23" s="344"/>
      <c r="X23" s="344"/>
      <c r="Y23" s="344"/>
    </row>
    <row r="24" spans="1:36" x14ac:dyDescent="0.25">
      <c r="B24" s="45" t="s">
        <v>82</v>
      </c>
      <c r="C24" s="35"/>
      <c r="D24" s="38" t="s">
        <v>3</v>
      </c>
      <c r="E24" s="36"/>
      <c r="F24" s="35"/>
      <c r="G24" s="37"/>
      <c r="H24" s="35"/>
      <c r="I24" s="38"/>
      <c r="J24" s="38" t="s">
        <v>1</v>
      </c>
      <c r="K24" s="38" t="s">
        <v>2</v>
      </c>
      <c r="L24" s="38" t="s">
        <v>3</v>
      </c>
      <c r="O24" s="65"/>
      <c r="P24" s="66" t="s">
        <v>3</v>
      </c>
      <c r="Q24" s="65"/>
      <c r="R24" s="65"/>
      <c r="S24" s="65"/>
      <c r="T24" s="65"/>
      <c r="U24" s="66"/>
      <c r="V24" s="66" t="s">
        <v>1</v>
      </c>
      <c r="W24" s="66" t="s">
        <v>2</v>
      </c>
      <c r="X24" s="66" t="s">
        <v>3</v>
      </c>
      <c r="Y24" s="59"/>
      <c r="AB24" s="45" t="s">
        <v>78</v>
      </c>
      <c r="AC24" s="45" t="s">
        <v>119</v>
      </c>
    </row>
    <row r="25" spans="1:36" ht="17.25" x14ac:dyDescent="0.4">
      <c r="B25" s="26" t="s">
        <v>83</v>
      </c>
      <c r="C25" s="39" t="str">
        <f>+C6</f>
        <v>ONP 6</v>
      </c>
      <c r="D25" s="39" t="s">
        <v>76</v>
      </c>
      <c r="E25" s="39" t="str">
        <f t="shared" ref="E25:L25" si="16">+E6</f>
        <v>OCC</v>
      </c>
      <c r="F25" s="39" t="str">
        <f t="shared" si="16"/>
        <v>Alum.</v>
      </c>
      <c r="G25" s="39" t="str">
        <f t="shared" si="16"/>
        <v>Tin</v>
      </c>
      <c r="H25" s="39" t="str">
        <f t="shared" si="16"/>
        <v>Glass</v>
      </c>
      <c r="I25" s="39" t="str">
        <f t="shared" si="16"/>
        <v>PET</v>
      </c>
      <c r="J25" s="39" t="str">
        <f t="shared" si="16"/>
        <v>HDPE</v>
      </c>
      <c r="K25" s="39" t="str">
        <f t="shared" si="16"/>
        <v>HDPE</v>
      </c>
      <c r="L25" s="39" t="str">
        <f t="shared" si="16"/>
        <v>Plastics</v>
      </c>
      <c r="M25" s="39" t="s">
        <v>16</v>
      </c>
      <c r="O25" s="67" t="str">
        <f>+O6</f>
        <v>ONP 6</v>
      </c>
      <c r="P25" s="67" t="s">
        <v>76</v>
      </c>
      <c r="Q25" s="67" t="str">
        <f t="shared" ref="Q25:X25" si="17">+Q6</f>
        <v>OCC</v>
      </c>
      <c r="R25" s="67" t="str">
        <f t="shared" si="17"/>
        <v>Alum.</v>
      </c>
      <c r="S25" s="67" t="str">
        <f t="shared" si="17"/>
        <v>Tin</v>
      </c>
      <c r="T25" s="67" t="str">
        <f t="shared" si="17"/>
        <v>Glass</v>
      </c>
      <c r="U25" s="67" t="str">
        <f t="shared" si="17"/>
        <v>PET</v>
      </c>
      <c r="V25" s="67" t="str">
        <f t="shared" si="17"/>
        <v>HDPE</v>
      </c>
      <c r="W25" s="67" t="str">
        <f t="shared" si="17"/>
        <v>HDPE</v>
      </c>
      <c r="X25" s="67" t="str">
        <f t="shared" si="17"/>
        <v>Plastics</v>
      </c>
      <c r="Y25" s="68" t="s">
        <v>16</v>
      </c>
      <c r="AA25" s="69" t="s">
        <v>55</v>
      </c>
      <c r="AB25" s="26" t="s">
        <v>79</v>
      </c>
      <c r="AC25" s="26" t="s">
        <v>120</v>
      </c>
    </row>
    <row r="26" spans="1:36" x14ac:dyDescent="0.25"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AA26" s="27"/>
    </row>
    <row r="27" spans="1:36" x14ac:dyDescent="0.25"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AA27" s="27"/>
    </row>
    <row r="28" spans="1:36" x14ac:dyDescent="0.25">
      <c r="A28" s="20" t="str">
        <f>+A8</f>
        <v>May, 22</v>
      </c>
      <c r="B28" s="76">
        <f>+Customers!C$21</f>
        <v>0.37274201348391317</v>
      </c>
      <c r="C28" s="28">
        <f>+C8*$B28</f>
        <v>0</v>
      </c>
      <c r="D28" s="28">
        <f>+D8*$B28</f>
        <v>112.44046004942301</v>
      </c>
      <c r="E28" s="28">
        <f t="shared" ref="E28:L28" si="18">+E8*$B28</f>
        <v>71.825695770114748</v>
      </c>
      <c r="F28" s="28">
        <f t="shared" si="18"/>
        <v>2.3509398812683853</v>
      </c>
      <c r="G28" s="28">
        <f t="shared" si="18"/>
        <v>1.874019260064937</v>
      </c>
      <c r="H28" s="28">
        <f t="shared" si="18"/>
        <v>61.098085793664431</v>
      </c>
      <c r="I28" s="28">
        <f t="shared" si="18"/>
        <v>2.96631184256319</v>
      </c>
      <c r="J28" s="28">
        <f t="shared" si="18"/>
        <v>3.289066648194956</v>
      </c>
      <c r="K28" s="28">
        <f t="shared" si="18"/>
        <v>0.45713434630536848</v>
      </c>
      <c r="L28" s="28">
        <f t="shared" si="18"/>
        <v>0.61048259187990372</v>
      </c>
      <c r="M28" s="28">
        <f>SUM(C28:L28)</f>
        <v>256.91219618347895</v>
      </c>
      <c r="O28" s="59">
        <f t="shared" ref="O28:X28" si="19">+O8*$B$40</f>
        <v>0</v>
      </c>
      <c r="P28" s="59">
        <f t="shared" si="19"/>
        <v>3742.4795650328938</v>
      </c>
      <c r="Q28" s="59">
        <f t="shared" si="19"/>
        <v>10588.936442996981</v>
      </c>
      <c r="R28" s="59">
        <f t="shared" si="19"/>
        <v>4140.1523222006654</v>
      </c>
      <c r="S28" s="59">
        <f t="shared" si="19"/>
        <v>448.86515007777717</v>
      </c>
      <c r="T28" s="59">
        <f t="shared" si="19"/>
        <v>-3688.4681894635119</v>
      </c>
      <c r="U28" s="59">
        <f t="shared" si="19"/>
        <v>1777.2429855272276</v>
      </c>
      <c r="V28" s="59">
        <f t="shared" si="19"/>
        <v>3377.0783953664413</v>
      </c>
      <c r="W28" s="59">
        <f t="shared" si="19"/>
        <v>208.60744464594183</v>
      </c>
      <c r="X28" s="59">
        <f t="shared" si="19"/>
        <v>-108.82264299920337</v>
      </c>
      <c r="Y28" s="59">
        <f>SUM(O28:X28)</f>
        <v>20486.071473385215</v>
      </c>
      <c r="AA28" s="22">
        <f>+Customers!C$20</f>
        <v>13103</v>
      </c>
      <c r="AB28" s="28">
        <f t="shared" ref="AB28:AB40" si="20">+M28*2000/AA28</f>
        <v>39.214255694646866</v>
      </c>
      <c r="AC28" s="42">
        <f t="shared" ref="AC28:AC40" si="21">+Y28/M28</f>
        <v>79.739583319566037</v>
      </c>
    </row>
    <row r="29" spans="1:36" x14ac:dyDescent="0.25">
      <c r="A29" s="20" t="str">
        <f t="shared" ref="A29:A39" si="22">+A9</f>
        <v>Jun</v>
      </c>
      <c r="B29" s="76">
        <f>+Customers!D$21</f>
        <v>0.37390736746509251</v>
      </c>
      <c r="C29" s="28">
        <f t="shared" ref="C29:D36" si="23">+C9*$B29</f>
        <v>0</v>
      </c>
      <c r="D29" s="28">
        <f t="shared" si="23"/>
        <v>136.31899452254044</v>
      </c>
      <c r="E29" s="28">
        <f t="shared" ref="E29:L29" si="24">+E9*$B29</f>
        <v>87.079033863435114</v>
      </c>
      <c r="F29" s="28">
        <f t="shared" si="24"/>
        <v>2.8501996581709244</v>
      </c>
      <c r="G29" s="28">
        <f t="shared" si="24"/>
        <v>2.2719972964859672</v>
      </c>
      <c r="H29" s="28">
        <f t="shared" si="24"/>
        <v>74.07324391045114</v>
      </c>
      <c r="I29" s="28">
        <f t="shared" si="24"/>
        <v>3.5962557218351883</v>
      </c>
      <c r="J29" s="28">
        <f t="shared" si="24"/>
        <v>3.9875526852387639</v>
      </c>
      <c r="K29" s="28">
        <f t="shared" si="24"/>
        <v>0.5542141540747495</v>
      </c>
      <c r="L29" s="28">
        <f t="shared" si="24"/>
        <v>0.74012835826181711</v>
      </c>
      <c r="M29" s="28">
        <f t="shared" ref="M29:M36" si="25">SUM(C29:L29)</f>
        <v>311.47162017049413</v>
      </c>
      <c r="O29" s="59">
        <f t="shared" ref="O29:X29" si="26">+O9*$B$40</f>
        <v>0</v>
      </c>
      <c r="P29" s="59">
        <f t="shared" si="26"/>
        <v>6092.8320637657971</v>
      </c>
      <c r="Q29" s="59">
        <f t="shared" si="26"/>
        <v>12172.916964691283</v>
      </c>
      <c r="R29" s="59">
        <f t="shared" si="26"/>
        <v>4484.9886858661075</v>
      </c>
      <c r="S29" s="59">
        <f t="shared" si="26"/>
        <v>453.30468638397326</v>
      </c>
      <c r="T29" s="59">
        <f t="shared" si="26"/>
        <v>-4457.8364080756719</v>
      </c>
      <c r="U29" s="59">
        <f t="shared" si="26"/>
        <v>2000.441757852336</v>
      </c>
      <c r="V29" s="59">
        <f t="shared" si="26"/>
        <v>4327.1401158707276</v>
      </c>
      <c r="W29" s="59">
        <f t="shared" si="26"/>
        <v>252.12034209615064</v>
      </c>
      <c r="X29" s="59">
        <f t="shared" si="26"/>
        <v>-131.52168191951515</v>
      </c>
      <c r="Y29" s="59">
        <f t="shared" ref="Y29:Y36" si="27">SUM(O29:X29)</f>
        <v>25194.386526531187</v>
      </c>
      <c r="AA29" s="22">
        <f>+Customers!D$20</f>
        <v>13175</v>
      </c>
      <c r="AB29" s="28">
        <f t="shared" si="20"/>
        <v>47.282219380720171</v>
      </c>
      <c r="AC29" s="42">
        <f t="shared" si="21"/>
        <v>80.888225106159652</v>
      </c>
    </row>
    <row r="30" spans="1:36" x14ac:dyDescent="0.25">
      <c r="A30" s="20" t="str">
        <f t="shared" si="22"/>
        <v>Jul</v>
      </c>
      <c r="B30" s="76">
        <f>+Customers!E$21</f>
        <v>0.37550257658984088</v>
      </c>
      <c r="C30" s="28">
        <f t="shared" si="23"/>
        <v>0</v>
      </c>
      <c r="D30" s="28">
        <f t="shared" si="23"/>
        <v>94.053070266955459</v>
      </c>
      <c r="E30" s="28">
        <f t="shared" ref="E30:L30" si="28">+E10*$B30</f>
        <v>60.080038878089184</v>
      </c>
      <c r="F30" s="28">
        <f t="shared" si="28"/>
        <v>1.9664906542461096</v>
      </c>
      <c r="G30" s="28">
        <f t="shared" si="28"/>
        <v>1.567560867956622</v>
      </c>
      <c r="H30" s="28">
        <f t="shared" si="28"/>
        <v>51.106715089943123</v>
      </c>
      <c r="I30" s="28">
        <f t="shared" si="28"/>
        <v>2.4812308313187974</v>
      </c>
      <c r="J30" s="28">
        <f t="shared" si="28"/>
        <v>2.7512055397088115</v>
      </c>
      <c r="K30" s="28">
        <f t="shared" si="28"/>
        <v>0.38237916116315473</v>
      </c>
      <c r="L30" s="28">
        <f t="shared" si="28"/>
        <v>0.51065036629693439</v>
      </c>
      <c r="M30" s="28">
        <f t="shared" si="25"/>
        <v>214.89934165567823</v>
      </c>
      <c r="O30" s="59">
        <f t="shared" ref="O30:X30" si="29">+O10*$B$40</f>
        <v>0</v>
      </c>
      <c r="P30" s="59">
        <f t="shared" si="29"/>
        <v>4444.1704480852159</v>
      </c>
      <c r="Q30" s="59">
        <f t="shared" si="29"/>
        <v>9041.1172893875482</v>
      </c>
      <c r="R30" s="59">
        <f t="shared" si="29"/>
        <v>2807.2370701334921</v>
      </c>
      <c r="S30" s="59">
        <f t="shared" si="29"/>
        <v>248.68987272226676</v>
      </c>
      <c r="T30" s="59">
        <f t="shared" si="29"/>
        <v>-3062.6109516573115</v>
      </c>
      <c r="U30" s="59">
        <f t="shared" si="29"/>
        <v>655.63984489597544</v>
      </c>
      <c r="V30" s="59">
        <f t="shared" si="29"/>
        <v>2232.8606856332608</v>
      </c>
      <c r="W30" s="59">
        <f t="shared" si="29"/>
        <v>122.69115976014614</v>
      </c>
      <c r="X30" s="59">
        <f t="shared" si="29"/>
        <v>-90.357677257379294</v>
      </c>
      <c r="Y30" s="59">
        <f t="shared" si="27"/>
        <v>16399.437741703212</v>
      </c>
      <c r="AA30" s="22">
        <f>+Customers!E$20</f>
        <v>13262</v>
      </c>
      <c r="AB30" s="28">
        <f t="shared" si="20"/>
        <v>32.408285576184319</v>
      </c>
      <c r="AC30" s="42">
        <f t="shared" si="21"/>
        <v>76.312182323848887</v>
      </c>
    </row>
    <row r="31" spans="1:36" x14ac:dyDescent="0.25">
      <c r="A31" s="20" t="str">
        <f t="shared" si="22"/>
        <v>Aug</v>
      </c>
      <c r="B31" s="76">
        <f>+Customers!F$21</f>
        <v>0.37656537102473497</v>
      </c>
      <c r="C31" s="28">
        <f t="shared" si="23"/>
        <v>0</v>
      </c>
      <c r="D31" s="28">
        <f t="shared" si="23"/>
        <v>95.045122824331145</v>
      </c>
      <c r="E31" s="28">
        <f t="shared" ref="E31:L31" si="30">+E11*$B31</f>
        <v>60.713750845673715</v>
      </c>
      <c r="F31" s="28">
        <f t="shared" si="30"/>
        <v>1.9872327956463107</v>
      </c>
      <c r="G31" s="28">
        <f t="shared" si="30"/>
        <v>1.5840951795265101</v>
      </c>
      <c r="H31" s="28">
        <f t="shared" si="30"/>
        <v>51.645778272677539</v>
      </c>
      <c r="I31" s="28">
        <f t="shared" si="30"/>
        <v>2.5074023468755207</v>
      </c>
      <c r="J31" s="28">
        <f t="shared" si="30"/>
        <v>2.7802246932971788</v>
      </c>
      <c r="K31" s="28">
        <f t="shared" si="30"/>
        <v>0.38641241838317286</v>
      </c>
      <c r="L31" s="28">
        <f t="shared" si="30"/>
        <v>0.51603660196549705</v>
      </c>
      <c r="M31" s="28">
        <f t="shared" si="25"/>
        <v>217.16605597837662</v>
      </c>
      <c r="O31" s="59">
        <f t="shared" ref="O31:X31" si="31">+O11*$B$40</f>
        <v>0</v>
      </c>
      <c r="P31" s="59">
        <f t="shared" si="31"/>
        <v>2796.8578735610781</v>
      </c>
      <c r="Q31" s="59">
        <f t="shared" si="31"/>
        <v>6673.9011234755571</v>
      </c>
      <c r="R31" s="59">
        <f t="shared" si="31"/>
        <v>2487.6249222176029</v>
      </c>
      <c r="S31" s="59">
        <f t="shared" si="31"/>
        <v>230.73251229410511</v>
      </c>
      <c r="T31" s="59">
        <f t="shared" si="31"/>
        <v>-3086.1798530146698</v>
      </c>
      <c r="U31" s="59">
        <f t="shared" si="31"/>
        <v>170.48044077722517</v>
      </c>
      <c r="V31" s="59">
        <f t="shared" si="31"/>
        <v>2040.7376603117771</v>
      </c>
      <c r="W31" s="59">
        <f t="shared" si="31"/>
        <v>109.0900171469317</v>
      </c>
      <c r="X31" s="59">
        <f t="shared" si="31"/>
        <v>-91.053041838703848</v>
      </c>
      <c r="Y31" s="59">
        <f t="shared" si="27"/>
        <v>11332.191654930903</v>
      </c>
      <c r="AA31" s="22">
        <f>+Customers!F$20</f>
        <v>13321</v>
      </c>
      <c r="AB31" s="28">
        <f t="shared" si="20"/>
        <v>32.605068084734874</v>
      </c>
      <c r="AC31" s="42">
        <f t="shared" si="21"/>
        <v>52.182149755757671</v>
      </c>
    </row>
    <row r="32" spans="1:36" x14ac:dyDescent="0.25">
      <c r="A32" s="20" t="str">
        <f t="shared" si="22"/>
        <v>Sep</v>
      </c>
      <c r="B32" s="76">
        <f>+Customers!G$21</f>
        <v>0.37658451201264787</v>
      </c>
      <c r="C32" s="28">
        <f t="shared" si="23"/>
        <v>0</v>
      </c>
      <c r="D32" s="28">
        <f t="shared" si="23"/>
        <v>95.200944080109963</v>
      </c>
      <c r="E32" s="28">
        <f t="shared" ref="E32:L32" si="32">+E12*$B32</f>
        <v>60.813287703733238</v>
      </c>
      <c r="F32" s="28">
        <f t="shared" si="32"/>
        <v>1.9904907546087582</v>
      </c>
      <c r="G32" s="28">
        <f t="shared" si="32"/>
        <v>1.5866922165212773</v>
      </c>
      <c r="H32" s="28">
        <f t="shared" si="32"/>
        <v>51.730448688023273</v>
      </c>
      <c r="I32" s="28">
        <f t="shared" si="32"/>
        <v>2.5115130952319094</v>
      </c>
      <c r="J32" s="28">
        <f t="shared" si="32"/>
        <v>2.7847827188978984</v>
      </c>
      <c r="K32" s="28">
        <f t="shared" si="32"/>
        <v>0.38704592030827728</v>
      </c>
      <c r="L32" s="28">
        <f t="shared" si="32"/>
        <v>0.51688261561624183</v>
      </c>
      <c r="M32" s="28">
        <f t="shared" si="25"/>
        <v>217.52208779305087</v>
      </c>
      <c r="O32" s="59">
        <f t="shared" ref="O32:X32" si="33">+O12*$B$40</f>
        <v>0</v>
      </c>
      <c r="P32" s="59">
        <f t="shared" si="33"/>
        <v>489.13022840477453</v>
      </c>
      <c r="Q32" s="59">
        <f t="shared" si="33"/>
        <v>4729.6820463526674</v>
      </c>
      <c r="R32" s="59">
        <f t="shared" si="33"/>
        <v>2285.3343986174805</v>
      </c>
      <c r="S32" s="59">
        <f t="shared" si="33"/>
        <v>220.90129716786964</v>
      </c>
      <c r="T32" s="59">
        <f t="shared" si="33"/>
        <v>-3091.0823541739651</v>
      </c>
      <c r="U32" s="59">
        <f t="shared" si="33"/>
        <v>189.06713326274794</v>
      </c>
      <c r="V32" s="59">
        <f t="shared" si="33"/>
        <v>1226.2304355089611</v>
      </c>
      <c r="W32" s="59">
        <f t="shared" si="33"/>
        <v>40.063213788294</v>
      </c>
      <c r="X32" s="59">
        <f t="shared" si="33"/>
        <v>-91.197682677680092</v>
      </c>
      <c r="Y32" s="59">
        <f t="shared" si="27"/>
        <v>5998.1287162511499</v>
      </c>
      <c r="AA32" s="22">
        <f>+Customers!G$20</f>
        <v>13339</v>
      </c>
      <c r="AB32" s="28">
        <f t="shared" si="20"/>
        <v>32.614452026846216</v>
      </c>
      <c r="AC32" s="42">
        <f t="shared" si="21"/>
        <v>27.574802987169427</v>
      </c>
    </row>
    <row r="33" spans="1:36" x14ac:dyDescent="0.25">
      <c r="A33" s="20" t="str">
        <f t="shared" si="22"/>
        <v>Oct</v>
      </c>
      <c r="B33" s="76">
        <f>+Customers!H$21</f>
        <v>0.37686524983043185</v>
      </c>
      <c r="C33" s="28">
        <f t="shared" si="23"/>
        <v>0</v>
      </c>
      <c r="D33" s="28">
        <f t="shared" si="23"/>
        <v>98.34452787004254</v>
      </c>
      <c r="E33" s="28">
        <f t="shared" ref="E33:L33" si="34">+E13*$B33</f>
        <v>62.821373519322364</v>
      </c>
      <c r="F33" s="28">
        <f t="shared" si="34"/>
        <v>2.0562177758128062</v>
      </c>
      <c r="G33" s="28">
        <f t="shared" si="34"/>
        <v>1.6390856037892783</v>
      </c>
      <c r="H33" s="28">
        <f t="shared" si="34"/>
        <v>53.438614520966787</v>
      </c>
      <c r="I33" s="28">
        <f t="shared" si="34"/>
        <v>2.5944445401945857</v>
      </c>
      <c r="J33" s="28">
        <f t="shared" si="34"/>
        <v>2.8767376663850297</v>
      </c>
      <c r="K33" s="28">
        <f t="shared" si="34"/>
        <v>0.39982637425017098</v>
      </c>
      <c r="L33" s="28">
        <f t="shared" si="34"/>
        <v>0.53395034354110227</v>
      </c>
      <c r="M33" s="28">
        <f t="shared" si="25"/>
        <v>224.70477821430467</v>
      </c>
      <c r="O33" s="59">
        <f t="shared" ref="O33:X33" si="35">+O13*$B$40</f>
        <v>0</v>
      </c>
      <c r="P33" s="59">
        <f t="shared" si="35"/>
        <v>-1269.6607765291185</v>
      </c>
      <c r="Q33" s="59">
        <f t="shared" si="35"/>
        <v>3097.6837447749017</v>
      </c>
      <c r="R33" s="59">
        <f t="shared" si="35"/>
        <v>2238.8158939029604</v>
      </c>
      <c r="S33" s="59">
        <f t="shared" si="35"/>
        <v>221.07461565543821</v>
      </c>
      <c r="T33" s="59">
        <f t="shared" si="35"/>
        <v>-3190.7728012077259</v>
      </c>
      <c r="U33" s="59">
        <f t="shared" si="35"/>
        <v>195.16473432112929</v>
      </c>
      <c r="V33" s="59">
        <f t="shared" si="35"/>
        <v>2109.8997890749811</v>
      </c>
      <c r="W33" s="59">
        <f t="shared" si="35"/>
        <v>48.874435820972167</v>
      </c>
      <c r="X33" s="59">
        <f t="shared" si="35"/>
        <v>-94.13889766740833</v>
      </c>
      <c r="Y33" s="59">
        <f t="shared" si="27"/>
        <v>3356.9407381461301</v>
      </c>
      <c r="AA33" s="22">
        <f>+Customers!H$20</f>
        <v>13335</v>
      </c>
      <c r="AB33" s="28">
        <f t="shared" si="20"/>
        <v>33.701504044140187</v>
      </c>
      <c r="AC33" s="42">
        <f t="shared" si="21"/>
        <v>14.939338472564923</v>
      </c>
    </row>
    <row r="34" spans="1:36" x14ac:dyDescent="0.25">
      <c r="A34" s="20" t="str">
        <f t="shared" si="22"/>
        <v>Nov</v>
      </c>
      <c r="B34" s="76">
        <f>+Customers!I$21</f>
        <v>0.37657968392185687</v>
      </c>
      <c r="C34" s="28">
        <f t="shared" si="23"/>
        <v>0</v>
      </c>
      <c r="D34" s="28">
        <f t="shared" si="23"/>
        <v>109.15471616353489</v>
      </c>
      <c r="E34" s="28">
        <f t="shared" ref="E34:L34" si="36">+E14*$B34</f>
        <v>69.726799691046935</v>
      </c>
      <c r="F34" s="28">
        <f t="shared" si="36"/>
        <v>2.2822405328525859</v>
      </c>
      <c r="G34" s="28">
        <f t="shared" si="36"/>
        <v>1.8192565232076847</v>
      </c>
      <c r="H34" s="28">
        <f t="shared" si="36"/>
        <v>59.312672769315725</v>
      </c>
      <c r="I34" s="28">
        <f t="shared" si="36"/>
        <v>2.8796300467393792</v>
      </c>
      <c r="J34" s="28">
        <f t="shared" si="36"/>
        <v>3.1929532862891539</v>
      </c>
      <c r="K34" s="28">
        <f t="shared" si="36"/>
        <v>0.44377593081380873</v>
      </c>
      <c r="L34" s="28">
        <f t="shared" si="36"/>
        <v>0.59264302200595587</v>
      </c>
      <c r="M34" s="28">
        <f t="shared" si="25"/>
        <v>249.40468796580615</v>
      </c>
      <c r="O34" s="59">
        <f t="shared" ref="O34:X34" si="37">+O14*$B$40</f>
        <v>0</v>
      </c>
      <c r="P34" s="59">
        <f t="shared" si="37"/>
        <v>-304.03976560849787</v>
      </c>
      <c r="Q34" s="59">
        <f t="shared" si="37"/>
        <v>3264.9480655452844</v>
      </c>
      <c r="R34" s="59">
        <f t="shared" si="37"/>
        <v>2758.8765433212334</v>
      </c>
      <c r="S34" s="59">
        <f t="shared" si="37"/>
        <v>252.8373353361996</v>
      </c>
      <c r="T34" s="59">
        <f t="shared" si="37"/>
        <v>-3544.1932442991415</v>
      </c>
      <c r="U34" s="59">
        <f t="shared" si="37"/>
        <v>220.22323070928229</v>
      </c>
      <c r="V34" s="59">
        <f t="shared" si="37"/>
        <v>3275.0296487837195</v>
      </c>
      <c r="W34" s="59">
        <f t="shared" si="37"/>
        <v>66.815911831788711</v>
      </c>
      <c r="X34" s="59">
        <f t="shared" si="37"/>
        <v>-104.5660302144702</v>
      </c>
      <c r="Y34" s="59">
        <f t="shared" si="27"/>
        <v>5885.9316954053975</v>
      </c>
      <c r="AA34" s="22">
        <f>+Customers!I$20</f>
        <v>13320</v>
      </c>
      <c r="AB34" s="28">
        <f t="shared" si="20"/>
        <v>37.448151346217138</v>
      </c>
      <c r="AC34" s="42">
        <f t="shared" si="21"/>
        <v>23.599924056809911</v>
      </c>
    </row>
    <row r="35" spans="1:36" x14ac:dyDescent="0.25">
      <c r="A35" s="20" t="str">
        <f t="shared" si="22"/>
        <v>Dec</v>
      </c>
      <c r="B35" s="76">
        <f>+Customers!J$21</f>
        <v>0.46119031455080334</v>
      </c>
      <c r="C35" s="28">
        <f t="shared" si="23"/>
        <v>0</v>
      </c>
      <c r="D35" s="28">
        <f t="shared" si="23"/>
        <v>132.2884509959986</v>
      </c>
      <c r="E35" s="28">
        <f t="shared" ref="E35:L35" si="38">+E15*$B35</f>
        <v>84.504368187055334</v>
      </c>
      <c r="F35" s="28">
        <f t="shared" si="38"/>
        <v>2.765927808735495</v>
      </c>
      <c r="G35" s="28">
        <f t="shared" si="38"/>
        <v>2.2048211554958872</v>
      </c>
      <c r="H35" s="28">
        <f t="shared" si="38"/>
        <v>71.883120408008068</v>
      </c>
      <c r="I35" s="28">
        <f t="shared" si="38"/>
        <v>3.4899252337751756</v>
      </c>
      <c r="J35" s="28">
        <f t="shared" si="38"/>
        <v>3.8696527203914135</v>
      </c>
      <c r="K35" s="28">
        <f t="shared" si="38"/>
        <v>0.53782770493134346</v>
      </c>
      <c r="L35" s="28">
        <f t="shared" si="38"/>
        <v>0.71824498409484461</v>
      </c>
      <c r="M35" s="28">
        <f t="shared" si="25"/>
        <v>302.26233919848613</v>
      </c>
      <c r="O35" s="59">
        <f t="shared" ref="O35:X35" si="39">+O15*$B$40</f>
        <v>0</v>
      </c>
      <c r="P35" s="59">
        <f t="shared" si="39"/>
        <v>724.74352312111785</v>
      </c>
      <c r="Q35" s="59">
        <f t="shared" si="39"/>
        <v>4289.3413595267029</v>
      </c>
      <c r="R35" s="59">
        <f t="shared" si="39"/>
        <v>2850.3670636225652</v>
      </c>
      <c r="S35" s="59">
        <f t="shared" si="39"/>
        <v>278.26054241776563</v>
      </c>
      <c r="T35" s="59">
        <f t="shared" si="39"/>
        <v>-3507.3049520291352</v>
      </c>
      <c r="U35" s="59">
        <f t="shared" si="39"/>
        <v>228.30879959091408</v>
      </c>
      <c r="V35" s="59">
        <f t="shared" si="39"/>
        <v>3240.9428362004624</v>
      </c>
      <c r="W35" s="59">
        <f t="shared" si="39"/>
        <v>33.060242809688518</v>
      </c>
      <c r="X35" s="59">
        <f t="shared" si="39"/>
        <v>-103.47769726584497</v>
      </c>
      <c r="Y35" s="59">
        <f t="shared" si="27"/>
        <v>8034.2417179942358</v>
      </c>
      <c r="AA35" s="22">
        <f>+Customers!J$20</f>
        <v>16304</v>
      </c>
      <c r="AB35" s="28">
        <f t="shared" si="20"/>
        <v>37.078304612179359</v>
      </c>
      <c r="AC35" s="42">
        <f t="shared" si="21"/>
        <v>26.580359760659441</v>
      </c>
    </row>
    <row r="36" spans="1:36" x14ac:dyDescent="0.25">
      <c r="A36" s="20" t="str">
        <f t="shared" si="22"/>
        <v>Jan., '23</v>
      </c>
      <c r="B36" s="76">
        <f>+Customers!K$21</f>
        <v>0.3763334370844062</v>
      </c>
      <c r="C36" s="28">
        <f t="shared" si="23"/>
        <v>0</v>
      </c>
      <c r="D36" s="28">
        <f t="shared" si="23"/>
        <v>121.10587997776713</v>
      </c>
      <c r="E36" s="28">
        <f t="shared" ref="E36:L36" si="40">+E16*$B36</f>
        <v>77.361068137143121</v>
      </c>
      <c r="F36" s="28">
        <f t="shared" si="40"/>
        <v>2.5321191586257319</v>
      </c>
      <c r="G36" s="28">
        <f t="shared" si="40"/>
        <v>2.0184438189392919</v>
      </c>
      <c r="H36" s="28">
        <f t="shared" si="40"/>
        <v>65.806716210041102</v>
      </c>
      <c r="I36" s="28">
        <f t="shared" si="40"/>
        <v>3.1949158321140336</v>
      </c>
      <c r="J36" s="28">
        <f t="shared" si="40"/>
        <v>3.5425442990903093</v>
      </c>
      <c r="K36" s="28">
        <f t="shared" si="40"/>
        <v>0.49236420104505862</v>
      </c>
      <c r="L36" s="28">
        <f t="shared" si="40"/>
        <v>0.65753049630201332</v>
      </c>
      <c r="M36" s="28">
        <f t="shared" si="25"/>
        <v>276.71158213106776</v>
      </c>
      <c r="O36" s="59">
        <f t="shared" ref="O36:X36" si="41">+O16*$B$40</f>
        <v>0</v>
      </c>
      <c r="P36" s="59">
        <f t="shared" si="41"/>
        <v>2531.6196451066826</v>
      </c>
      <c r="Q36" s="59">
        <f t="shared" si="41"/>
        <v>5284.2123495158539</v>
      </c>
      <c r="R36" s="59">
        <f t="shared" si="41"/>
        <v>3799.2695527097508</v>
      </c>
      <c r="S36" s="59">
        <f t="shared" si="41"/>
        <v>370.29917912984712</v>
      </c>
      <c r="T36" s="59">
        <f t="shared" si="41"/>
        <v>-3934.8139106583194</v>
      </c>
      <c r="U36" s="59">
        <f t="shared" si="41"/>
        <v>353.61066972869344</v>
      </c>
      <c r="V36" s="59">
        <f t="shared" si="41"/>
        <v>3736.0576182341256</v>
      </c>
      <c r="W36" s="59">
        <f t="shared" si="41"/>
        <v>0</v>
      </c>
      <c r="X36" s="59">
        <f t="shared" si="41"/>
        <v>-116.0906987597339</v>
      </c>
      <c r="Y36" s="59">
        <f t="shared" si="27"/>
        <v>12024.164405006901</v>
      </c>
      <c r="AA36" s="22">
        <f>+Customers!K$20</f>
        <v>13300</v>
      </c>
      <c r="AB36" s="28">
        <f t="shared" si="20"/>
        <v>41.610764230235752</v>
      </c>
      <c r="AC36" s="42">
        <f t="shared" si="21"/>
        <v>43.45378069253173</v>
      </c>
    </row>
    <row r="37" spans="1:36" x14ac:dyDescent="0.25">
      <c r="A37" s="20" t="str">
        <f t="shared" si="22"/>
        <v>Feb</v>
      </c>
      <c r="B37" s="76">
        <f>+Customers!L$21</f>
        <v>0.19016613958014339</v>
      </c>
      <c r="C37" s="28">
        <f t="shared" ref="C37:L37" si="42">+C17*$B37</f>
        <v>0</v>
      </c>
      <c r="D37" s="28">
        <f t="shared" si="42"/>
        <v>51.521647525678077</v>
      </c>
      <c r="E37" s="28">
        <f t="shared" si="42"/>
        <v>32.911446459111389</v>
      </c>
      <c r="F37" s="28">
        <f t="shared" si="42"/>
        <v>1.0772305259470591</v>
      </c>
      <c r="G37" s="28">
        <f t="shared" si="42"/>
        <v>0.85869943729293019</v>
      </c>
      <c r="H37" s="28">
        <f t="shared" si="42"/>
        <v>27.995919256922065</v>
      </c>
      <c r="I37" s="28">
        <f t="shared" si="42"/>
        <v>1.3592017778707908</v>
      </c>
      <c r="J37" s="28">
        <f t="shared" si="42"/>
        <v>1.5070921309133645</v>
      </c>
      <c r="K37" s="28">
        <f t="shared" si="42"/>
        <v>0.20946476608041337</v>
      </c>
      <c r="L37" s="28">
        <f t="shared" si="42"/>
        <v>0.27973088073077645</v>
      </c>
      <c r="M37" s="28">
        <f t="shared" ref="M37:M39" si="43">SUM(C37:L37)</f>
        <v>117.72043276054687</v>
      </c>
      <c r="O37" s="59">
        <f t="shared" ref="O37:X37" si="44">+O17*$B$40</f>
        <v>0</v>
      </c>
      <c r="P37" s="59">
        <f t="shared" si="44"/>
        <v>2798.6473063090612</v>
      </c>
      <c r="Q37" s="59">
        <f t="shared" si="44"/>
        <v>5750.2197006485039</v>
      </c>
      <c r="R37" s="59">
        <f t="shared" si="44"/>
        <v>3039.7479601174732</v>
      </c>
      <c r="S37" s="59">
        <f t="shared" si="44"/>
        <v>346.8167921406818</v>
      </c>
      <c r="T37" s="59">
        <f t="shared" si="44"/>
        <v>-3312.7474411407702</v>
      </c>
      <c r="U37" s="59">
        <f t="shared" si="44"/>
        <v>298.28985195393221</v>
      </c>
      <c r="V37" s="59">
        <f t="shared" si="44"/>
        <v>3370.0854899120868</v>
      </c>
      <c r="W37" s="59">
        <f t="shared" si="44"/>
        <v>0</v>
      </c>
      <c r="X37" s="59">
        <f t="shared" si="44"/>
        <v>-97.737573869715703</v>
      </c>
      <c r="Y37" s="59">
        <f t="shared" ref="Y37:Y39" si="45">SUM(O37:X37)</f>
        <v>12193.322086071254</v>
      </c>
      <c r="AA37" s="22">
        <f>+Customers!L$20</f>
        <v>13289</v>
      </c>
      <c r="AB37" s="28">
        <f t="shared" ref="AB37:AB39" si="46">+M37*2000/AA37</f>
        <v>17.716973852140399</v>
      </c>
      <c r="AC37" s="42">
        <f t="shared" si="21"/>
        <v>103.57863796570884</v>
      </c>
    </row>
    <row r="38" spans="1:36" x14ac:dyDescent="0.25">
      <c r="A38" s="20" t="str">
        <f t="shared" si="22"/>
        <v>Mar</v>
      </c>
      <c r="B38" s="76">
        <f>+Customers!M21</f>
        <v>0.37694651320243738</v>
      </c>
      <c r="C38" s="28">
        <f t="shared" ref="C38:L38" si="47">+C18*$B38</f>
        <v>0</v>
      </c>
      <c r="D38" s="28">
        <f t="shared" si="47"/>
        <v>122.78269000243606</v>
      </c>
      <c r="E38" s="28">
        <f t="shared" si="47"/>
        <v>78.432195439923717</v>
      </c>
      <c r="F38" s="28">
        <f t="shared" si="47"/>
        <v>2.5671784207327355</v>
      </c>
      <c r="G38" s="28">
        <f t="shared" si="47"/>
        <v>2.0463908255623373</v>
      </c>
      <c r="H38" s="28">
        <f t="shared" si="47"/>
        <v>66.717864053992159</v>
      </c>
      <c r="I38" s="28">
        <f t="shared" si="47"/>
        <v>3.2391520566164749</v>
      </c>
      <c r="J38" s="28">
        <f t="shared" si="47"/>
        <v>3.5915937242267177</v>
      </c>
      <c r="K38" s="28">
        <f t="shared" si="47"/>
        <v>0.49918138637290588</v>
      </c>
      <c r="L38" s="28">
        <f t="shared" si="47"/>
        <v>0.66663454416432311</v>
      </c>
      <c r="M38" s="28">
        <f t="shared" si="43"/>
        <v>280.54288045402745</v>
      </c>
      <c r="O38" s="59">
        <f t="shared" ref="O38:X38" si="48">+O18*$B$40</f>
        <v>0</v>
      </c>
      <c r="P38" s="59">
        <f t="shared" si="48"/>
        <v>3911.8486389298187</v>
      </c>
      <c r="Q38" s="59">
        <f t="shared" si="48"/>
        <v>7182.4273963049436</v>
      </c>
      <c r="R38" s="59">
        <f t="shared" si="48"/>
        <v>3465.6671293424429</v>
      </c>
      <c r="S38" s="59">
        <f t="shared" si="48"/>
        <v>472.17963472406257</v>
      </c>
      <c r="T38" s="59">
        <f t="shared" si="48"/>
        <v>-3982.8063317238903</v>
      </c>
      <c r="U38" s="59">
        <f t="shared" si="48"/>
        <v>539.47377414522055</v>
      </c>
      <c r="V38" s="59">
        <f t="shared" si="48"/>
        <v>4288.0935799304925</v>
      </c>
      <c r="W38" s="59">
        <f t="shared" si="48"/>
        <v>0</v>
      </c>
      <c r="X38" s="59">
        <f t="shared" si="48"/>
        <v>-117.50664213677183</v>
      </c>
      <c r="Y38" s="59">
        <f t="shared" si="45"/>
        <v>15759.377179516317</v>
      </c>
      <c r="AA38" s="22">
        <f>+Customers!M$20</f>
        <v>13362</v>
      </c>
      <c r="AB38" s="28">
        <f t="shared" si="46"/>
        <v>41.99115109325362</v>
      </c>
      <c r="AC38" s="42">
        <f t="shared" si="21"/>
        <v>56.174575359073515</v>
      </c>
    </row>
    <row r="39" spans="1:36" ht="17.25" x14ac:dyDescent="0.4">
      <c r="A39" s="20" t="str">
        <f t="shared" si="22"/>
        <v>Apr</v>
      </c>
      <c r="B39" s="77">
        <f>+Customers!N21</f>
        <v>0.37924936136765575</v>
      </c>
      <c r="C39" s="31">
        <f t="shared" ref="C39:L39" si="49">+C19*$B39</f>
        <v>0</v>
      </c>
      <c r="D39" s="31">
        <f t="shared" si="49"/>
        <v>108.2152431154522</v>
      </c>
      <c r="E39" s="31">
        <f t="shared" si="49"/>
        <v>69.12667492006905</v>
      </c>
      <c r="F39" s="31">
        <f t="shared" si="49"/>
        <v>2.2625977400790278</v>
      </c>
      <c r="G39" s="31">
        <f t="shared" si="49"/>
        <v>1.8035985422136105</v>
      </c>
      <c r="H39" s="31">
        <f t="shared" si="49"/>
        <v>58.802180328539855</v>
      </c>
      <c r="I39" s="31">
        <f t="shared" si="49"/>
        <v>2.8548456406005949</v>
      </c>
      <c r="J39" s="31">
        <f t="shared" si="49"/>
        <v>3.1654721690118977</v>
      </c>
      <c r="K39" s="31">
        <f t="shared" si="49"/>
        <v>0.4399564391689148</v>
      </c>
      <c r="L39" s="31">
        <f t="shared" si="49"/>
        <v>0.58754226075735605</v>
      </c>
      <c r="M39" s="31">
        <f t="shared" si="43"/>
        <v>247.25811115589252</v>
      </c>
      <c r="N39" s="230"/>
      <c r="O39" s="60">
        <f t="shared" ref="O39:X39" si="50">+O19*$B$40</f>
        <v>0</v>
      </c>
      <c r="P39" s="60">
        <f t="shared" si="50"/>
        <v>3214.4536588797114</v>
      </c>
      <c r="Q39" s="60">
        <f t="shared" si="50"/>
        <v>7192.8845769720747</v>
      </c>
      <c r="R39" s="60">
        <f t="shared" si="50"/>
        <v>3078.7926130809628</v>
      </c>
      <c r="S39" s="60">
        <f t="shared" si="50"/>
        <v>404.64886364276333</v>
      </c>
      <c r="T39" s="60">
        <f t="shared" si="50"/>
        <v>-3488.9549086805346</v>
      </c>
      <c r="U39" s="60">
        <f t="shared" si="50"/>
        <v>533.50786802597156</v>
      </c>
      <c r="V39" s="60">
        <f t="shared" si="50"/>
        <v>3682.4431657329465</v>
      </c>
      <c r="W39" s="60">
        <f t="shared" si="50"/>
        <v>110.99454731937803</v>
      </c>
      <c r="X39" s="60">
        <f t="shared" si="50"/>
        <v>-102.93630715109518</v>
      </c>
      <c r="Y39" s="60">
        <f t="shared" si="45"/>
        <v>14625.834077822181</v>
      </c>
      <c r="AA39" s="23">
        <f>+Customers!N$20</f>
        <v>13510</v>
      </c>
      <c r="AB39" s="31">
        <f t="shared" si="46"/>
        <v>36.60371741760067</v>
      </c>
      <c r="AC39" s="232">
        <f t="shared" si="21"/>
        <v>59.152090135481188</v>
      </c>
    </row>
    <row r="40" spans="1:36" ht="17.25" x14ac:dyDescent="0.4">
      <c r="A40" s="5"/>
      <c r="B40" s="52">
        <f>+Customers!O21</f>
        <v>0.35436682697650701</v>
      </c>
      <c r="C40" s="32">
        <f>SUM(C28:C39)</f>
        <v>0</v>
      </c>
      <c r="D40" s="32">
        <f t="shared" ref="D40:M40" si="51">SUM(D28:D39)</f>
        <v>1276.4717473942696</v>
      </c>
      <c r="E40" s="32">
        <f t="shared" si="51"/>
        <v>815.39573341471794</v>
      </c>
      <c r="F40" s="32">
        <f t="shared" si="51"/>
        <v>26.688865706725927</v>
      </c>
      <c r="G40" s="32">
        <f t="shared" si="51"/>
        <v>21.274660727056332</v>
      </c>
      <c r="H40" s="32">
        <f t="shared" si="51"/>
        <v>693.61135930254534</v>
      </c>
      <c r="I40" s="32">
        <f t="shared" si="51"/>
        <v>33.674828965735642</v>
      </c>
      <c r="J40" s="32">
        <f t="shared" si="51"/>
        <v>37.338878281645492</v>
      </c>
      <c r="K40" s="32">
        <f t="shared" si="51"/>
        <v>5.1895828028973394</v>
      </c>
      <c r="L40" s="32">
        <f t="shared" si="51"/>
        <v>6.9304570656167659</v>
      </c>
      <c r="M40" s="32">
        <f t="shared" si="51"/>
        <v>2916.57611366121</v>
      </c>
      <c r="O40" s="61">
        <f>SUM(O28:O39)</f>
        <v>0</v>
      </c>
      <c r="P40" s="61">
        <f t="shared" ref="P40:X40" si="52">SUM(P28:P39)</f>
        <v>29173.082409058534</v>
      </c>
      <c r="Q40" s="61">
        <f t="shared" si="52"/>
        <v>79268.271060192317</v>
      </c>
      <c r="R40" s="61">
        <f t="shared" si="52"/>
        <v>37436.87415513274</v>
      </c>
      <c r="S40" s="61">
        <f t="shared" si="52"/>
        <v>3948.61048169275</v>
      </c>
      <c r="T40" s="61">
        <f t="shared" si="52"/>
        <v>-42347.771346124646</v>
      </c>
      <c r="U40" s="61">
        <f t="shared" si="52"/>
        <v>7161.4510907906551</v>
      </c>
      <c r="V40" s="61">
        <f t="shared" si="52"/>
        <v>36906.599420559978</v>
      </c>
      <c r="W40" s="61">
        <f t="shared" si="52"/>
        <v>992.31731521929169</v>
      </c>
      <c r="X40" s="61">
        <f t="shared" si="52"/>
        <v>-1249.406573757522</v>
      </c>
      <c r="Y40" s="61">
        <f>SUM(Y28:Y39)</f>
        <v>151290.02801276409</v>
      </c>
      <c r="AA40" s="24">
        <f>SUM(AA28:AA39)</f>
        <v>162620</v>
      </c>
      <c r="AB40" s="32">
        <f t="shared" si="20"/>
        <v>35.869832906914404</v>
      </c>
      <c r="AC40" s="233">
        <f t="shared" si="21"/>
        <v>51.872477218792021</v>
      </c>
    </row>
    <row r="41" spans="1:36" x14ac:dyDescent="0.25"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</row>
    <row r="42" spans="1:36" x14ac:dyDescent="0.25"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AA42" s="27"/>
    </row>
    <row r="43" spans="1:36" x14ac:dyDescent="0.25">
      <c r="O43" s="20"/>
      <c r="P43" s="20"/>
      <c r="AA43" s="27"/>
    </row>
    <row r="44" spans="1:36" x14ac:dyDescent="0.25">
      <c r="O44" s="20"/>
      <c r="P44" s="20"/>
      <c r="AA44" s="27"/>
    </row>
    <row r="45" spans="1:36" x14ac:dyDescent="0.25">
      <c r="O45" s="20"/>
      <c r="P45" s="20"/>
      <c r="AA45" s="27"/>
    </row>
    <row r="46" spans="1:36" x14ac:dyDescent="0.25">
      <c r="O46" s="20"/>
      <c r="P46" s="20"/>
      <c r="AA46" s="27"/>
    </row>
    <row r="47" spans="1:36" x14ac:dyDescent="0.25">
      <c r="O47" s="20"/>
      <c r="P47" s="20"/>
      <c r="AA47" s="27"/>
    </row>
    <row r="48" spans="1:36" x14ac:dyDescent="0.25">
      <c r="O48" s="20"/>
      <c r="P48" s="20"/>
      <c r="AA48" s="27"/>
    </row>
    <row r="49" spans="15:27" x14ac:dyDescent="0.25">
      <c r="O49" s="20"/>
      <c r="P49" s="20"/>
      <c r="AA49" s="27"/>
    </row>
    <row r="50" spans="15:27" x14ac:dyDescent="0.25">
      <c r="O50" s="20"/>
      <c r="P50" s="20"/>
      <c r="AA50" s="27"/>
    </row>
    <row r="51" spans="15:27" x14ac:dyDescent="0.25">
      <c r="O51" s="20"/>
      <c r="P51" s="20"/>
      <c r="AA51" s="27"/>
    </row>
    <row r="52" spans="15:27" x14ac:dyDescent="0.25">
      <c r="O52" s="20"/>
      <c r="P52" s="20"/>
      <c r="AA52" s="27"/>
    </row>
    <row r="53" spans="15:27" x14ac:dyDescent="0.25">
      <c r="O53" s="20"/>
      <c r="P53" s="20"/>
      <c r="AA53" s="27"/>
    </row>
    <row r="54" spans="15:27" x14ac:dyDescent="0.25">
      <c r="O54" s="20"/>
      <c r="P54" s="20"/>
      <c r="AA54" s="27"/>
    </row>
    <row r="55" spans="15:27" x14ac:dyDescent="0.25">
      <c r="O55" s="20"/>
      <c r="P55" s="20"/>
      <c r="AA55" s="27"/>
    </row>
    <row r="56" spans="15:27" x14ac:dyDescent="0.25">
      <c r="O56" s="20"/>
      <c r="P56" s="20"/>
      <c r="AA56" s="27"/>
    </row>
    <row r="57" spans="15:27" x14ac:dyDescent="0.25">
      <c r="O57" s="20"/>
      <c r="P57" s="20"/>
      <c r="AA57" s="27"/>
    </row>
    <row r="58" spans="15:27" x14ac:dyDescent="0.25">
      <c r="O58" s="20"/>
      <c r="P58" s="20"/>
      <c r="AA58" s="27"/>
    </row>
    <row r="59" spans="15:27" x14ac:dyDescent="0.25">
      <c r="O59" s="20"/>
      <c r="P59" s="20"/>
      <c r="AA59" s="27"/>
    </row>
    <row r="60" spans="15:27" x14ac:dyDescent="0.25">
      <c r="O60" s="20"/>
      <c r="P60" s="20"/>
      <c r="AA60" s="27"/>
    </row>
    <row r="61" spans="15:27" x14ac:dyDescent="0.25">
      <c r="O61" s="20"/>
      <c r="P61" s="20"/>
      <c r="AA61" s="27"/>
    </row>
    <row r="62" spans="15:27" x14ac:dyDescent="0.25">
      <c r="O62" s="20"/>
      <c r="P62" s="20"/>
      <c r="AA62" s="27"/>
    </row>
    <row r="63" spans="15:27" x14ac:dyDescent="0.25">
      <c r="O63" s="20"/>
      <c r="P63" s="20"/>
      <c r="AA63" s="27"/>
    </row>
    <row r="64" spans="15:27" x14ac:dyDescent="0.25">
      <c r="O64" s="20"/>
      <c r="P64" s="20"/>
      <c r="AA64" s="27"/>
    </row>
    <row r="65" spans="15:27" x14ac:dyDescent="0.25">
      <c r="O65" s="20"/>
      <c r="P65" s="20"/>
      <c r="AA65" s="27"/>
    </row>
    <row r="66" spans="15:27" x14ac:dyDescent="0.25">
      <c r="O66" s="20"/>
      <c r="P66" s="20"/>
      <c r="AA66" s="27"/>
    </row>
    <row r="67" spans="15:27" x14ac:dyDescent="0.25">
      <c r="O67" s="20"/>
      <c r="P67" s="20"/>
      <c r="AA67" s="27"/>
    </row>
    <row r="68" spans="15:27" x14ac:dyDescent="0.25">
      <c r="O68" s="20"/>
      <c r="P68" s="20"/>
      <c r="AA68" s="27"/>
    </row>
  </sheetData>
  <mergeCells count="5">
    <mergeCell ref="AA4:AJ4"/>
    <mergeCell ref="O23:Y23"/>
    <mergeCell ref="O4:X4"/>
    <mergeCell ref="C4:M4"/>
    <mergeCell ref="C23:M23"/>
  </mergeCells>
  <pageMargins left="0.2" right="0.2" top="0.75" bottom="0.75" header="0.3" footer="0.3"/>
  <pageSetup scale="41" orientation="landscape" r:id="rId1"/>
  <headerFooter>
    <oddFooter>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2"/>
  <sheetViews>
    <sheetView workbookViewId="0">
      <selection activeCell="C16" sqref="C16"/>
    </sheetView>
  </sheetViews>
  <sheetFormatPr defaultRowHeight="15" x14ac:dyDescent="0.25"/>
  <cols>
    <col min="1" max="1" width="9.140625" style="15"/>
    <col min="2" max="2" width="9.85546875" style="15" customWidth="1"/>
    <col min="3" max="6" width="9.85546875" style="20" customWidth="1"/>
    <col min="7" max="7" width="10.5703125" style="15" bestFit="1" customWidth="1"/>
    <col min="8" max="8" width="8.5703125" style="15" bestFit="1" customWidth="1"/>
    <col min="9" max="9" width="10.5703125" style="15" bestFit="1" customWidth="1"/>
    <col min="10" max="10" width="4.85546875" style="15" customWidth="1"/>
    <col min="11" max="11" width="9.5703125" style="15" bestFit="1" customWidth="1"/>
    <col min="12" max="12" width="8.5703125" style="29" bestFit="1" customWidth="1"/>
    <col min="13" max="13" width="9.5703125" style="15" bestFit="1" customWidth="1"/>
    <col min="14" max="252" width="9.140625" style="15"/>
    <col min="253" max="254" width="9.5703125" style="15" customWidth="1"/>
    <col min="255" max="255" width="9.5703125" style="15" bestFit="1" customWidth="1"/>
    <col min="256" max="256" width="10.5703125" style="15" bestFit="1" customWidth="1"/>
    <col min="257" max="257" width="3.140625" style="15" customWidth="1"/>
    <col min="258" max="258" width="10.5703125" style="15" bestFit="1" customWidth="1"/>
    <col min="259" max="259" width="2.5703125" style="15" customWidth="1"/>
    <col min="260" max="260" width="9.140625" style="15"/>
    <col min="261" max="261" width="7.85546875" style="15" bestFit="1" customWidth="1"/>
    <col min="262" max="508" width="9.140625" style="15"/>
    <col min="509" max="510" width="9.5703125" style="15" customWidth="1"/>
    <col min="511" max="511" width="9.5703125" style="15" bestFit="1" customWidth="1"/>
    <col min="512" max="512" width="10.5703125" style="15" bestFit="1" customWidth="1"/>
    <col min="513" max="513" width="3.140625" style="15" customWidth="1"/>
    <col min="514" max="514" width="10.5703125" style="15" bestFit="1" customWidth="1"/>
    <col min="515" max="515" width="2.5703125" style="15" customWidth="1"/>
    <col min="516" max="516" width="9.140625" style="15"/>
    <col min="517" max="517" width="7.85546875" style="15" bestFit="1" customWidth="1"/>
    <col min="518" max="764" width="9.140625" style="15"/>
    <col min="765" max="766" width="9.5703125" style="15" customWidth="1"/>
    <col min="767" max="767" width="9.5703125" style="15" bestFit="1" customWidth="1"/>
    <col min="768" max="768" width="10.5703125" style="15" bestFit="1" customWidth="1"/>
    <col min="769" max="769" width="3.140625" style="15" customWidth="1"/>
    <col min="770" max="770" width="10.5703125" style="15" bestFit="1" customWidth="1"/>
    <col min="771" max="771" width="2.5703125" style="15" customWidth="1"/>
    <col min="772" max="772" width="9.140625" style="15"/>
    <col min="773" max="773" width="7.85546875" style="15" bestFit="1" customWidth="1"/>
    <col min="774" max="1020" width="9.140625" style="15"/>
    <col min="1021" max="1022" width="9.5703125" style="15" customWidth="1"/>
    <col min="1023" max="1023" width="9.5703125" style="15" bestFit="1" customWidth="1"/>
    <col min="1024" max="1024" width="10.5703125" style="15" bestFit="1" customWidth="1"/>
    <col min="1025" max="1025" width="3.140625" style="15" customWidth="1"/>
    <col min="1026" max="1026" width="10.5703125" style="15" bestFit="1" customWidth="1"/>
    <col min="1027" max="1027" width="2.5703125" style="15" customWidth="1"/>
    <col min="1028" max="1028" width="9.140625" style="15"/>
    <col min="1029" max="1029" width="7.85546875" style="15" bestFit="1" customWidth="1"/>
    <col min="1030" max="1276" width="9.140625" style="15"/>
    <col min="1277" max="1278" width="9.5703125" style="15" customWidth="1"/>
    <col min="1279" max="1279" width="9.5703125" style="15" bestFit="1" customWidth="1"/>
    <col min="1280" max="1280" width="10.5703125" style="15" bestFit="1" customWidth="1"/>
    <col min="1281" max="1281" width="3.140625" style="15" customWidth="1"/>
    <col min="1282" max="1282" width="10.5703125" style="15" bestFit="1" customWidth="1"/>
    <col min="1283" max="1283" width="2.5703125" style="15" customWidth="1"/>
    <col min="1284" max="1284" width="9.140625" style="15"/>
    <col min="1285" max="1285" width="7.85546875" style="15" bestFit="1" customWidth="1"/>
    <col min="1286" max="1532" width="9.140625" style="15"/>
    <col min="1533" max="1534" width="9.5703125" style="15" customWidth="1"/>
    <col min="1535" max="1535" width="9.5703125" style="15" bestFit="1" customWidth="1"/>
    <col min="1536" max="1536" width="10.5703125" style="15" bestFit="1" customWidth="1"/>
    <col min="1537" max="1537" width="3.140625" style="15" customWidth="1"/>
    <col min="1538" max="1538" width="10.5703125" style="15" bestFit="1" customWidth="1"/>
    <col min="1539" max="1539" width="2.5703125" style="15" customWidth="1"/>
    <col min="1540" max="1540" width="9.140625" style="15"/>
    <col min="1541" max="1541" width="7.85546875" style="15" bestFit="1" customWidth="1"/>
    <col min="1542" max="1788" width="9.140625" style="15"/>
    <col min="1789" max="1790" width="9.5703125" style="15" customWidth="1"/>
    <col min="1791" max="1791" width="9.5703125" style="15" bestFit="1" customWidth="1"/>
    <col min="1792" max="1792" width="10.5703125" style="15" bestFit="1" customWidth="1"/>
    <col min="1793" max="1793" width="3.140625" style="15" customWidth="1"/>
    <col min="1794" max="1794" width="10.5703125" style="15" bestFit="1" customWidth="1"/>
    <col min="1795" max="1795" width="2.5703125" style="15" customWidth="1"/>
    <col min="1796" max="1796" width="9.140625" style="15"/>
    <col min="1797" max="1797" width="7.85546875" style="15" bestFit="1" customWidth="1"/>
    <col min="1798" max="2044" width="9.140625" style="15"/>
    <col min="2045" max="2046" width="9.5703125" style="15" customWidth="1"/>
    <col min="2047" max="2047" width="9.5703125" style="15" bestFit="1" customWidth="1"/>
    <col min="2048" max="2048" width="10.5703125" style="15" bestFit="1" customWidth="1"/>
    <col min="2049" max="2049" width="3.140625" style="15" customWidth="1"/>
    <col min="2050" max="2050" width="10.5703125" style="15" bestFit="1" customWidth="1"/>
    <col min="2051" max="2051" width="2.5703125" style="15" customWidth="1"/>
    <col min="2052" max="2052" width="9.140625" style="15"/>
    <col min="2053" max="2053" width="7.85546875" style="15" bestFit="1" customWidth="1"/>
    <col min="2054" max="2300" width="9.140625" style="15"/>
    <col min="2301" max="2302" width="9.5703125" style="15" customWidth="1"/>
    <col min="2303" max="2303" width="9.5703125" style="15" bestFit="1" customWidth="1"/>
    <col min="2304" max="2304" width="10.5703125" style="15" bestFit="1" customWidth="1"/>
    <col min="2305" max="2305" width="3.140625" style="15" customWidth="1"/>
    <col min="2306" max="2306" width="10.5703125" style="15" bestFit="1" customWidth="1"/>
    <col min="2307" max="2307" width="2.5703125" style="15" customWidth="1"/>
    <col min="2308" max="2308" width="9.140625" style="15"/>
    <col min="2309" max="2309" width="7.85546875" style="15" bestFit="1" customWidth="1"/>
    <col min="2310" max="2556" width="9.140625" style="15"/>
    <col min="2557" max="2558" width="9.5703125" style="15" customWidth="1"/>
    <col min="2559" max="2559" width="9.5703125" style="15" bestFit="1" customWidth="1"/>
    <col min="2560" max="2560" width="10.5703125" style="15" bestFit="1" customWidth="1"/>
    <col min="2561" max="2561" width="3.140625" style="15" customWidth="1"/>
    <col min="2562" max="2562" width="10.5703125" style="15" bestFit="1" customWidth="1"/>
    <col min="2563" max="2563" width="2.5703125" style="15" customWidth="1"/>
    <col min="2564" max="2564" width="9.140625" style="15"/>
    <col min="2565" max="2565" width="7.85546875" style="15" bestFit="1" customWidth="1"/>
    <col min="2566" max="2812" width="9.140625" style="15"/>
    <col min="2813" max="2814" width="9.5703125" style="15" customWidth="1"/>
    <col min="2815" max="2815" width="9.5703125" style="15" bestFit="1" customWidth="1"/>
    <col min="2816" max="2816" width="10.5703125" style="15" bestFit="1" customWidth="1"/>
    <col min="2817" max="2817" width="3.140625" style="15" customWidth="1"/>
    <col min="2818" max="2818" width="10.5703125" style="15" bestFit="1" customWidth="1"/>
    <col min="2819" max="2819" width="2.5703125" style="15" customWidth="1"/>
    <col min="2820" max="2820" width="9.140625" style="15"/>
    <col min="2821" max="2821" width="7.85546875" style="15" bestFit="1" customWidth="1"/>
    <col min="2822" max="3068" width="9.140625" style="15"/>
    <col min="3069" max="3070" width="9.5703125" style="15" customWidth="1"/>
    <col min="3071" max="3071" width="9.5703125" style="15" bestFit="1" customWidth="1"/>
    <col min="3072" max="3072" width="10.5703125" style="15" bestFit="1" customWidth="1"/>
    <col min="3073" max="3073" width="3.140625" style="15" customWidth="1"/>
    <col min="3074" max="3074" width="10.5703125" style="15" bestFit="1" customWidth="1"/>
    <col min="3075" max="3075" width="2.5703125" style="15" customWidth="1"/>
    <col min="3076" max="3076" width="9.140625" style="15"/>
    <col min="3077" max="3077" width="7.85546875" style="15" bestFit="1" customWidth="1"/>
    <col min="3078" max="3324" width="9.140625" style="15"/>
    <col min="3325" max="3326" width="9.5703125" style="15" customWidth="1"/>
    <col min="3327" max="3327" width="9.5703125" style="15" bestFit="1" customWidth="1"/>
    <col min="3328" max="3328" width="10.5703125" style="15" bestFit="1" customWidth="1"/>
    <col min="3329" max="3329" width="3.140625" style="15" customWidth="1"/>
    <col min="3330" max="3330" width="10.5703125" style="15" bestFit="1" customWidth="1"/>
    <col min="3331" max="3331" width="2.5703125" style="15" customWidth="1"/>
    <col min="3332" max="3332" width="9.140625" style="15"/>
    <col min="3333" max="3333" width="7.85546875" style="15" bestFit="1" customWidth="1"/>
    <col min="3334" max="3580" width="9.140625" style="15"/>
    <col min="3581" max="3582" width="9.5703125" style="15" customWidth="1"/>
    <col min="3583" max="3583" width="9.5703125" style="15" bestFit="1" customWidth="1"/>
    <col min="3584" max="3584" width="10.5703125" style="15" bestFit="1" customWidth="1"/>
    <col min="3585" max="3585" width="3.140625" style="15" customWidth="1"/>
    <col min="3586" max="3586" width="10.5703125" style="15" bestFit="1" customWidth="1"/>
    <col min="3587" max="3587" width="2.5703125" style="15" customWidth="1"/>
    <col min="3588" max="3588" width="9.140625" style="15"/>
    <col min="3589" max="3589" width="7.85546875" style="15" bestFit="1" customWidth="1"/>
    <col min="3590" max="3836" width="9.140625" style="15"/>
    <col min="3837" max="3838" width="9.5703125" style="15" customWidth="1"/>
    <col min="3839" max="3839" width="9.5703125" style="15" bestFit="1" customWidth="1"/>
    <col min="3840" max="3840" width="10.5703125" style="15" bestFit="1" customWidth="1"/>
    <col min="3841" max="3841" width="3.140625" style="15" customWidth="1"/>
    <col min="3842" max="3842" width="10.5703125" style="15" bestFit="1" customWidth="1"/>
    <col min="3843" max="3843" width="2.5703125" style="15" customWidth="1"/>
    <col min="3844" max="3844" width="9.140625" style="15"/>
    <col min="3845" max="3845" width="7.85546875" style="15" bestFit="1" customWidth="1"/>
    <col min="3846" max="4092" width="9.140625" style="15"/>
    <col min="4093" max="4094" width="9.5703125" style="15" customWidth="1"/>
    <col min="4095" max="4095" width="9.5703125" style="15" bestFit="1" customWidth="1"/>
    <col min="4096" max="4096" width="10.5703125" style="15" bestFit="1" customWidth="1"/>
    <col min="4097" max="4097" width="3.140625" style="15" customWidth="1"/>
    <col min="4098" max="4098" width="10.5703125" style="15" bestFit="1" customWidth="1"/>
    <col min="4099" max="4099" width="2.5703125" style="15" customWidth="1"/>
    <col min="4100" max="4100" width="9.140625" style="15"/>
    <col min="4101" max="4101" width="7.85546875" style="15" bestFit="1" customWidth="1"/>
    <col min="4102" max="4348" width="9.140625" style="15"/>
    <col min="4349" max="4350" width="9.5703125" style="15" customWidth="1"/>
    <col min="4351" max="4351" width="9.5703125" style="15" bestFit="1" customWidth="1"/>
    <col min="4352" max="4352" width="10.5703125" style="15" bestFit="1" customWidth="1"/>
    <col min="4353" max="4353" width="3.140625" style="15" customWidth="1"/>
    <col min="4354" max="4354" width="10.5703125" style="15" bestFit="1" customWidth="1"/>
    <col min="4355" max="4355" width="2.5703125" style="15" customWidth="1"/>
    <col min="4356" max="4356" width="9.140625" style="15"/>
    <col min="4357" max="4357" width="7.85546875" style="15" bestFit="1" customWidth="1"/>
    <col min="4358" max="4604" width="9.140625" style="15"/>
    <col min="4605" max="4606" width="9.5703125" style="15" customWidth="1"/>
    <col min="4607" max="4607" width="9.5703125" style="15" bestFit="1" customWidth="1"/>
    <col min="4608" max="4608" width="10.5703125" style="15" bestFit="1" customWidth="1"/>
    <col min="4609" max="4609" width="3.140625" style="15" customWidth="1"/>
    <col min="4610" max="4610" width="10.5703125" style="15" bestFit="1" customWidth="1"/>
    <col min="4611" max="4611" width="2.5703125" style="15" customWidth="1"/>
    <col min="4612" max="4612" width="9.140625" style="15"/>
    <col min="4613" max="4613" width="7.85546875" style="15" bestFit="1" customWidth="1"/>
    <col min="4614" max="4860" width="9.140625" style="15"/>
    <col min="4861" max="4862" width="9.5703125" style="15" customWidth="1"/>
    <col min="4863" max="4863" width="9.5703125" style="15" bestFit="1" customWidth="1"/>
    <col min="4864" max="4864" width="10.5703125" style="15" bestFit="1" customWidth="1"/>
    <col min="4865" max="4865" width="3.140625" style="15" customWidth="1"/>
    <col min="4866" max="4866" width="10.5703125" style="15" bestFit="1" customWidth="1"/>
    <col min="4867" max="4867" width="2.5703125" style="15" customWidth="1"/>
    <col min="4868" max="4868" width="9.140625" style="15"/>
    <col min="4869" max="4869" width="7.85546875" style="15" bestFit="1" customWidth="1"/>
    <col min="4870" max="5116" width="9.140625" style="15"/>
    <col min="5117" max="5118" width="9.5703125" style="15" customWidth="1"/>
    <col min="5119" max="5119" width="9.5703125" style="15" bestFit="1" customWidth="1"/>
    <col min="5120" max="5120" width="10.5703125" style="15" bestFit="1" customWidth="1"/>
    <col min="5121" max="5121" width="3.140625" style="15" customWidth="1"/>
    <col min="5122" max="5122" width="10.5703125" style="15" bestFit="1" customWidth="1"/>
    <col min="5123" max="5123" width="2.5703125" style="15" customWidth="1"/>
    <col min="5124" max="5124" width="9.140625" style="15"/>
    <col min="5125" max="5125" width="7.85546875" style="15" bestFit="1" customWidth="1"/>
    <col min="5126" max="5372" width="9.140625" style="15"/>
    <col min="5373" max="5374" width="9.5703125" style="15" customWidth="1"/>
    <col min="5375" max="5375" width="9.5703125" style="15" bestFit="1" customWidth="1"/>
    <col min="5376" max="5376" width="10.5703125" style="15" bestFit="1" customWidth="1"/>
    <col min="5377" max="5377" width="3.140625" style="15" customWidth="1"/>
    <col min="5378" max="5378" width="10.5703125" style="15" bestFit="1" customWidth="1"/>
    <col min="5379" max="5379" width="2.5703125" style="15" customWidth="1"/>
    <col min="5380" max="5380" width="9.140625" style="15"/>
    <col min="5381" max="5381" width="7.85546875" style="15" bestFit="1" customWidth="1"/>
    <col min="5382" max="5628" width="9.140625" style="15"/>
    <col min="5629" max="5630" width="9.5703125" style="15" customWidth="1"/>
    <col min="5631" max="5631" width="9.5703125" style="15" bestFit="1" customWidth="1"/>
    <col min="5632" max="5632" width="10.5703125" style="15" bestFit="1" customWidth="1"/>
    <col min="5633" max="5633" width="3.140625" style="15" customWidth="1"/>
    <col min="5634" max="5634" width="10.5703125" style="15" bestFit="1" customWidth="1"/>
    <col min="5635" max="5635" width="2.5703125" style="15" customWidth="1"/>
    <col min="5636" max="5636" width="9.140625" style="15"/>
    <col min="5637" max="5637" width="7.85546875" style="15" bestFit="1" customWidth="1"/>
    <col min="5638" max="5884" width="9.140625" style="15"/>
    <col min="5885" max="5886" width="9.5703125" style="15" customWidth="1"/>
    <col min="5887" max="5887" width="9.5703125" style="15" bestFit="1" customWidth="1"/>
    <col min="5888" max="5888" width="10.5703125" style="15" bestFit="1" customWidth="1"/>
    <col min="5889" max="5889" width="3.140625" style="15" customWidth="1"/>
    <col min="5890" max="5890" width="10.5703125" style="15" bestFit="1" customWidth="1"/>
    <col min="5891" max="5891" width="2.5703125" style="15" customWidth="1"/>
    <col min="5892" max="5892" width="9.140625" style="15"/>
    <col min="5893" max="5893" width="7.85546875" style="15" bestFit="1" customWidth="1"/>
    <col min="5894" max="6140" width="9.140625" style="15"/>
    <col min="6141" max="6142" width="9.5703125" style="15" customWidth="1"/>
    <col min="6143" max="6143" width="9.5703125" style="15" bestFit="1" customWidth="1"/>
    <col min="6144" max="6144" width="10.5703125" style="15" bestFit="1" customWidth="1"/>
    <col min="6145" max="6145" width="3.140625" style="15" customWidth="1"/>
    <col min="6146" max="6146" width="10.5703125" style="15" bestFit="1" customWidth="1"/>
    <col min="6147" max="6147" width="2.5703125" style="15" customWidth="1"/>
    <col min="6148" max="6148" width="9.140625" style="15"/>
    <col min="6149" max="6149" width="7.85546875" style="15" bestFit="1" customWidth="1"/>
    <col min="6150" max="6396" width="9.140625" style="15"/>
    <col min="6397" max="6398" width="9.5703125" style="15" customWidth="1"/>
    <col min="6399" max="6399" width="9.5703125" style="15" bestFit="1" customWidth="1"/>
    <col min="6400" max="6400" width="10.5703125" style="15" bestFit="1" customWidth="1"/>
    <col min="6401" max="6401" width="3.140625" style="15" customWidth="1"/>
    <col min="6402" max="6402" width="10.5703125" style="15" bestFit="1" customWidth="1"/>
    <col min="6403" max="6403" width="2.5703125" style="15" customWidth="1"/>
    <col min="6404" max="6404" width="9.140625" style="15"/>
    <col min="6405" max="6405" width="7.85546875" style="15" bestFit="1" customWidth="1"/>
    <col min="6406" max="6652" width="9.140625" style="15"/>
    <col min="6653" max="6654" width="9.5703125" style="15" customWidth="1"/>
    <col min="6655" max="6655" width="9.5703125" style="15" bestFit="1" customWidth="1"/>
    <col min="6656" max="6656" width="10.5703125" style="15" bestFit="1" customWidth="1"/>
    <col min="6657" max="6657" width="3.140625" style="15" customWidth="1"/>
    <col min="6658" max="6658" width="10.5703125" style="15" bestFit="1" customWidth="1"/>
    <col min="6659" max="6659" width="2.5703125" style="15" customWidth="1"/>
    <col min="6660" max="6660" width="9.140625" style="15"/>
    <col min="6661" max="6661" width="7.85546875" style="15" bestFit="1" customWidth="1"/>
    <col min="6662" max="6908" width="9.140625" style="15"/>
    <col min="6909" max="6910" width="9.5703125" style="15" customWidth="1"/>
    <col min="6911" max="6911" width="9.5703125" style="15" bestFit="1" customWidth="1"/>
    <col min="6912" max="6912" width="10.5703125" style="15" bestFit="1" customWidth="1"/>
    <col min="6913" max="6913" width="3.140625" style="15" customWidth="1"/>
    <col min="6914" max="6914" width="10.5703125" style="15" bestFit="1" customWidth="1"/>
    <col min="6915" max="6915" width="2.5703125" style="15" customWidth="1"/>
    <col min="6916" max="6916" width="9.140625" style="15"/>
    <col min="6917" max="6917" width="7.85546875" style="15" bestFit="1" customWidth="1"/>
    <col min="6918" max="7164" width="9.140625" style="15"/>
    <col min="7165" max="7166" width="9.5703125" style="15" customWidth="1"/>
    <col min="7167" max="7167" width="9.5703125" style="15" bestFit="1" customWidth="1"/>
    <col min="7168" max="7168" width="10.5703125" style="15" bestFit="1" customWidth="1"/>
    <col min="7169" max="7169" width="3.140625" style="15" customWidth="1"/>
    <col min="7170" max="7170" width="10.5703125" style="15" bestFit="1" customWidth="1"/>
    <col min="7171" max="7171" width="2.5703125" style="15" customWidth="1"/>
    <col min="7172" max="7172" width="9.140625" style="15"/>
    <col min="7173" max="7173" width="7.85546875" style="15" bestFit="1" customWidth="1"/>
    <col min="7174" max="7420" width="9.140625" style="15"/>
    <col min="7421" max="7422" width="9.5703125" style="15" customWidth="1"/>
    <col min="7423" max="7423" width="9.5703125" style="15" bestFit="1" customWidth="1"/>
    <col min="7424" max="7424" width="10.5703125" style="15" bestFit="1" customWidth="1"/>
    <col min="7425" max="7425" width="3.140625" style="15" customWidth="1"/>
    <col min="7426" max="7426" width="10.5703125" style="15" bestFit="1" customWidth="1"/>
    <col min="7427" max="7427" width="2.5703125" style="15" customWidth="1"/>
    <col min="7428" max="7428" width="9.140625" style="15"/>
    <col min="7429" max="7429" width="7.85546875" style="15" bestFit="1" customWidth="1"/>
    <col min="7430" max="7676" width="9.140625" style="15"/>
    <col min="7677" max="7678" width="9.5703125" style="15" customWidth="1"/>
    <col min="7679" max="7679" width="9.5703125" style="15" bestFit="1" customWidth="1"/>
    <col min="7680" max="7680" width="10.5703125" style="15" bestFit="1" customWidth="1"/>
    <col min="7681" max="7681" width="3.140625" style="15" customWidth="1"/>
    <col min="7682" max="7682" width="10.5703125" style="15" bestFit="1" customWidth="1"/>
    <col min="7683" max="7683" width="2.5703125" style="15" customWidth="1"/>
    <col min="7684" max="7684" width="9.140625" style="15"/>
    <col min="7685" max="7685" width="7.85546875" style="15" bestFit="1" customWidth="1"/>
    <col min="7686" max="7932" width="9.140625" style="15"/>
    <col min="7933" max="7934" width="9.5703125" style="15" customWidth="1"/>
    <col min="7935" max="7935" width="9.5703125" style="15" bestFit="1" customWidth="1"/>
    <col min="7936" max="7936" width="10.5703125" style="15" bestFit="1" customWidth="1"/>
    <col min="7937" max="7937" width="3.140625" style="15" customWidth="1"/>
    <col min="7938" max="7938" width="10.5703125" style="15" bestFit="1" customWidth="1"/>
    <col min="7939" max="7939" width="2.5703125" style="15" customWidth="1"/>
    <col min="7940" max="7940" width="9.140625" style="15"/>
    <col min="7941" max="7941" width="7.85546875" style="15" bestFit="1" customWidth="1"/>
    <col min="7942" max="8188" width="9.140625" style="15"/>
    <col min="8189" max="8190" width="9.5703125" style="15" customWidth="1"/>
    <col min="8191" max="8191" width="9.5703125" style="15" bestFit="1" customWidth="1"/>
    <col min="8192" max="8192" width="10.5703125" style="15" bestFit="1" customWidth="1"/>
    <col min="8193" max="8193" width="3.140625" style="15" customWidth="1"/>
    <col min="8194" max="8194" width="10.5703125" style="15" bestFit="1" customWidth="1"/>
    <col min="8195" max="8195" width="2.5703125" style="15" customWidth="1"/>
    <col min="8196" max="8196" width="9.140625" style="15"/>
    <col min="8197" max="8197" width="7.85546875" style="15" bestFit="1" customWidth="1"/>
    <col min="8198" max="8444" width="9.140625" style="15"/>
    <col min="8445" max="8446" width="9.5703125" style="15" customWidth="1"/>
    <col min="8447" max="8447" width="9.5703125" style="15" bestFit="1" customWidth="1"/>
    <col min="8448" max="8448" width="10.5703125" style="15" bestFit="1" customWidth="1"/>
    <col min="8449" max="8449" width="3.140625" style="15" customWidth="1"/>
    <col min="8450" max="8450" width="10.5703125" style="15" bestFit="1" customWidth="1"/>
    <col min="8451" max="8451" width="2.5703125" style="15" customWidth="1"/>
    <col min="8452" max="8452" width="9.140625" style="15"/>
    <col min="8453" max="8453" width="7.85546875" style="15" bestFit="1" customWidth="1"/>
    <col min="8454" max="8700" width="9.140625" style="15"/>
    <col min="8701" max="8702" width="9.5703125" style="15" customWidth="1"/>
    <col min="8703" max="8703" width="9.5703125" style="15" bestFit="1" customWidth="1"/>
    <col min="8704" max="8704" width="10.5703125" style="15" bestFit="1" customWidth="1"/>
    <col min="8705" max="8705" width="3.140625" style="15" customWidth="1"/>
    <col min="8706" max="8706" width="10.5703125" style="15" bestFit="1" customWidth="1"/>
    <col min="8707" max="8707" width="2.5703125" style="15" customWidth="1"/>
    <col min="8708" max="8708" width="9.140625" style="15"/>
    <col min="8709" max="8709" width="7.85546875" style="15" bestFit="1" customWidth="1"/>
    <col min="8710" max="8956" width="9.140625" style="15"/>
    <col min="8957" max="8958" width="9.5703125" style="15" customWidth="1"/>
    <col min="8959" max="8959" width="9.5703125" style="15" bestFit="1" customWidth="1"/>
    <col min="8960" max="8960" width="10.5703125" style="15" bestFit="1" customWidth="1"/>
    <col min="8961" max="8961" width="3.140625" style="15" customWidth="1"/>
    <col min="8962" max="8962" width="10.5703125" style="15" bestFit="1" customWidth="1"/>
    <col min="8963" max="8963" width="2.5703125" style="15" customWidth="1"/>
    <col min="8964" max="8964" width="9.140625" style="15"/>
    <col min="8965" max="8965" width="7.85546875" style="15" bestFit="1" customWidth="1"/>
    <col min="8966" max="9212" width="9.140625" style="15"/>
    <col min="9213" max="9214" width="9.5703125" style="15" customWidth="1"/>
    <col min="9215" max="9215" width="9.5703125" style="15" bestFit="1" customWidth="1"/>
    <col min="9216" max="9216" width="10.5703125" style="15" bestFit="1" customWidth="1"/>
    <col min="9217" max="9217" width="3.140625" style="15" customWidth="1"/>
    <col min="9218" max="9218" width="10.5703125" style="15" bestFit="1" customWidth="1"/>
    <col min="9219" max="9219" width="2.5703125" style="15" customWidth="1"/>
    <col min="9220" max="9220" width="9.140625" style="15"/>
    <col min="9221" max="9221" width="7.85546875" style="15" bestFit="1" customWidth="1"/>
    <col min="9222" max="9468" width="9.140625" style="15"/>
    <col min="9469" max="9470" width="9.5703125" style="15" customWidth="1"/>
    <col min="9471" max="9471" width="9.5703125" style="15" bestFit="1" customWidth="1"/>
    <col min="9472" max="9472" width="10.5703125" style="15" bestFit="1" customWidth="1"/>
    <col min="9473" max="9473" width="3.140625" style="15" customWidth="1"/>
    <col min="9474" max="9474" width="10.5703125" style="15" bestFit="1" customWidth="1"/>
    <col min="9475" max="9475" width="2.5703125" style="15" customWidth="1"/>
    <col min="9476" max="9476" width="9.140625" style="15"/>
    <col min="9477" max="9477" width="7.85546875" style="15" bestFit="1" customWidth="1"/>
    <col min="9478" max="9724" width="9.140625" style="15"/>
    <col min="9725" max="9726" width="9.5703125" style="15" customWidth="1"/>
    <col min="9727" max="9727" width="9.5703125" style="15" bestFit="1" customWidth="1"/>
    <col min="9728" max="9728" width="10.5703125" style="15" bestFit="1" customWidth="1"/>
    <col min="9729" max="9729" width="3.140625" style="15" customWidth="1"/>
    <col min="9730" max="9730" width="10.5703125" style="15" bestFit="1" customWidth="1"/>
    <col min="9731" max="9731" width="2.5703125" style="15" customWidth="1"/>
    <col min="9732" max="9732" width="9.140625" style="15"/>
    <col min="9733" max="9733" width="7.85546875" style="15" bestFit="1" customWidth="1"/>
    <col min="9734" max="9980" width="9.140625" style="15"/>
    <col min="9981" max="9982" width="9.5703125" style="15" customWidth="1"/>
    <col min="9983" max="9983" width="9.5703125" style="15" bestFit="1" customWidth="1"/>
    <col min="9984" max="9984" width="10.5703125" style="15" bestFit="1" customWidth="1"/>
    <col min="9985" max="9985" width="3.140625" style="15" customWidth="1"/>
    <col min="9986" max="9986" width="10.5703125" style="15" bestFit="1" customWidth="1"/>
    <col min="9987" max="9987" width="2.5703125" style="15" customWidth="1"/>
    <col min="9988" max="9988" width="9.140625" style="15"/>
    <col min="9989" max="9989" width="7.85546875" style="15" bestFit="1" customWidth="1"/>
    <col min="9990" max="10236" width="9.140625" style="15"/>
    <col min="10237" max="10238" width="9.5703125" style="15" customWidth="1"/>
    <col min="10239" max="10239" width="9.5703125" style="15" bestFit="1" customWidth="1"/>
    <col min="10240" max="10240" width="10.5703125" style="15" bestFit="1" customWidth="1"/>
    <col min="10241" max="10241" width="3.140625" style="15" customWidth="1"/>
    <col min="10242" max="10242" width="10.5703125" style="15" bestFit="1" customWidth="1"/>
    <col min="10243" max="10243" width="2.5703125" style="15" customWidth="1"/>
    <col min="10244" max="10244" width="9.140625" style="15"/>
    <col min="10245" max="10245" width="7.85546875" style="15" bestFit="1" customWidth="1"/>
    <col min="10246" max="10492" width="9.140625" style="15"/>
    <col min="10493" max="10494" width="9.5703125" style="15" customWidth="1"/>
    <col min="10495" max="10495" width="9.5703125" style="15" bestFit="1" customWidth="1"/>
    <col min="10496" max="10496" width="10.5703125" style="15" bestFit="1" customWidth="1"/>
    <col min="10497" max="10497" width="3.140625" style="15" customWidth="1"/>
    <col min="10498" max="10498" width="10.5703125" style="15" bestFit="1" customWidth="1"/>
    <col min="10499" max="10499" width="2.5703125" style="15" customWidth="1"/>
    <col min="10500" max="10500" width="9.140625" style="15"/>
    <col min="10501" max="10501" width="7.85546875" style="15" bestFit="1" customWidth="1"/>
    <col min="10502" max="10748" width="9.140625" style="15"/>
    <col min="10749" max="10750" width="9.5703125" style="15" customWidth="1"/>
    <col min="10751" max="10751" width="9.5703125" style="15" bestFit="1" customWidth="1"/>
    <col min="10752" max="10752" width="10.5703125" style="15" bestFit="1" customWidth="1"/>
    <col min="10753" max="10753" width="3.140625" style="15" customWidth="1"/>
    <col min="10754" max="10754" width="10.5703125" style="15" bestFit="1" customWidth="1"/>
    <col min="10755" max="10755" width="2.5703125" style="15" customWidth="1"/>
    <col min="10756" max="10756" width="9.140625" style="15"/>
    <col min="10757" max="10757" width="7.85546875" style="15" bestFit="1" customWidth="1"/>
    <col min="10758" max="11004" width="9.140625" style="15"/>
    <col min="11005" max="11006" width="9.5703125" style="15" customWidth="1"/>
    <col min="11007" max="11007" width="9.5703125" style="15" bestFit="1" customWidth="1"/>
    <col min="11008" max="11008" width="10.5703125" style="15" bestFit="1" customWidth="1"/>
    <col min="11009" max="11009" width="3.140625" style="15" customWidth="1"/>
    <col min="11010" max="11010" width="10.5703125" style="15" bestFit="1" customWidth="1"/>
    <col min="11011" max="11011" width="2.5703125" style="15" customWidth="1"/>
    <col min="11012" max="11012" width="9.140625" style="15"/>
    <col min="11013" max="11013" width="7.85546875" style="15" bestFit="1" customWidth="1"/>
    <col min="11014" max="11260" width="9.140625" style="15"/>
    <col min="11261" max="11262" width="9.5703125" style="15" customWidth="1"/>
    <col min="11263" max="11263" width="9.5703125" style="15" bestFit="1" customWidth="1"/>
    <col min="11264" max="11264" width="10.5703125" style="15" bestFit="1" customWidth="1"/>
    <col min="11265" max="11265" width="3.140625" style="15" customWidth="1"/>
    <col min="11266" max="11266" width="10.5703125" style="15" bestFit="1" customWidth="1"/>
    <col min="11267" max="11267" width="2.5703125" style="15" customWidth="1"/>
    <col min="11268" max="11268" width="9.140625" style="15"/>
    <col min="11269" max="11269" width="7.85546875" style="15" bestFit="1" customWidth="1"/>
    <col min="11270" max="11516" width="9.140625" style="15"/>
    <col min="11517" max="11518" width="9.5703125" style="15" customWidth="1"/>
    <col min="11519" max="11519" width="9.5703125" style="15" bestFit="1" customWidth="1"/>
    <col min="11520" max="11520" width="10.5703125" style="15" bestFit="1" customWidth="1"/>
    <col min="11521" max="11521" width="3.140625" style="15" customWidth="1"/>
    <col min="11522" max="11522" width="10.5703125" style="15" bestFit="1" customWidth="1"/>
    <col min="11523" max="11523" width="2.5703125" style="15" customWidth="1"/>
    <col min="11524" max="11524" width="9.140625" style="15"/>
    <col min="11525" max="11525" width="7.85546875" style="15" bestFit="1" customWidth="1"/>
    <col min="11526" max="11772" width="9.140625" style="15"/>
    <col min="11773" max="11774" width="9.5703125" style="15" customWidth="1"/>
    <col min="11775" max="11775" width="9.5703125" style="15" bestFit="1" customWidth="1"/>
    <col min="11776" max="11776" width="10.5703125" style="15" bestFit="1" customWidth="1"/>
    <col min="11777" max="11777" width="3.140625" style="15" customWidth="1"/>
    <col min="11778" max="11778" width="10.5703125" style="15" bestFit="1" customWidth="1"/>
    <col min="11779" max="11779" width="2.5703125" style="15" customWidth="1"/>
    <col min="11780" max="11780" width="9.140625" style="15"/>
    <col min="11781" max="11781" width="7.85546875" style="15" bestFit="1" customWidth="1"/>
    <col min="11782" max="12028" width="9.140625" style="15"/>
    <col min="12029" max="12030" width="9.5703125" style="15" customWidth="1"/>
    <col min="12031" max="12031" width="9.5703125" style="15" bestFit="1" customWidth="1"/>
    <col min="12032" max="12032" width="10.5703125" style="15" bestFit="1" customWidth="1"/>
    <col min="12033" max="12033" width="3.140625" style="15" customWidth="1"/>
    <col min="12034" max="12034" width="10.5703125" style="15" bestFit="1" customWidth="1"/>
    <col min="12035" max="12035" width="2.5703125" style="15" customWidth="1"/>
    <col min="12036" max="12036" width="9.140625" style="15"/>
    <col min="12037" max="12037" width="7.85546875" style="15" bestFit="1" customWidth="1"/>
    <col min="12038" max="12284" width="9.140625" style="15"/>
    <col min="12285" max="12286" width="9.5703125" style="15" customWidth="1"/>
    <col min="12287" max="12287" width="9.5703125" style="15" bestFit="1" customWidth="1"/>
    <col min="12288" max="12288" width="10.5703125" style="15" bestFit="1" customWidth="1"/>
    <col min="12289" max="12289" width="3.140625" style="15" customWidth="1"/>
    <col min="12290" max="12290" width="10.5703125" style="15" bestFit="1" customWidth="1"/>
    <col min="12291" max="12291" width="2.5703125" style="15" customWidth="1"/>
    <col min="12292" max="12292" width="9.140625" style="15"/>
    <col min="12293" max="12293" width="7.85546875" style="15" bestFit="1" customWidth="1"/>
    <col min="12294" max="12540" width="9.140625" style="15"/>
    <col min="12541" max="12542" width="9.5703125" style="15" customWidth="1"/>
    <col min="12543" max="12543" width="9.5703125" style="15" bestFit="1" customWidth="1"/>
    <col min="12544" max="12544" width="10.5703125" style="15" bestFit="1" customWidth="1"/>
    <col min="12545" max="12545" width="3.140625" style="15" customWidth="1"/>
    <col min="12546" max="12546" width="10.5703125" style="15" bestFit="1" customWidth="1"/>
    <col min="12547" max="12547" width="2.5703125" style="15" customWidth="1"/>
    <col min="12548" max="12548" width="9.140625" style="15"/>
    <col min="12549" max="12549" width="7.85546875" style="15" bestFit="1" customWidth="1"/>
    <col min="12550" max="12796" width="9.140625" style="15"/>
    <col min="12797" max="12798" width="9.5703125" style="15" customWidth="1"/>
    <col min="12799" max="12799" width="9.5703125" style="15" bestFit="1" customWidth="1"/>
    <col min="12800" max="12800" width="10.5703125" style="15" bestFit="1" customWidth="1"/>
    <col min="12801" max="12801" width="3.140625" style="15" customWidth="1"/>
    <col min="12802" max="12802" width="10.5703125" style="15" bestFit="1" customWidth="1"/>
    <col min="12803" max="12803" width="2.5703125" style="15" customWidth="1"/>
    <col min="12804" max="12804" width="9.140625" style="15"/>
    <col min="12805" max="12805" width="7.85546875" style="15" bestFit="1" customWidth="1"/>
    <col min="12806" max="13052" width="9.140625" style="15"/>
    <col min="13053" max="13054" width="9.5703125" style="15" customWidth="1"/>
    <col min="13055" max="13055" width="9.5703125" style="15" bestFit="1" customWidth="1"/>
    <col min="13056" max="13056" width="10.5703125" style="15" bestFit="1" customWidth="1"/>
    <col min="13057" max="13057" width="3.140625" style="15" customWidth="1"/>
    <col min="13058" max="13058" width="10.5703125" style="15" bestFit="1" customWidth="1"/>
    <col min="13059" max="13059" width="2.5703125" style="15" customWidth="1"/>
    <col min="13060" max="13060" width="9.140625" style="15"/>
    <col min="13061" max="13061" width="7.85546875" style="15" bestFit="1" customWidth="1"/>
    <col min="13062" max="13308" width="9.140625" style="15"/>
    <col min="13309" max="13310" width="9.5703125" style="15" customWidth="1"/>
    <col min="13311" max="13311" width="9.5703125" style="15" bestFit="1" customWidth="1"/>
    <col min="13312" max="13312" width="10.5703125" style="15" bestFit="1" customWidth="1"/>
    <col min="13313" max="13313" width="3.140625" style="15" customWidth="1"/>
    <col min="13314" max="13314" width="10.5703125" style="15" bestFit="1" customWidth="1"/>
    <col min="13315" max="13315" width="2.5703125" style="15" customWidth="1"/>
    <col min="13316" max="13316" width="9.140625" style="15"/>
    <col min="13317" max="13317" width="7.85546875" style="15" bestFit="1" customWidth="1"/>
    <col min="13318" max="13564" width="9.140625" style="15"/>
    <col min="13565" max="13566" width="9.5703125" style="15" customWidth="1"/>
    <col min="13567" max="13567" width="9.5703125" style="15" bestFit="1" customWidth="1"/>
    <col min="13568" max="13568" width="10.5703125" style="15" bestFit="1" customWidth="1"/>
    <col min="13569" max="13569" width="3.140625" style="15" customWidth="1"/>
    <col min="13570" max="13570" width="10.5703125" style="15" bestFit="1" customWidth="1"/>
    <col min="13571" max="13571" width="2.5703125" style="15" customWidth="1"/>
    <col min="13572" max="13572" width="9.140625" style="15"/>
    <col min="13573" max="13573" width="7.85546875" style="15" bestFit="1" customWidth="1"/>
    <col min="13574" max="13820" width="9.140625" style="15"/>
    <col min="13821" max="13822" width="9.5703125" style="15" customWidth="1"/>
    <col min="13823" max="13823" width="9.5703125" style="15" bestFit="1" customWidth="1"/>
    <col min="13824" max="13824" width="10.5703125" style="15" bestFit="1" customWidth="1"/>
    <col min="13825" max="13825" width="3.140625" style="15" customWidth="1"/>
    <col min="13826" max="13826" width="10.5703125" style="15" bestFit="1" customWidth="1"/>
    <col min="13827" max="13827" width="2.5703125" style="15" customWidth="1"/>
    <col min="13828" max="13828" width="9.140625" style="15"/>
    <col min="13829" max="13829" width="7.85546875" style="15" bestFit="1" customWidth="1"/>
    <col min="13830" max="14076" width="9.140625" style="15"/>
    <col min="14077" max="14078" width="9.5703125" style="15" customWidth="1"/>
    <col min="14079" max="14079" width="9.5703125" style="15" bestFit="1" customWidth="1"/>
    <col min="14080" max="14080" width="10.5703125" style="15" bestFit="1" customWidth="1"/>
    <col min="14081" max="14081" width="3.140625" style="15" customWidth="1"/>
    <col min="14082" max="14082" width="10.5703125" style="15" bestFit="1" customWidth="1"/>
    <col min="14083" max="14083" width="2.5703125" style="15" customWidth="1"/>
    <col min="14084" max="14084" width="9.140625" style="15"/>
    <col min="14085" max="14085" width="7.85546875" style="15" bestFit="1" customWidth="1"/>
    <col min="14086" max="14332" width="9.140625" style="15"/>
    <col min="14333" max="14334" width="9.5703125" style="15" customWidth="1"/>
    <col min="14335" max="14335" width="9.5703125" style="15" bestFit="1" customWidth="1"/>
    <col min="14336" max="14336" width="10.5703125" style="15" bestFit="1" customWidth="1"/>
    <col min="14337" max="14337" width="3.140625" style="15" customWidth="1"/>
    <col min="14338" max="14338" width="10.5703125" style="15" bestFit="1" customWidth="1"/>
    <col min="14339" max="14339" width="2.5703125" style="15" customWidth="1"/>
    <col min="14340" max="14340" width="9.140625" style="15"/>
    <col min="14341" max="14341" width="7.85546875" style="15" bestFit="1" customWidth="1"/>
    <col min="14342" max="14588" width="9.140625" style="15"/>
    <col min="14589" max="14590" width="9.5703125" style="15" customWidth="1"/>
    <col min="14591" max="14591" width="9.5703125" style="15" bestFit="1" customWidth="1"/>
    <col min="14592" max="14592" width="10.5703125" style="15" bestFit="1" customWidth="1"/>
    <col min="14593" max="14593" width="3.140625" style="15" customWidth="1"/>
    <col min="14594" max="14594" width="10.5703125" style="15" bestFit="1" customWidth="1"/>
    <col min="14595" max="14595" width="2.5703125" style="15" customWidth="1"/>
    <col min="14596" max="14596" width="9.140625" style="15"/>
    <col min="14597" max="14597" width="7.85546875" style="15" bestFit="1" customWidth="1"/>
    <col min="14598" max="14844" width="9.140625" style="15"/>
    <col min="14845" max="14846" width="9.5703125" style="15" customWidth="1"/>
    <col min="14847" max="14847" width="9.5703125" style="15" bestFit="1" customWidth="1"/>
    <col min="14848" max="14848" width="10.5703125" style="15" bestFit="1" customWidth="1"/>
    <col min="14849" max="14849" width="3.140625" style="15" customWidth="1"/>
    <col min="14850" max="14850" width="10.5703125" style="15" bestFit="1" customWidth="1"/>
    <col min="14851" max="14851" width="2.5703125" style="15" customWidth="1"/>
    <col min="14852" max="14852" width="9.140625" style="15"/>
    <col min="14853" max="14853" width="7.85546875" style="15" bestFit="1" customWidth="1"/>
    <col min="14854" max="15100" width="9.140625" style="15"/>
    <col min="15101" max="15102" width="9.5703125" style="15" customWidth="1"/>
    <col min="15103" max="15103" width="9.5703125" style="15" bestFit="1" customWidth="1"/>
    <col min="15104" max="15104" width="10.5703125" style="15" bestFit="1" customWidth="1"/>
    <col min="15105" max="15105" width="3.140625" style="15" customWidth="1"/>
    <col min="15106" max="15106" width="10.5703125" style="15" bestFit="1" customWidth="1"/>
    <col min="15107" max="15107" width="2.5703125" style="15" customWidth="1"/>
    <col min="15108" max="15108" width="9.140625" style="15"/>
    <col min="15109" max="15109" width="7.85546875" style="15" bestFit="1" customWidth="1"/>
    <col min="15110" max="15356" width="9.140625" style="15"/>
    <col min="15357" max="15358" width="9.5703125" style="15" customWidth="1"/>
    <col min="15359" max="15359" width="9.5703125" style="15" bestFit="1" customWidth="1"/>
    <col min="15360" max="15360" width="10.5703125" style="15" bestFit="1" customWidth="1"/>
    <col min="15361" max="15361" width="3.140625" style="15" customWidth="1"/>
    <col min="15362" max="15362" width="10.5703125" style="15" bestFit="1" customWidth="1"/>
    <col min="15363" max="15363" width="2.5703125" style="15" customWidth="1"/>
    <col min="15364" max="15364" width="9.140625" style="15"/>
    <col min="15365" max="15365" width="7.85546875" style="15" bestFit="1" customWidth="1"/>
    <col min="15366" max="15612" width="9.140625" style="15"/>
    <col min="15613" max="15614" width="9.5703125" style="15" customWidth="1"/>
    <col min="15615" max="15615" width="9.5703125" style="15" bestFit="1" customWidth="1"/>
    <col min="15616" max="15616" width="10.5703125" style="15" bestFit="1" customWidth="1"/>
    <col min="15617" max="15617" width="3.140625" style="15" customWidth="1"/>
    <col min="15618" max="15618" width="10.5703125" style="15" bestFit="1" customWidth="1"/>
    <col min="15619" max="15619" width="2.5703125" style="15" customWidth="1"/>
    <col min="15620" max="15620" width="9.140625" style="15"/>
    <col min="15621" max="15621" width="7.85546875" style="15" bestFit="1" customWidth="1"/>
    <col min="15622" max="15868" width="9.140625" style="15"/>
    <col min="15869" max="15870" width="9.5703125" style="15" customWidth="1"/>
    <col min="15871" max="15871" width="9.5703125" style="15" bestFit="1" customWidth="1"/>
    <col min="15872" max="15872" width="10.5703125" style="15" bestFit="1" customWidth="1"/>
    <col min="15873" max="15873" width="3.140625" style="15" customWidth="1"/>
    <col min="15874" max="15874" width="10.5703125" style="15" bestFit="1" customWidth="1"/>
    <col min="15875" max="15875" width="2.5703125" style="15" customWidth="1"/>
    <col min="15876" max="15876" width="9.140625" style="15"/>
    <col min="15877" max="15877" width="7.85546875" style="15" bestFit="1" customWidth="1"/>
    <col min="15878" max="16124" width="9.140625" style="15"/>
    <col min="16125" max="16126" width="9.5703125" style="15" customWidth="1"/>
    <col min="16127" max="16127" width="9.5703125" style="15" bestFit="1" customWidth="1"/>
    <col min="16128" max="16128" width="10.5703125" style="15" bestFit="1" customWidth="1"/>
    <col min="16129" max="16129" width="3.140625" style="15" customWidth="1"/>
    <col min="16130" max="16130" width="10.5703125" style="15" bestFit="1" customWidth="1"/>
    <col min="16131" max="16131" width="2.5703125" style="15" customWidth="1"/>
    <col min="16132" max="16132" width="9.140625" style="15"/>
    <col min="16133" max="16133" width="7.85546875" style="15" bestFit="1" customWidth="1"/>
    <col min="16134" max="16384" width="9.140625" style="15"/>
  </cols>
  <sheetData>
    <row r="1" spans="1:13" s="47" customFormat="1" ht="21" x14ac:dyDescent="0.35">
      <c r="A1" s="47" t="s">
        <v>68</v>
      </c>
      <c r="L1" s="74"/>
    </row>
    <row r="2" spans="1:13" s="47" customFormat="1" ht="21" x14ac:dyDescent="0.35">
      <c r="A2" s="46" t="s">
        <v>121</v>
      </c>
      <c r="L2" s="74"/>
    </row>
    <row r="4" spans="1:13" x14ac:dyDescent="0.25">
      <c r="A4" s="5"/>
    </row>
    <row r="5" spans="1:13" x14ac:dyDescent="0.25">
      <c r="A5" s="20"/>
      <c r="B5" s="20"/>
      <c r="D5" s="45" t="s">
        <v>46</v>
      </c>
      <c r="G5" s="45" t="s">
        <v>107</v>
      </c>
      <c r="I5" s="20"/>
      <c r="K5" s="45"/>
      <c r="L5" s="45"/>
      <c r="M5" s="20"/>
    </row>
    <row r="6" spans="1:13" x14ac:dyDescent="0.25">
      <c r="A6" s="20"/>
      <c r="B6" s="20"/>
      <c r="C6" s="45" t="s">
        <v>16</v>
      </c>
      <c r="D6" s="45" t="s">
        <v>47</v>
      </c>
      <c r="E6" s="45"/>
      <c r="G6" s="45" t="s">
        <v>48</v>
      </c>
      <c r="I6" s="20"/>
      <c r="K6" s="45"/>
      <c r="L6" s="45"/>
      <c r="M6" s="20"/>
    </row>
    <row r="7" spans="1:13" x14ac:dyDescent="0.25">
      <c r="A7" s="20"/>
      <c r="B7" s="20"/>
      <c r="C7" s="45" t="s">
        <v>17</v>
      </c>
      <c r="D7" s="45" t="s">
        <v>50</v>
      </c>
      <c r="E7" s="45" t="s">
        <v>51</v>
      </c>
      <c r="F7" s="45" t="s">
        <v>82</v>
      </c>
      <c r="G7" s="45" t="s">
        <v>49</v>
      </c>
      <c r="I7" s="20"/>
      <c r="K7" s="26"/>
      <c r="L7" s="45"/>
      <c r="M7" s="45"/>
    </row>
    <row r="8" spans="1:13" x14ac:dyDescent="0.25">
      <c r="A8" s="21" t="s">
        <v>4</v>
      </c>
      <c r="B8" s="20"/>
      <c r="C8" s="26" t="s">
        <v>49</v>
      </c>
      <c r="D8" s="26" t="s">
        <v>52</v>
      </c>
      <c r="E8" s="26" t="s">
        <v>17</v>
      </c>
      <c r="F8" s="26" t="s">
        <v>83</v>
      </c>
      <c r="G8" s="26" t="s">
        <v>17</v>
      </c>
      <c r="I8" s="20"/>
      <c r="K8" s="220"/>
      <c r="L8" s="26"/>
      <c r="M8" s="26"/>
    </row>
    <row r="9" spans="1:13" x14ac:dyDescent="0.25">
      <c r="A9" s="20"/>
      <c r="B9" s="20"/>
      <c r="G9" s="20"/>
      <c r="I9" s="20"/>
      <c r="K9" s="220"/>
      <c r="L9" s="26"/>
    </row>
    <row r="10" spans="1:13" x14ac:dyDescent="0.25">
      <c r="A10" s="20" t="s">
        <v>126</v>
      </c>
      <c r="B10" s="27"/>
      <c r="C10" s="310">
        <v>783.47</v>
      </c>
      <c r="D10" s="29">
        <f>+'CRC Composition'!C18</f>
        <v>0.12026067977464271</v>
      </c>
      <c r="E10" s="27">
        <f>+C10-C10*D10</f>
        <v>689.24936521696065</v>
      </c>
      <c r="F10" s="76">
        <f>+Customers!C$21</f>
        <v>0.37274201348391317</v>
      </c>
      <c r="G10" s="27">
        <f>+F10*E10</f>
        <v>256.91219618347895</v>
      </c>
      <c r="I10" s="20"/>
      <c r="K10" s="220"/>
      <c r="L10" s="305"/>
      <c r="M10" s="27"/>
    </row>
    <row r="11" spans="1:13" x14ac:dyDescent="0.25">
      <c r="A11" s="20" t="s">
        <v>36</v>
      </c>
      <c r="B11" s="20"/>
      <c r="C11" s="310">
        <v>925.96</v>
      </c>
      <c r="D11" s="29">
        <f>+'CRC Composition'!E18</f>
        <v>0.10037351392119748</v>
      </c>
      <c r="E11" s="27">
        <f t="shared" ref="E11:E21" si="0">+C11-C11*D11</f>
        <v>833.01814104952803</v>
      </c>
      <c r="F11" s="76">
        <f>+Customers!D$21</f>
        <v>0.37390736746509251</v>
      </c>
      <c r="G11" s="27">
        <f t="shared" ref="G11:G21" si="1">+F11*E11</f>
        <v>311.47162017049413</v>
      </c>
      <c r="I11" s="20"/>
      <c r="K11" s="220"/>
      <c r="L11" s="305"/>
      <c r="M11" s="27"/>
    </row>
    <row r="12" spans="1:13" x14ac:dyDescent="0.25">
      <c r="A12" s="20" t="s">
        <v>37</v>
      </c>
      <c r="B12" s="20"/>
      <c r="C12" s="310">
        <v>634.16</v>
      </c>
      <c r="D12" s="29">
        <f>+'CRC Composition'!G18</f>
        <v>9.7549648369750594E-2</v>
      </c>
      <c r="E12" s="27">
        <f t="shared" si="0"/>
        <v>572.29791498983889</v>
      </c>
      <c r="F12" s="76">
        <f>+Customers!E$21</f>
        <v>0.37550257658984088</v>
      </c>
      <c r="G12" s="27">
        <f t="shared" si="1"/>
        <v>214.89934165567823</v>
      </c>
      <c r="I12" s="20"/>
      <c r="K12" s="220"/>
      <c r="L12" s="305"/>
      <c r="M12" s="27"/>
    </row>
    <row r="13" spans="1:13" x14ac:dyDescent="0.25">
      <c r="A13" s="20" t="s">
        <v>38</v>
      </c>
      <c r="B13" s="20"/>
      <c r="C13" s="310">
        <v>656.93</v>
      </c>
      <c r="D13" s="29">
        <f>+'CRC Composition'!I18</f>
        <v>0.12212542927138643</v>
      </c>
      <c r="E13" s="27">
        <f t="shared" si="0"/>
        <v>576.70214174874809</v>
      </c>
      <c r="F13" s="76">
        <f>+Customers!F$21</f>
        <v>0.37656537102473497</v>
      </c>
      <c r="G13" s="27">
        <f t="shared" si="1"/>
        <v>217.16605597837662</v>
      </c>
      <c r="I13" s="20"/>
      <c r="K13" s="220"/>
      <c r="L13" s="26"/>
      <c r="M13" s="27"/>
    </row>
    <row r="14" spans="1:13" x14ac:dyDescent="0.25">
      <c r="A14" s="20" t="s">
        <v>39</v>
      </c>
      <c r="B14" s="20"/>
      <c r="C14" s="310">
        <v>678.67</v>
      </c>
      <c r="D14" s="29">
        <f>+'CRC Composition'!K18</f>
        <v>0.14889673534787146</v>
      </c>
      <c r="E14" s="27">
        <f t="shared" si="0"/>
        <v>577.61825262145999</v>
      </c>
      <c r="F14" s="76">
        <f>+Customers!G$21</f>
        <v>0.37658451201264787</v>
      </c>
      <c r="G14" s="27">
        <f t="shared" si="1"/>
        <v>217.52208779305087</v>
      </c>
      <c r="I14" s="20"/>
      <c r="K14" s="220"/>
      <c r="L14" s="26"/>
      <c r="M14" s="27"/>
    </row>
    <row r="15" spans="1:13" x14ac:dyDescent="0.25">
      <c r="A15" s="20" t="s">
        <v>40</v>
      </c>
      <c r="B15" s="20"/>
      <c r="C15" s="310">
        <v>691.28</v>
      </c>
      <c r="D15" s="29">
        <f>+'CRC Composition'!M18</f>
        <v>0.13747394753366479</v>
      </c>
      <c r="E15" s="27">
        <f t="shared" si="0"/>
        <v>596.24700954892819</v>
      </c>
      <c r="F15" s="76">
        <f>+Customers!H$21</f>
        <v>0.37686524983043185</v>
      </c>
      <c r="G15" s="27">
        <f t="shared" si="1"/>
        <v>224.7047782143047</v>
      </c>
      <c r="I15" s="20"/>
      <c r="K15" s="220"/>
      <c r="L15" s="26"/>
      <c r="M15" s="27"/>
    </row>
    <row r="16" spans="1:13" x14ac:dyDescent="0.25">
      <c r="A16" s="20" t="s">
        <v>41</v>
      </c>
      <c r="B16" s="20"/>
      <c r="C16" s="310">
        <v>753.26</v>
      </c>
      <c r="D16" s="29">
        <f>+'CRC Composition'!O18</f>
        <v>0.12076934838764394</v>
      </c>
      <c r="E16" s="27">
        <f t="shared" si="0"/>
        <v>662.28928063352328</v>
      </c>
      <c r="F16" s="76">
        <f>+Customers!I$21</f>
        <v>0.37657968392185687</v>
      </c>
      <c r="G16" s="27">
        <f t="shared" si="1"/>
        <v>249.40468796580615</v>
      </c>
      <c r="I16" s="20"/>
      <c r="K16" s="220"/>
      <c r="L16" s="26"/>
      <c r="M16" s="27"/>
    </row>
    <row r="17" spans="1:13" x14ac:dyDescent="0.25">
      <c r="A17" s="20" t="s">
        <v>42</v>
      </c>
      <c r="B17" s="20"/>
      <c r="C17" s="310">
        <v>745.42</v>
      </c>
      <c r="D17" s="29">
        <f>+'CRC Composition'!Q18</f>
        <v>0.12076934838764394</v>
      </c>
      <c r="E17" s="27">
        <f t="shared" si="0"/>
        <v>655.39611232488244</v>
      </c>
      <c r="F17" s="76">
        <f>+Customers!I$21</f>
        <v>0.37657968392185687</v>
      </c>
      <c r="G17" s="27">
        <f t="shared" si="1"/>
        <v>246.80886082291804</v>
      </c>
      <c r="I17" s="20"/>
      <c r="K17" s="220"/>
      <c r="L17" s="26"/>
      <c r="M17" s="27"/>
    </row>
    <row r="18" spans="1:13" x14ac:dyDescent="0.25">
      <c r="A18" s="20" t="s">
        <v>127</v>
      </c>
      <c r="B18" s="20"/>
      <c r="C18" s="310">
        <v>836.28</v>
      </c>
      <c r="D18" s="29">
        <f>+'CRC Composition'!S18</f>
        <v>0.12076934838764394</v>
      </c>
      <c r="E18" s="27">
        <f t="shared" si="0"/>
        <v>735.28300933038111</v>
      </c>
      <c r="F18" s="76">
        <f>+Customers!K$21</f>
        <v>0.3763334370844062</v>
      </c>
      <c r="G18" s="27">
        <f t="shared" si="1"/>
        <v>276.71158213106781</v>
      </c>
      <c r="I18" s="20"/>
      <c r="K18" s="220"/>
      <c r="L18" s="26"/>
      <c r="M18" s="27"/>
    </row>
    <row r="19" spans="1:13" x14ac:dyDescent="0.25">
      <c r="A19" s="20" t="s">
        <v>43</v>
      </c>
      <c r="B19" s="20"/>
      <c r="C19" s="310">
        <v>704.07</v>
      </c>
      <c r="D19" s="29">
        <f>+'CRC Composition'!U18</f>
        <v>0.12076934838764394</v>
      </c>
      <c r="E19" s="27">
        <f t="shared" si="0"/>
        <v>619.03992488071162</v>
      </c>
      <c r="F19" s="76">
        <f>+Customers!L$21</f>
        <v>0.19016613958014339</v>
      </c>
      <c r="G19" s="27">
        <f t="shared" si="1"/>
        <v>117.72043276054688</v>
      </c>
      <c r="I19" s="20"/>
      <c r="K19" s="27"/>
      <c r="M19" s="27"/>
    </row>
    <row r="20" spans="1:13" x14ac:dyDescent="0.25">
      <c r="A20" s="20" t="s">
        <v>44</v>
      </c>
      <c r="B20" s="20"/>
      <c r="C20" s="310">
        <v>846.48</v>
      </c>
      <c r="D20" s="87">
        <f>+'CRC Composition'!W18</f>
        <v>0.12076934838764394</v>
      </c>
      <c r="E20" s="27">
        <f t="shared" si="0"/>
        <v>744.25116197682723</v>
      </c>
      <c r="F20" s="76">
        <f>+Customers!M$21</f>
        <v>0.37694651320243738</v>
      </c>
      <c r="G20" s="27">
        <f t="shared" si="1"/>
        <v>280.54288045402745</v>
      </c>
      <c r="I20" s="20"/>
      <c r="K20" s="28"/>
      <c r="M20" s="27"/>
    </row>
    <row r="21" spans="1:13" ht="17.25" x14ac:dyDescent="0.4">
      <c r="A21" s="20" t="s">
        <v>45</v>
      </c>
      <c r="B21" s="20"/>
      <c r="C21" s="317">
        <v>741.52</v>
      </c>
      <c r="D21" s="93">
        <f>+'CRC Composition'!Y18</f>
        <v>0.12076934838764394</v>
      </c>
      <c r="E21" s="30">
        <f t="shared" si="0"/>
        <v>651.9671127835943</v>
      </c>
      <c r="F21" s="77">
        <f>+Customers!N$21</f>
        <v>0.37924936136765575</v>
      </c>
      <c r="G21" s="30">
        <f t="shared" si="1"/>
        <v>247.25811115589252</v>
      </c>
      <c r="I21" s="20"/>
      <c r="K21" s="28"/>
      <c r="M21" s="30"/>
    </row>
    <row r="22" spans="1:13" ht="17.25" x14ac:dyDescent="0.4">
      <c r="A22" s="20"/>
      <c r="B22" s="20"/>
      <c r="C22" s="32">
        <f>SUM(C10:C21)</f>
        <v>8997.5</v>
      </c>
      <c r="D22" s="33">
        <f>(+C22-E22)/C22</f>
        <v>0.12049353408109093</v>
      </c>
      <c r="E22" s="32">
        <f t="shared" ref="E22" si="2">SUM(E10:E21)</f>
        <v>7913.3594271053844</v>
      </c>
      <c r="F22" s="96">
        <f>+G22/E22</f>
        <v>0.36155600685664896</v>
      </c>
      <c r="G22" s="32">
        <f>SUM(G10:G21)</f>
        <v>2861.122635285642</v>
      </c>
      <c r="I22" s="20"/>
      <c r="K22" s="32"/>
      <c r="L22" s="33"/>
      <c r="M22" s="32"/>
    </row>
    <row r="23" spans="1:13" x14ac:dyDescent="0.25">
      <c r="I23" s="20"/>
    </row>
    <row r="24" spans="1:13" x14ac:dyDescent="0.25">
      <c r="G24" s="28"/>
      <c r="H24" s="29"/>
      <c r="I24" s="28"/>
    </row>
    <row r="26" spans="1:13" x14ac:dyDescent="0.25">
      <c r="G26" s="27"/>
    </row>
    <row r="29" spans="1:13" x14ac:dyDescent="0.25">
      <c r="G29" s="42"/>
    </row>
    <row r="32" spans="1:13" x14ac:dyDescent="0.25">
      <c r="G32" s="42"/>
    </row>
  </sheetData>
  <pageMargins left="0.7" right="0.7" top="0.75" bottom="0.75" header="0.3" footer="0.3"/>
  <pageSetup orientation="portrait" r:id="rId1"/>
  <headerFooter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4"/>
  <sheetViews>
    <sheetView topLeftCell="A4" workbookViewId="0">
      <selection activeCell="B64" sqref="B64"/>
    </sheetView>
  </sheetViews>
  <sheetFormatPr defaultRowHeight="15" x14ac:dyDescent="0.25"/>
  <cols>
    <col min="1" max="1" width="14.28515625" customWidth="1"/>
    <col min="2" max="2" width="10.42578125" customWidth="1"/>
    <col min="3" max="3" width="12.7109375" bestFit="1" customWidth="1"/>
    <col min="4" max="8" width="10.42578125" customWidth="1"/>
    <col min="9" max="9" width="10.28515625" bestFit="1" customWidth="1"/>
    <col min="10" max="11" width="10.42578125" customWidth="1"/>
    <col min="13" max="13" width="11.5703125" bestFit="1" customWidth="1"/>
  </cols>
  <sheetData>
    <row r="1" spans="1:11" ht="21" x14ac:dyDescent="0.35">
      <c r="A1" s="47" t="s">
        <v>69</v>
      </c>
    </row>
    <row r="2" spans="1:11" ht="15.75" x14ac:dyDescent="0.25">
      <c r="A2" s="46" t="s">
        <v>70</v>
      </c>
    </row>
    <row r="5" spans="1:11" x14ac:dyDescent="0.25">
      <c r="A5" s="7"/>
      <c r="B5" s="345" t="s">
        <v>0</v>
      </c>
      <c r="C5" s="346"/>
      <c r="D5" s="346"/>
      <c r="E5" s="346"/>
      <c r="F5" s="346"/>
      <c r="G5" s="346"/>
      <c r="H5" s="346"/>
      <c r="I5" s="346"/>
      <c r="J5" s="346"/>
      <c r="K5" s="347"/>
    </row>
    <row r="6" spans="1:11" x14ac:dyDescent="0.25">
      <c r="A6" s="6"/>
      <c r="B6" s="1"/>
      <c r="C6" s="2"/>
      <c r="D6" s="2"/>
      <c r="E6" s="3"/>
      <c r="F6" s="2"/>
      <c r="G6" s="2"/>
      <c r="H6" s="2"/>
      <c r="I6" s="3" t="s">
        <v>1</v>
      </c>
      <c r="J6" s="3" t="s">
        <v>2</v>
      </c>
      <c r="K6" s="3" t="s">
        <v>3</v>
      </c>
    </row>
    <row r="7" spans="1:11" x14ac:dyDescent="0.25">
      <c r="A7" s="6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12</v>
      </c>
      <c r="K7" s="3" t="s">
        <v>13</v>
      </c>
    </row>
    <row r="8" spans="1:11" x14ac:dyDescent="0.25">
      <c r="A8" s="8">
        <v>44691</v>
      </c>
      <c r="B8" s="308">
        <v>0</v>
      </c>
      <c r="C8" s="308">
        <v>35.01</v>
      </c>
      <c r="D8" s="308">
        <v>155.07</v>
      </c>
      <c r="E8" s="308">
        <v>1852.38</v>
      </c>
      <c r="F8" s="308">
        <v>251.94</v>
      </c>
      <c r="G8" s="308">
        <v>-63.5</v>
      </c>
      <c r="H8" s="308">
        <v>630.21</v>
      </c>
      <c r="I8" s="308">
        <v>1080</v>
      </c>
      <c r="J8" s="308">
        <v>480</v>
      </c>
      <c r="K8" s="308">
        <v>-187.5</v>
      </c>
    </row>
    <row r="9" spans="1:11" x14ac:dyDescent="0.25">
      <c r="A9" s="8">
        <v>44722</v>
      </c>
      <c r="B9" s="309">
        <v>0</v>
      </c>
      <c r="C9" s="309">
        <v>47.16</v>
      </c>
      <c r="D9" s="309">
        <v>147.5</v>
      </c>
      <c r="E9" s="309">
        <v>1660.34</v>
      </c>
      <c r="F9" s="309">
        <v>210.52</v>
      </c>
      <c r="G9" s="308">
        <v>-63.5</v>
      </c>
      <c r="H9" s="309">
        <v>586.92999999999995</v>
      </c>
      <c r="I9" s="309">
        <v>1145</v>
      </c>
      <c r="J9" s="309">
        <v>480</v>
      </c>
      <c r="K9" s="309">
        <v>-187.5</v>
      </c>
    </row>
    <row r="10" spans="1:11" x14ac:dyDescent="0.25">
      <c r="A10" s="8">
        <v>44752</v>
      </c>
      <c r="B10" s="309">
        <v>0</v>
      </c>
      <c r="C10" s="309">
        <v>50.07</v>
      </c>
      <c r="D10" s="309">
        <v>159.46</v>
      </c>
      <c r="E10" s="309">
        <v>1512.68</v>
      </c>
      <c r="F10" s="309">
        <v>168.11</v>
      </c>
      <c r="G10" s="308">
        <v>-63.5</v>
      </c>
      <c r="H10" s="309">
        <v>280</v>
      </c>
      <c r="I10" s="309">
        <v>860</v>
      </c>
      <c r="J10" s="309">
        <v>340</v>
      </c>
      <c r="K10" s="309">
        <v>-187.5</v>
      </c>
    </row>
    <row r="11" spans="1:11" x14ac:dyDescent="0.25">
      <c r="A11" s="8">
        <v>44783</v>
      </c>
      <c r="B11" s="309">
        <v>0</v>
      </c>
      <c r="C11" s="309">
        <v>31.27</v>
      </c>
      <c r="D11" s="309">
        <v>116.81</v>
      </c>
      <c r="E11" s="309">
        <v>1330.22</v>
      </c>
      <c r="F11" s="309">
        <v>154.78</v>
      </c>
      <c r="G11" s="308">
        <v>-63.5</v>
      </c>
      <c r="H11" s="309">
        <v>72.25</v>
      </c>
      <c r="I11" s="309">
        <v>780</v>
      </c>
      <c r="J11" s="309">
        <v>300</v>
      </c>
      <c r="K11" s="309">
        <v>-187.5</v>
      </c>
    </row>
    <row r="12" spans="1:11" x14ac:dyDescent="0.25">
      <c r="A12" s="8">
        <v>44814</v>
      </c>
      <c r="B12" s="309">
        <v>0</v>
      </c>
      <c r="C12" s="309">
        <v>5.46</v>
      </c>
      <c r="D12" s="309">
        <v>82.65</v>
      </c>
      <c r="E12" s="309">
        <v>1220.1099999999999</v>
      </c>
      <c r="F12" s="309">
        <v>147.94999999999999</v>
      </c>
      <c r="G12" s="308">
        <v>-63.5</v>
      </c>
      <c r="H12" s="309">
        <v>80</v>
      </c>
      <c r="I12" s="309">
        <v>467.94</v>
      </c>
      <c r="J12" s="309">
        <v>110</v>
      </c>
      <c r="K12" s="309">
        <v>-187.5</v>
      </c>
    </row>
    <row r="13" spans="1:11" x14ac:dyDescent="0.25">
      <c r="A13" s="8">
        <v>44844</v>
      </c>
      <c r="B13" s="309">
        <v>0</v>
      </c>
      <c r="C13" s="309">
        <v>-13.73</v>
      </c>
      <c r="D13" s="309">
        <v>52.44</v>
      </c>
      <c r="E13" s="309">
        <v>1157.93</v>
      </c>
      <c r="F13" s="309">
        <v>143.44</v>
      </c>
      <c r="G13" s="308">
        <v>-63.5</v>
      </c>
      <c r="H13" s="309">
        <v>80</v>
      </c>
      <c r="I13" s="309">
        <v>780</v>
      </c>
      <c r="J13" s="309">
        <v>130</v>
      </c>
      <c r="K13" s="309">
        <v>-187.5</v>
      </c>
    </row>
    <row r="14" spans="1:11" x14ac:dyDescent="0.25">
      <c r="A14" s="8">
        <v>44875</v>
      </c>
      <c r="B14" s="309">
        <v>0</v>
      </c>
      <c r="C14" s="309">
        <v>-2.96</v>
      </c>
      <c r="D14" s="309">
        <v>49.76</v>
      </c>
      <c r="E14" s="309">
        <v>1284.6199999999999</v>
      </c>
      <c r="F14" s="309">
        <v>147.69</v>
      </c>
      <c r="G14" s="308">
        <v>-63.5</v>
      </c>
      <c r="H14" s="309">
        <v>81.27</v>
      </c>
      <c r="I14" s="309">
        <v>1090</v>
      </c>
      <c r="J14" s="309">
        <v>160</v>
      </c>
      <c r="K14" s="309">
        <v>-187.5</v>
      </c>
    </row>
    <row r="15" spans="1:11" x14ac:dyDescent="0.25">
      <c r="A15" s="8">
        <v>44905</v>
      </c>
      <c r="B15" s="306">
        <v>0</v>
      </c>
      <c r="C15" s="306">
        <v>7.13</v>
      </c>
      <c r="D15" s="306">
        <v>66.06</v>
      </c>
      <c r="E15" s="306">
        <v>1341.18</v>
      </c>
      <c r="F15" s="306">
        <v>164.25</v>
      </c>
      <c r="G15" s="306">
        <v>-63.5</v>
      </c>
      <c r="H15" s="306">
        <v>85.14</v>
      </c>
      <c r="I15" s="306">
        <v>1090</v>
      </c>
      <c r="J15" s="306">
        <v>80</v>
      </c>
      <c r="K15" s="306">
        <v>-187.5</v>
      </c>
    </row>
    <row r="16" spans="1:11" x14ac:dyDescent="0.25">
      <c r="A16" s="8">
        <v>44936</v>
      </c>
      <c r="B16" s="306">
        <v>0</v>
      </c>
      <c r="C16" s="306">
        <v>22.2</v>
      </c>
      <c r="D16" s="306">
        <v>72.540000000000006</v>
      </c>
      <c r="E16" s="306">
        <v>1593.44</v>
      </c>
      <c r="F16" s="306">
        <v>194.83</v>
      </c>
      <c r="G16" s="306">
        <v>-63.5</v>
      </c>
      <c r="H16" s="306">
        <v>117.54</v>
      </c>
      <c r="I16" s="306">
        <v>1120</v>
      </c>
      <c r="J16" s="306">
        <v>0</v>
      </c>
      <c r="K16" s="306">
        <v>-187.5</v>
      </c>
    </row>
    <row r="17" spans="1:12" x14ac:dyDescent="0.25">
      <c r="A17" s="8">
        <v>44967</v>
      </c>
      <c r="B17" s="306">
        <v>0</v>
      </c>
      <c r="C17" s="306">
        <v>29.15</v>
      </c>
      <c r="D17" s="306">
        <v>93.76</v>
      </c>
      <c r="E17" s="306">
        <v>1514.29</v>
      </c>
      <c r="F17" s="306">
        <v>216.74</v>
      </c>
      <c r="G17" s="306">
        <v>-63.5</v>
      </c>
      <c r="H17" s="306">
        <v>117.77</v>
      </c>
      <c r="I17" s="306">
        <v>1200</v>
      </c>
      <c r="J17" s="307">
        <v>0</v>
      </c>
      <c r="K17" s="306">
        <v>-187.5</v>
      </c>
      <c r="L17" s="269"/>
    </row>
    <row r="18" spans="1:12" x14ac:dyDescent="0.25">
      <c r="A18" s="8">
        <v>44995</v>
      </c>
      <c r="B18" s="309">
        <v>0</v>
      </c>
      <c r="C18" s="309">
        <v>33.89</v>
      </c>
      <c r="D18" s="309">
        <v>97.41</v>
      </c>
      <c r="E18" s="309">
        <v>1436.01</v>
      </c>
      <c r="F18" s="309">
        <v>245.44</v>
      </c>
      <c r="G18" s="308">
        <v>-63.5</v>
      </c>
      <c r="H18" s="309">
        <v>177.16</v>
      </c>
      <c r="I18" s="309">
        <v>1270</v>
      </c>
      <c r="J18" s="309">
        <v>0</v>
      </c>
      <c r="K18" s="309">
        <v>-187.5</v>
      </c>
    </row>
    <row r="19" spans="1:12" s="73" customFormat="1" x14ac:dyDescent="0.25">
      <c r="A19" s="8">
        <v>45026</v>
      </c>
      <c r="B19" s="309">
        <v>0</v>
      </c>
      <c r="C19" s="309">
        <v>31.79</v>
      </c>
      <c r="D19" s="309">
        <v>111.36</v>
      </c>
      <c r="E19" s="309">
        <v>1456.28</v>
      </c>
      <c r="F19" s="309">
        <v>240.11</v>
      </c>
      <c r="G19" s="308">
        <v>-63.5</v>
      </c>
      <c r="H19" s="309">
        <v>200</v>
      </c>
      <c r="I19" s="309">
        <v>1245</v>
      </c>
      <c r="J19" s="309">
        <v>270</v>
      </c>
      <c r="K19" s="309">
        <v>-187.5</v>
      </c>
    </row>
    <row r="20" spans="1:12" ht="16.5" x14ac:dyDescent="0.35">
      <c r="A20" s="91" t="s">
        <v>14</v>
      </c>
      <c r="B20" s="92" t="e">
        <f>+'Commodity Revenue'!AA20</f>
        <v>#DIV/0!</v>
      </c>
      <c r="C20" s="92">
        <f>+'Commodity Revenue'!AB20</f>
        <v>23.770070771772239</v>
      </c>
      <c r="D20" s="92">
        <f>+'Commodity Revenue'!AC20</f>
        <v>101.10911613544934</v>
      </c>
      <c r="E20" s="92">
        <f>+'Commodity Revenue'!AD20</f>
        <v>1458.9110911464988</v>
      </c>
      <c r="F20" s="92">
        <f>+'Commodity Revenue'!AE20</f>
        <v>193.03720192295177</v>
      </c>
      <c r="G20" s="92">
        <f>+'Commodity Revenue'!AF20</f>
        <v>-63.5</v>
      </c>
      <c r="H20" s="92">
        <f>+'Commodity Revenue'!AG20</f>
        <v>221.18465528297284</v>
      </c>
      <c r="I20" s="92">
        <f>+'Commodity Revenue'!AH20</f>
        <v>1028.0213328695697</v>
      </c>
      <c r="J20" s="92">
        <f>+'Commodity Revenue'!AI20</f>
        <v>198.87376082112237</v>
      </c>
      <c r="K20" s="92">
        <f>+'Commodity Revenue'!AJ20</f>
        <v>-187.49999999999997</v>
      </c>
    </row>
    <row r="22" spans="1:12" x14ac:dyDescent="0.25">
      <c r="B22" s="85"/>
      <c r="C22" s="85"/>
      <c r="D22" s="85"/>
      <c r="E22" s="85"/>
      <c r="F22" s="85"/>
      <c r="G22" s="85"/>
      <c r="H22" s="29"/>
      <c r="I22" s="29"/>
      <c r="J22" s="29"/>
      <c r="K22" s="29"/>
      <c r="L22" s="228"/>
    </row>
    <row r="23" spans="1:12" x14ac:dyDescent="0.25">
      <c r="B23" s="85"/>
      <c r="C23" s="85"/>
      <c r="D23" s="85"/>
      <c r="E23" s="85"/>
      <c r="F23" s="85"/>
      <c r="G23" s="85"/>
      <c r="H23" s="227"/>
      <c r="I23" s="227"/>
      <c r="J23" s="227"/>
      <c r="K23" s="227"/>
      <c r="L23" s="227"/>
    </row>
    <row r="24" spans="1:12" x14ac:dyDescent="0.25">
      <c r="H24" s="42"/>
      <c r="I24" s="42"/>
      <c r="J24" s="42"/>
      <c r="K24" s="42"/>
      <c r="L24" s="85"/>
    </row>
  </sheetData>
  <mergeCells count="1">
    <mergeCell ref="B5:K5"/>
  </mergeCells>
  <pageMargins left="0.7" right="0.7" top="0.75" bottom="0.75" header="0.3" footer="0.3"/>
  <pageSetup orientation="landscape" r:id="rId1"/>
  <headerFooter>
    <oddFooter>&amp;A&amp;RPage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21"/>
  <sheetViews>
    <sheetView workbookViewId="0">
      <pane xSplit="1" ySplit="3" topLeftCell="B4" activePane="bottomRight" state="frozen"/>
      <selection pane="topRight" activeCell="B1" sqref="B1"/>
      <selection pane="bottomLeft" activeCell="A10" sqref="A10"/>
      <selection pane="bottomRight" activeCell="X8" sqref="X8:X18"/>
    </sheetView>
  </sheetViews>
  <sheetFormatPr defaultRowHeight="15" x14ac:dyDescent="0.25"/>
  <cols>
    <col min="1" max="1" width="12.7109375" customWidth="1"/>
    <col min="2" max="2" width="10.7109375" style="13" bestFit="1" customWidth="1"/>
    <col min="3" max="3" width="8.28515625" style="13" bestFit="1" customWidth="1"/>
    <col min="4" max="4" width="10.42578125" style="13" bestFit="1" customWidth="1"/>
    <col min="5" max="5" width="8.28515625" style="13" bestFit="1" customWidth="1"/>
    <col min="6" max="6" width="10.42578125" style="13" bestFit="1" customWidth="1"/>
    <col min="7" max="7" width="8.28515625" style="13" bestFit="1" customWidth="1"/>
    <col min="8" max="8" width="10.42578125" style="13" bestFit="1" customWidth="1"/>
    <col min="9" max="9" width="8.28515625" style="13" bestFit="1" customWidth="1"/>
    <col min="10" max="10" width="10.42578125" style="13" bestFit="1" customWidth="1"/>
    <col min="11" max="11" width="8.28515625" style="13" bestFit="1" customWidth="1"/>
    <col min="12" max="12" width="10.42578125" bestFit="1" customWidth="1"/>
    <col min="13" max="13" width="8.28515625" bestFit="1" customWidth="1"/>
    <col min="14" max="14" width="9.42578125" bestFit="1" customWidth="1"/>
    <col min="15" max="15" width="9.140625" bestFit="1" customWidth="1"/>
    <col min="16" max="16" width="10.42578125" bestFit="1" customWidth="1"/>
    <col min="17" max="17" width="8.28515625" bestFit="1" customWidth="1"/>
    <col min="18" max="18" width="10.42578125" bestFit="1" customWidth="1"/>
    <col min="19" max="19" width="8.28515625" bestFit="1" customWidth="1"/>
    <col min="20" max="20" width="10.42578125" bestFit="1" customWidth="1"/>
    <col min="21" max="21" width="8.28515625" bestFit="1" customWidth="1"/>
    <col min="22" max="22" width="10.140625" bestFit="1" customWidth="1"/>
    <col min="23" max="23" width="8.28515625" bestFit="1" customWidth="1"/>
    <col min="24" max="24" width="11" style="15" bestFit="1" customWidth="1"/>
    <col min="25" max="25" width="9.140625" style="15" bestFit="1" customWidth="1"/>
    <col min="26" max="26" width="11.42578125" bestFit="1" customWidth="1"/>
    <col min="27" max="27" width="7.28515625" bestFit="1" customWidth="1"/>
    <col min="28" max="28" width="9.28515625" bestFit="1" customWidth="1"/>
    <col min="29" max="29" width="9.42578125" bestFit="1" customWidth="1"/>
    <col min="30" max="30" width="9.28515625" bestFit="1" customWidth="1"/>
    <col min="31" max="31" width="7.28515625" bestFit="1" customWidth="1"/>
    <col min="32" max="32" width="9.5703125" bestFit="1" customWidth="1"/>
    <col min="33" max="33" width="7.28515625" bestFit="1" customWidth="1"/>
    <col min="34" max="34" width="9.5703125" bestFit="1" customWidth="1"/>
    <col min="35" max="35" width="7.28515625" bestFit="1" customWidth="1"/>
    <col min="36" max="36" width="11.28515625" bestFit="1" customWidth="1"/>
    <col min="37" max="37" width="7.28515625" bestFit="1" customWidth="1"/>
  </cols>
  <sheetData>
    <row r="1" spans="1:31" ht="21" x14ac:dyDescent="0.35">
      <c r="A1" s="47" t="s">
        <v>69</v>
      </c>
    </row>
    <row r="2" spans="1:31" x14ac:dyDescent="0.25">
      <c r="A2" s="5" t="s">
        <v>71</v>
      </c>
    </row>
    <row r="4" spans="1:3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8"/>
      <c r="AA4" s="20"/>
      <c r="AB4" s="20"/>
      <c r="AC4" s="20"/>
    </row>
    <row r="5" spans="1:31" x14ac:dyDescent="0.25">
      <c r="A5" s="14" t="s">
        <v>15</v>
      </c>
      <c r="B5" s="20"/>
      <c r="C5" s="20"/>
      <c r="D5" s="20"/>
      <c r="E5" s="20"/>
      <c r="F5" s="20"/>
      <c r="G5" s="20"/>
      <c r="H5" s="20"/>
      <c r="I5" s="20"/>
      <c r="J5" s="20"/>
      <c r="T5" s="72"/>
      <c r="U5" s="72"/>
      <c r="AC5" s="45" t="s">
        <v>73</v>
      </c>
    </row>
    <row r="6" spans="1:31" x14ac:dyDescent="0.25">
      <c r="A6" s="9"/>
      <c r="B6" s="16">
        <v>44686</v>
      </c>
      <c r="C6" s="17"/>
      <c r="D6" s="16">
        <v>44717</v>
      </c>
      <c r="E6" s="17"/>
      <c r="F6" s="16">
        <v>44747</v>
      </c>
      <c r="G6" s="17"/>
      <c r="H6" s="16">
        <v>44778</v>
      </c>
      <c r="I6" s="17"/>
      <c r="J6" s="16">
        <v>44809</v>
      </c>
      <c r="K6" s="17"/>
      <c r="L6" s="16">
        <v>44839</v>
      </c>
      <c r="M6" s="17"/>
      <c r="N6" s="16">
        <v>44870</v>
      </c>
      <c r="O6" s="17"/>
      <c r="P6" s="16">
        <v>44900</v>
      </c>
      <c r="Q6" s="17"/>
      <c r="R6" s="16">
        <v>44931</v>
      </c>
      <c r="S6" s="17"/>
      <c r="T6" s="16">
        <v>44962</v>
      </c>
      <c r="U6" s="17"/>
      <c r="V6" s="16">
        <v>44996</v>
      </c>
      <c r="W6" s="17"/>
      <c r="X6" s="16">
        <v>45027</v>
      </c>
      <c r="Y6" s="17"/>
      <c r="Z6" s="16" t="s">
        <v>96</v>
      </c>
      <c r="AA6" s="17"/>
      <c r="AC6" s="45" t="s">
        <v>74</v>
      </c>
    </row>
    <row r="7" spans="1:31" x14ac:dyDescent="0.25">
      <c r="A7" s="10"/>
      <c r="B7" s="18" t="s">
        <v>17</v>
      </c>
      <c r="C7" s="19"/>
      <c r="D7" s="18" t="s">
        <v>17</v>
      </c>
      <c r="E7" s="19"/>
      <c r="F7" s="18" t="s">
        <v>17</v>
      </c>
      <c r="G7" s="19"/>
      <c r="H7" s="18" t="s">
        <v>17</v>
      </c>
      <c r="I7" s="19"/>
      <c r="J7" s="18" t="s">
        <v>17</v>
      </c>
      <c r="K7" s="19"/>
      <c r="L7" s="18" t="s">
        <v>17</v>
      </c>
      <c r="M7" s="19"/>
      <c r="N7" s="18" t="s">
        <v>17</v>
      </c>
      <c r="O7" s="19"/>
      <c r="P7" s="18" t="s">
        <v>17</v>
      </c>
      <c r="Q7" s="19"/>
      <c r="R7" s="18" t="s">
        <v>17</v>
      </c>
      <c r="S7" s="19"/>
      <c r="T7" s="18" t="s">
        <v>17</v>
      </c>
      <c r="U7" s="19"/>
      <c r="V7" s="18" t="s">
        <v>17</v>
      </c>
      <c r="W7" s="19"/>
      <c r="X7" s="18" t="s">
        <v>17</v>
      </c>
      <c r="Y7" s="19"/>
      <c r="Z7" s="18" t="s">
        <v>17</v>
      </c>
      <c r="AA7" s="19"/>
      <c r="AC7" s="26" t="s">
        <v>24</v>
      </c>
    </row>
    <row r="8" spans="1:31" s="81" customFormat="1" x14ac:dyDescent="0.25">
      <c r="A8" s="79" t="s">
        <v>18</v>
      </c>
      <c r="B8" s="231">
        <v>0</v>
      </c>
      <c r="C8" s="97">
        <f t="shared" ref="C8:C18" si="0">+B8/B$19</f>
        <v>0</v>
      </c>
      <c r="D8" s="231">
        <v>0</v>
      </c>
      <c r="E8" s="97">
        <f t="shared" ref="E8:E18" si="1">+D8/D$19</f>
        <v>0</v>
      </c>
      <c r="F8" s="231">
        <v>0</v>
      </c>
      <c r="G8" s="97">
        <f>+F8/F$19</f>
        <v>0</v>
      </c>
      <c r="H8" s="231">
        <v>0</v>
      </c>
      <c r="I8" s="97">
        <f>+H8/H$19</f>
        <v>0</v>
      </c>
      <c r="J8" s="312">
        <v>0</v>
      </c>
      <c r="K8" s="97">
        <f>+J8/J$19</f>
        <v>0</v>
      </c>
      <c r="L8" s="231">
        <v>0</v>
      </c>
      <c r="M8" s="97">
        <f>+L8/L$19</f>
        <v>0</v>
      </c>
      <c r="N8" s="231">
        <f>AVERAGE($B8,$D8,$F8,$H8,$J8,$L8)</f>
        <v>0</v>
      </c>
      <c r="O8" s="97">
        <f>+N8/N$19</f>
        <v>0</v>
      </c>
      <c r="P8" s="231">
        <f>AVERAGE($B8,$D8,$F8,$H8,$J8,$L8)</f>
        <v>0</v>
      </c>
      <c r="Q8" s="97">
        <f>+P8/P$19</f>
        <v>0</v>
      </c>
      <c r="R8" s="231">
        <f>AVERAGE($B8,$D8,$F8,$H8,$J8,$L8)</f>
        <v>0</v>
      </c>
      <c r="S8" s="97">
        <f>+R8/R$19</f>
        <v>0</v>
      </c>
      <c r="T8" s="231">
        <f>AVERAGE($B8,$D8,$F8,$H8,$J8,$L8)</f>
        <v>0</v>
      </c>
      <c r="U8" s="97">
        <f>+T8/T$19</f>
        <v>0</v>
      </c>
      <c r="V8" s="231">
        <f>AVERAGE($B8,$D8,$F8,$H8,$J8,$L8)</f>
        <v>0</v>
      </c>
      <c r="W8" s="80">
        <f>V8/V$19</f>
        <v>0</v>
      </c>
      <c r="X8" s="231">
        <f>AVERAGE($B8,$D8,$F8,$H8,$J8,$L8)</f>
        <v>0</v>
      </c>
      <c r="Y8" s="80">
        <f>X8/X$19</f>
        <v>0</v>
      </c>
      <c r="Z8" s="11">
        <f>+P8+N8+L8+J8+H8+F8+D8+B8+R8+T8+V8+X8</f>
        <v>0</v>
      </c>
      <c r="AA8" s="49">
        <f t="shared" ref="AA8:AA18" si="2">+Z8/$Z$19</f>
        <v>0</v>
      </c>
      <c r="AC8" s="82">
        <f t="shared" ref="AC8:AC17" si="3">+Z8/($Z$19-$Z$18)</f>
        <v>0</v>
      </c>
    </row>
    <row r="9" spans="1:31" s="81" customFormat="1" x14ac:dyDescent="0.25">
      <c r="A9" s="79" t="s">
        <v>19</v>
      </c>
      <c r="B9" s="231">
        <v>3489.5096546703803</v>
      </c>
      <c r="C9" s="97">
        <f t="shared" si="0"/>
        <v>0.48051031095582108</v>
      </c>
      <c r="D9" s="231">
        <v>3076.1604116454459</v>
      </c>
      <c r="E9" s="97">
        <f t="shared" si="1"/>
        <v>0.42150106269099596</v>
      </c>
      <c r="F9" s="231">
        <v>2398.5891866429743</v>
      </c>
      <c r="G9" s="97">
        <f>+F9/F$19</f>
        <v>0.35025109517030478</v>
      </c>
      <c r="H9" s="231">
        <v>2354.5505296090446</v>
      </c>
      <c r="I9" s="97">
        <f>+H9/H$19</f>
        <v>0.31734644540821261</v>
      </c>
      <c r="J9" s="312">
        <v>2508.58634649852</v>
      </c>
      <c r="K9" s="97">
        <f>+J9/J$19</f>
        <v>0.36559354937791072</v>
      </c>
      <c r="L9" s="231">
        <v>2405.4202486376835</v>
      </c>
      <c r="M9" s="97">
        <f>+L9/L$19</f>
        <v>0.37035238582620161</v>
      </c>
      <c r="N9" s="231">
        <f>AVERAGE($B9,$D9,$F9,$H9,$J9,$L9)</f>
        <v>2705.4693962840079</v>
      </c>
      <c r="O9" s="97">
        <f>+N9/N$19</f>
        <v>0.38480500507746879</v>
      </c>
      <c r="P9" s="231">
        <f>AVERAGE($B9,$D9,$F9,$H9,$J9,$L9)</f>
        <v>2705.4693962840079</v>
      </c>
      <c r="Q9" s="97">
        <f>+P9/P$19</f>
        <v>0.38480500507746879</v>
      </c>
      <c r="R9" s="231">
        <f>AVERAGE($B9,$D9,$F9,$H9,$J9,$L9)</f>
        <v>2705.4693962840079</v>
      </c>
      <c r="S9" s="97">
        <f>+R9/R$19</f>
        <v>0.38480500507746879</v>
      </c>
      <c r="T9" s="231">
        <f>AVERAGE($B9,$D9,$F9,$H9,$J9,$L9)</f>
        <v>2705.4693962840079</v>
      </c>
      <c r="U9" s="97">
        <f>+T9/T$19</f>
        <v>0.38480500507746879</v>
      </c>
      <c r="V9" s="231">
        <f>AVERAGE($B9,$D9,$F9,$H9,$J9,$L9)</f>
        <v>2705.4693962840079</v>
      </c>
      <c r="W9" s="80">
        <f>V9/V$19</f>
        <v>0.38480500507746879</v>
      </c>
      <c r="X9" s="231">
        <f>AVERAGE($B9,$D9,$F9,$H9,$J9,$L9)</f>
        <v>2705.4693962840079</v>
      </c>
      <c r="Y9" s="80">
        <f>X9/X$19</f>
        <v>0.38480500507746879</v>
      </c>
      <c r="Z9" s="11">
        <f t="shared" ref="Z9:Z18" si="4">+P9+N9+L9+J9+H9+F9+D9+B9+R9+T9+V9+X9</f>
        <v>32465.632755408089</v>
      </c>
      <c r="AA9" s="49">
        <f t="shared" si="2"/>
        <v>0.38480500507746879</v>
      </c>
      <c r="AC9" s="82">
        <f t="shared" si="3"/>
        <v>0.43766104420018043</v>
      </c>
      <c r="AE9" s="81">
        <f>+Z9/10</f>
        <v>3246.5632755408087</v>
      </c>
    </row>
    <row r="10" spans="1:31" s="81" customFormat="1" x14ac:dyDescent="0.25">
      <c r="A10" s="79" t="s">
        <v>7</v>
      </c>
      <c r="B10" s="231">
        <v>1216.7678594173137</v>
      </c>
      <c r="C10" s="97">
        <f t="shared" si="0"/>
        <v>0.16755061895505494</v>
      </c>
      <c r="D10" s="231">
        <v>1454.9018187436188</v>
      </c>
      <c r="E10" s="97">
        <f t="shared" si="1"/>
        <v>0.19935327832382871</v>
      </c>
      <c r="F10" s="231">
        <v>2054.4500355884775</v>
      </c>
      <c r="G10" s="97">
        <f>+F10/F$19</f>
        <v>0.29999859039831611</v>
      </c>
      <c r="H10" s="231">
        <v>2288.6490112180372</v>
      </c>
      <c r="I10" s="97">
        <f>+H10/H$19</f>
        <v>0.3084642352600776</v>
      </c>
      <c r="J10" s="312">
        <v>1792.2115876903081</v>
      </c>
      <c r="K10" s="97">
        <f>+J10/J$19</f>
        <v>0.2611913265391389</v>
      </c>
      <c r="L10" s="231">
        <v>1562.3594261215308</v>
      </c>
      <c r="M10" s="97">
        <f>+L10/L$19</f>
        <v>0.2405498753533272</v>
      </c>
      <c r="N10" s="231">
        <f t="shared" ref="N10:X18" si="5">AVERAGE($B10,$D10,$F10,$H10,$J10,$L10)</f>
        <v>1728.2232897965478</v>
      </c>
      <c r="O10" s="97">
        <f>+N10/N$19</f>
        <v>0.2458090905476828</v>
      </c>
      <c r="P10" s="231">
        <f t="shared" si="5"/>
        <v>1728.2232897965478</v>
      </c>
      <c r="Q10" s="97">
        <f>+P10/P$19</f>
        <v>0.2458090905476828</v>
      </c>
      <c r="R10" s="231">
        <f t="shared" si="5"/>
        <v>1728.2232897965478</v>
      </c>
      <c r="S10" s="97">
        <f>+R10/R$19</f>
        <v>0.2458090905476828</v>
      </c>
      <c r="T10" s="231">
        <f t="shared" si="5"/>
        <v>1728.2232897965478</v>
      </c>
      <c r="U10" s="97">
        <f>+T10/T$19</f>
        <v>0.2458090905476828</v>
      </c>
      <c r="V10" s="231">
        <f t="shared" si="5"/>
        <v>1728.2232897965478</v>
      </c>
      <c r="W10" s="80">
        <f>V10/V$19</f>
        <v>0.2458090905476828</v>
      </c>
      <c r="X10" s="231">
        <f t="shared" si="5"/>
        <v>1728.2232897965478</v>
      </c>
      <c r="Y10" s="80">
        <f>X10/X$19</f>
        <v>0.2458090905476828</v>
      </c>
      <c r="Z10" s="11">
        <f t="shared" si="4"/>
        <v>20738.679477558573</v>
      </c>
      <c r="AA10" s="49">
        <f t="shared" si="2"/>
        <v>0.24580909054768282</v>
      </c>
      <c r="AC10" s="82">
        <f t="shared" si="3"/>
        <v>0.27957293128590516</v>
      </c>
      <c r="AE10" s="81">
        <f t="shared" ref="AE10:AE18" si="6">+Z10/10</f>
        <v>2073.8679477558571</v>
      </c>
    </row>
    <row r="11" spans="1:31" s="81" customFormat="1" x14ac:dyDescent="0.25">
      <c r="A11" s="79" t="s">
        <v>20</v>
      </c>
      <c r="B11" s="231">
        <v>31.185294286296845</v>
      </c>
      <c r="C11" s="97">
        <f t="shared" si="0"/>
        <v>4.2942582017795735E-3</v>
      </c>
      <c r="D11" s="231">
        <v>41.849902790574028</v>
      </c>
      <c r="E11" s="97">
        <f t="shared" si="1"/>
        <v>5.7343493638897288E-3</v>
      </c>
      <c r="F11" s="231">
        <v>63.231089950082442</v>
      </c>
      <c r="G11" s="97">
        <f>+F11/F$19</f>
        <v>9.2332437030722483E-3</v>
      </c>
      <c r="H11" s="231">
        <v>76.192229214932169</v>
      </c>
      <c r="I11" s="97">
        <f>+H11/H$19</f>
        <v>1.0269192699424163E-2</v>
      </c>
      <c r="J11" s="312">
        <v>63.357319263778727</v>
      </c>
      <c r="K11" s="97">
        <f>+J11/J$19</f>
        <v>9.2334980859021462E-3</v>
      </c>
      <c r="L11" s="314">
        <v>63.584905036279856</v>
      </c>
      <c r="M11" s="97">
        <f>+L11/L$19</f>
        <v>9.7898989983374613E-3</v>
      </c>
      <c r="N11" s="231">
        <f t="shared" si="5"/>
        <v>56.566790090324012</v>
      </c>
      <c r="O11" s="97">
        <f>+N11/N$19</f>
        <v>8.0456219456116231E-3</v>
      </c>
      <c r="P11" s="231">
        <f t="shared" si="5"/>
        <v>56.566790090324012</v>
      </c>
      <c r="Q11" s="97">
        <f>+P11/P$19</f>
        <v>8.0456219456116231E-3</v>
      </c>
      <c r="R11" s="231">
        <f t="shared" si="5"/>
        <v>56.566790090324012</v>
      </c>
      <c r="S11" s="97">
        <f>+R11/R$19</f>
        <v>8.0456219456116231E-3</v>
      </c>
      <c r="T11" s="231">
        <f t="shared" si="5"/>
        <v>56.566790090324012</v>
      </c>
      <c r="U11" s="97">
        <f>+T11/T$19</f>
        <v>8.0456219456116231E-3</v>
      </c>
      <c r="V11" s="231">
        <f t="shared" si="5"/>
        <v>56.566790090324012</v>
      </c>
      <c r="W11" s="80">
        <f>V11/V$19</f>
        <v>8.0456219456116231E-3</v>
      </c>
      <c r="X11" s="231">
        <f t="shared" si="5"/>
        <v>56.566790090324012</v>
      </c>
      <c r="Y11" s="80">
        <f>X11/X$19</f>
        <v>8.0456219456116231E-3</v>
      </c>
      <c r="Z11" s="11">
        <f t="shared" si="4"/>
        <v>678.80148108388823</v>
      </c>
      <c r="AA11" s="49">
        <f t="shared" si="2"/>
        <v>8.0456219456116248E-3</v>
      </c>
      <c r="AC11" s="82">
        <f t="shared" si="3"/>
        <v>9.1507523433781053E-3</v>
      </c>
      <c r="AE11" s="81">
        <f t="shared" si="6"/>
        <v>67.880148108388823</v>
      </c>
    </row>
    <row r="12" spans="1:31" s="81" customFormat="1" x14ac:dyDescent="0.25">
      <c r="A12" s="79" t="s">
        <v>85</v>
      </c>
      <c r="B12" s="231">
        <v>42.251947876400038</v>
      </c>
      <c r="C12" s="97">
        <f t="shared" si="0"/>
        <v>5.8181517238117238E-3</v>
      </c>
      <c r="D12" s="231">
        <v>21.664762800863148</v>
      </c>
      <c r="E12" s="97">
        <f t="shared" si="1"/>
        <v>2.9685449786500551E-3</v>
      </c>
      <c r="F12" s="231">
        <v>52.453792771264794</v>
      </c>
      <c r="G12" s="97">
        <f t="shared" ref="G12" si="7">+F12/F$19</f>
        <v>7.6595018714667252E-3</v>
      </c>
      <c r="H12" s="231">
        <v>38.757902181177613</v>
      </c>
      <c r="I12" s="97">
        <f t="shared" ref="I12" si="8">+H12/H$19</f>
        <v>5.2237921140380859E-3</v>
      </c>
      <c r="J12" s="312">
        <v>52.623643536516553</v>
      </c>
      <c r="K12" s="97">
        <f t="shared" ref="K12" si="9">+J12/J$19</f>
        <v>7.6692056657992284E-3</v>
      </c>
      <c r="L12" s="314">
        <v>62.796564060223226</v>
      </c>
      <c r="M12" s="97">
        <f t="shared" ref="M12" si="10">+L12/L$19</f>
        <v>9.6685214712743696E-3</v>
      </c>
      <c r="N12" s="231">
        <f t="shared" si="5"/>
        <v>45.091435537740892</v>
      </c>
      <c r="O12" s="97">
        <f t="shared" ref="O12" si="11">+N12/N$19</f>
        <v>6.4134564245609633E-3</v>
      </c>
      <c r="P12" s="231">
        <f t="shared" si="5"/>
        <v>45.091435537740892</v>
      </c>
      <c r="Q12" s="97">
        <f t="shared" ref="Q12" si="12">+P12/P$19</f>
        <v>6.4134564245609633E-3</v>
      </c>
      <c r="R12" s="231">
        <f t="shared" si="5"/>
        <v>45.091435537740892</v>
      </c>
      <c r="S12" s="97">
        <f t="shared" ref="S12" si="13">+R12/R$19</f>
        <v>6.4134564245609633E-3</v>
      </c>
      <c r="T12" s="231">
        <f t="shared" si="5"/>
        <v>45.091435537740892</v>
      </c>
      <c r="U12" s="97">
        <f t="shared" ref="U12" si="14">+T12/T$19</f>
        <v>6.4134564245609633E-3</v>
      </c>
      <c r="V12" s="231">
        <f t="shared" si="5"/>
        <v>45.091435537740892</v>
      </c>
      <c r="W12" s="80">
        <f t="shared" ref="W12:Y12" si="15">V12/V$19</f>
        <v>6.4134564245609633E-3</v>
      </c>
      <c r="X12" s="231">
        <f t="shared" si="5"/>
        <v>45.091435537740892</v>
      </c>
      <c r="Y12" s="80">
        <f t="shared" si="15"/>
        <v>6.4134564245609633E-3</v>
      </c>
      <c r="Z12" s="11">
        <f t="shared" si="4"/>
        <v>541.09722645289071</v>
      </c>
      <c r="AA12" s="49">
        <f t="shared" si="2"/>
        <v>6.4134564245609642E-3</v>
      </c>
      <c r="AC12" s="82">
        <f t="shared" si="3"/>
        <v>7.2943958593797899E-3</v>
      </c>
      <c r="AE12" s="81">
        <f t="shared" si="6"/>
        <v>54.109722645289068</v>
      </c>
    </row>
    <row r="13" spans="1:31" s="81" customFormat="1" x14ac:dyDescent="0.25">
      <c r="A13" s="79" t="s">
        <v>10</v>
      </c>
      <c r="B13" s="231">
        <v>1456.1583787901322</v>
      </c>
      <c r="C13" s="97">
        <f t="shared" si="0"/>
        <v>0.20051502492818421</v>
      </c>
      <c r="D13" s="231">
        <v>1796.1923133059665</v>
      </c>
      <c r="E13" s="97">
        <f t="shared" si="1"/>
        <v>0.24611751909611571</v>
      </c>
      <c r="F13" s="231">
        <v>1415.4218166871676</v>
      </c>
      <c r="G13" s="97">
        <f t="shared" ref="G13" si="16">+F13/F$19</f>
        <v>0.20668526489793385</v>
      </c>
      <c r="H13" s="231">
        <v>1577.0998649820103</v>
      </c>
      <c r="I13" s="97">
        <f t="shared" ref="I13" si="17">+H13/H$19</f>
        <v>0.21256160354686257</v>
      </c>
      <c r="J13" s="312">
        <v>1253.3330895913443</v>
      </c>
      <c r="K13" s="97">
        <f t="shared" ref="K13" si="18">+J13/J$19</f>
        <v>0.18265685509133536</v>
      </c>
      <c r="L13" s="314">
        <v>1322.4095295189111</v>
      </c>
      <c r="M13" s="97">
        <f t="shared" ref="M13" si="19">+L13/L$19</f>
        <v>0.20360580425562186</v>
      </c>
      <c r="N13" s="231">
        <f t="shared" si="5"/>
        <v>1470.1024988125889</v>
      </c>
      <c r="O13" s="97">
        <f t="shared" ref="O13" si="20">+N13/N$19</f>
        <v>0.20909598914590455</v>
      </c>
      <c r="P13" s="231">
        <f t="shared" si="5"/>
        <v>1470.1024988125889</v>
      </c>
      <c r="Q13" s="97">
        <f t="shared" ref="Q13" si="21">+P13/P$19</f>
        <v>0.20909598914590455</v>
      </c>
      <c r="R13" s="231">
        <f t="shared" si="5"/>
        <v>1470.1024988125889</v>
      </c>
      <c r="S13" s="97">
        <f t="shared" ref="S13" si="22">+R13/R$19</f>
        <v>0.20909598914590455</v>
      </c>
      <c r="T13" s="231">
        <f t="shared" si="5"/>
        <v>1470.1024988125889</v>
      </c>
      <c r="U13" s="97">
        <f t="shared" ref="U13" si="23">+T13/T$19</f>
        <v>0.20909598914590455</v>
      </c>
      <c r="V13" s="231">
        <f t="shared" si="5"/>
        <v>1470.1024988125889</v>
      </c>
      <c r="W13" s="80">
        <f t="shared" ref="W13:Y13" si="24">V13/V$19</f>
        <v>0.20909598914590455</v>
      </c>
      <c r="X13" s="231">
        <f t="shared" si="5"/>
        <v>1470.1024988125889</v>
      </c>
      <c r="Y13" s="80">
        <f t="shared" si="24"/>
        <v>0.20909598914590455</v>
      </c>
      <c r="Z13" s="11">
        <f t="shared" si="4"/>
        <v>17641.229985751062</v>
      </c>
      <c r="AA13" s="49">
        <f t="shared" si="2"/>
        <v>0.20909598914590452</v>
      </c>
      <c r="AC13" s="82">
        <f t="shared" si="3"/>
        <v>0.23781699234718315</v>
      </c>
      <c r="AE13" s="81">
        <f t="shared" si="6"/>
        <v>1764.1229985751063</v>
      </c>
    </row>
    <row r="14" spans="1:31" s="81" customFormat="1" x14ac:dyDescent="0.25">
      <c r="A14" s="79" t="s">
        <v>11</v>
      </c>
      <c r="B14" s="231">
        <v>48.480324229346692</v>
      </c>
      <c r="C14" s="97">
        <f t="shared" si="0"/>
        <v>6.6758077713021504E-3</v>
      </c>
      <c r="D14" s="231">
        <v>17.179852326168984</v>
      </c>
      <c r="E14" s="97">
        <f t="shared" si="1"/>
        <v>2.3540144346637639E-3</v>
      </c>
      <c r="F14" s="231">
        <v>88.81739058720764</v>
      </c>
      <c r="G14" s="97">
        <f t="shared" ref="G14" si="25">+F14/F$19</f>
        <v>1.2969452416683734E-2</v>
      </c>
      <c r="H14" s="231">
        <v>77.94133736303553</v>
      </c>
      <c r="I14" s="97">
        <f t="shared" ref="I14" si="26">+H14/H$19</f>
        <v>1.0504937588503823E-2</v>
      </c>
      <c r="J14" s="312">
        <v>85.253332901418858</v>
      </c>
      <c r="K14" s="97">
        <f t="shared" ref="K14" si="27">+J14/J$19</f>
        <v>1.2424554815595909E-2</v>
      </c>
      <c r="L14" s="314">
        <v>110.56858834337741</v>
      </c>
      <c r="M14" s="97">
        <f t="shared" ref="M14" si="28">+L14/L$19</f>
        <v>1.7023778075201928E-2</v>
      </c>
      <c r="N14" s="231">
        <f t="shared" si="5"/>
        <v>71.373470958425855</v>
      </c>
      <c r="O14" s="97">
        <f t="shared" ref="O14" si="29">+N14/N$19</f>
        <v>1.0151609510821648E-2</v>
      </c>
      <c r="P14" s="231">
        <f t="shared" si="5"/>
        <v>71.373470958425855</v>
      </c>
      <c r="Q14" s="97">
        <f t="shared" ref="Q14" si="30">+P14/P$19</f>
        <v>1.0151609510821648E-2</v>
      </c>
      <c r="R14" s="231">
        <f t="shared" si="5"/>
        <v>71.373470958425855</v>
      </c>
      <c r="S14" s="97">
        <f t="shared" ref="S14" si="31">+R14/R$19</f>
        <v>1.0151609510821648E-2</v>
      </c>
      <c r="T14" s="231">
        <f t="shared" si="5"/>
        <v>71.373470958425855</v>
      </c>
      <c r="U14" s="97">
        <f t="shared" ref="U14" si="32">+T14/T$19</f>
        <v>1.0151609510821648E-2</v>
      </c>
      <c r="V14" s="231">
        <f t="shared" si="5"/>
        <v>71.373470958425855</v>
      </c>
      <c r="W14" s="80">
        <f t="shared" ref="W14:Y14" si="33">V14/V$19</f>
        <v>1.0151609510821648E-2</v>
      </c>
      <c r="X14" s="231">
        <f t="shared" si="5"/>
        <v>71.373470958425855</v>
      </c>
      <c r="Y14" s="80">
        <f t="shared" si="33"/>
        <v>1.0151609510821648E-2</v>
      </c>
      <c r="Z14" s="11">
        <f t="shared" si="4"/>
        <v>856.48165150111026</v>
      </c>
      <c r="AA14" s="49">
        <f t="shared" si="2"/>
        <v>1.0151609510821648E-2</v>
      </c>
      <c r="AC14" s="82">
        <f t="shared" si="3"/>
        <v>1.1546014111547822E-2</v>
      </c>
      <c r="AE14" s="81">
        <f t="shared" si="6"/>
        <v>85.648165150111026</v>
      </c>
    </row>
    <row r="15" spans="1:31" s="81" customFormat="1" x14ac:dyDescent="0.25">
      <c r="A15" s="79" t="s">
        <v>21</v>
      </c>
      <c r="B15" s="231">
        <v>86.612681283310707</v>
      </c>
      <c r="C15" s="97">
        <f t="shared" si="0"/>
        <v>1.1926686134958502E-2</v>
      </c>
      <c r="D15" s="231">
        <v>123.05275587991909</v>
      </c>
      <c r="E15" s="97">
        <f t="shared" si="1"/>
        <v>1.6860911145624515E-2</v>
      </c>
      <c r="F15" s="231">
        <v>83.290591484724601</v>
      </c>
      <c r="G15" s="97">
        <f t="shared" ref="G15" si="34">+F15/F$19</f>
        <v>1.2162408238710011E-2</v>
      </c>
      <c r="H15" s="231">
        <v>96.337085047764361</v>
      </c>
      <c r="I15" s="97">
        <f t="shared" ref="I15" si="35">+H15/H$19</f>
        <v>1.2984317438272594E-2</v>
      </c>
      <c r="J15" s="312">
        <v>53.251483992100781</v>
      </c>
      <c r="K15" s="97">
        <f t="shared" ref="K15" si="36">+J15/J$19</f>
        <v>7.7607051754415681E-3</v>
      </c>
      <c r="L15" s="314">
        <v>32.291728406109542</v>
      </c>
      <c r="M15" s="97">
        <f t="shared" ref="M15" si="37">+L15/L$19</f>
        <v>4.9718208967549802E-3</v>
      </c>
      <c r="N15" s="231">
        <f t="shared" si="5"/>
        <v>79.139387682321498</v>
      </c>
      <c r="O15" s="97">
        <f t="shared" ref="O15" si="38">+N15/N$19</f>
        <v>1.1256173335670087E-2</v>
      </c>
      <c r="P15" s="231">
        <f t="shared" si="5"/>
        <v>79.139387682321498</v>
      </c>
      <c r="Q15" s="97">
        <f t="shared" ref="Q15" si="39">+P15/P$19</f>
        <v>1.1256173335670087E-2</v>
      </c>
      <c r="R15" s="231">
        <f t="shared" si="5"/>
        <v>79.139387682321498</v>
      </c>
      <c r="S15" s="97">
        <f t="shared" ref="S15" si="40">+R15/R$19</f>
        <v>1.1256173335670087E-2</v>
      </c>
      <c r="T15" s="231">
        <f t="shared" si="5"/>
        <v>79.139387682321498</v>
      </c>
      <c r="U15" s="97">
        <f t="shared" ref="U15" si="41">+T15/T$19</f>
        <v>1.1256173335670087E-2</v>
      </c>
      <c r="V15" s="231">
        <f t="shared" si="5"/>
        <v>79.139387682321498</v>
      </c>
      <c r="W15" s="80">
        <f t="shared" ref="W15:Y15" si="42">V15/V$19</f>
        <v>1.1256173335670087E-2</v>
      </c>
      <c r="X15" s="231">
        <f t="shared" si="5"/>
        <v>79.139387682321498</v>
      </c>
      <c r="Y15" s="80">
        <f t="shared" si="42"/>
        <v>1.1256173335670087E-2</v>
      </c>
      <c r="Z15" s="11">
        <f t="shared" si="4"/>
        <v>949.67265218785815</v>
      </c>
      <c r="AA15" s="49">
        <f t="shared" si="2"/>
        <v>1.125617333567009E-2</v>
      </c>
      <c r="AC15" s="82">
        <f t="shared" si="3"/>
        <v>1.2802298594832002E-2</v>
      </c>
      <c r="AE15" s="81">
        <f t="shared" si="6"/>
        <v>94.967265218785812</v>
      </c>
    </row>
    <row r="16" spans="1:31" s="81" customFormat="1" x14ac:dyDescent="0.25">
      <c r="A16" s="79" t="s">
        <v>22</v>
      </c>
      <c r="B16" s="231">
        <v>12.155390321530708</v>
      </c>
      <c r="C16" s="97">
        <f t="shared" si="0"/>
        <v>1.6738140773935818E-3</v>
      </c>
      <c r="D16" s="231">
        <v>0.72470556476186587</v>
      </c>
      <c r="E16" s="97">
        <f t="shared" si="1"/>
        <v>9.9300467078636932E-5</v>
      </c>
      <c r="F16" s="231">
        <v>8.1604317902788868</v>
      </c>
      <c r="G16" s="97">
        <f t="shared" ref="G16" si="43">+F16/F$19</f>
        <v>1.1916172171225539E-3</v>
      </c>
      <c r="H16" s="231">
        <v>3.0691099851069898</v>
      </c>
      <c r="I16" s="97">
        <f t="shared" ref="I16" si="44">+H16/H$19</f>
        <v>4.1365480676359756E-4</v>
      </c>
      <c r="J16" s="312">
        <v>17.115000800964168</v>
      </c>
      <c r="K16" s="97">
        <f t="shared" ref="K16" si="45">+J16/J$19</f>
        <v>2.4942868317703996E-3</v>
      </c>
      <c r="L16" s="314">
        <v>24.770981799450901</v>
      </c>
      <c r="M16" s="97">
        <f t="shared" ref="M16" si="46">+L16/L$19</f>
        <v>3.8138833386306505E-3</v>
      </c>
      <c r="N16" s="231">
        <f t="shared" si="5"/>
        <v>10.999270043682253</v>
      </c>
      <c r="O16" s="97">
        <f t="shared" ref="O16" si="47">+N16/N$19</f>
        <v>1.5644509491850426E-3</v>
      </c>
      <c r="P16" s="231">
        <f t="shared" si="5"/>
        <v>10.999270043682253</v>
      </c>
      <c r="Q16" s="97">
        <f t="shared" ref="Q16" si="48">+P16/P$19</f>
        <v>1.5644509491850426E-3</v>
      </c>
      <c r="R16" s="231">
        <f t="shared" si="5"/>
        <v>10.999270043682253</v>
      </c>
      <c r="S16" s="97">
        <f t="shared" ref="S16" si="49">+R16/R$19</f>
        <v>1.5644509491850426E-3</v>
      </c>
      <c r="T16" s="231">
        <f t="shared" si="5"/>
        <v>10.999270043682253</v>
      </c>
      <c r="U16" s="97">
        <f t="shared" ref="U16" si="50">+T16/T$19</f>
        <v>1.5644509491850426E-3</v>
      </c>
      <c r="V16" s="231">
        <f t="shared" si="5"/>
        <v>10.999270043682253</v>
      </c>
      <c r="W16" s="80">
        <f t="shared" ref="W16:Y16" si="51">V16/V$19</f>
        <v>1.5644509491850426E-3</v>
      </c>
      <c r="X16" s="231">
        <f t="shared" si="5"/>
        <v>10.999270043682253</v>
      </c>
      <c r="Y16" s="80">
        <f t="shared" si="51"/>
        <v>1.5644509491850426E-3</v>
      </c>
      <c r="Z16" s="11">
        <f t="shared" si="4"/>
        <v>131.99124052418705</v>
      </c>
      <c r="AA16" s="49">
        <f t="shared" si="2"/>
        <v>1.5644509491850428E-3</v>
      </c>
      <c r="AC16" s="82">
        <f t="shared" si="3"/>
        <v>1.7793407751607749E-3</v>
      </c>
      <c r="AE16" s="81">
        <f t="shared" si="6"/>
        <v>13.199124052418705</v>
      </c>
    </row>
    <row r="17" spans="1:31" s="81" customFormat="1" x14ac:dyDescent="0.25">
      <c r="A17" s="79" t="s">
        <v>23</v>
      </c>
      <c r="B17" s="231">
        <v>5.6255605519903868</v>
      </c>
      <c r="C17" s="97">
        <f t="shared" si="0"/>
        <v>7.7464747705162612E-4</v>
      </c>
      <c r="D17" s="231">
        <v>33.845018032967587</v>
      </c>
      <c r="E17" s="97">
        <f t="shared" si="1"/>
        <v>4.6375055779555377E-3</v>
      </c>
      <c r="F17" s="231">
        <v>15.745226454239651</v>
      </c>
      <c r="G17" s="97">
        <f t="shared" ref="G17" si="52">+F17/F$19</f>
        <v>2.2991777166394599E-3</v>
      </c>
      <c r="H17" s="231">
        <v>0.78937397642441198</v>
      </c>
      <c r="I17" s="97">
        <f t="shared" ref="I17" si="53">+H17/H$19</f>
        <v>1.063918664585329E-4</v>
      </c>
      <c r="J17" s="312">
        <v>14.267377328901301</v>
      </c>
      <c r="K17" s="97">
        <f t="shared" ref="K17" si="54">+J17/J$19</f>
        <v>2.0792830692344037E-3</v>
      </c>
      <c r="L17" s="314">
        <v>17.861659856792929</v>
      </c>
      <c r="M17" s="97">
        <f t="shared" ref="M17" si="55">+L17/L$19</f>
        <v>2.7500842509851809E-3</v>
      </c>
      <c r="N17" s="231">
        <f t="shared" si="5"/>
        <v>14.689036033552711</v>
      </c>
      <c r="O17" s="97">
        <f t="shared" ref="O17" si="56">+N17/N$19</f>
        <v>2.0892546754504144E-3</v>
      </c>
      <c r="P17" s="231">
        <f t="shared" si="5"/>
        <v>14.689036033552711</v>
      </c>
      <c r="Q17" s="97">
        <f t="shared" ref="Q17" si="57">+P17/P$19</f>
        <v>2.0892546754504144E-3</v>
      </c>
      <c r="R17" s="231">
        <f t="shared" si="5"/>
        <v>14.689036033552711</v>
      </c>
      <c r="S17" s="97">
        <f t="shared" ref="S17" si="58">+R17/R$19</f>
        <v>2.0892546754504144E-3</v>
      </c>
      <c r="T17" s="231">
        <f t="shared" si="5"/>
        <v>14.689036033552711</v>
      </c>
      <c r="U17" s="97">
        <f t="shared" ref="U17" si="59">+T17/T$19</f>
        <v>2.0892546754504144E-3</v>
      </c>
      <c r="V17" s="231">
        <f t="shared" si="5"/>
        <v>14.689036033552711</v>
      </c>
      <c r="W17" s="80">
        <f t="shared" ref="W17:Y17" si="60">V17/V$19</f>
        <v>2.0892546754504144E-3</v>
      </c>
      <c r="X17" s="231">
        <f t="shared" si="5"/>
        <v>14.689036033552711</v>
      </c>
      <c r="Y17" s="80">
        <f t="shared" si="60"/>
        <v>2.0892546754504144E-3</v>
      </c>
      <c r="Z17" s="11">
        <f t="shared" si="4"/>
        <v>176.26843240263258</v>
      </c>
      <c r="AA17" s="49">
        <f t="shared" si="2"/>
        <v>2.0892546754504152E-3</v>
      </c>
      <c r="AC17" s="82">
        <f t="shared" si="3"/>
        <v>2.376230482432665E-3</v>
      </c>
      <c r="AE17" s="81">
        <f t="shared" si="6"/>
        <v>17.626843240263259</v>
      </c>
    </row>
    <row r="18" spans="1:31" s="81" customFormat="1" ht="17.25" x14ac:dyDescent="0.4">
      <c r="A18" s="79" t="s">
        <v>24</v>
      </c>
      <c r="B18" s="311">
        <v>873.34401277691222</v>
      </c>
      <c r="C18" s="229">
        <f t="shared" si="0"/>
        <v>0.12026067977464271</v>
      </c>
      <c r="D18" s="311">
        <v>732.53677684909553</v>
      </c>
      <c r="E18" s="229">
        <f t="shared" si="1"/>
        <v>0.10037351392119748</v>
      </c>
      <c r="F18" s="311">
        <v>668.03940078113931</v>
      </c>
      <c r="G18" s="229">
        <f t="shared" ref="G18" si="61">+F18/F$19</f>
        <v>9.7549648369750594E-2</v>
      </c>
      <c r="H18" s="311">
        <v>906.10907520892408</v>
      </c>
      <c r="I18" s="229">
        <f t="shared" ref="I18" si="62">+H18/H$19</f>
        <v>0.12212542927138643</v>
      </c>
      <c r="J18" s="313">
        <v>1021.6819141569956</v>
      </c>
      <c r="K18" s="229">
        <f t="shared" ref="K18" si="63">+J18/J$19</f>
        <v>0.14889673534787146</v>
      </c>
      <c r="L18" s="315">
        <v>892.8864230749524</v>
      </c>
      <c r="M18" s="229">
        <f t="shared" ref="M18" si="64">+L18/L$19</f>
        <v>0.13747394753366479</v>
      </c>
      <c r="N18" s="311">
        <f t="shared" si="5"/>
        <v>849.09960047466984</v>
      </c>
      <c r="O18" s="229">
        <f t="shared" ref="O18" si="65">+N18/N$19</f>
        <v>0.12076934838764394</v>
      </c>
      <c r="P18" s="311">
        <f t="shared" si="5"/>
        <v>849.09960047466984</v>
      </c>
      <c r="Q18" s="229">
        <f t="shared" ref="Q18" si="66">+P18/P$19</f>
        <v>0.12076934838764394</v>
      </c>
      <c r="R18" s="311">
        <f t="shared" si="5"/>
        <v>849.09960047466984</v>
      </c>
      <c r="S18" s="229">
        <f t="shared" ref="S18" si="67">+R18/R$19</f>
        <v>0.12076934838764394</v>
      </c>
      <c r="T18" s="311">
        <f t="shared" si="5"/>
        <v>849.09960047466984</v>
      </c>
      <c r="U18" s="229">
        <f t="shared" ref="U18" si="68">+T18/T$19</f>
        <v>0.12076934838764394</v>
      </c>
      <c r="V18" s="311">
        <f t="shared" si="5"/>
        <v>849.09960047466984</v>
      </c>
      <c r="W18" s="84">
        <f t="shared" ref="W18:Y18" si="69">V18/V$19</f>
        <v>0.12076934838764394</v>
      </c>
      <c r="X18" s="311">
        <f t="shared" si="5"/>
        <v>849.09960047466984</v>
      </c>
      <c r="Y18" s="83">
        <f t="shared" si="69"/>
        <v>0.12076934838764394</v>
      </c>
      <c r="Z18" s="75">
        <f t="shared" si="4"/>
        <v>10189.19520569604</v>
      </c>
      <c r="AA18" s="94">
        <f t="shared" si="2"/>
        <v>0.12076934838764397</v>
      </c>
      <c r="AC18" s="82"/>
      <c r="AE18" s="81">
        <f t="shared" si="6"/>
        <v>1018.9195205696039</v>
      </c>
    </row>
    <row r="19" spans="1:31" x14ac:dyDescent="0.25">
      <c r="A19" s="12"/>
      <c r="B19" s="70">
        <f t="shared" ref="B19:Y19" si="70">SUM(B8:B18)</f>
        <v>7262.0911042036132</v>
      </c>
      <c r="C19" s="71">
        <f t="shared" si="70"/>
        <v>1</v>
      </c>
      <c r="D19" s="70">
        <f t="shared" si="70"/>
        <v>7298.1083179393809</v>
      </c>
      <c r="E19" s="71">
        <f t="shared" si="70"/>
        <v>1</v>
      </c>
      <c r="F19" s="70">
        <f t="shared" si="70"/>
        <v>6848.198962737556</v>
      </c>
      <c r="G19" s="71">
        <f t="shared" si="70"/>
        <v>0.99999999999999989</v>
      </c>
      <c r="H19" s="70">
        <f t="shared" si="70"/>
        <v>7419.4955187864571</v>
      </c>
      <c r="I19" s="71">
        <f t="shared" si="70"/>
        <v>1</v>
      </c>
      <c r="J19" s="70">
        <f t="shared" si="70"/>
        <v>6861.6810957608477</v>
      </c>
      <c r="K19" s="71">
        <f t="shared" si="70"/>
        <v>1</v>
      </c>
      <c r="L19" s="70">
        <f t="shared" si="70"/>
        <v>6494.9500548553115</v>
      </c>
      <c r="M19" s="71">
        <f t="shared" si="70"/>
        <v>1.0000000000000002</v>
      </c>
      <c r="N19" s="70">
        <f t="shared" si="70"/>
        <v>7030.7541757138624</v>
      </c>
      <c r="O19" s="71">
        <f t="shared" si="70"/>
        <v>0.99999999999999978</v>
      </c>
      <c r="P19" s="70">
        <f t="shared" si="70"/>
        <v>7030.7541757138624</v>
      </c>
      <c r="Q19" s="71">
        <f t="shared" si="70"/>
        <v>0.99999999999999978</v>
      </c>
      <c r="R19" s="70">
        <f t="shared" si="70"/>
        <v>7030.7541757138624</v>
      </c>
      <c r="S19" s="71">
        <f t="shared" si="70"/>
        <v>0.99999999999999978</v>
      </c>
      <c r="T19" s="70">
        <f t="shared" si="70"/>
        <v>7030.7541757138624</v>
      </c>
      <c r="U19" s="71">
        <f t="shared" si="70"/>
        <v>0.99999999999999978</v>
      </c>
      <c r="V19" s="78">
        <f t="shared" si="70"/>
        <v>7030.7541757138624</v>
      </c>
      <c r="W19" s="51">
        <f t="shared" si="70"/>
        <v>0.99999999999999978</v>
      </c>
      <c r="X19" s="78">
        <f t="shared" si="70"/>
        <v>7030.7541757138624</v>
      </c>
      <c r="Y19" s="51">
        <f t="shared" si="70"/>
        <v>0.99999999999999978</v>
      </c>
      <c r="Z19" s="50">
        <f t="shared" ref="Z19:AA19" si="71">SUM(Z8:Z18)</f>
        <v>84369.050108566342</v>
      </c>
      <c r="AA19" s="51">
        <f t="shared" si="71"/>
        <v>0.99999999999999978</v>
      </c>
      <c r="AC19" s="52">
        <f>SUM(AC8:AC18)</f>
        <v>0.99999999999999978</v>
      </c>
    </row>
    <row r="20" spans="1:31" x14ac:dyDescent="0.25">
      <c r="V20" s="20"/>
      <c r="W20" s="20"/>
      <c r="X20" s="20"/>
    </row>
    <row r="21" spans="1:31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</sheetData>
  <pageMargins left="0.2" right="0" top="0.75" bottom="0.5" header="0.3" footer="0.3"/>
  <pageSetup scale="48" orientation="landscape" r:id="rId1"/>
  <headerFooter>
    <oddFooter>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9"/>
  <sheetViews>
    <sheetView workbookViewId="0">
      <selection activeCell="P39" sqref="P39"/>
    </sheetView>
  </sheetViews>
  <sheetFormatPr defaultRowHeight="15" x14ac:dyDescent="0.25"/>
  <cols>
    <col min="1" max="1" width="4.140625" style="15" customWidth="1"/>
    <col min="2" max="2" width="21.140625" style="15" bestFit="1" customWidth="1"/>
    <col min="3" max="3" width="10.5703125" style="22" bestFit="1" customWidth="1"/>
    <col min="4" max="14" width="10.5703125" style="15" bestFit="1" customWidth="1"/>
    <col min="15" max="15" width="9.5703125" style="20" bestFit="1" customWidth="1"/>
    <col min="16" max="16" width="7" style="15" bestFit="1" customWidth="1"/>
    <col min="17" max="17" width="9.5703125" style="15" bestFit="1" customWidth="1"/>
    <col min="18" max="18" width="10.5703125" style="15" bestFit="1" customWidth="1"/>
    <col min="19" max="19" width="9.140625" style="15"/>
    <col min="20" max="20" width="12.7109375" style="15" customWidth="1"/>
    <col min="21" max="16384" width="9.140625" style="15"/>
  </cols>
  <sheetData>
    <row r="1" spans="1:18" s="47" customFormat="1" ht="21" x14ac:dyDescent="0.35">
      <c r="A1" s="47" t="s">
        <v>72</v>
      </c>
      <c r="C1" s="48"/>
    </row>
    <row r="2" spans="1:18" s="47" customFormat="1" ht="21" x14ac:dyDescent="0.35">
      <c r="A2" s="46" t="s">
        <v>108</v>
      </c>
      <c r="C2" s="48"/>
    </row>
    <row r="3" spans="1:18" s="47" customFormat="1" ht="21" x14ac:dyDescent="0.35">
      <c r="C3" s="48"/>
    </row>
    <row r="4" spans="1:18" x14ac:dyDescent="0.25">
      <c r="A4" s="20"/>
      <c r="B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P4" s="20"/>
      <c r="Q4" s="20"/>
    </row>
    <row r="5" spans="1:18" x14ac:dyDescent="0.25">
      <c r="A5" s="20"/>
      <c r="B5" s="20"/>
      <c r="C5" s="53">
        <v>44682</v>
      </c>
      <c r="D5" s="53">
        <v>44713</v>
      </c>
      <c r="E5" s="53">
        <v>44743</v>
      </c>
      <c r="F5" s="53">
        <v>44774</v>
      </c>
      <c r="G5" s="53">
        <v>44805</v>
      </c>
      <c r="H5" s="53">
        <v>44835</v>
      </c>
      <c r="I5" s="53">
        <v>44866</v>
      </c>
      <c r="J5" s="53">
        <v>44896</v>
      </c>
      <c r="K5" s="53">
        <v>44927</v>
      </c>
      <c r="L5" s="53">
        <v>44958</v>
      </c>
      <c r="M5" s="53">
        <v>44986</v>
      </c>
      <c r="N5" s="53">
        <v>45017</v>
      </c>
      <c r="O5" s="53" t="s">
        <v>16</v>
      </c>
      <c r="P5" s="26" t="s">
        <v>82</v>
      </c>
      <c r="Q5" s="20"/>
    </row>
    <row r="6" spans="1:18" x14ac:dyDescent="0.25">
      <c r="A6" s="21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P6" s="20"/>
      <c r="Q6" s="20"/>
    </row>
    <row r="7" spans="1:18" s="20" customFormat="1" x14ac:dyDescent="0.25">
      <c r="A7" s="21"/>
      <c r="B7" s="20" t="s">
        <v>80</v>
      </c>
      <c r="C7" s="86">
        <v>6806</v>
      </c>
      <c r="D7" s="86">
        <v>6813</v>
      </c>
      <c r="E7" s="86">
        <v>6816</v>
      </c>
      <c r="F7" s="86">
        <v>6820</v>
      </c>
      <c r="G7" s="86">
        <v>6820</v>
      </c>
      <c r="H7" s="86">
        <v>6821</v>
      </c>
      <c r="I7" s="86">
        <v>6824</v>
      </c>
      <c r="J7" s="86">
        <v>6843</v>
      </c>
      <c r="K7" s="86">
        <v>6853</v>
      </c>
      <c r="L7" s="86">
        <v>6857</v>
      </c>
      <c r="M7" s="86">
        <v>6860</v>
      </c>
      <c r="N7" s="86">
        <v>6864</v>
      </c>
      <c r="O7" s="25">
        <f t="shared" ref="O7:O12" si="0">SUM(C7:N7)</f>
        <v>81997</v>
      </c>
      <c r="P7" s="76">
        <f t="shared" ref="P7:P13" si="1">+O7/$O$23</f>
        <v>0.17868046188410186</v>
      </c>
    </row>
    <row r="8" spans="1:18" x14ac:dyDescent="0.25">
      <c r="A8" s="20"/>
      <c r="B8" s="20" t="s">
        <v>27</v>
      </c>
      <c r="C8" s="86">
        <v>2370</v>
      </c>
      <c r="D8" s="86">
        <v>2366</v>
      </c>
      <c r="E8" s="86">
        <v>2363</v>
      </c>
      <c r="F8" s="86">
        <v>2367</v>
      </c>
      <c r="G8" s="86">
        <v>2360</v>
      </c>
      <c r="H8" s="86">
        <v>2365</v>
      </c>
      <c r="I8" s="86">
        <v>2363</v>
      </c>
      <c r="J8" s="86">
        <v>2358</v>
      </c>
      <c r="K8" s="86">
        <v>2355</v>
      </c>
      <c r="L8" s="86">
        <v>2361</v>
      </c>
      <c r="M8" s="86">
        <v>2370</v>
      </c>
      <c r="N8" s="86">
        <v>2367</v>
      </c>
      <c r="O8" s="25">
        <f t="shared" si="0"/>
        <v>28365</v>
      </c>
      <c r="P8" s="76">
        <f t="shared" si="1"/>
        <v>6.1810447959590592E-2</v>
      </c>
      <c r="Q8" s="20"/>
    </row>
    <row r="9" spans="1:18" x14ac:dyDescent="0.25">
      <c r="A9" s="20"/>
      <c r="B9" s="20" t="s">
        <v>28</v>
      </c>
      <c r="C9" s="86">
        <v>524</v>
      </c>
      <c r="D9" s="86">
        <v>520</v>
      </c>
      <c r="E9" s="86">
        <v>522</v>
      </c>
      <c r="F9" s="86">
        <v>522</v>
      </c>
      <c r="G9" s="86">
        <v>521</v>
      </c>
      <c r="H9" s="86">
        <v>519</v>
      </c>
      <c r="I9" s="86">
        <v>523</v>
      </c>
      <c r="J9" s="86">
        <v>524</v>
      </c>
      <c r="K9" s="86">
        <v>526</v>
      </c>
      <c r="L9" s="86">
        <v>526</v>
      </c>
      <c r="M9" s="86">
        <v>527</v>
      </c>
      <c r="N9" s="86">
        <v>527</v>
      </c>
      <c r="O9" s="25">
        <f t="shared" si="0"/>
        <v>6281</v>
      </c>
      <c r="P9" s="76">
        <f t="shared" si="1"/>
        <v>1.3686988317792649E-2</v>
      </c>
      <c r="Q9" s="20"/>
    </row>
    <row r="10" spans="1:18" x14ac:dyDescent="0.25">
      <c r="A10" s="20"/>
      <c r="B10" s="20" t="s">
        <v>29</v>
      </c>
      <c r="C10" s="86">
        <v>9414</v>
      </c>
      <c r="D10" s="86">
        <v>9413</v>
      </c>
      <c r="E10" s="86">
        <v>9403</v>
      </c>
      <c r="F10" s="86">
        <v>9395</v>
      </c>
      <c r="G10" s="86">
        <v>9415</v>
      </c>
      <c r="H10" s="86">
        <v>9389</v>
      </c>
      <c r="I10" s="86">
        <v>9390</v>
      </c>
      <c r="J10" s="86">
        <v>9386</v>
      </c>
      <c r="K10" s="86">
        <v>9381</v>
      </c>
      <c r="L10" s="86">
        <v>9381</v>
      </c>
      <c r="M10" s="86">
        <v>9380</v>
      </c>
      <c r="N10" s="86">
        <v>9398</v>
      </c>
      <c r="O10" s="25">
        <f t="shared" si="0"/>
        <v>112745</v>
      </c>
      <c r="P10" s="76">
        <f t="shared" si="1"/>
        <v>0.24568372836961189</v>
      </c>
      <c r="Q10" s="20"/>
    </row>
    <row r="11" spans="1:18" x14ac:dyDescent="0.25">
      <c r="A11" s="20"/>
      <c r="B11" s="20" t="s">
        <v>30</v>
      </c>
      <c r="C11" s="86">
        <v>2123</v>
      </c>
      <c r="D11" s="86">
        <v>2122</v>
      </c>
      <c r="E11" s="86">
        <v>2124</v>
      </c>
      <c r="F11" s="86">
        <v>2123</v>
      </c>
      <c r="G11" s="86">
        <v>2135</v>
      </c>
      <c r="H11" s="86">
        <v>2132</v>
      </c>
      <c r="I11" s="86">
        <v>2134</v>
      </c>
      <c r="J11" s="86">
        <v>2124</v>
      </c>
      <c r="K11" s="86">
        <v>2115</v>
      </c>
      <c r="L11" s="86">
        <v>2116</v>
      </c>
      <c r="M11" s="86">
        <v>2128</v>
      </c>
      <c r="N11" s="86">
        <v>2121</v>
      </c>
      <c r="O11" s="25">
        <f t="shared" si="0"/>
        <v>25497</v>
      </c>
      <c r="P11" s="76">
        <f t="shared" si="1"/>
        <v>5.5560761206616648E-2</v>
      </c>
      <c r="Q11" s="20"/>
    </row>
    <row r="12" spans="1:18" ht="17.25" x14ac:dyDescent="0.4">
      <c r="A12" s="20"/>
      <c r="B12" s="20" t="s">
        <v>31</v>
      </c>
      <c r="C12" s="316">
        <f>C15-C7-C8-C9-C10-C11-C17-C18-C19</f>
        <v>813</v>
      </c>
      <c r="D12" s="316">
        <f t="shared" ref="D12:N12" si="2">D15-D7-D8-D9-D10-D11-D17-D18-D19</f>
        <v>827</v>
      </c>
      <c r="E12" s="316">
        <f t="shared" si="2"/>
        <v>828</v>
      </c>
      <c r="F12" s="316">
        <f t="shared" si="2"/>
        <v>827</v>
      </c>
      <c r="G12" s="316">
        <f t="shared" si="2"/>
        <v>831</v>
      </c>
      <c r="H12" s="316">
        <f t="shared" si="2"/>
        <v>823</v>
      </c>
      <c r="I12" s="316">
        <f t="shared" si="2"/>
        <v>817</v>
      </c>
      <c r="J12" s="316">
        <f t="shared" si="2"/>
        <v>-2187</v>
      </c>
      <c r="K12" s="316">
        <f t="shared" si="2"/>
        <v>811</v>
      </c>
      <c r="L12" s="316">
        <v>35351</v>
      </c>
      <c r="M12" s="316">
        <f t="shared" si="2"/>
        <v>821</v>
      </c>
      <c r="N12" s="316">
        <f t="shared" si="2"/>
        <v>836</v>
      </c>
      <c r="O12" s="56">
        <f t="shared" si="0"/>
        <v>41398</v>
      </c>
      <c r="P12" s="77">
        <f t="shared" si="1"/>
        <v>9.0210785285779346E-2</v>
      </c>
      <c r="Q12" s="20"/>
    </row>
    <row r="13" spans="1:18" x14ac:dyDescent="0.25">
      <c r="A13" s="20"/>
      <c r="B13" s="5" t="s">
        <v>16</v>
      </c>
      <c r="C13" s="54">
        <f t="shared" ref="C13:O13" si="3">SUM(C7:C12)</f>
        <v>22050</v>
      </c>
      <c r="D13" s="54">
        <f t="shared" si="3"/>
        <v>22061</v>
      </c>
      <c r="E13" s="54">
        <f t="shared" si="3"/>
        <v>22056</v>
      </c>
      <c r="F13" s="54">
        <f t="shared" si="3"/>
        <v>22054</v>
      </c>
      <c r="G13" s="54">
        <f t="shared" si="3"/>
        <v>22082</v>
      </c>
      <c r="H13" s="54">
        <f t="shared" si="3"/>
        <v>22049</v>
      </c>
      <c r="I13" s="54">
        <f t="shared" si="3"/>
        <v>22051</v>
      </c>
      <c r="J13" s="54">
        <f t="shared" si="3"/>
        <v>19048</v>
      </c>
      <c r="K13" s="54">
        <f t="shared" si="3"/>
        <v>22041</v>
      </c>
      <c r="L13" s="54">
        <f t="shared" si="3"/>
        <v>56592</v>
      </c>
      <c r="M13" s="89">
        <f t="shared" si="3"/>
        <v>22086</v>
      </c>
      <c r="N13" s="54">
        <f t="shared" si="3"/>
        <v>22113</v>
      </c>
      <c r="O13" s="54">
        <f t="shared" si="3"/>
        <v>296283</v>
      </c>
      <c r="P13" s="96">
        <f t="shared" si="1"/>
        <v>0.64563317302349299</v>
      </c>
      <c r="Q13" s="20"/>
    </row>
    <row r="14" spans="1:18" x14ac:dyDescent="0.25">
      <c r="A14" s="20"/>
      <c r="B14" s="20"/>
      <c r="C14" s="55">
        <f t="shared" ref="C14:O14" si="4">+C13/C23</f>
        <v>0.62725798651608677</v>
      </c>
      <c r="D14" s="55">
        <f t="shared" si="4"/>
        <v>0.62609263253490743</v>
      </c>
      <c r="E14" s="55">
        <f t="shared" si="4"/>
        <v>0.62449742341015912</v>
      </c>
      <c r="F14" s="55">
        <f t="shared" si="4"/>
        <v>0.62343462897526503</v>
      </c>
      <c r="G14" s="55">
        <f t="shared" si="4"/>
        <v>0.62341548798735213</v>
      </c>
      <c r="H14" s="55">
        <f t="shared" si="4"/>
        <v>0.62313475016956821</v>
      </c>
      <c r="I14" s="55">
        <f t="shared" si="4"/>
        <v>0.62342031607814308</v>
      </c>
      <c r="J14" s="55">
        <f t="shared" si="4"/>
        <v>0.53880968544919661</v>
      </c>
      <c r="K14" s="55">
        <f t="shared" si="4"/>
        <v>0.62366656291559375</v>
      </c>
      <c r="L14" s="55">
        <f t="shared" si="4"/>
        <v>0.80983386041985661</v>
      </c>
      <c r="M14" s="90">
        <f t="shared" si="4"/>
        <v>0.62305348679756267</v>
      </c>
      <c r="N14" s="55">
        <f t="shared" si="4"/>
        <v>0.62075063863234425</v>
      </c>
      <c r="O14" s="55">
        <f t="shared" si="4"/>
        <v>0.64563317302349299</v>
      </c>
      <c r="P14" s="76"/>
      <c r="Q14" s="20"/>
    </row>
    <row r="15" spans="1:18" x14ac:dyDescent="0.25">
      <c r="A15" s="20"/>
      <c r="B15" s="20"/>
      <c r="C15" s="318">
        <v>35153</v>
      </c>
      <c r="D15" s="318">
        <v>35236</v>
      </c>
      <c r="E15" s="318">
        <v>35318</v>
      </c>
      <c r="F15" s="318">
        <v>35375</v>
      </c>
      <c r="G15" s="318">
        <v>35421</v>
      </c>
      <c r="H15" s="318">
        <v>35384</v>
      </c>
      <c r="I15" s="318">
        <v>35371</v>
      </c>
      <c r="J15" s="318">
        <v>35352</v>
      </c>
      <c r="K15" s="318">
        <v>35341</v>
      </c>
      <c r="L15" s="318">
        <v>35351</v>
      </c>
      <c r="M15" s="318">
        <v>35448</v>
      </c>
      <c r="N15" s="318">
        <v>35623</v>
      </c>
      <c r="O15" s="55"/>
      <c r="P15" s="76"/>
      <c r="Q15" s="20"/>
      <c r="R15" s="20"/>
    </row>
    <row r="16" spans="1:18" x14ac:dyDescent="0.25">
      <c r="A16" s="21" t="s">
        <v>32</v>
      </c>
      <c r="B16" s="20"/>
      <c r="D16" s="22"/>
      <c r="E16" s="22"/>
      <c r="F16" s="22"/>
      <c r="G16" s="22"/>
      <c r="H16" s="22"/>
      <c r="I16" s="22"/>
      <c r="J16" s="22"/>
      <c r="K16" s="22"/>
      <c r="L16" s="22"/>
      <c r="M16" s="88"/>
      <c r="N16" s="86"/>
      <c r="P16" s="76"/>
      <c r="Q16" s="20"/>
      <c r="R16" s="20"/>
    </row>
    <row r="17" spans="1:19" x14ac:dyDescent="0.25">
      <c r="A17" s="20"/>
      <c r="B17" s="20" t="s">
        <v>33</v>
      </c>
      <c r="C17" s="86">
        <v>6642</v>
      </c>
      <c r="D17" s="86">
        <v>6687</v>
      </c>
      <c r="E17" s="86">
        <v>6729</v>
      </c>
      <c r="F17" s="86">
        <v>6773</v>
      </c>
      <c r="G17" s="86">
        <v>6786</v>
      </c>
      <c r="H17" s="86">
        <v>6782</v>
      </c>
      <c r="I17" s="86">
        <v>6772</v>
      </c>
      <c r="J17" s="86">
        <v>6781</v>
      </c>
      <c r="K17" s="86">
        <v>6778</v>
      </c>
      <c r="L17" s="86">
        <v>6772</v>
      </c>
      <c r="M17" s="86">
        <v>6808</v>
      </c>
      <c r="N17" s="86">
        <v>6916</v>
      </c>
      <c r="O17" s="25">
        <f>SUM(C17:N17)</f>
        <v>81226</v>
      </c>
      <c r="P17" s="76">
        <f>+O17/$O$23</f>
        <v>0.17700036826954715</v>
      </c>
      <c r="Q17" s="20"/>
      <c r="R17" s="20"/>
    </row>
    <row r="18" spans="1:19" x14ac:dyDescent="0.25">
      <c r="A18" s="20"/>
      <c r="B18" s="20" t="s">
        <v>34</v>
      </c>
      <c r="C18" s="86">
        <v>3205</v>
      </c>
      <c r="D18" s="86">
        <v>3230</v>
      </c>
      <c r="E18" s="86">
        <v>3254</v>
      </c>
      <c r="F18" s="86">
        <v>3275</v>
      </c>
      <c r="G18" s="86">
        <v>3263</v>
      </c>
      <c r="H18" s="86">
        <v>3264</v>
      </c>
      <c r="I18" s="86">
        <v>3248</v>
      </c>
      <c r="J18" s="86">
        <v>6231</v>
      </c>
      <c r="K18" s="86">
        <v>3235</v>
      </c>
      <c r="L18" s="86">
        <v>3237</v>
      </c>
      <c r="M18" s="86">
        <v>3260</v>
      </c>
      <c r="N18" s="86">
        <v>3297</v>
      </c>
      <c r="O18" s="25">
        <f>SUM(C18:N18)</f>
        <v>41999</v>
      </c>
      <c r="P18" s="76">
        <f>+O18/$O$23</f>
        <v>9.1520430243428347E-2</v>
      </c>
      <c r="Q18" s="20"/>
      <c r="R18" s="20"/>
    </row>
    <row r="19" spans="1:19" ht="17.25" x14ac:dyDescent="0.4">
      <c r="A19" s="20"/>
      <c r="B19" s="20" t="s">
        <v>35</v>
      </c>
      <c r="C19" s="316">
        <v>3256</v>
      </c>
      <c r="D19" s="316">
        <v>3258</v>
      </c>
      <c r="E19" s="316">
        <v>3279</v>
      </c>
      <c r="F19" s="316">
        <v>3273</v>
      </c>
      <c r="G19" s="316">
        <v>3290</v>
      </c>
      <c r="H19" s="316">
        <v>3289</v>
      </c>
      <c r="I19" s="316">
        <v>3300</v>
      </c>
      <c r="J19" s="316">
        <v>3292</v>
      </c>
      <c r="K19" s="316">
        <v>3287</v>
      </c>
      <c r="L19" s="316">
        <v>3280</v>
      </c>
      <c r="M19" s="316">
        <v>3294</v>
      </c>
      <c r="N19" s="316">
        <v>3297</v>
      </c>
      <c r="O19" s="56">
        <f>SUM(C19:N19)</f>
        <v>39395</v>
      </c>
      <c r="P19" s="77">
        <f>+O19/$O$23</f>
        <v>8.584602846353151E-2</v>
      </c>
      <c r="Q19" s="20"/>
      <c r="R19" s="20"/>
    </row>
    <row r="20" spans="1:19" ht="17.25" x14ac:dyDescent="0.4">
      <c r="A20" s="20"/>
      <c r="B20" s="5" t="s">
        <v>16</v>
      </c>
      <c r="C20" s="24">
        <f t="shared" ref="C20:L20" si="5">SUM(C17:C19)</f>
        <v>13103</v>
      </c>
      <c r="D20" s="24">
        <f t="shared" si="5"/>
        <v>13175</v>
      </c>
      <c r="E20" s="24">
        <f t="shared" si="5"/>
        <v>13262</v>
      </c>
      <c r="F20" s="24">
        <f t="shared" si="5"/>
        <v>13321</v>
      </c>
      <c r="G20" s="24">
        <f t="shared" si="5"/>
        <v>13339</v>
      </c>
      <c r="H20" s="24">
        <f t="shared" si="5"/>
        <v>13335</v>
      </c>
      <c r="I20" s="24">
        <f t="shared" si="5"/>
        <v>13320</v>
      </c>
      <c r="J20" s="24">
        <f t="shared" si="5"/>
        <v>16304</v>
      </c>
      <c r="K20" s="24">
        <f t="shared" si="5"/>
        <v>13300</v>
      </c>
      <c r="L20" s="24">
        <f t="shared" si="5"/>
        <v>13289</v>
      </c>
      <c r="M20" s="24">
        <f>SUM(M17:M19)</f>
        <v>13362</v>
      </c>
      <c r="N20" s="57">
        <f>SUM(N17:N19)</f>
        <v>13510</v>
      </c>
      <c r="O20" s="24">
        <f>SUM(O17:O19)</f>
        <v>162620</v>
      </c>
      <c r="P20" s="96">
        <f>+O20/$O$23</f>
        <v>0.35436682697650701</v>
      </c>
      <c r="Q20" s="24"/>
      <c r="R20" s="20"/>
      <c r="S20" s="25"/>
    </row>
    <row r="21" spans="1:19" x14ac:dyDescent="0.25">
      <c r="A21" s="20"/>
      <c r="B21" s="20"/>
      <c r="C21" s="55">
        <f>+C20/C$23</f>
        <v>0.37274201348391317</v>
      </c>
      <c r="D21" s="55">
        <f t="shared" ref="D21:O21" si="6">+D20/D$23</f>
        <v>0.37390736746509251</v>
      </c>
      <c r="E21" s="55">
        <f t="shared" si="6"/>
        <v>0.37550257658984088</v>
      </c>
      <c r="F21" s="55">
        <f t="shared" si="6"/>
        <v>0.37656537102473497</v>
      </c>
      <c r="G21" s="55">
        <f t="shared" si="6"/>
        <v>0.37658451201264787</v>
      </c>
      <c r="H21" s="55">
        <f t="shared" si="6"/>
        <v>0.37686524983043185</v>
      </c>
      <c r="I21" s="55">
        <f t="shared" si="6"/>
        <v>0.37657968392185687</v>
      </c>
      <c r="J21" s="55">
        <f t="shared" si="6"/>
        <v>0.46119031455080334</v>
      </c>
      <c r="K21" s="55">
        <f t="shared" si="6"/>
        <v>0.3763334370844062</v>
      </c>
      <c r="L21" s="55">
        <f t="shared" si="6"/>
        <v>0.19016613958014339</v>
      </c>
      <c r="M21" s="55">
        <f t="shared" si="6"/>
        <v>0.37694651320243738</v>
      </c>
      <c r="N21" s="55">
        <f t="shared" si="6"/>
        <v>0.37924936136765575</v>
      </c>
      <c r="O21" s="55">
        <f t="shared" si="6"/>
        <v>0.35436682697650701</v>
      </c>
      <c r="P21" s="95"/>
      <c r="Q21" s="22"/>
      <c r="R21" s="20"/>
    </row>
    <row r="22" spans="1:19" x14ac:dyDescent="0.25">
      <c r="A22" s="20"/>
      <c r="B22" s="2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58"/>
      <c r="O22" s="22"/>
      <c r="P22" s="95"/>
      <c r="Q22" s="22"/>
      <c r="R22" s="20"/>
    </row>
    <row r="23" spans="1:19" ht="17.25" x14ac:dyDescent="0.4">
      <c r="A23" s="20"/>
      <c r="B23" s="5" t="s">
        <v>84</v>
      </c>
      <c r="C23" s="24">
        <f t="shared" ref="C23:O23" si="7">+C20+C13</f>
        <v>35153</v>
      </c>
      <c r="D23" s="24">
        <f t="shared" si="7"/>
        <v>35236</v>
      </c>
      <c r="E23" s="24">
        <f t="shared" si="7"/>
        <v>35318</v>
      </c>
      <c r="F23" s="24">
        <f t="shared" si="7"/>
        <v>35375</v>
      </c>
      <c r="G23" s="24">
        <f t="shared" si="7"/>
        <v>35421</v>
      </c>
      <c r="H23" s="24">
        <f t="shared" si="7"/>
        <v>35384</v>
      </c>
      <c r="I23" s="24">
        <f t="shared" si="7"/>
        <v>35371</v>
      </c>
      <c r="J23" s="24">
        <f t="shared" si="7"/>
        <v>35352</v>
      </c>
      <c r="K23" s="24">
        <f t="shared" si="7"/>
        <v>35341</v>
      </c>
      <c r="L23" s="24">
        <f t="shared" si="7"/>
        <v>69881</v>
      </c>
      <c r="M23" s="24">
        <f t="shared" si="7"/>
        <v>35448</v>
      </c>
      <c r="N23" s="24">
        <f t="shared" si="7"/>
        <v>35623</v>
      </c>
      <c r="O23" s="24">
        <f t="shared" si="7"/>
        <v>458903</v>
      </c>
      <c r="P23" s="96">
        <f>+O23/$O$23</f>
        <v>1</v>
      </c>
      <c r="Q23" s="29"/>
      <c r="R23" s="20"/>
    </row>
    <row r="24" spans="1:19" x14ac:dyDescent="0.25">
      <c r="A24" s="20"/>
      <c r="B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P24" s="20"/>
      <c r="Q24" s="20"/>
      <c r="R24" s="20"/>
    </row>
    <row r="25" spans="1:19" x14ac:dyDescent="0.25"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R25" s="20"/>
    </row>
    <row r="26" spans="1:19" x14ac:dyDescent="0.25"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R26" s="20"/>
    </row>
    <row r="27" spans="1:19" x14ac:dyDescent="0.25"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42"/>
      <c r="O27" s="76"/>
      <c r="P27" s="76"/>
      <c r="R27" s="20"/>
    </row>
    <row r="28" spans="1:19" x14ac:dyDescent="0.25"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R28" s="20"/>
    </row>
    <row r="29" spans="1:19" x14ac:dyDescent="0.25"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R29" s="20"/>
    </row>
    <row r="30" spans="1:19" x14ac:dyDescent="0.25"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R30" s="20"/>
    </row>
    <row r="31" spans="1:19" x14ac:dyDescent="0.25"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R31" s="20"/>
    </row>
    <row r="32" spans="1:19" x14ac:dyDescent="0.25"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5:15" x14ac:dyDescent="0.25"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5:15" x14ac:dyDescent="0.25"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5:15" x14ac:dyDescent="0.25"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5:15" x14ac:dyDescent="0.25"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5:15" x14ac:dyDescent="0.25"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5:15" x14ac:dyDescent="0.25"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5:15" x14ac:dyDescent="0.25"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</sheetData>
  <pageMargins left="0.45" right="0.2" top="0.75" bottom="0.75" header="0.3" footer="0.3"/>
  <pageSetup scale="68" orientation="landscape" r:id="rId1"/>
  <headerFooter>
    <oddFooter>&amp;A&amp;RPage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FCC3EA12D56C40879058B2740CDA1A" ma:contentTypeVersion="24" ma:contentTypeDescription="" ma:contentTypeScope="" ma:versionID="38a7ad15584cb0aed8574e410e45d2a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2023-05-16T07:00:00+00:00</OpenedDate>
    <SignificantOrder xmlns="dc463f71-b30c-4ab2-9473-d307f9d35888">false</SignificantOrder>
    <Date1 xmlns="dc463f71-b30c-4ab2-9473-d307f9d35888">2023-05-16T07:00:00+00:00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230378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E4DF7CB-6ED7-4FBB-9156-BF22E24A0063}"/>
</file>

<file path=customXml/itemProps2.xml><?xml version="1.0" encoding="utf-8"?>
<ds:datastoreItem xmlns:ds="http://schemas.openxmlformats.org/officeDocument/2006/customXml" ds:itemID="{F44C29A0-9AF4-455D-8504-1055B1EBB1F5}"/>
</file>

<file path=customXml/itemProps3.xml><?xml version="1.0" encoding="utf-8"?>
<ds:datastoreItem xmlns:ds="http://schemas.openxmlformats.org/officeDocument/2006/customXml" ds:itemID="{D5394732-F8C3-4F1B-B560-26D78C69269C}"/>
</file>

<file path=customXml/itemProps4.xml><?xml version="1.0" encoding="utf-8"?>
<ds:datastoreItem xmlns:ds="http://schemas.openxmlformats.org/officeDocument/2006/customXml" ds:itemID="{7E09AAD2-1608-4489-AA12-A21027746E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Rebate Analysis</vt:lpstr>
      <vt:lpstr>Commodity Revenue</vt:lpstr>
      <vt:lpstr>Tonnages Collected</vt:lpstr>
      <vt:lpstr>CRC Prices</vt:lpstr>
      <vt:lpstr>CRC Composition</vt:lpstr>
      <vt:lpstr>Customers</vt:lpstr>
      <vt:lpstr>'CRC Composition'!Print_Area</vt:lpstr>
      <vt:lpstr>'CRC Prices'!Print_Area</vt:lpstr>
      <vt:lpstr>Customers!Print_Area</vt:lpstr>
      <vt:lpstr>'Rebate Analysis'!Print_Area</vt:lpstr>
      <vt:lpstr>'Tonnages Collected'!Print_Area</vt:lpstr>
    </vt:vector>
  </TitlesOfParts>
  <Company>Waste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Weinstein, Mike</dc:creator>
  <cp:lastModifiedBy>Administrator</cp:lastModifiedBy>
  <cp:lastPrinted>2019-05-16T15:05:24Z</cp:lastPrinted>
  <dcterms:created xsi:type="dcterms:W3CDTF">2014-04-16T22:03:40Z</dcterms:created>
  <dcterms:modified xsi:type="dcterms:W3CDTF">2023-05-10T20:38:36Z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0x0101006E56B4D1795A2E4DB2F0B01679ED314A00E0FCC3EA12D56C40879058B2740CDA1A</vt:lpwstr>
  </property>
  <property fmtid="{D5CDD505-2E9C-101B-9397-08002B2CF9AE}" pid="5" name="_docset_NoMedatataSyncRequired">
    <vt:lpwstr>False</vt:lpwstr>
  </property>
</Properties>
</file>