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RASANEN\#  Rate Filings\Sch 140 - Property Tax Filing\2023\Proposed\"/>
    </mc:Choice>
  </mc:AlternateContent>
  <bookViews>
    <workbookView xWindow="180" yWindow="72" windowWidth="14448" windowHeight="10476" tabRatio="884" activeTab="4"/>
  </bookViews>
  <sheets>
    <sheet name="Rate Impacts" sheetId="12" r:id="rId1"/>
    <sheet name="Typical Residential Notice" sheetId="48" r:id="rId2"/>
    <sheet name="Rate Design" sheetId="10" r:id="rId3"/>
    <sheet name="Retail Wheeling Rate Design" sheetId="37" r:id="rId4"/>
    <sheet name="Lighting Rates" sheetId="34" r:id="rId5"/>
    <sheet name="Projected TY Revenues" sheetId="44" r:id="rId6"/>
    <sheet name="Plant-In-Service Trans Adj" sheetId="45" r:id="rId7"/>
    <sheet name="Prior TY Rate Design" sheetId="41" r:id="rId8"/>
  </sheets>
  <calcPr calcId="162913" concurrentManualCount="8"/>
</workbook>
</file>

<file path=xl/calcChain.xml><?xml version="1.0" encoding="utf-8"?>
<calcChain xmlns="http://schemas.openxmlformats.org/spreadsheetml/2006/main">
  <c r="A13" i="12" l="1"/>
  <c r="A14" i="12" s="1"/>
  <c r="A10" i="12"/>
  <c r="A79" i="34" l="1"/>
  <c r="A80" i="34"/>
  <c r="A81" i="34"/>
  <c r="A82" i="34"/>
  <c r="A83" i="34"/>
  <c r="A34" i="34"/>
  <c r="A35" i="34" s="1"/>
  <c r="A36" i="34" s="1"/>
  <c r="A37" i="34" s="1"/>
  <c r="A38" i="34" s="1"/>
  <c r="A33" i="34"/>
  <c r="A4" i="34" l="1"/>
  <c r="A3" i="34"/>
  <c r="A5" i="37"/>
  <c r="A4" i="37"/>
  <c r="A4" i="10"/>
  <c r="A3" i="10"/>
  <c r="A4" i="48"/>
  <c r="A3" i="48"/>
  <c r="C7" i="37" l="1"/>
  <c r="E7" i="37"/>
  <c r="D7" i="37"/>
  <c r="A11" i="34" l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84" i="34" s="1"/>
  <c r="A85" i="34" s="1"/>
  <c r="A86" i="34" s="1"/>
  <c r="A87" i="34" s="1"/>
  <c r="A88" i="34" s="1"/>
  <c r="A89" i="34" s="1"/>
  <c r="A90" i="34" s="1"/>
  <c r="A91" i="34" s="1"/>
  <c r="A92" i="34" s="1"/>
  <c r="A93" i="34" s="1"/>
  <c r="A94" i="34" s="1"/>
  <c r="A95" i="34" s="1"/>
  <c r="A96" i="34" s="1"/>
  <c r="A97" i="34" s="1"/>
  <c r="A98" i="34" s="1"/>
  <c r="A99" i="34" s="1"/>
  <c r="A100" i="34" s="1"/>
  <c r="A101" i="34" s="1"/>
  <c r="A102" i="34" s="1"/>
  <c r="A103" i="34" s="1"/>
  <c r="A104" i="34" s="1"/>
  <c r="A105" i="34" s="1"/>
  <c r="A106" i="34" s="1"/>
  <c r="A107" i="34" s="1"/>
  <c r="A108" i="34" s="1"/>
  <c r="A109" i="34" s="1"/>
  <c r="A110" i="34" s="1"/>
  <c r="A111" i="34" s="1"/>
  <c r="A112" i="34" s="1"/>
  <c r="A113" i="34" s="1"/>
  <c r="A114" i="34" s="1"/>
  <c r="A115" i="34" s="1"/>
  <c r="A116" i="34" s="1"/>
  <c r="A117" i="34" s="1"/>
  <c r="A118" i="34" s="1"/>
  <c r="A119" i="34" s="1"/>
  <c r="A120" i="34" s="1"/>
  <c r="A121" i="34" s="1"/>
  <c r="A122" i="34" s="1"/>
  <c r="A123" i="34" s="1"/>
  <c r="A124" i="34" s="1"/>
  <c r="A125" i="34" s="1"/>
  <c r="A126" i="34" s="1"/>
  <c r="A127" i="34" s="1"/>
  <c r="A128" i="34" s="1"/>
  <c r="A129" i="34" s="1"/>
  <c r="A130" i="34" s="1"/>
  <c r="A131" i="34" s="1"/>
  <c r="A132" i="34" s="1"/>
  <c r="A133" i="34" s="1"/>
  <c r="A134" i="34" s="1"/>
  <c r="A135" i="34" s="1"/>
  <c r="A136" i="34" s="1"/>
  <c r="A137" i="34" s="1"/>
  <c r="A138" i="34" s="1"/>
  <c r="A139" i="34" s="1"/>
  <c r="A140" i="34" s="1"/>
  <c r="A141" i="34" s="1"/>
  <c r="A142" i="34" s="1"/>
  <c r="A143" i="34" s="1"/>
  <c r="A144" i="34" s="1"/>
  <c r="A145" i="34" s="1"/>
  <c r="A146" i="34" s="1"/>
  <c r="A147" i="34" s="1"/>
  <c r="A148" i="34" s="1"/>
  <c r="A149" i="34" s="1"/>
  <c r="A150" i="34" s="1"/>
  <c r="A151" i="34" s="1"/>
  <c r="A152" i="34" s="1"/>
  <c r="A153" i="34" s="1"/>
  <c r="A154" i="34" s="1"/>
  <c r="A155" i="34" s="1"/>
  <c r="A156" i="34" s="1"/>
  <c r="A157" i="34" s="1"/>
  <c r="A158" i="34" s="1"/>
  <c r="A159" i="34" s="1"/>
  <c r="A160" i="34" s="1"/>
  <c r="A161" i="34" s="1"/>
  <c r="A162" i="34" s="1"/>
  <c r="A163" i="34" s="1"/>
  <c r="A164" i="34" s="1"/>
  <c r="A165" i="34" s="1"/>
  <c r="A166" i="34" s="1"/>
  <c r="A167" i="34" s="1"/>
  <c r="A168" i="34" s="1"/>
  <c r="A169" i="34" s="1"/>
  <c r="A170" i="34" s="1"/>
  <c r="A171" i="34" s="1"/>
  <c r="A172" i="34" s="1"/>
  <c r="A173" i="34" s="1"/>
  <c r="A174" i="34" s="1"/>
  <c r="A175" i="34" s="1"/>
  <c r="A176" i="34" s="1"/>
  <c r="A177" i="34" s="1"/>
  <c r="A178" i="34" s="1"/>
  <c r="A179" i="34" s="1"/>
  <c r="A180" i="34" s="1"/>
  <c r="A181" i="34" s="1"/>
  <c r="A182" i="34" s="1"/>
  <c r="A183" i="34" s="1"/>
  <c r="A184" i="34" s="1"/>
  <c r="A185" i="34" s="1"/>
  <c r="A186" i="34" s="1"/>
  <c r="A187" i="34" s="1"/>
  <c r="A188" i="34" s="1"/>
  <c r="A189" i="34" s="1"/>
  <c r="A190" i="34" s="1"/>
  <c r="A191" i="34" s="1"/>
  <c r="A192" i="34" s="1"/>
  <c r="A193" i="34" s="1"/>
  <c r="A194" i="34" s="1"/>
  <c r="A195" i="34" s="1"/>
  <c r="A196" i="34" s="1"/>
  <c r="A197" i="34" s="1"/>
  <c r="A198" i="34" s="1"/>
  <c r="N38" i="45" l="1"/>
  <c r="C29" i="37" l="1"/>
  <c r="E86" i="48" l="1"/>
  <c r="B19" i="48" s="1"/>
  <c r="E85" i="48"/>
  <c r="B18" i="48" s="1"/>
  <c r="E82" i="48"/>
  <c r="B15" i="48" s="1"/>
  <c r="E80" i="48"/>
  <c r="B13" i="48" s="1"/>
  <c r="E77" i="48"/>
  <c r="B10" i="48" s="1"/>
  <c r="F64" i="48"/>
  <c r="F63" i="48"/>
  <c r="F62" i="48"/>
  <c r="F61" i="48"/>
  <c r="F58" i="48"/>
  <c r="F45" i="48"/>
  <c r="F42" i="48"/>
  <c r="F55" i="48" s="1"/>
  <c r="E54" i="48"/>
  <c r="F40" i="48"/>
  <c r="F53" i="48" s="1"/>
  <c r="E52" i="48"/>
  <c r="E51" i="48"/>
  <c r="F37" i="48"/>
  <c r="F50" i="48" s="1"/>
  <c r="F36" i="48"/>
  <c r="F49" i="48" s="1"/>
  <c r="F35" i="48"/>
  <c r="F48" i="48" s="1"/>
  <c r="E46" i="48"/>
  <c r="F32" i="48"/>
  <c r="E30" i="48"/>
  <c r="F29" i="48"/>
  <c r="F30" i="48" s="1"/>
  <c r="H25" i="48"/>
  <c r="C25" i="48"/>
  <c r="C24" i="48"/>
  <c r="C20" i="48"/>
  <c r="C19" i="48"/>
  <c r="C18" i="48"/>
  <c r="C17" i="48"/>
  <c r="C16" i="48"/>
  <c r="C15" i="48"/>
  <c r="C14" i="48"/>
  <c r="C13" i="48"/>
  <c r="C12" i="48"/>
  <c r="C11" i="48"/>
  <c r="C10" i="48"/>
  <c r="C9" i="48"/>
  <c r="E48" i="48" l="1"/>
  <c r="E83" i="48"/>
  <c r="B16" i="48" s="1"/>
  <c r="F65" i="48"/>
  <c r="F41" i="48"/>
  <c r="F54" i="48" s="1"/>
  <c r="E79" i="48"/>
  <c r="B12" i="48" s="1"/>
  <c r="E84" i="48"/>
  <c r="B17" i="48" s="1"/>
  <c r="C22" i="48"/>
  <c r="H10" i="48"/>
  <c r="E81" i="48"/>
  <c r="B14" i="48" s="1"/>
  <c r="H9" i="48"/>
  <c r="H12" i="48"/>
  <c r="H14" i="48"/>
  <c r="H16" i="48"/>
  <c r="H18" i="48"/>
  <c r="C88" i="48"/>
  <c r="E55" i="48"/>
  <c r="D88" i="48"/>
  <c r="H19" i="48"/>
  <c r="E87" i="48"/>
  <c r="B20" i="48" s="1"/>
  <c r="E78" i="48"/>
  <c r="B11" i="48" s="1"/>
  <c r="E49" i="48"/>
  <c r="E76" i="48"/>
  <c r="F39" i="48"/>
  <c r="F52" i="48" s="1"/>
  <c r="H20" i="48"/>
  <c r="H13" i="48"/>
  <c r="E65" i="48"/>
  <c r="F38" i="48"/>
  <c r="F51" i="48" s="1"/>
  <c r="E50" i="48"/>
  <c r="H15" i="48"/>
  <c r="F33" i="48"/>
  <c r="F46" i="48" s="1"/>
  <c r="E53" i="48"/>
  <c r="H11" i="48"/>
  <c r="H17" i="48"/>
  <c r="H24" i="48"/>
  <c r="H22" i="48" l="1"/>
  <c r="E90" i="48"/>
  <c r="E88" i="48"/>
  <c r="B9" i="48"/>
  <c r="D40" i="45"/>
  <c r="C9" i="44"/>
  <c r="D9" i="44"/>
  <c r="E9" i="44"/>
  <c r="G9" i="44"/>
  <c r="H9" i="44"/>
  <c r="K9" i="44"/>
  <c r="M9" i="44"/>
  <c r="N9" i="44"/>
  <c r="O9" i="44"/>
  <c r="P9" i="44"/>
  <c r="Q9" i="44"/>
  <c r="R9" i="44"/>
  <c r="S9" i="44"/>
  <c r="T9" i="44"/>
  <c r="U9" i="44"/>
  <c r="A9" i="44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J9" i="44"/>
  <c r="K15" i="10"/>
  <c r="K21" i="10"/>
  <c r="G20" i="44"/>
  <c r="O24" i="44"/>
  <c r="N24" i="44"/>
  <c r="K24" i="10"/>
  <c r="K34" i="10"/>
  <c r="K28" i="10"/>
  <c r="K16" i="10"/>
  <c r="K14" i="10"/>
  <c r="M20" i="44" l="1"/>
  <c r="K30" i="10"/>
  <c r="D35" i="12"/>
  <c r="M24" i="44"/>
  <c r="K20" i="44"/>
  <c r="H15" i="44"/>
  <c r="N20" i="44"/>
  <c r="K15" i="44"/>
  <c r="J15" i="44"/>
  <c r="G15" i="44"/>
  <c r="K10" i="10"/>
  <c r="K24" i="44"/>
  <c r="J20" i="44"/>
  <c r="E15" i="44"/>
  <c r="H20" i="44"/>
  <c r="D15" i="44"/>
  <c r="P24" i="44"/>
  <c r="C15" i="44"/>
  <c r="D20" i="44"/>
  <c r="D24" i="44"/>
  <c r="C24" i="44"/>
  <c r="K26" i="10" s="1"/>
  <c r="S15" i="44"/>
  <c r="T20" i="44"/>
  <c r="Q15" i="44"/>
  <c r="T24" i="44"/>
  <c r="R15" i="44"/>
  <c r="S24" i="44"/>
  <c r="R20" i="44"/>
  <c r="P15" i="44"/>
  <c r="R24" i="44"/>
  <c r="O15" i="44"/>
  <c r="Q24" i="44"/>
  <c r="N15" i="44"/>
  <c r="B22" i="48"/>
  <c r="B24" i="48"/>
  <c r="M15" i="44"/>
  <c r="U24" i="44"/>
  <c r="U20" i="44"/>
  <c r="J24" i="44"/>
  <c r="S20" i="44"/>
  <c r="C20" i="44"/>
  <c r="Q20" i="44"/>
  <c r="H24" i="44"/>
  <c r="G24" i="44"/>
  <c r="G30" i="44" s="1"/>
  <c r="P20" i="44"/>
  <c r="U15" i="44"/>
  <c r="U30" i="44" s="1"/>
  <c r="E24" i="44"/>
  <c r="O20" i="44"/>
  <c r="T15" i="44"/>
  <c r="K20" i="10"/>
  <c r="E20" i="44"/>
  <c r="M30" i="44" l="1"/>
  <c r="O30" i="44"/>
  <c r="E30" i="44"/>
  <c r="S30" i="44"/>
  <c r="K30" i="44"/>
  <c r="D30" i="44"/>
  <c r="H30" i="44"/>
  <c r="R30" i="44"/>
  <c r="N30" i="44"/>
  <c r="J30" i="44"/>
  <c r="T30" i="44"/>
  <c r="P30" i="44"/>
  <c r="C30" i="44"/>
  <c r="Q30" i="44"/>
  <c r="L28" i="45" l="1"/>
  <c r="N28" i="45"/>
  <c r="N39" i="45" l="1"/>
  <c r="L38" i="45"/>
  <c r="L39" i="45" s="1"/>
  <c r="N36" i="45"/>
  <c r="L36" i="45"/>
  <c r="E40" i="45"/>
  <c r="N40" i="45" l="1"/>
  <c r="P40" i="45"/>
  <c r="D34" i="10" s="1"/>
  <c r="F40" i="45"/>
  <c r="G40" i="45"/>
  <c r="L40" i="45"/>
  <c r="H40" i="45"/>
  <c r="I40" i="45"/>
  <c r="M40" i="45"/>
  <c r="O40" i="45"/>
  <c r="J40" i="45"/>
  <c r="K40" i="45"/>
  <c r="D21" i="10" s="1"/>
  <c r="D20" i="10" l="1"/>
  <c r="D14" i="12" l="1"/>
  <c r="D15" i="12"/>
  <c r="D16" i="12"/>
  <c r="D17" i="12"/>
  <c r="D21" i="12"/>
  <c r="D22" i="12"/>
  <c r="D23" i="12"/>
  <c r="D30" i="12"/>
  <c r="D33" i="12"/>
  <c r="D26" i="12"/>
  <c r="D18" i="12" l="1"/>
  <c r="D10" i="12"/>
  <c r="D24" i="12"/>
  <c r="D29" i="12"/>
  <c r="D31" i="12" l="1"/>
  <c r="D11" i="12"/>
  <c r="I20" i="44"/>
  <c r="I24" i="44"/>
  <c r="I15" i="44" l="1"/>
  <c r="I9" i="44"/>
  <c r="I30" i="44" s="1"/>
  <c r="F35" i="12" l="1"/>
  <c r="E34" i="48"/>
  <c r="F10" i="12" l="1"/>
  <c r="A9" i="4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D10" i="41"/>
  <c r="K10" i="41"/>
  <c r="D16" i="41"/>
  <c r="K16" i="41"/>
  <c r="D21" i="41"/>
  <c r="K21" i="41"/>
  <c r="K31" i="41" l="1"/>
  <c r="K35" i="41" s="1"/>
  <c r="D31" i="41"/>
  <c r="D35" i="41" s="1"/>
  <c r="E31" i="41" s="1"/>
  <c r="E16" i="41" l="1"/>
  <c r="E10" i="41"/>
  <c r="E35" i="41"/>
  <c r="E21" i="41"/>
  <c r="H10" i="41" l="1"/>
  <c r="G10" i="41"/>
  <c r="I10" i="41"/>
  <c r="Q10" i="41"/>
  <c r="F23" i="12"/>
  <c r="H16" i="41"/>
  <c r="N16" i="41" s="1"/>
  <c r="G16" i="41"/>
  <c r="M16" i="41" s="1"/>
  <c r="F16" i="12"/>
  <c r="H21" i="41"/>
  <c r="N21" i="41" s="1"/>
  <c r="G21" i="41"/>
  <c r="M21" i="41" s="1"/>
  <c r="F15" i="12"/>
  <c r="O16" i="41" l="1"/>
  <c r="O21" i="41"/>
  <c r="F14" i="12"/>
  <c r="F29" i="12"/>
  <c r="F26" i="12"/>
  <c r="F33" i="12"/>
  <c r="G31" i="41"/>
  <c r="M10" i="41"/>
  <c r="Q16" i="41"/>
  <c r="I16" i="41"/>
  <c r="H31" i="41"/>
  <c r="N10" i="41"/>
  <c r="I21" i="41"/>
  <c r="I31" i="41" l="1"/>
  <c r="I35" i="41" s="1"/>
  <c r="F21" i="12"/>
  <c r="Q21" i="41"/>
  <c r="Q31" i="41" s="1"/>
  <c r="Q35" i="41" s="1"/>
  <c r="O10" i="41"/>
  <c r="G35" i="41"/>
  <c r="M35" i="41" s="1"/>
  <c r="M31" i="41"/>
  <c r="N31" i="41"/>
  <c r="H35" i="41"/>
  <c r="N35" i="41" s="1"/>
  <c r="O35" i="41" l="1"/>
  <c r="O31" i="41"/>
  <c r="F37" i="12" s="1"/>
  <c r="F17" i="12" l="1"/>
  <c r="D24" i="10" l="1"/>
  <c r="D10" i="10"/>
  <c r="D14" i="10"/>
  <c r="D15" i="10"/>
  <c r="D16" i="10"/>
  <c r="D26" i="10"/>
  <c r="D28" i="10"/>
  <c r="D30" i="10" l="1"/>
  <c r="F17" i="37" l="1"/>
  <c r="I38" i="10" l="1"/>
  <c r="E29" i="37"/>
  <c r="D29" i="37"/>
  <c r="F28" i="37"/>
  <c r="F27" i="37"/>
  <c r="F26" i="37"/>
  <c r="F25" i="37"/>
  <c r="F24" i="37"/>
  <c r="F23" i="37"/>
  <c r="F22" i="37"/>
  <c r="F21" i="37"/>
  <c r="F20" i="37"/>
  <c r="F19" i="37"/>
  <c r="F18" i="37"/>
  <c r="A9" i="37"/>
  <c r="A10" i="37" s="1"/>
  <c r="F29" i="37" l="1"/>
  <c r="C9" i="37" s="1"/>
  <c r="C173" i="34" l="1"/>
  <c r="C174" i="34" s="1"/>
  <c r="C175" i="34" s="1"/>
  <c r="C176" i="34" s="1"/>
  <c r="C177" i="34" s="1"/>
  <c r="C178" i="34" s="1"/>
  <c r="C179" i="34" s="1"/>
  <c r="C180" i="34" s="1"/>
  <c r="C181" i="34" s="1"/>
  <c r="C182" i="34" s="1"/>
  <c r="C183" i="34" s="1"/>
  <c r="C184" i="34" s="1"/>
  <c r="C185" i="34" s="1"/>
  <c r="C186" i="34" s="1"/>
  <c r="C168" i="34"/>
  <c r="C169" i="34" s="1"/>
  <c r="C158" i="34"/>
  <c r="C159" i="34" s="1"/>
  <c r="C160" i="34" s="1"/>
  <c r="C161" i="34" s="1"/>
  <c r="C151" i="34"/>
  <c r="C163" i="34" s="1"/>
  <c r="C164" i="34" s="1"/>
  <c r="C165" i="34" s="1"/>
  <c r="C166" i="34" s="1"/>
  <c r="C131" i="34"/>
  <c r="C132" i="34" s="1"/>
  <c r="C133" i="34" s="1"/>
  <c r="C134" i="34" s="1"/>
  <c r="C135" i="34" s="1"/>
  <c r="C137" i="34" s="1"/>
  <c r="C110" i="34"/>
  <c r="C111" i="34" s="1"/>
  <c r="C112" i="34" s="1"/>
  <c r="C113" i="34" s="1"/>
  <c r="C114" i="34" s="1"/>
  <c r="C115" i="34" s="1"/>
  <c r="C116" i="34" s="1"/>
  <c r="C82" i="34"/>
  <c r="C83" i="34" s="1"/>
  <c r="C84" i="34" s="1"/>
  <c r="C85" i="34" s="1"/>
  <c r="C86" i="34" s="1"/>
  <c r="C87" i="34" s="1"/>
  <c r="C88" i="34" s="1"/>
  <c r="C89" i="34" s="1"/>
  <c r="C91" i="34" s="1"/>
  <c r="C92" i="34" s="1"/>
  <c r="C93" i="34" s="1"/>
  <c r="C94" i="34" s="1"/>
  <c r="C95" i="34" s="1"/>
  <c r="C53" i="34"/>
  <c r="C54" i="34" s="1"/>
  <c r="C55" i="34" s="1"/>
  <c r="C56" i="34" s="1"/>
  <c r="C57" i="34" s="1"/>
  <c r="C58" i="34" s="1"/>
  <c r="C59" i="34" s="1"/>
  <c r="C60" i="34" s="1"/>
  <c r="C62" i="34" s="1"/>
  <c r="C63" i="34" s="1"/>
  <c r="C64" i="34" s="1"/>
  <c r="C65" i="34" s="1"/>
  <c r="D48" i="34"/>
  <c r="D49" i="34" s="1"/>
  <c r="D50" i="34" s="1"/>
  <c r="C36" i="34"/>
  <c r="C37" i="34" s="1"/>
  <c r="C38" i="34" s="1"/>
  <c r="C39" i="34" s="1"/>
  <c r="C18" i="34"/>
  <c r="C19" i="34" s="1"/>
  <c r="C20" i="34" s="1"/>
  <c r="D14" i="34"/>
  <c r="D15" i="34" s="1"/>
  <c r="D17" i="34" s="1"/>
  <c r="D18" i="34" s="1"/>
  <c r="D19" i="34" s="1"/>
  <c r="D20" i="34" s="1"/>
  <c r="C14" i="34"/>
  <c r="C15" i="34" s="1"/>
  <c r="C117" i="34" l="1"/>
  <c r="C120" i="34" s="1"/>
  <c r="C121" i="34" s="1"/>
  <c r="C122" i="34" s="1"/>
  <c r="C123" i="34" s="1"/>
  <c r="C124" i="34" s="1"/>
  <c r="C125" i="34" s="1"/>
  <c r="C126" i="34" s="1"/>
  <c r="C127" i="34" s="1"/>
  <c r="C128" i="34" s="1"/>
  <c r="C119" i="34"/>
  <c r="C96" i="34"/>
  <c r="C99" i="34" s="1"/>
  <c r="C100" i="34" s="1"/>
  <c r="C101" i="34" s="1"/>
  <c r="C102" i="34" s="1"/>
  <c r="C103" i="34" s="1"/>
  <c r="C104" i="34" s="1"/>
  <c r="C105" i="34" s="1"/>
  <c r="C106" i="34" s="1"/>
  <c r="C107" i="34" s="1"/>
  <c r="C98" i="34"/>
  <c r="C66" i="34"/>
  <c r="C69" i="34" s="1"/>
  <c r="C68" i="34"/>
  <c r="D37" i="12"/>
  <c r="D38" i="12" s="1"/>
  <c r="C44" i="34"/>
  <c r="C40" i="34"/>
  <c r="C152" i="34"/>
  <c r="C153" i="34" s="1"/>
  <c r="C154" i="34" s="1"/>
  <c r="C155" i="34" s="1"/>
  <c r="C70" i="34" l="1"/>
  <c r="C79" i="34"/>
  <c r="C45" i="34"/>
  <c r="C41" i="34"/>
  <c r="C71" i="34" l="1"/>
  <c r="C46" i="34"/>
  <c r="C42" i="34"/>
  <c r="C47" i="34" s="1"/>
  <c r="C48" i="34" s="1"/>
  <c r="C49" i="34" s="1"/>
  <c r="C50" i="34" s="1"/>
  <c r="C72" i="34" l="1"/>
  <c r="D22" i="10"/>
  <c r="D11" i="10"/>
  <c r="C73" i="34" l="1"/>
  <c r="D17" i="10"/>
  <c r="D32" i="10" s="1"/>
  <c r="D36" i="10" s="1"/>
  <c r="E10" i="10" s="1"/>
  <c r="G10" i="10" s="1"/>
  <c r="C74" i="34" l="1"/>
  <c r="E30" i="10"/>
  <c r="E28" i="10"/>
  <c r="C75" i="34" l="1"/>
  <c r="G30" i="10"/>
  <c r="M30" i="10" s="1"/>
  <c r="H30" i="10"/>
  <c r="N30" i="10" s="1"/>
  <c r="E21" i="10"/>
  <c r="E16" i="10"/>
  <c r="E24" i="10"/>
  <c r="E14" i="10"/>
  <c r="E11" i="10"/>
  <c r="E34" i="10"/>
  <c r="G34" i="10" s="1"/>
  <c r="E26" i="10"/>
  <c r="E20" i="10"/>
  <c r="E15" i="10"/>
  <c r="E17" i="10"/>
  <c r="E22" i="10"/>
  <c r="E32" i="10"/>
  <c r="C76" i="34" l="1"/>
  <c r="O30" i="10"/>
  <c r="C77" i="34" l="1"/>
  <c r="G35" i="12"/>
  <c r="H34" i="10"/>
  <c r="I34" i="10" s="1"/>
  <c r="H24" i="10"/>
  <c r="H15" i="10"/>
  <c r="H28" i="10"/>
  <c r="H26" i="10"/>
  <c r="H16" i="10"/>
  <c r="E8" i="37"/>
  <c r="E10" i="37" s="1"/>
  <c r="H21" i="10"/>
  <c r="H14" i="10"/>
  <c r="H20" i="10"/>
  <c r="H10" i="10"/>
  <c r="F30" i="12"/>
  <c r="F22" i="12"/>
  <c r="K7" i="10" l="1"/>
  <c r="A11" i="12" l="1"/>
  <c r="A12" i="12" s="1"/>
  <c r="A15" i="12" l="1"/>
  <c r="A16" i="12" s="1"/>
  <c r="A17" i="12" s="1"/>
  <c r="A18" i="12" s="1"/>
  <c r="A19" i="12" s="1"/>
  <c r="F11" i="12"/>
  <c r="A20" i="12" l="1"/>
  <c r="A21" i="12" s="1"/>
  <c r="A22" i="12" s="1"/>
  <c r="A23" i="12" s="1"/>
  <c r="A24" i="12" s="1"/>
  <c r="A25" i="12" s="1"/>
  <c r="A26" i="12" s="1"/>
  <c r="A27" i="12" s="1"/>
  <c r="A10" i="10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28" i="12" l="1"/>
  <c r="A29" i="12" s="1"/>
  <c r="A30" i="12" s="1"/>
  <c r="A31" i="12" s="1"/>
  <c r="A32" i="12" s="1"/>
  <c r="A33" i="12" s="1"/>
  <c r="A34" i="12" s="1"/>
  <c r="A35" i="12" s="1"/>
  <c r="A36" i="12" s="1"/>
  <c r="A37" i="12" s="1"/>
  <c r="A31" i="10"/>
  <c r="A32" i="10" s="1"/>
  <c r="A33" i="10" s="1"/>
  <c r="A34" i="10" s="1"/>
  <c r="A35" i="10" s="1"/>
  <c r="A36" i="10" s="1"/>
  <c r="A37" i="10" s="1"/>
  <c r="A38" i="10" s="1"/>
  <c r="F31" i="12" l="1"/>
  <c r="K22" i="10" l="1"/>
  <c r="F24" i="12"/>
  <c r="K17" i="10" l="1"/>
  <c r="F18" i="12"/>
  <c r="K11" i="10" l="1"/>
  <c r="K32" i="10" s="1"/>
  <c r="K36" i="10" l="1"/>
  <c r="G26" i="10" l="1"/>
  <c r="G20" i="10"/>
  <c r="G16" i="10"/>
  <c r="G14" i="10"/>
  <c r="G24" i="10"/>
  <c r="G28" i="10"/>
  <c r="G21" i="10"/>
  <c r="M21" i="10" s="1"/>
  <c r="G15" i="10"/>
  <c r="M28" i="10" l="1"/>
  <c r="D8" i="37"/>
  <c r="I28" i="10"/>
  <c r="J197" i="34"/>
  <c r="E36" i="10"/>
  <c r="N26" i="10"/>
  <c r="N15" i="10"/>
  <c r="N21" i="10"/>
  <c r="N24" i="10"/>
  <c r="N16" i="10"/>
  <c r="C8" i="37" l="1"/>
  <c r="D10" i="37"/>
  <c r="C10" i="37" s="1"/>
  <c r="H35" i="12" s="1"/>
  <c r="K197" i="34"/>
  <c r="N14" i="10"/>
  <c r="H17" i="10"/>
  <c r="N17" i="10" s="1"/>
  <c r="H22" i="10"/>
  <c r="N22" i="10" s="1"/>
  <c r="N20" i="10"/>
  <c r="N10" i="10"/>
  <c r="H11" i="10"/>
  <c r="M16" i="10"/>
  <c r="O16" i="10" s="1"/>
  <c r="I16" i="10"/>
  <c r="I14" i="10"/>
  <c r="G17" i="10"/>
  <c r="M17" i="10" s="1"/>
  <c r="M14" i="10"/>
  <c r="I20" i="10"/>
  <c r="G22" i="10"/>
  <c r="M22" i="10" s="1"/>
  <c r="M20" i="10"/>
  <c r="I10" i="10"/>
  <c r="I11" i="10" s="1"/>
  <c r="G11" i="10"/>
  <c r="M10" i="10"/>
  <c r="M24" i="10"/>
  <c r="O24" i="10" s="1"/>
  <c r="I24" i="10"/>
  <c r="I21" i="10"/>
  <c r="O21" i="10"/>
  <c r="I15" i="10"/>
  <c r="M15" i="10"/>
  <c r="O15" i="10" s="1"/>
  <c r="N28" i="10"/>
  <c r="I30" i="10"/>
  <c r="Q30" i="10" s="1"/>
  <c r="I26" i="10"/>
  <c r="M26" i="10"/>
  <c r="O26" i="10" s="1"/>
  <c r="L197" i="34" l="1"/>
  <c r="O20" i="10"/>
  <c r="O17" i="10"/>
  <c r="Q26" i="10"/>
  <c r="G29" i="12"/>
  <c r="Q24" i="10"/>
  <c r="G26" i="12"/>
  <c r="I22" i="10"/>
  <c r="O28" i="10"/>
  <c r="Q15" i="10"/>
  <c r="G15" i="12"/>
  <c r="G23" i="12"/>
  <c r="Q21" i="10"/>
  <c r="O10" i="10"/>
  <c r="Q10" i="10" s="1"/>
  <c r="O22" i="10"/>
  <c r="O14" i="10"/>
  <c r="I17" i="10"/>
  <c r="G16" i="12"/>
  <c r="Q16" i="10"/>
  <c r="N11" i="10"/>
  <c r="H32" i="10"/>
  <c r="M11" i="10"/>
  <c r="G32" i="10"/>
  <c r="Q20" i="10" l="1"/>
  <c r="Q22" i="10" s="1"/>
  <c r="Q11" i="10"/>
  <c r="Q28" i="10"/>
  <c r="G33" i="12"/>
  <c r="H26" i="12"/>
  <c r="H23" i="12"/>
  <c r="H16" i="12"/>
  <c r="O11" i="10"/>
  <c r="G21" i="12"/>
  <c r="I32" i="10"/>
  <c r="I36" i="10" s="1"/>
  <c r="M32" i="10"/>
  <c r="G36" i="10"/>
  <c r="M36" i="10" s="1"/>
  <c r="N32" i="10"/>
  <c r="H36" i="10"/>
  <c r="N36" i="10" s="1"/>
  <c r="G10" i="12"/>
  <c r="Q14" i="10"/>
  <c r="Q17" i="10" s="1"/>
  <c r="G14" i="12"/>
  <c r="H15" i="12"/>
  <c r="G17" i="12"/>
  <c r="G30" i="12"/>
  <c r="H29" i="12"/>
  <c r="H10" i="12" l="1"/>
  <c r="H33" i="12"/>
  <c r="F34" i="48"/>
  <c r="F43" i="48" s="1"/>
  <c r="F67" i="48" s="1"/>
  <c r="H30" i="12"/>
  <c r="H17" i="12"/>
  <c r="H21" i="12"/>
  <c r="G22" i="12"/>
  <c r="Q32" i="10"/>
  <c r="Q36" i="10" s="1"/>
  <c r="O32" i="10"/>
  <c r="G31" i="12"/>
  <c r="G18" i="12"/>
  <c r="H14" i="12"/>
  <c r="G11" i="12"/>
  <c r="O36" i="10"/>
  <c r="F47" i="48" l="1"/>
  <c r="F56" i="48" s="1"/>
  <c r="F68" i="48" s="1"/>
  <c r="J14" i="48" s="1"/>
  <c r="I17" i="48"/>
  <c r="I20" i="48"/>
  <c r="I13" i="48"/>
  <c r="I19" i="48"/>
  <c r="I18" i="48"/>
  <c r="I16" i="48"/>
  <c r="I10" i="48"/>
  <c r="I15" i="48"/>
  <c r="I9" i="48"/>
  <c r="I25" i="48"/>
  <c r="I11" i="48"/>
  <c r="I14" i="48"/>
  <c r="I12" i="48"/>
  <c r="I24" i="48"/>
  <c r="H31" i="12"/>
  <c r="H22" i="12"/>
  <c r="G24" i="12"/>
  <c r="G37" i="12" s="1"/>
  <c r="H11" i="12"/>
  <c r="H18" i="12"/>
  <c r="J25" i="48" l="1"/>
  <c r="K25" i="48" s="1"/>
  <c r="J10" i="48"/>
  <c r="K10" i="48" s="1"/>
  <c r="J9" i="48"/>
  <c r="K9" i="48" s="1"/>
  <c r="J16" i="48"/>
  <c r="K16" i="48" s="1"/>
  <c r="J20" i="48"/>
  <c r="K20" i="48" s="1"/>
  <c r="J13" i="48"/>
  <c r="K13" i="48" s="1"/>
  <c r="J17" i="48"/>
  <c r="K17" i="48" s="1"/>
  <c r="J18" i="48"/>
  <c r="K18" i="48" s="1"/>
  <c r="J24" i="48"/>
  <c r="K24" i="48" s="1"/>
  <c r="J15" i="48"/>
  <c r="K15" i="48" s="1"/>
  <c r="J11" i="48"/>
  <c r="K11" i="48" s="1"/>
  <c r="J12" i="48"/>
  <c r="K12" i="48" s="1"/>
  <c r="J19" i="48"/>
  <c r="K19" i="48" s="1"/>
  <c r="K14" i="48"/>
  <c r="I22" i="48"/>
  <c r="H24" i="12"/>
  <c r="J22" i="48" l="1"/>
  <c r="K22" i="48"/>
  <c r="H37" i="12"/>
  <c r="I196" i="34" l="1"/>
  <c r="I198" i="34" s="1"/>
  <c r="Y22" i="44" l="1"/>
  <c r="V18" i="44" l="1"/>
  <c r="W18" i="44" s="1"/>
  <c r="Y18" i="44"/>
  <c r="V27" i="44"/>
  <c r="W27" i="44" s="1"/>
  <c r="Y27" i="44"/>
  <c r="V23" i="44"/>
  <c r="W23" i="44" s="1"/>
  <c r="Y23" i="44"/>
  <c r="Y24" i="44" s="1"/>
  <c r="V28" i="44"/>
  <c r="W28" i="44" s="1"/>
  <c r="Y28" i="44"/>
  <c r="V14" i="44"/>
  <c r="W14" i="44" s="1"/>
  <c r="Y14" i="44"/>
  <c r="V26" i="44"/>
  <c r="W26" i="44" s="1"/>
  <c r="Y26" i="44"/>
  <c r="V19" i="44"/>
  <c r="W19" i="44" s="1"/>
  <c r="Y19" i="44"/>
  <c r="V22" i="44"/>
  <c r="L24" i="44"/>
  <c r="E47" i="48"/>
  <c r="E56" i="48" s="1"/>
  <c r="E68" i="48" s="1"/>
  <c r="E43" i="48"/>
  <c r="E67" i="48" s="1"/>
  <c r="Z28" i="44" l="1"/>
  <c r="Z19" i="44"/>
  <c r="Z26" i="44"/>
  <c r="Z23" i="44"/>
  <c r="E30" i="12" s="1"/>
  <c r="Z27" i="44"/>
  <c r="E35" i="12" s="1"/>
  <c r="Z14" i="44"/>
  <c r="E17" i="12" s="1"/>
  <c r="Z18" i="44"/>
  <c r="E22" i="12" s="1"/>
  <c r="E26" i="12"/>
  <c r="E23" i="12"/>
  <c r="V13" i="44"/>
  <c r="W13" i="44" s="1"/>
  <c r="Y13" i="44"/>
  <c r="E33" i="12"/>
  <c r="W22" i="44"/>
  <c r="Z22" i="44" s="1"/>
  <c r="V24" i="44"/>
  <c r="Y17" i="44"/>
  <c r="Y20" i="44" s="1"/>
  <c r="Y11" i="44"/>
  <c r="Y8" i="44"/>
  <c r="Y9" i="44" s="1"/>
  <c r="D25" i="48"/>
  <c r="D17" i="48"/>
  <c r="D11" i="48"/>
  <c r="D16" i="48"/>
  <c r="D19" i="48"/>
  <c r="D14" i="48"/>
  <c r="D15" i="48"/>
  <c r="D12" i="48"/>
  <c r="D18" i="48"/>
  <c r="D20" i="48"/>
  <c r="D13" i="48"/>
  <c r="D10" i="48"/>
  <c r="D9" i="48"/>
  <c r="D24" i="48"/>
  <c r="E20" i="48"/>
  <c r="E12" i="48"/>
  <c r="E15" i="48"/>
  <c r="E17" i="48"/>
  <c r="E10" i="48"/>
  <c r="E13" i="48"/>
  <c r="E11" i="48"/>
  <c r="E16" i="48"/>
  <c r="E14" i="48"/>
  <c r="E18" i="48"/>
  <c r="E19" i="48"/>
  <c r="E25" i="48"/>
  <c r="E9" i="48"/>
  <c r="E24" i="48"/>
  <c r="I26" i="12" l="1"/>
  <c r="Z13" i="44"/>
  <c r="I30" i="12"/>
  <c r="I23" i="12"/>
  <c r="I17" i="12"/>
  <c r="I33" i="12"/>
  <c r="E16" i="12"/>
  <c r="I22" i="12"/>
  <c r="I35" i="12"/>
  <c r="F24" i="48"/>
  <c r="L24" i="48" s="1"/>
  <c r="M24" i="48" s="1"/>
  <c r="F14" i="48"/>
  <c r="L14" i="48" s="1"/>
  <c r="M14" i="48" s="1"/>
  <c r="F19" i="48"/>
  <c r="L19" i="48" s="1"/>
  <c r="M19" i="48" s="1"/>
  <c r="W24" i="44"/>
  <c r="V17" i="44"/>
  <c r="L20" i="44"/>
  <c r="V11" i="44"/>
  <c r="F10" i="48"/>
  <c r="L10" i="48" s="1"/>
  <c r="M10" i="48" s="1"/>
  <c r="F16" i="48"/>
  <c r="L16" i="48" s="1"/>
  <c r="M16" i="48" s="1"/>
  <c r="E22" i="48"/>
  <c r="F13" i="48"/>
  <c r="L13" i="48" s="1"/>
  <c r="M13" i="48" s="1"/>
  <c r="F11" i="48"/>
  <c r="L11" i="48" s="1"/>
  <c r="M11" i="48" s="1"/>
  <c r="F20" i="48"/>
  <c r="L20" i="48" s="1"/>
  <c r="M20" i="48" s="1"/>
  <c r="F17" i="48"/>
  <c r="L17" i="48" s="1"/>
  <c r="M17" i="48" s="1"/>
  <c r="D22" i="48"/>
  <c r="F9" i="48"/>
  <c r="F18" i="48"/>
  <c r="L18" i="48" s="1"/>
  <c r="M18" i="48" s="1"/>
  <c r="F25" i="48"/>
  <c r="L25" i="48" s="1"/>
  <c r="M25" i="48" s="1"/>
  <c r="F12" i="48"/>
  <c r="L12" i="48" s="1"/>
  <c r="M12" i="48" s="1"/>
  <c r="V8" i="44"/>
  <c r="W8" i="44" s="1"/>
  <c r="Z8" i="44" s="1"/>
  <c r="L9" i="44"/>
  <c r="F15" i="48"/>
  <c r="L15" i="48" s="1"/>
  <c r="M15" i="48" s="1"/>
  <c r="I16" i="12" l="1"/>
  <c r="V12" i="44"/>
  <c r="W12" i="44" s="1"/>
  <c r="Y12" i="44"/>
  <c r="Y15" i="44" s="1"/>
  <c r="Y30" i="44" s="1"/>
  <c r="Z24" i="44"/>
  <c r="E29" i="12"/>
  <c r="W17" i="44"/>
  <c r="Z17" i="44" s="1"/>
  <c r="V20" i="44"/>
  <c r="W11" i="44"/>
  <c r="Z11" i="44" s="1"/>
  <c r="L15" i="44"/>
  <c r="L30" i="44" s="1"/>
  <c r="V9" i="44"/>
  <c r="F22" i="48"/>
  <c r="L22" i="48" s="1"/>
  <c r="M22" i="48" s="1"/>
  <c r="L9" i="48"/>
  <c r="M9" i="48" s="1"/>
  <c r="Z12" i="44" l="1"/>
  <c r="E15" i="12"/>
  <c r="V15" i="44"/>
  <c r="V30" i="44" s="1"/>
  <c r="E31" i="12"/>
  <c r="I29" i="12"/>
  <c r="W20" i="44"/>
  <c r="W15" i="44"/>
  <c r="W9" i="44"/>
  <c r="I15" i="12" l="1"/>
  <c r="W30" i="44"/>
  <c r="I31" i="12"/>
  <c r="Z20" i="44"/>
  <c r="E21" i="12"/>
  <c r="E14" i="12"/>
  <c r="Z15" i="44"/>
  <c r="E10" i="12"/>
  <c r="I10" i="12" s="1"/>
  <c r="Z9" i="44"/>
  <c r="Z30" i="44" l="1"/>
  <c r="E24" i="12"/>
  <c r="I21" i="12"/>
  <c r="E18" i="12"/>
  <c r="I14" i="12"/>
  <c r="E11" i="12"/>
  <c r="I24" i="12" l="1"/>
  <c r="I18" i="12"/>
  <c r="I11" i="12"/>
  <c r="E37" i="12"/>
  <c r="I37" i="12" l="1"/>
  <c r="E38" i="12"/>
  <c r="K33" i="34" l="1"/>
  <c r="K79" i="34"/>
  <c r="J79" i="34" l="1"/>
  <c r="L79" i="34" s="1"/>
  <c r="J33" i="34"/>
  <c r="L33" i="34" s="1"/>
  <c r="K188" i="34" l="1"/>
  <c r="J188" i="34" l="1"/>
  <c r="L188" i="34" s="1"/>
  <c r="K179" i="34"/>
  <c r="K59" i="34" l="1"/>
  <c r="K89" i="34"/>
  <c r="K160" i="34"/>
  <c r="K134" i="34"/>
  <c r="K91" i="34"/>
  <c r="K83" i="34"/>
  <c r="K60" i="34"/>
  <c r="K75" i="34"/>
  <c r="K130" i="34"/>
  <c r="K168" i="34"/>
  <c r="K85" i="34"/>
  <c r="K72" i="34"/>
  <c r="K135" i="34"/>
  <c r="K173" i="34"/>
  <c r="K56" i="34"/>
  <c r="K14" i="34"/>
  <c r="K17" i="34"/>
  <c r="K11" i="34"/>
  <c r="K194" i="34"/>
  <c r="K76" i="34"/>
  <c r="K141" i="34"/>
  <c r="K15" i="34"/>
  <c r="K50" i="34"/>
  <c r="K175" i="34"/>
  <c r="K68" i="34"/>
  <c r="K151" i="34"/>
  <c r="K71" i="34"/>
  <c r="K24" i="34"/>
  <c r="K132" i="34"/>
  <c r="K183" i="34"/>
  <c r="K31" i="34"/>
  <c r="K113" i="34"/>
  <c r="K26" i="34"/>
  <c r="K40" i="34"/>
  <c r="K92" i="34"/>
  <c r="K70" i="34"/>
  <c r="K111" i="34"/>
  <c r="K44" i="34"/>
  <c r="K176" i="34"/>
  <c r="K150" i="34"/>
  <c r="K177" i="34"/>
  <c r="K180" i="34"/>
  <c r="K74" i="34"/>
  <c r="K62" i="34"/>
  <c r="K99" i="34"/>
  <c r="K53" i="34"/>
  <c r="K86" i="34"/>
  <c r="K52" i="34"/>
  <c r="K159" i="34"/>
  <c r="K101" i="34"/>
  <c r="K137" i="34"/>
  <c r="K140" i="34"/>
  <c r="K95" i="34"/>
  <c r="K94" i="34"/>
  <c r="K105" i="34"/>
  <c r="K144" i="34"/>
  <c r="K178" i="34"/>
  <c r="K35" i="34"/>
  <c r="K192" i="34"/>
  <c r="K48" i="34"/>
  <c r="K104" i="34"/>
  <c r="K124" i="34"/>
  <c r="K66" i="34"/>
  <c r="K38" i="34"/>
  <c r="K19" i="34"/>
  <c r="K114" i="34"/>
  <c r="K181" i="34"/>
  <c r="K112" i="34"/>
  <c r="K172" i="34"/>
  <c r="K123" i="34"/>
  <c r="K155" i="34"/>
  <c r="K158" i="34"/>
  <c r="K102" i="34"/>
  <c r="K121" i="34"/>
  <c r="K13" i="34"/>
  <c r="K185" i="34"/>
  <c r="K73" i="34"/>
  <c r="K47" i="34"/>
  <c r="K139" i="34"/>
  <c r="K84" i="34"/>
  <c r="K120" i="34"/>
  <c r="K171" i="34"/>
  <c r="K65" i="34"/>
  <c r="K164" i="34"/>
  <c r="K29" i="34"/>
  <c r="K96" i="34"/>
  <c r="K116" i="34"/>
  <c r="K39" i="34"/>
  <c r="K54" i="34"/>
  <c r="K103" i="34"/>
  <c r="K184" i="34"/>
  <c r="K25" i="34"/>
  <c r="K152" i="34"/>
  <c r="K77" i="34"/>
  <c r="K157" i="34"/>
  <c r="K18" i="34"/>
  <c r="K87" i="34"/>
  <c r="K148" i="34"/>
  <c r="K42" i="34"/>
  <c r="K169" i="34"/>
  <c r="K126" i="34"/>
  <c r="K110" i="34"/>
  <c r="K165" i="34"/>
  <c r="K191" i="34"/>
  <c r="K154" i="34"/>
  <c r="K153" i="34"/>
  <c r="K161" i="34"/>
  <c r="K146" i="34"/>
  <c r="K27" i="34"/>
  <c r="K30" i="34"/>
  <c r="K145" i="34"/>
  <c r="K63" i="34"/>
  <c r="K88" i="34"/>
  <c r="K93" i="34"/>
  <c r="K57" i="34"/>
  <c r="K125" i="34"/>
  <c r="K142" i="34"/>
  <c r="K163" i="34"/>
  <c r="K166" i="34"/>
  <c r="K28" i="34"/>
  <c r="K82" i="34"/>
  <c r="K127" i="34"/>
  <c r="K46" i="34"/>
  <c r="K182" i="34"/>
  <c r="K143" i="34"/>
  <c r="K45" i="34"/>
  <c r="K36" i="34"/>
  <c r="K122" i="34"/>
  <c r="K117" i="34"/>
  <c r="K147" i="34"/>
  <c r="K69" i="34"/>
  <c r="K115" i="34"/>
  <c r="K133" i="34"/>
  <c r="K128" i="34"/>
  <c r="K41" i="34"/>
  <c r="K100" i="34"/>
  <c r="K119" i="34"/>
  <c r="K186" i="34"/>
  <c r="K81" i="34"/>
  <c r="K20" i="34"/>
  <c r="K109" i="34"/>
  <c r="K131" i="34"/>
  <c r="K23" i="34"/>
  <c r="K49" i="34"/>
  <c r="K106" i="34"/>
  <c r="K107" i="34"/>
  <c r="K58" i="34"/>
  <c r="K64" i="34"/>
  <c r="K37" i="34"/>
  <c r="K55" i="34"/>
  <c r="K174" i="34"/>
  <c r="K22" i="34"/>
  <c r="J39" i="34" l="1"/>
  <c r="L39" i="34" s="1"/>
  <c r="J164" i="34"/>
  <c r="L164" i="34" s="1"/>
  <c r="J84" i="34"/>
  <c r="L84" i="34" s="1"/>
  <c r="J185" i="34"/>
  <c r="L185" i="34" s="1"/>
  <c r="J158" i="34"/>
  <c r="L158" i="34" s="1"/>
  <c r="J112" i="34"/>
  <c r="L112" i="34" s="1"/>
  <c r="J38" i="34"/>
  <c r="L38" i="34" s="1"/>
  <c r="J48" i="34"/>
  <c r="L48" i="34" s="1"/>
  <c r="J144" i="34"/>
  <c r="L144" i="34" s="1"/>
  <c r="J140" i="34"/>
  <c r="L140" i="34" s="1"/>
  <c r="J52" i="34"/>
  <c r="L52" i="34" s="1"/>
  <c r="J62" i="34"/>
  <c r="L62" i="34" s="1"/>
  <c r="J150" i="34"/>
  <c r="L150" i="34" s="1"/>
  <c r="J70" i="34"/>
  <c r="L70" i="34" s="1"/>
  <c r="J113" i="34"/>
  <c r="L113" i="34" s="1"/>
  <c r="J24" i="34"/>
  <c r="L24" i="34" s="1"/>
  <c r="J175" i="34"/>
  <c r="L175" i="34" s="1"/>
  <c r="J76" i="34"/>
  <c r="L76" i="34" s="1"/>
  <c r="J14" i="34"/>
  <c r="L14" i="34" s="1"/>
  <c r="J72" i="34"/>
  <c r="L72" i="34" s="1"/>
  <c r="J75" i="34"/>
  <c r="L75" i="34" s="1"/>
  <c r="J37" i="34"/>
  <c r="L37" i="34" s="1"/>
  <c r="J133" i="34"/>
  <c r="L133" i="34" s="1"/>
  <c r="J117" i="34"/>
  <c r="L117" i="34" s="1"/>
  <c r="J143" i="34"/>
  <c r="L143" i="34" s="1"/>
  <c r="J82" i="34"/>
  <c r="L82" i="34" s="1"/>
  <c r="J142" i="34"/>
  <c r="L142" i="34" s="1"/>
  <c r="J88" i="34"/>
  <c r="L88" i="34" s="1"/>
  <c r="J27" i="34"/>
  <c r="L27" i="34" s="1"/>
  <c r="J154" i="34"/>
  <c r="L154" i="34" s="1"/>
  <c r="J110" i="34"/>
  <c r="L110" i="34" s="1"/>
  <c r="J42" i="34"/>
  <c r="L42" i="34" s="1"/>
  <c r="J157" i="34"/>
  <c r="L157" i="34" s="1"/>
  <c r="J134" i="34"/>
  <c r="L134" i="34" s="1"/>
  <c r="J184" i="34"/>
  <c r="L184" i="34" s="1"/>
  <c r="J116" i="34"/>
  <c r="L116" i="34" s="1"/>
  <c r="J65" i="34"/>
  <c r="L65" i="34" s="1"/>
  <c r="J139" i="34"/>
  <c r="L139" i="34" s="1"/>
  <c r="J13" i="34"/>
  <c r="L13" i="34" s="1"/>
  <c r="J155" i="34"/>
  <c r="L155" i="34" s="1"/>
  <c r="J181" i="34"/>
  <c r="L181" i="34" s="1"/>
  <c r="J66" i="34"/>
  <c r="L66" i="34" s="1"/>
  <c r="J192" i="34"/>
  <c r="L192" i="34" s="1"/>
  <c r="J105" i="34"/>
  <c r="L105" i="34" s="1"/>
  <c r="J137" i="34"/>
  <c r="L137" i="34" s="1"/>
  <c r="J86" i="34"/>
  <c r="L86" i="34" s="1"/>
  <c r="J74" i="34"/>
  <c r="L74" i="34" s="1"/>
  <c r="J176" i="34"/>
  <c r="L176" i="34" s="1"/>
  <c r="J92" i="34"/>
  <c r="L92" i="34" s="1"/>
  <c r="J31" i="34"/>
  <c r="L31" i="34" s="1"/>
  <c r="J71" i="34"/>
  <c r="L71" i="34" s="1"/>
  <c r="J50" i="34"/>
  <c r="L50" i="34" s="1"/>
  <c r="J194" i="34"/>
  <c r="L194" i="34" s="1"/>
  <c r="J56" i="34"/>
  <c r="L56" i="34" s="1"/>
  <c r="J85" i="34"/>
  <c r="L85" i="34" s="1"/>
  <c r="J60" i="34"/>
  <c r="L60" i="34" s="1"/>
  <c r="J49" i="34"/>
  <c r="L49" i="34" s="1"/>
  <c r="J20" i="34"/>
  <c r="L20" i="34" s="1"/>
  <c r="J100" i="34"/>
  <c r="L100" i="34" s="1"/>
  <c r="J115" i="34"/>
  <c r="L115" i="34" s="1"/>
  <c r="J122" i="34"/>
  <c r="L122" i="34" s="1"/>
  <c r="J182" i="34"/>
  <c r="L182" i="34" s="1"/>
  <c r="J28" i="34"/>
  <c r="L28" i="34" s="1"/>
  <c r="J125" i="34"/>
  <c r="L125" i="34" s="1"/>
  <c r="J63" i="34"/>
  <c r="L63" i="34" s="1"/>
  <c r="J146" i="34"/>
  <c r="L146" i="34" s="1"/>
  <c r="J126" i="34"/>
  <c r="L126" i="34" s="1"/>
  <c r="J148" i="34"/>
  <c r="L148" i="34" s="1"/>
  <c r="J77" i="34"/>
  <c r="L77" i="34" s="1"/>
  <c r="K196" i="34"/>
  <c r="K198" i="34" s="1"/>
  <c r="J160" i="34"/>
  <c r="L160" i="34" s="1"/>
  <c r="J103" i="34"/>
  <c r="L103" i="34" s="1"/>
  <c r="J96" i="34"/>
  <c r="L96" i="34" s="1"/>
  <c r="J171" i="34"/>
  <c r="L171" i="34" s="1"/>
  <c r="J47" i="34"/>
  <c r="L47" i="34" s="1"/>
  <c r="J121" i="34"/>
  <c r="L121" i="34" s="1"/>
  <c r="J123" i="34"/>
  <c r="L123" i="34" s="1"/>
  <c r="J114" i="34"/>
  <c r="L114" i="34" s="1"/>
  <c r="J124" i="34"/>
  <c r="L124" i="34" s="1"/>
  <c r="J35" i="34"/>
  <c r="L35" i="34" s="1"/>
  <c r="J94" i="34"/>
  <c r="L94" i="34" s="1"/>
  <c r="J101" i="34"/>
  <c r="L101" i="34" s="1"/>
  <c r="J53" i="34"/>
  <c r="L53" i="34" s="1"/>
  <c r="J180" i="34"/>
  <c r="L180" i="34" s="1"/>
  <c r="J44" i="34"/>
  <c r="L44" i="34" s="1"/>
  <c r="J40" i="34"/>
  <c r="L40" i="34" s="1"/>
  <c r="J183" i="34"/>
  <c r="L183" i="34" s="1"/>
  <c r="J151" i="34"/>
  <c r="L151" i="34" s="1"/>
  <c r="J15" i="34"/>
  <c r="L15" i="34" s="1"/>
  <c r="J11" i="34"/>
  <c r="J173" i="34"/>
  <c r="L173" i="34" s="1"/>
  <c r="J168" i="34"/>
  <c r="L168" i="34" s="1"/>
  <c r="J83" i="34"/>
  <c r="L83" i="34" s="1"/>
  <c r="J109" i="34"/>
  <c r="L109" i="34" s="1"/>
  <c r="J23" i="34"/>
  <c r="L23" i="34" s="1"/>
  <c r="J41" i="34"/>
  <c r="L41" i="34" s="1"/>
  <c r="J69" i="34"/>
  <c r="L69" i="34" s="1"/>
  <c r="J36" i="34"/>
  <c r="L36" i="34" s="1"/>
  <c r="J46" i="34"/>
  <c r="L46" i="34" s="1"/>
  <c r="J166" i="34"/>
  <c r="L166" i="34" s="1"/>
  <c r="J57" i="34"/>
  <c r="L57" i="34" s="1"/>
  <c r="J145" i="34"/>
  <c r="L145" i="34" s="1"/>
  <c r="J161" i="34"/>
  <c r="L161" i="34" s="1"/>
  <c r="J191" i="34"/>
  <c r="L191" i="34" s="1"/>
  <c r="J87" i="34"/>
  <c r="L87" i="34" s="1"/>
  <c r="J152" i="34"/>
  <c r="L152" i="34" s="1"/>
  <c r="J89" i="34"/>
  <c r="L89" i="34" s="1"/>
  <c r="J119" i="34"/>
  <c r="L119" i="34" s="1"/>
  <c r="J54" i="34"/>
  <c r="L54" i="34" s="1"/>
  <c r="J29" i="34"/>
  <c r="L29" i="34" s="1"/>
  <c r="J120" i="34"/>
  <c r="L120" i="34" s="1"/>
  <c r="J73" i="34"/>
  <c r="L73" i="34" s="1"/>
  <c r="J102" i="34"/>
  <c r="L102" i="34" s="1"/>
  <c r="J172" i="34"/>
  <c r="L172" i="34" s="1"/>
  <c r="J19" i="34"/>
  <c r="L19" i="34" s="1"/>
  <c r="J104" i="34"/>
  <c r="L104" i="34" s="1"/>
  <c r="J178" i="34"/>
  <c r="L178" i="34" s="1"/>
  <c r="J95" i="34"/>
  <c r="L95" i="34" s="1"/>
  <c r="J159" i="34"/>
  <c r="L159" i="34" s="1"/>
  <c r="J99" i="34"/>
  <c r="L99" i="34" s="1"/>
  <c r="J177" i="34"/>
  <c r="L177" i="34" s="1"/>
  <c r="J111" i="34"/>
  <c r="L111" i="34" s="1"/>
  <c r="J26" i="34"/>
  <c r="L26" i="34" s="1"/>
  <c r="J132" i="34"/>
  <c r="L132" i="34" s="1"/>
  <c r="J68" i="34"/>
  <c r="L68" i="34" s="1"/>
  <c r="J141" i="34"/>
  <c r="L141" i="34" s="1"/>
  <c r="J17" i="34"/>
  <c r="L17" i="34" s="1"/>
  <c r="J135" i="34"/>
  <c r="L135" i="34" s="1"/>
  <c r="J130" i="34"/>
  <c r="L130" i="34" s="1"/>
  <c r="J91" i="34"/>
  <c r="L91" i="34" s="1"/>
  <c r="J106" i="34"/>
  <c r="L106" i="34" s="1"/>
  <c r="J22" i="34"/>
  <c r="L22" i="34" s="1"/>
  <c r="J64" i="34"/>
  <c r="L64" i="34" s="1"/>
  <c r="J174" i="34"/>
  <c r="L174" i="34" s="1"/>
  <c r="J58" i="34"/>
  <c r="L58" i="34" s="1"/>
  <c r="J81" i="34"/>
  <c r="L81" i="34" s="1"/>
  <c r="J55" i="34"/>
  <c r="L55" i="34" s="1"/>
  <c r="J107" i="34"/>
  <c r="L107" i="34" s="1"/>
  <c r="J131" i="34"/>
  <c r="L131" i="34" s="1"/>
  <c r="J186" i="34"/>
  <c r="L186" i="34" s="1"/>
  <c r="J128" i="34"/>
  <c r="L128" i="34" s="1"/>
  <c r="J147" i="34"/>
  <c r="L147" i="34" s="1"/>
  <c r="J45" i="34"/>
  <c r="L45" i="34" s="1"/>
  <c r="J127" i="34"/>
  <c r="L127" i="34" s="1"/>
  <c r="J163" i="34"/>
  <c r="L163" i="34" s="1"/>
  <c r="J93" i="34"/>
  <c r="L93" i="34" s="1"/>
  <c r="J30" i="34"/>
  <c r="L30" i="34" s="1"/>
  <c r="J153" i="34"/>
  <c r="L153" i="34" s="1"/>
  <c r="J165" i="34"/>
  <c r="L165" i="34" s="1"/>
  <c r="J169" i="34"/>
  <c r="L169" i="34" s="1"/>
  <c r="J18" i="34"/>
  <c r="L18" i="34" s="1"/>
  <c r="J25" i="34"/>
  <c r="L25" i="34" s="1"/>
  <c r="J179" i="34"/>
  <c r="L179" i="34" s="1"/>
  <c r="J59" i="34"/>
  <c r="L59" i="34" s="1"/>
  <c r="L11" i="34" l="1"/>
  <c r="L196" i="34" s="1"/>
  <c r="L198" i="34" s="1"/>
  <c r="J196" i="34"/>
  <c r="J198" i="34" s="1"/>
</calcChain>
</file>

<file path=xl/comments1.xml><?xml version="1.0" encoding="utf-8"?>
<comments xmlns="http://schemas.openxmlformats.org/spreadsheetml/2006/main">
  <authors>
    <author>Regan, Jared</author>
  </authors>
  <commentList>
    <comment ref="O30" authorId="0" shapeId="0">
      <text>
        <r>
          <rPr>
            <b/>
            <sz val="9"/>
            <color indexed="81"/>
            <rFont val="Tahoma"/>
            <family val="2"/>
          </rPr>
          <t>Regan, Jared:</t>
        </r>
        <r>
          <rPr>
            <sz val="9"/>
            <color indexed="81"/>
            <rFont val="Tahoma"/>
            <family val="2"/>
          </rPr>
          <t xml:space="preserve">
DO NOT USE for Tariff, for Rate Impacts and Notice Only</t>
        </r>
      </text>
    </comment>
  </commentList>
</comments>
</file>

<file path=xl/sharedStrings.xml><?xml version="1.0" encoding="utf-8"?>
<sst xmlns="http://schemas.openxmlformats.org/spreadsheetml/2006/main" count="852" uniqueCount="327">
  <si>
    <t>Puget Sound Energy</t>
  </si>
  <si>
    <t>Line No.</t>
  </si>
  <si>
    <t>Voltage Level</t>
  </si>
  <si>
    <t>Schedule</t>
  </si>
  <si>
    <t>Percent of Total</t>
  </si>
  <si>
    <t>A</t>
  </si>
  <si>
    <t>B</t>
  </si>
  <si>
    <t>Residential</t>
  </si>
  <si>
    <t>Secondary Voltage</t>
  </si>
  <si>
    <t>Demand &lt;= 50 kW</t>
  </si>
  <si>
    <t>Demand &gt; 50 kW but &lt;= 350 kW</t>
  </si>
  <si>
    <t>Demand &gt; 350 kW</t>
  </si>
  <si>
    <t>Total Secondary Voltage</t>
  </si>
  <si>
    <t>Primary Voltage</t>
  </si>
  <si>
    <t>Interruptible Total Electric Schools</t>
  </si>
  <si>
    <t>Total Primary Voltage</t>
  </si>
  <si>
    <t>Total High Voltage</t>
  </si>
  <si>
    <t>Lighting</t>
  </si>
  <si>
    <t>50-59</t>
  </si>
  <si>
    <t>Total Jurisdictional Retail Sales</t>
  </si>
  <si>
    <t>Total Sales to Customers</t>
  </si>
  <si>
    <t>Total Choice /Retail Wheeling</t>
  </si>
  <si>
    <t>General Service</t>
  </si>
  <si>
    <t>Interruptible</t>
  </si>
  <si>
    <t>High Voltage</t>
  </si>
  <si>
    <t>Seasonal Irrigation &amp; Drainage Pumping</t>
  </si>
  <si>
    <t>Total Residential</t>
  </si>
  <si>
    <t>(f)</t>
  </si>
  <si>
    <t>(c)</t>
  </si>
  <si>
    <t>(b)</t>
  </si>
  <si>
    <t>(a)</t>
  </si>
  <si>
    <t>(e)</t>
  </si>
  <si>
    <t>(d)</t>
  </si>
  <si>
    <t>Tariff</t>
  </si>
  <si>
    <t>Month</t>
  </si>
  <si>
    <t>Total</t>
  </si>
  <si>
    <t>Schedule 194 - BPA Exchange Credit</t>
  </si>
  <si>
    <t>Schedule 142 - Decoupling Rider</t>
  </si>
  <si>
    <t>per Month</t>
  </si>
  <si>
    <t>Schedule 140 - Property Tax Rider</t>
  </si>
  <si>
    <t>Schedule 129 - Low Income</t>
  </si>
  <si>
    <t>Schedule 120 - Conservation Rider</t>
  </si>
  <si>
    <t>Schedule 95A - Wind Power Production Credit</t>
  </si>
  <si>
    <t>Schedule 95 - Power Cost Adjustment Clause</t>
  </si>
  <si>
    <t>Schedule 7 over 600 kWh</t>
  </si>
  <si>
    <t>Schedule 7 first 600 kWh</t>
  </si>
  <si>
    <t>Energy Charge:</t>
  </si>
  <si>
    <t>Customer Monthly Charge:</t>
  </si>
  <si>
    <t>Annual Total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</si>
  <si>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</si>
  <si>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</si>
  <si>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</si>
  <si>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</si>
  <si>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</si>
  <si>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</si>
  <si>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</si>
  <si>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</si>
  <si>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</si>
  <si>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</si>
  <si>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</si>
  <si>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</si>
  <si>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kWh</t>
  </si>
  <si>
    <t>Residential Customer Impacts</t>
  </si>
  <si>
    <t>Revenue Requirement Property Tax - Current</t>
  </si>
  <si>
    <t>46 &amp; 49</t>
  </si>
  <si>
    <t>449 &amp; 459</t>
  </si>
  <si>
    <t>Property Tax Revenue Requirement</t>
  </si>
  <si>
    <t>Electric Schedule 140 Property Tax Rider</t>
  </si>
  <si>
    <t>Lamp Type</t>
  </si>
  <si>
    <t>Mercury Vapor</t>
  </si>
  <si>
    <t>Sodium Vapor</t>
  </si>
  <si>
    <t>Revenue Requirement Property Tax - Total</t>
  </si>
  <si>
    <t>Check Difference due to Rounding</t>
  </si>
  <si>
    <t>Difference</t>
  </si>
  <si>
    <t>8 &amp; 24</t>
  </si>
  <si>
    <t>449-459</t>
  </si>
  <si>
    <t>Subtotal Base Monthly Charge</t>
  </si>
  <si>
    <t>$ / kWh</t>
  </si>
  <si>
    <t>Subtotal Base First 600 kWh Charge</t>
  </si>
  <si>
    <t>Subtotal Base Over 600 kWh Charge</t>
  </si>
  <si>
    <t xml:space="preserve"> 7A, 11, 25 &amp; 29</t>
  </si>
  <si>
    <t>10, 31 &amp; 35</t>
  </si>
  <si>
    <t>(g) =
(f - e) * (c)</t>
  </si>
  <si>
    <t>(h) = (g) / 
[(c * e) + (d)]</t>
  </si>
  <si>
    <t>Revenue Requirement Property Tax - Deferral</t>
  </si>
  <si>
    <t>Residential Schedule 7 Rates</t>
  </si>
  <si>
    <t>One Phase Basic Charge</t>
  </si>
  <si>
    <t>Other Electric Charges and Credits</t>
  </si>
  <si>
    <t>Subtotal Other Charges</t>
  </si>
  <si>
    <t>Total Block 1 Energy Charge</t>
  </si>
  <si>
    <t>Total Block 2 Energy Charge</t>
  </si>
  <si>
    <t>(b)= 
(a) / ∑ (a)</t>
  </si>
  <si>
    <t>12 &amp; 26</t>
  </si>
  <si>
    <t>(g)</t>
  </si>
  <si>
    <t>Wattage (W)</t>
  </si>
  <si>
    <t>Sch 50E</t>
  </si>
  <si>
    <t>003</t>
  </si>
  <si>
    <t>50E-A</t>
  </si>
  <si>
    <t>50E-B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</si>
  <si>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</si>
  <si>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</si>
  <si>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</si>
  <si>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</si>
  <si>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</si>
  <si>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</si>
  <si>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</si>
  <si>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</si>
  <si>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</si>
  <si>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</si>
  <si>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</si>
  <si>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</si>
  <si>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Sch 52E</t>
  </si>
  <si>
    <t xml:space="preserve">52E </t>
  </si>
  <si>
    <t>Metal Halide</t>
  </si>
  <si>
    <t>Sch 53E</t>
  </si>
  <si>
    <t>53E - Company Owned</t>
  </si>
  <si>
    <t>53E - Customer Owned</t>
  </si>
  <si>
    <t>Sch 54E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</si>
  <si>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</si>
  <si>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</si>
  <si>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</si>
  <si>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</si>
  <si>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</si>
  <si>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</si>
  <si>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</si>
  <si>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</si>
  <si>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</si>
  <si>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</si>
  <si>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</si>
  <si>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</si>
  <si>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</si>
  <si>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</si>
  <si>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</si>
  <si>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</si>
  <si>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Pole Rental Rates</t>
  </si>
  <si>
    <t>55 &amp; 56 - Old</t>
  </si>
  <si>
    <t>Pole</t>
  </si>
  <si>
    <t>55 &amp; 56 - New</t>
  </si>
  <si>
    <t>58 &amp; 59 - New</t>
  </si>
  <si>
    <t>Lighting Revenue Based on Inventory</t>
  </si>
  <si>
    <t>Lighting Revenue to Collect</t>
  </si>
  <si>
    <t>= (a) + (b)</t>
  </si>
  <si>
    <t>= (e) + (f)</t>
  </si>
  <si>
    <t>Account Description</t>
  </si>
  <si>
    <t>Plant-in-Service</t>
  </si>
  <si>
    <t>Intangible Plant</t>
  </si>
  <si>
    <t>Production Plant</t>
  </si>
  <si>
    <t>General Plant</t>
  </si>
  <si>
    <t>Sub-total</t>
  </si>
  <si>
    <t>Distribution Plant</t>
  </si>
  <si>
    <t>TOTAL PLANT-IN-SERVICE</t>
  </si>
  <si>
    <t>Remove Transmission Related Plant from Retail Wheeling</t>
  </si>
  <si>
    <t>Remove Transmission Related General Plant from Retail Wheeling</t>
  </si>
  <si>
    <t>Residential
Sch 7</t>
  </si>
  <si>
    <t>Sec Volt
Sch 24
(kW&lt; 50)</t>
  </si>
  <si>
    <t>Sec Volt
Sch 25
(kW &gt; 50 &amp; &lt; 350)</t>
  </si>
  <si>
    <t>Sec Volt
Sch 26
(kW &gt; 350)</t>
  </si>
  <si>
    <t>High Volt
Sch 46/49</t>
  </si>
  <si>
    <t>Choice /
Retail Wheeling
Sch 448/449</t>
  </si>
  <si>
    <t>Lighting
Sch 50-59</t>
  </si>
  <si>
    <t>Firm Resale</t>
  </si>
  <si>
    <t>(c)
= (b) * A</t>
  </si>
  <si>
    <t>(d) =
(b) * B</t>
  </si>
  <si>
    <t>(e) =
(c + d)</t>
  </si>
  <si>
    <t>(g) = 
(c) / (f)</t>
  </si>
  <si>
    <t>(h) = 
(d) / (f)</t>
  </si>
  <si>
    <t>(i) = 
(g) + (h)</t>
  </si>
  <si>
    <t>(j) = 
(i * f) - (e)</t>
  </si>
  <si>
    <t>Line No</t>
  </si>
  <si>
    <t>Description</t>
  </si>
  <si>
    <t>Year</t>
  </si>
  <si>
    <t>RC 449PV</t>
  </si>
  <si>
    <t>RC449HV</t>
  </si>
  <si>
    <t>RC 459HV</t>
  </si>
  <si>
    <t>Special Contract</t>
  </si>
  <si>
    <t>Calculation of Proposed Schedule 140 Property Tax Rider Rate</t>
  </si>
  <si>
    <t>= (a) * (d)</t>
  </si>
  <si>
    <t>= (b) * (d)</t>
  </si>
  <si>
    <t>SC</t>
  </si>
  <si>
    <t>Current Customer Bill in Notice</t>
  </si>
  <si>
    <t>Proposed Customer Bill in Notice</t>
  </si>
  <si>
    <t>Basic Charge</t>
  </si>
  <si>
    <t>First 600 kWh</t>
  </si>
  <si>
    <t>Over 600 kWh</t>
  </si>
  <si>
    <t>Bill</t>
  </si>
  <si>
    <t>$ Difference</t>
  </si>
  <si>
    <t xml:space="preserve">Typical Residential </t>
  </si>
  <si>
    <t>Schedule 141Z - EDIT Rider</t>
  </si>
  <si>
    <t>Schedule 142 - Decoupling Rider - Supplemental</t>
  </si>
  <si>
    <t>Notes</t>
  </si>
  <si>
    <t>Sch 140 Tariff Reference</t>
  </si>
  <si>
    <t>Sheet No. 140-B</t>
  </si>
  <si>
    <t>See tab "Sch 140 Street &amp; Area Lighting"</t>
  </si>
  <si>
    <t>*Delete references of Sch. 40 from tariff sheet.</t>
  </si>
  <si>
    <t>Sheet No. 140-C</t>
  </si>
  <si>
    <t>See tab "Sch 449-459 Rate Design" for kVa rates.</t>
  </si>
  <si>
    <t>Sheet No. 140-D</t>
  </si>
  <si>
    <t>Sheet No. 140-E</t>
  </si>
  <si>
    <t>Sheet No. 140-F</t>
  </si>
  <si>
    <t>Sheet No. 140-G</t>
  </si>
  <si>
    <t>Sheet No. 140-H</t>
  </si>
  <si>
    <t>Sheet No. 140-I</t>
  </si>
  <si>
    <t>Sheet No. 140-L</t>
  </si>
  <si>
    <t>Sheet No. 140-M</t>
  </si>
  <si>
    <t>Sheet No. 140-N</t>
  </si>
  <si>
    <t>Sheet No. 140-O</t>
  </si>
  <si>
    <t>Sheet No. 140-P</t>
  </si>
  <si>
    <t>Sheet No. 140-Q</t>
  </si>
  <si>
    <t>Total Firm Resale</t>
  </si>
  <si>
    <t>Schedule 95 - Power Cost Adjustment Clause-Supplemental</t>
  </si>
  <si>
    <t>Smart LED</t>
  </si>
  <si>
    <t>F2022 Monthly Billing Demand by Rate Schedule</t>
  </si>
  <si>
    <t>Forecasted
Test-Year 
Determinates (kWh)</t>
  </si>
  <si>
    <t>Projected
Test-Year Revenue
(Excluding Sch. 140)</t>
  </si>
  <si>
    <t>Current
Sch. 140 Rate
Eff. 5/1/2022</t>
  </si>
  <si>
    <t>Proposed
Sch. 140 Rate
Eff. 5/1/2023</t>
  </si>
  <si>
    <t>Remove:</t>
  </si>
  <si>
    <t>24 (8)</t>
  </si>
  <si>
    <t>25 (11, 7A)</t>
  </si>
  <si>
    <t>26 (12,26P)</t>
  </si>
  <si>
    <t>Total Secondary</t>
  </si>
  <si>
    <t>31 (10)</t>
  </si>
  <si>
    <t>Total Primary</t>
  </si>
  <si>
    <t>Transportation 449-459</t>
  </si>
  <si>
    <t>Retail Sales</t>
  </si>
  <si>
    <t>Cross check</t>
  </si>
  <si>
    <t>Pri Svc 31</t>
  </si>
  <si>
    <t>Pri Svc 35</t>
  </si>
  <si>
    <t>Pri Svc 43</t>
  </si>
  <si>
    <t>% Difference</t>
  </si>
  <si>
    <t>Schedule 141A - Energy Charge Credit Recovery Adjustment</t>
  </si>
  <si>
    <t>Schedule 141COL - Colstrip Adjustment Rider</t>
  </si>
  <si>
    <t>Schedule 141N - Rates Not Subject to Refund Rate Adjustment</t>
  </si>
  <si>
    <t>Schedule 141R - Rates Subject to Refund Rate Adjustment</t>
  </si>
  <si>
    <t>Schedule 141TEP - TEP Rider</t>
  </si>
  <si>
    <t>Month No.</t>
  </si>
  <si>
    <t>Forecast kWh</t>
  </si>
  <si>
    <t>Forecast Customer Count</t>
  </si>
  <si>
    <t>Average Use per Customer</t>
  </si>
  <si>
    <t>Average</t>
  </si>
  <si>
    <t>FERC</t>
  </si>
  <si>
    <t>Adjusted Test Year Twelve Months ended December 2022</t>
  </si>
  <si>
    <t>Proposed kVA Rate</t>
  </si>
  <si>
    <t>*Units are kVA</t>
  </si>
  <si>
    <t>Projected Test-Year
Revenue Impacts
from Proposed Rate Change</t>
  </si>
  <si>
    <r>
      <t xml:space="preserve">Annual Estimated Revenue @ Rates Effective 03/01/23 </t>
    </r>
    <r>
      <rPr>
        <b/>
        <sz val="8"/>
        <color rgb="FF0033CC"/>
        <rFont val="Arial"/>
        <family val="2"/>
      </rPr>
      <t>(excluding SCH 140)</t>
    </r>
  </si>
  <si>
    <r>
      <rPr>
        <b/>
        <sz val="8"/>
        <rFont val="Arial"/>
        <family val="2"/>
      </rPr>
      <t>24</t>
    </r>
    <r>
      <rPr>
        <sz val="8"/>
        <rFont val="Arial"/>
        <family val="2"/>
      </rPr>
      <t xml:space="preserve"> (8)</t>
    </r>
  </si>
  <si>
    <r>
      <rPr>
        <b/>
        <sz val="8"/>
        <rFont val="Arial"/>
        <family val="2"/>
      </rPr>
      <t>25</t>
    </r>
    <r>
      <rPr>
        <sz val="8"/>
        <rFont val="Arial"/>
        <family val="2"/>
      </rPr>
      <t xml:space="preserve"> (11, 7A)</t>
    </r>
  </si>
  <si>
    <r>
      <rPr>
        <b/>
        <sz val="8"/>
        <rFont val="Arial"/>
        <family val="2"/>
      </rPr>
      <t>26</t>
    </r>
    <r>
      <rPr>
        <sz val="8"/>
        <rFont val="Arial"/>
        <family val="2"/>
      </rPr>
      <t xml:space="preserve"> (12,26P)</t>
    </r>
  </si>
  <si>
    <r>
      <rPr>
        <b/>
        <sz val="8"/>
        <rFont val="Arial"/>
        <family val="2"/>
      </rPr>
      <t>31</t>
    </r>
    <r>
      <rPr>
        <sz val="8"/>
        <rFont val="Arial"/>
        <family val="2"/>
      </rPr>
      <t xml:space="preserve"> (10)</t>
    </r>
  </si>
  <si>
    <t>Land and land rights - Washington Transmission Plant</t>
  </si>
  <si>
    <t>Structures and improvements - Washington Transmission Plant</t>
  </si>
  <si>
    <t>Station equipment - Washington Transmission Plant</t>
  </si>
  <si>
    <t>Towers and fixtures - Washington Transmission Plant</t>
  </si>
  <si>
    <t>Poles and fixtures - Washington Transmission Plant</t>
  </si>
  <si>
    <t>Overhead conductors and devices - Washington Transmission Plant</t>
  </si>
  <si>
    <t>Underground conduit - Washington Transmission Plant</t>
  </si>
  <si>
    <t>Underground conductors and devices - Washington Transmission Plant</t>
  </si>
  <si>
    <t>Roads and trails - Washington Transmission Plant</t>
  </si>
  <si>
    <t>Asset retirement costs for transmission plant - Washington Transmission Plant</t>
  </si>
  <si>
    <t>0 - 30</t>
  </si>
  <si>
    <t>Compact Fluorescent</t>
  </si>
  <si>
    <t>Note [1]: Utilizes Plant-in-Service from the 2022 GRC (Docket UE-220066) and removes transmission related Plant and General Plant from Retail Wheeling &amp; Special Contract</t>
  </si>
  <si>
    <t>Combined Revenue Requirement</t>
  </si>
  <si>
    <t>Revenue Requirement
Deferral Component
(140B)</t>
  </si>
  <si>
    <t>Revenue Requirement
Base Component
(140A)</t>
  </si>
  <si>
    <t>Proposed
Base (140A)
Rate</t>
  </si>
  <si>
    <t>Proposed
Deferral (140B)
Rate</t>
  </si>
  <si>
    <t>Proposed
Combined
Rate</t>
  </si>
  <si>
    <r>
      <t xml:space="preserve">Adjusted Electric
Plant-in-Service </t>
    </r>
    <r>
      <rPr>
        <b/>
        <vertAlign val="superscript"/>
        <sz val="8"/>
        <rFont val="Arial"/>
        <family val="2"/>
      </rPr>
      <t>[1]</t>
    </r>
  </si>
  <si>
    <t>Revenue Increase</t>
  </si>
  <si>
    <t>Impacts of Rate Change</t>
  </si>
  <si>
    <r>
      <t xml:space="preserve">Forecasted Test-Year Ended </t>
    </r>
    <r>
      <rPr>
        <b/>
        <sz val="8"/>
        <color rgb="FF0000FF"/>
        <rFont val="Arial"/>
        <family val="2"/>
      </rPr>
      <t>April 30, 2024</t>
    </r>
  </si>
  <si>
    <r>
      <t xml:space="preserve">Proposed Rate Effective </t>
    </r>
    <r>
      <rPr>
        <b/>
        <sz val="8"/>
        <color rgb="FF0033CC"/>
        <rFont val="Arial"/>
        <family val="2"/>
      </rPr>
      <t>May 1, 2023</t>
    </r>
  </si>
  <si>
    <t>Calculation of Proposed Schedule 140 Property Tax Rider Rate for</t>
  </si>
  <si>
    <t>Schedules. 449 and 459 kVA Charge</t>
  </si>
  <si>
    <t>Test Year kVA Demand</t>
  </si>
  <si>
    <r>
      <t xml:space="preserve">Monthly kVA Forecast </t>
    </r>
    <r>
      <rPr>
        <b/>
        <sz val="8"/>
        <color rgb="FF0000FF"/>
        <rFont val="Arial"/>
        <family val="2"/>
      </rPr>
      <t>May 2023 - April 2024</t>
    </r>
  </si>
  <si>
    <t>Projected Annual Base (140A) Revenue</t>
  </si>
  <si>
    <t>Projected Annual Deferral (140A) Revenue</t>
  </si>
  <si>
    <t>Projected Combined Revenue</t>
  </si>
  <si>
    <t>Summary of Lighting Rates</t>
  </si>
  <si>
    <t>A = Base (140A)</t>
  </si>
  <si>
    <t>B = Deferral (140B)</t>
  </si>
  <si>
    <t>per kWh charge</t>
  </si>
  <si>
    <t>ELECTRIC SCHEDULE 140 - ADJUSTED PLANT-IN-SERVICE SUMMARY BASED ON DOCKET UE-220066 (COMPLIANCE)</t>
  </si>
  <si>
    <t>Station equipment - Washington Integrated Lease Facilities (LIF) Transmission Plant</t>
  </si>
  <si>
    <t>Transmission Plant</t>
  </si>
  <si>
    <t>ADJUSTED Plant in Service</t>
  </si>
  <si>
    <t>Check</t>
  </si>
  <si>
    <r>
      <t xml:space="preserve">Lighting </t>
    </r>
    <r>
      <rPr>
        <b/>
        <vertAlign val="superscript"/>
        <sz val="9.1999999999999993"/>
        <rFont val="Arial"/>
        <family val="2"/>
      </rPr>
      <t>[1]</t>
    </r>
  </si>
  <si>
    <r>
      <t xml:space="preserve">Total Choice / Retail Wheeling </t>
    </r>
    <r>
      <rPr>
        <b/>
        <vertAlign val="superscript"/>
        <sz val="8"/>
        <rFont val="Arial"/>
        <family val="2"/>
      </rPr>
      <t>[2]</t>
    </r>
  </si>
  <si>
    <t>Note [1] displayed energy determinates (kWh) and rates for Lighting (Sch. 50-59) are illustrative for relative rate impact purposes.  Lighting charges are detailed on the "Lighting Rates" Tab.
Note [2] displayed energy determinates (kWh) and rates for Retail Wheeling (Sch. 449-459) are illustrative for rate impact purposes.  Retail Wheeling rates are designed and billed on a demand (kVA) basis as detailed on the "Retail Wheeling Rate Design" Tab.</t>
  </si>
  <si>
    <t>Present Rates Effective 03/01/2023</t>
  </si>
  <si>
    <t>Proposed Rates Effective 05/01/2023</t>
  </si>
  <si>
    <t>Average Residential Usage Test Year Ended April 30, 2024</t>
  </si>
  <si>
    <t>Rate Impacts</t>
  </si>
  <si>
    <t>Test Year Ended April 30, 2024</t>
  </si>
  <si>
    <t>Proposed Effective date May 1, 2023</t>
  </si>
  <si>
    <t>Annual kWh Delivered Sales  05/01/23 to 04/30/24 (F2022)</t>
  </si>
  <si>
    <t>Estimated Annual
Base Revenue
Rates Effective
01/11/23</t>
  </si>
  <si>
    <t>Schedule 95
PCA Supplemental</t>
  </si>
  <si>
    <t>Schedule 95
PCORC</t>
  </si>
  <si>
    <t>Schedule 95A
Federal Incentive Credit</t>
  </si>
  <si>
    <t>Schedule 120
Conservation</t>
  </si>
  <si>
    <t>Schedule 129
Low Income</t>
  </si>
  <si>
    <t xml:space="preserve">Schedule 139 Green Direct </t>
  </si>
  <si>
    <t>Schedule 139 Green Direct Supplemental</t>
  </si>
  <si>
    <t>Schedule 140
Property Tax</t>
  </si>
  <si>
    <t>Schedule 141A
Energy Charge Credit</t>
  </si>
  <si>
    <t>Schedule 141COL
Colstrip Adjustment</t>
  </si>
  <si>
    <t>Schedule 141N
Rates Not Subject to Refund</t>
  </si>
  <si>
    <t>Schedule 141R
Rates Subject to Refund</t>
  </si>
  <si>
    <t>Schedule 141TEP</t>
  </si>
  <si>
    <t>Schedule 141Z (Unprotected)
EDIT</t>
  </si>
  <si>
    <t>Schedule 142
 Deferral</t>
  </si>
  <si>
    <t>Schedule 142
Supplemental</t>
  </si>
  <si>
    <t>Schedule 194
BPA Res &amp; Farm Credit</t>
  </si>
  <si>
    <t>Subtotal
Rider
Rates</t>
  </si>
  <si>
    <t>Annual Estimated Revenue @ Rates Effective 03/01/23</t>
  </si>
  <si>
    <t>Annual Lamp Inventory as of 1/31/2023</t>
  </si>
  <si>
    <t>Effective May 1, 2022</t>
  </si>
  <si>
    <t>Adjusted Electric
Cost of Service 
PTDGP.T 
Allocation Factor
Docket No. 
UE-190529</t>
  </si>
  <si>
    <t>F2022 kWh 
May 2022
to April 2023</t>
  </si>
  <si>
    <t>Proposed
Schedule 140
Property Tax
Rider - Current
Effective 5-1-22</t>
  </si>
  <si>
    <t>Proposed
Schedule 140
Property Tax
Rider - Deferred
Effective 5-1-22</t>
  </si>
  <si>
    <t>Proposed
Schedule 140
Property Tax
Rider
Effective 5-1-22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</si>
</sst>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  <numFmt numFmtId="167" formatCode="&quot;$&quot;#,##0.00"/>
    <numFmt numFmtId="168" formatCode="0.000000"/>
    <numFmt numFmtId="169" formatCode="&quot;$&quot;#,##0.00000"/>
    <numFmt numFmtId="170" formatCode="_(&quot;$&quot;* #,##0.000000_);_(&quot;$&quot;* \(#,##0.000000\);_(&quot;$&quot;* &quot;-&quot;??????_);_(@_)"/>
    <numFmt numFmtId="171" formatCode="&quot;$&quot;#,##0.000000"/>
    <numFmt numFmtId="172" formatCode="0.0%"/>
    <numFmt numFmtId="173" formatCode="_(&quot;$&quot;* #,##0.000_);_(&quot;$&quot;* \(#,##0.0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0000FF"/>
      <name val="Arial"/>
      <family val="2"/>
    </font>
    <font>
      <b/>
      <sz val="8"/>
      <color rgb="FF008080"/>
      <name val="Arial"/>
      <family val="2"/>
    </font>
    <font>
      <sz val="8"/>
      <color rgb="FF00808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0033CC"/>
      <name val="Arial"/>
      <family val="2"/>
    </font>
    <font>
      <u/>
      <sz val="8"/>
      <color theme="1"/>
      <name val="Arial"/>
      <family val="2"/>
    </font>
    <font>
      <sz val="8"/>
      <color theme="0" tint="-0.249977111117893"/>
      <name val="Arial"/>
      <family val="2"/>
    </font>
    <font>
      <sz val="8"/>
      <color rgb="FF0033CC"/>
      <name val="Arial"/>
      <family val="2"/>
    </font>
    <font>
      <b/>
      <sz val="9"/>
      <name val="Arial"/>
      <family val="2"/>
    </font>
    <font>
      <b/>
      <vertAlign val="superscript"/>
      <sz val="8"/>
      <name val="Arial"/>
      <family val="2"/>
    </font>
    <font>
      <b/>
      <sz val="8"/>
      <color rgb="FF0000FF"/>
      <name val="Arial"/>
      <family val="2"/>
    </font>
    <font>
      <b/>
      <vertAlign val="superscript"/>
      <sz val="9.1999999999999993"/>
      <name val="Arial"/>
      <family val="2"/>
    </font>
    <font>
      <u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1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3" fillId="0" borderId="0">
      <alignment horizontal="left" wrapText="1"/>
    </xf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8" fontId="1" fillId="0" borderId="0">
      <alignment horizontal="left" wrapText="1"/>
    </xf>
    <xf numFmtId="9" fontId="1" fillId="0" borderId="0" applyFont="0" applyFill="0" applyBorder="0" applyAlignment="0" applyProtection="0"/>
  </cellStyleXfs>
  <cellXfs count="316">
    <xf numFmtId="0" fontId="0" fillId="0" borderId="0" xfId="0"/>
    <xf numFmtId="44" fontId="5" fillId="0" borderId="0" xfId="5" applyFont="1"/>
    <xf numFmtId="44" fontId="5" fillId="0" borderId="3" xfId="5" applyFont="1" applyBorder="1"/>
    <xf numFmtId="0" fontId="4" fillId="0" borderId="0" xfId="7" applyFont="1" applyFill="1" applyAlignment="1">
      <alignment horizontal="centerContinuous" vertical="center"/>
    </xf>
    <xf numFmtId="0" fontId="5" fillId="0" borderId="0" xfId="7" applyFont="1" applyFill="1" applyAlignment="1">
      <alignment horizontal="centerContinuous" vertical="center"/>
    </xf>
    <xf numFmtId="0" fontId="5" fillId="0" borderId="0" xfId="7" applyFont="1" applyFill="1" applyAlignment="1"/>
    <xf numFmtId="0" fontId="5" fillId="0" borderId="0" xfId="7" applyFont="1" applyFill="1"/>
    <xf numFmtId="0" fontId="5" fillId="0" borderId="0" xfId="7" quotePrefix="1" applyFont="1" applyFill="1" applyAlignment="1">
      <alignment horizontal="center"/>
    </xf>
    <xf numFmtId="0" fontId="5" fillId="0" borderId="0" xfId="7" applyFont="1" applyFill="1" applyAlignment="1">
      <alignment horizontal="center"/>
    </xf>
    <xf numFmtId="14" fontId="5" fillId="0" borderId="0" xfId="7" applyNumberFormat="1" applyFont="1" applyFill="1"/>
    <xf numFmtId="0" fontId="4" fillId="0" borderId="25" xfId="7" applyFont="1" applyFill="1" applyBorder="1" applyAlignment="1">
      <alignment horizontal="center" wrapText="1"/>
    </xf>
    <xf numFmtId="0" fontId="4" fillId="0" borderId="1" xfId="7" applyFont="1" applyFill="1" applyBorder="1" applyAlignment="1">
      <alignment horizontal="center" wrapText="1"/>
    </xf>
    <xf numFmtId="0" fontId="4" fillId="0" borderId="1" xfId="7" quotePrefix="1" applyFont="1" applyFill="1" applyBorder="1" applyAlignment="1">
      <alignment horizontal="center" wrapText="1"/>
    </xf>
    <xf numFmtId="17" fontId="4" fillId="0" borderId="1" xfId="7" quotePrefix="1" applyNumberFormat="1" applyFont="1" applyFill="1" applyBorder="1" applyAlignment="1">
      <alignment horizontal="center" wrapText="1"/>
    </xf>
    <xf numFmtId="17" fontId="4" fillId="0" borderId="0" xfId="7" quotePrefix="1" applyNumberFormat="1" applyFont="1" applyFill="1" applyBorder="1" applyAlignment="1">
      <alignment horizontal="center" wrapText="1"/>
    </xf>
    <xf numFmtId="0" fontId="4" fillId="0" borderId="0" xfId="7" applyFont="1" applyFill="1"/>
    <xf numFmtId="164" fontId="5" fillId="0" borderId="0" xfId="7" applyNumberFormat="1" applyFont="1" applyFill="1"/>
    <xf numFmtId="165" fontId="5" fillId="0" borderId="0" xfId="5" applyNumberFormat="1" applyFont="1" applyFill="1"/>
    <xf numFmtId="165" fontId="5" fillId="0" borderId="0" xfId="7" applyNumberFormat="1" applyFont="1" applyFill="1"/>
    <xf numFmtId="165" fontId="5" fillId="0" borderId="27" xfId="7" applyNumberFormat="1" applyFont="1" applyFill="1" applyBorder="1"/>
    <xf numFmtId="172" fontId="5" fillId="0" borderId="0" xfId="7" applyNumberFormat="1" applyFont="1" applyFill="1"/>
    <xf numFmtId="164" fontId="5" fillId="0" borderId="2" xfId="7" applyNumberFormat="1" applyFont="1" applyFill="1" applyBorder="1"/>
    <xf numFmtId="165" fontId="5" fillId="0" borderId="2" xfId="5" applyNumberFormat="1" applyFont="1" applyFill="1" applyBorder="1"/>
    <xf numFmtId="165" fontId="5" fillId="0" borderId="2" xfId="7" applyNumberFormat="1" applyFont="1" applyFill="1" applyBorder="1"/>
    <xf numFmtId="165" fontId="5" fillId="0" borderId="28" xfId="7" applyNumberFormat="1" applyFont="1" applyFill="1" applyBorder="1"/>
    <xf numFmtId="164" fontId="5" fillId="0" borderId="0" xfId="7" applyNumberFormat="1" applyFont="1" applyFill="1" applyBorder="1"/>
    <xf numFmtId="165" fontId="5" fillId="0" borderId="0" xfId="5" applyNumberFormat="1" applyFont="1" applyFill="1" applyBorder="1"/>
    <xf numFmtId="165" fontId="5" fillId="0" borderId="0" xfId="7" applyNumberFormat="1" applyFont="1" applyFill="1" applyBorder="1"/>
    <xf numFmtId="164" fontId="5" fillId="0" borderId="3" xfId="7" applyNumberFormat="1" applyFont="1" applyFill="1" applyBorder="1"/>
    <xf numFmtId="165" fontId="5" fillId="0" borderId="3" xfId="5" applyNumberFormat="1" applyFont="1" applyFill="1" applyBorder="1"/>
    <xf numFmtId="165" fontId="5" fillId="0" borderId="29" xfId="5" applyNumberFormat="1" applyFont="1" applyFill="1" applyBorder="1"/>
    <xf numFmtId="0" fontId="6" fillId="0" borderId="0" xfId="7" applyFont="1" applyFill="1"/>
    <xf numFmtId="0" fontId="5" fillId="0" borderId="31" xfId="7" applyFont="1" applyFill="1" applyBorder="1"/>
    <xf numFmtId="165" fontId="6" fillId="0" borderId="0" xfId="7" applyNumberFormat="1" applyFont="1" applyFill="1"/>
    <xf numFmtId="164" fontId="5" fillId="0" borderId="0" xfId="2" applyNumberFormat="1" applyFont="1" applyFill="1"/>
    <xf numFmtId="0" fontId="7" fillId="0" borderId="0" xfId="0" applyFont="1" applyBorder="1"/>
    <xf numFmtId="0" fontId="7" fillId="0" borderId="0" xfId="0" applyFont="1" applyFill="1" applyBorder="1"/>
    <xf numFmtId="164" fontId="7" fillId="0" borderId="0" xfId="0" applyNumberFormat="1" applyFont="1" applyFill="1"/>
    <xf numFmtId="41" fontId="7" fillId="0" borderId="0" xfId="0" applyNumberFormat="1" applyFont="1" applyFill="1"/>
    <xf numFmtId="0" fontId="5" fillId="0" borderId="0" xfId="0" applyFont="1" applyFill="1" applyBorder="1"/>
    <xf numFmtId="0" fontId="7" fillId="0" borderId="0" xfId="0" applyFont="1"/>
    <xf numFmtId="0" fontId="4" fillId="0" borderId="0" xfId="7" applyFont="1" applyAlignment="1">
      <alignment horizontal="centerContinuous" vertical="center"/>
    </xf>
    <xf numFmtId="0" fontId="4" fillId="0" borderId="0" xfId="7" applyFont="1" applyAlignment="1">
      <alignment horizontal="centerContinuous"/>
    </xf>
    <xf numFmtId="0" fontId="4" fillId="0" borderId="0" xfId="7" applyFont="1"/>
    <xf numFmtId="0" fontId="5" fillId="0" borderId="0" xfId="7" applyFont="1" applyAlignment="1">
      <alignment horizontal="centerContinuous" vertical="center"/>
    </xf>
    <xf numFmtId="0" fontId="5" fillId="0" borderId="0" xfId="7" applyFont="1"/>
    <xf numFmtId="0" fontId="5" fillId="0" borderId="0" xfId="7" applyFont="1" applyBorder="1" applyAlignment="1"/>
    <xf numFmtId="0" fontId="5" fillId="0" borderId="0" xfId="7" quotePrefix="1" applyFont="1" applyBorder="1" applyAlignment="1">
      <alignment horizontal="center"/>
    </xf>
    <xf numFmtId="0" fontId="5" fillId="0" borderId="0" xfId="7" applyFont="1" applyAlignment="1"/>
    <xf numFmtId="0" fontId="5" fillId="0" borderId="1" xfId="7" applyFont="1" applyBorder="1" applyAlignment="1">
      <alignment horizontal="center" wrapText="1"/>
    </xf>
    <xf numFmtId="0" fontId="5" fillId="0" borderId="1" xfId="7" quotePrefix="1" applyFont="1" applyBorder="1" applyAlignment="1">
      <alignment horizontal="center" wrapText="1"/>
    </xf>
    <xf numFmtId="164" fontId="5" fillId="0" borderId="0" xfId="7" applyNumberFormat="1" applyFont="1"/>
    <xf numFmtId="44" fontId="5" fillId="0" borderId="0" xfId="7" applyNumberFormat="1" applyFont="1"/>
    <xf numFmtId="10" fontId="5" fillId="0" borderId="0" xfId="10" applyNumberFormat="1" applyFont="1"/>
    <xf numFmtId="0" fontId="5" fillId="0" borderId="0" xfId="7" quotePrefix="1" applyFont="1" applyAlignment="1">
      <alignment horizontal="left"/>
    </xf>
    <xf numFmtId="164" fontId="5" fillId="0" borderId="3" xfId="7" applyNumberFormat="1" applyFont="1" applyBorder="1"/>
    <xf numFmtId="10" fontId="5" fillId="0" borderId="3" xfId="10" applyNumberFormat="1" applyFont="1" applyBorder="1"/>
    <xf numFmtId="0" fontId="5" fillId="0" borderId="0" xfId="7" applyFont="1" applyFill="1" applyAlignment="1">
      <alignment horizontal="left"/>
    </xf>
    <xf numFmtId="44" fontId="5" fillId="0" borderId="3" xfId="7" applyNumberFormat="1" applyFont="1" applyBorder="1"/>
    <xf numFmtId="0" fontId="5" fillId="0" borderId="0" xfId="7" applyFont="1" applyAlignment="1">
      <alignment horizontal="left"/>
    </xf>
    <xf numFmtId="164" fontId="10" fillId="0" borderId="3" xfId="7" applyNumberFormat="1" applyFont="1" applyBorder="1"/>
    <xf numFmtId="0" fontId="5" fillId="0" borderId="1" xfId="7" quotePrefix="1" applyFont="1" applyBorder="1" applyAlignment="1">
      <alignment horizontal="left"/>
    </xf>
    <xf numFmtId="0" fontId="5" fillId="0" borderId="1" xfId="7" applyFont="1" applyBorder="1"/>
    <xf numFmtId="0" fontId="11" fillId="6" borderId="4" xfId="7" quotePrefix="1" applyFont="1" applyFill="1" applyBorder="1" applyAlignment="1">
      <alignment horizontal="center" wrapText="1"/>
    </xf>
    <xf numFmtId="0" fontId="11" fillId="5" borderId="4" xfId="7" quotePrefix="1" applyFont="1" applyFill="1" applyBorder="1" applyAlignment="1">
      <alignment horizontal="center" wrapText="1"/>
    </xf>
    <xf numFmtId="0" fontId="5" fillId="0" borderId="11" xfId="7" quotePrefix="1" applyFont="1" applyBorder="1" applyAlignment="1">
      <alignment horizontal="center" wrapText="1"/>
    </xf>
    <xf numFmtId="166" fontId="10" fillId="0" borderId="11" xfId="7" applyNumberFormat="1" applyFont="1" applyFill="1" applyBorder="1"/>
    <xf numFmtId="166" fontId="5" fillId="0" borderId="11" xfId="7" applyNumberFormat="1" applyFont="1" applyFill="1" applyBorder="1"/>
    <xf numFmtId="166" fontId="5" fillId="0" borderId="12" xfId="7" applyNumberFormat="1" applyFont="1" applyFill="1" applyBorder="1"/>
    <xf numFmtId="0" fontId="5" fillId="0" borderId="11" xfId="7" applyFont="1" applyFill="1" applyBorder="1"/>
    <xf numFmtId="166" fontId="10" fillId="0" borderId="8" xfId="5" quotePrefix="1" applyNumberFormat="1" applyFont="1" applyFill="1" applyBorder="1" applyAlignment="1">
      <alignment horizontal="right"/>
    </xf>
    <xf numFmtId="166" fontId="5" fillId="0" borderId="8" xfId="7" quotePrefix="1" applyNumberFormat="1" applyFont="1" applyFill="1" applyBorder="1" applyAlignment="1"/>
    <xf numFmtId="166" fontId="12" fillId="0" borderId="8" xfId="7" quotePrefix="1" applyNumberFormat="1" applyFont="1" applyFill="1" applyBorder="1" applyAlignment="1"/>
    <xf numFmtId="166" fontId="5" fillId="0" borderId="12" xfId="7" quotePrefix="1" applyNumberFormat="1" applyFont="1" applyFill="1" applyBorder="1" applyAlignment="1"/>
    <xf numFmtId="166" fontId="10" fillId="0" borderId="8" xfId="7" quotePrefix="1" applyNumberFormat="1" applyFont="1" applyFill="1" applyBorder="1" applyAlignment="1"/>
    <xf numFmtId="166" fontId="5" fillId="0" borderId="8" xfId="7" applyNumberFormat="1" applyFont="1" applyFill="1" applyBorder="1"/>
    <xf numFmtId="170" fontId="5" fillId="0" borderId="0" xfId="7" applyNumberFormat="1" applyFont="1"/>
    <xf numFmtId="166" fontId="5" fillId="0" borderId="7" xfId="7" applyNumberFormat="1" applyFont="1" applyFill="1" applyBorder="1"/>
    <xf numFmtId="0" fontId="5" fillId="5" borderId="25" xfId="7" quotePrefix="1" applyFont="1" applyFill="1" applyBorder="1" applyAlignment="1">
      <alignment horizontal="centerContinuous"/>
    </xf>
    <xf numFmtId="0" fontId="5" fillId="5" borderId="32" xfId="7" quotePrefix="1" applyFont="1" applyFill="1" applyBorder="1" applyAlignment="1">
      <alignment horizontal="centerContinuous"/>
    </xf>
    <xf numFmtId="0" fontId="5" fillId="5" borderId="26" xfId="7" quotePrefix="1" applyFont="1" applyFill="1" applyBorder="1" applyAlignment="1">
      <alignment horizontal="centerContinuous"/>
    </xf>
    <xf numFmtId="0" fontId="5" fillId="5" borderId="30" xfId="7" applyFont="1" applyFill="1" applyBorder="1" applyAlignment="1">
      <alignment horizontal="center" vertical="center" wrapText="1"/>
    </xf>
    <xf numFmtId="0" fontId="5" fillId="5" borderId="19" xfId="7" applyFont="1" applyFill="1" applyBorder="1" applyAlignment="1">
      <alignment horizontal="center" vertical="center" wrapText="1"/>
    </xf>
    <xf numFmtId="0" fontId="5" fillId="0" borderId="0" xfId="7" applyFont="1" applyAlignment="1">
      <alignment horizontal="center" wrapText="1"/>
    </xf>
    <xf numFmtId="0" fontId="10" fillId="5" borderId="0" xfId="7" applyFont="1" applyFill="1" applyBorder="1"/>
    <xf numFmtId="164" fontId="12" fillId="5" borderId="0" xfId="7" applyNumberFormat="1" applyFont="1" applyFill="1" applyBorder="1"/>
    <xf numFmtId="164" fontId="5" fillId="5" borderId="20" xfId="7" applyNumberFormat="1" applyFont="1" applyFill="1" applyBorder="1"/>
    <xf numFmtId="0" fontId="5" fillId="5" borderId="0" xfId="7" applyFont="1" applyFill="1" applyBorder="1"/>
    <xf numFmtId="164" fontId="5" fillId="5" borderId="5" xfId="7" applyNumberFormat="1" applyFont="1" applyFill="1" applyBorder="1"/>
    <xf numFmtId="164" fontId="5" fillId="5" borderId="33" xfId="7" applyNumberFormat="1" applyFont="1" applyFill="1" applyBorder="1"/>
    <xf numFmtId="0" fontId="5" fillId="5" borderId="30" xfId="7" applyFont="1" applyFill="1" applyBorder="1"/>
    <xf numFmtId="164" fontId="5" fillId="5" borderId="30" xfId="7" applyNumberFormat="1" applyFont="1" applyFill="1" applyBorder="1"/>
    <xf numFmtId="164" fontId="5" fillId="5" borderId="19" xfId="7" applyNumberFormat="1" applyFont="1" applyFill="1" applyBorder="1"/>
    <xf numFmtId="0" fontId="11" fillId="0" borderId="0" xfId="7" applyFont="1" applyFill="1" applyAlignment="1">
      <alignment horizontal="centerContinuous" vertical="center"/>
    </xf>
    <xf numFmtId="164" fontId="12" fillId="0" borderId="0" xfId="7" applyNumberFormat="1" applyFont="1" applyFill="1"/>
    <xf numFmtId="165" fontId="12" fillId="0" borderId="0" xfId="5" applyNumberFormat="1" applyFont="1" applyFill="1"/>
    <xf numFmtId="164" fontId="12" fillId="0" borderId="0" xfId="2" applyNumberFormat="1" applyFont="1" applyFill="1"/>
    <xf numFmtId="17" fontId="4" fillId="0" borderId="34" xfId="7" quotePrefix="1" applyNumberFormat="1" applyFont="1" applyFill="1" applyBorder="1" applyAlignment="1">
      <alignment horizontal="center" wrapText="1"/>
    </xf>
    <xf numFmtId="166" fontId="12" fillId="6" borderId="8" xfId="7" quotePrefix="1" applyNumberFormat="1" applyFont="1" applyFill="1" applyBorder="1" applyAlignment="1"/>
    <xf numFmtId="166" fontId="5" fillId="6" borderId="8" xfId="7" quotePrefix="1" applyNumberFormat="1" applyFont="1" applyFill="1" applyBorder="1" applyAlignment="1"/>
    <xf numFmtId="166" fontId="5" fillId="0" borderId="0" xfId="0" quotePrefix="1" applyNumberFormat="1" applyFont="1" applyFill="1" applyAlignment="1">
      <alignment horizontal="left"/>
    </xf>
    <xf numFmtId="0" fontId="5" fillId="0" borderId="0" xfId="0" applyFont="1" applyFill="1"/>
    <xf numFmtId="0" fontId="5" fillId="0" borderId="0" xfId="9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0" fontId="5" fillId="0" borderId="0" xfId="0" quotePrefix="1" applyFont="1" applyFill="1" applyBorder="1" applyAlignment="1">
      <alignment horizontal="center" wrapText="1"/>
    </xf>
    <xf numFmtId="0" fontId="5" fillId="5" borderId="23" xfId="0" applyFont="1" applyFill="1" applyBorder="1"/>
    <xf numFmtId="164" fontId="6" fillId="0" borderId="0" xfId="0" applyNumberFormat="1" applyFont="1" applyFill="1"/>
    <xf numFmtId="0" fontId="5" fillId="0" borderId="0" xfId="0" quotePrefix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quotePrefix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center"/>
    </xf>
    <xf numFmtId="164" fontId="5" fillId="0" borderId="0" xfId="2" quotePrefix="1" applyNumberFormat="1" applyFont="1" applyFill="1" applyAlignment="1">
      <alignment horizontal="right"/>
    </xf>
    <xf numFmtId="165" fontId="5" fillId="0" borderId="0" xfId="0" quotePrefix="1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164" fontId="5" fillId="0" borderId="2" xfId="2" applyNumberFormat="1" applyFont="1" applyFill="1" applyBorder="1"/>
    <xf numFmtId="165" fontId="5" fillId="0" borderId="2" xfId="0" applyNumberFormat="1" applyFont="1" applyFill="1" applyBorder="1"/>
    <xf numFmtId="166" fontId="5" fillId="0" borderId="2" xfId="0" applyNumberFormat="1" applyFont="1" applyFill="1" applyBorder="1"/>
    <xf numFmtId="164" fontId="5" fillId="0" borderId="0" xfId="2" applyNumberFormat="1" applyFont="1" applyFill="1" applyBorder="1"/>
    <xf numFmtId="165" fontId="5" fillId="0" borderId="0" xfId="0" applyNumberFormat="1" applyFont="1" applyFill="1" applyBorder="1"/>
    <xf numFmtId="166" fontId="5" fillId="0" borderId="0" xfId="0" applyNumberFormat="1" applyFont="1" applyFill="1" applyBorder="1"/>
    <xf numFmtId="0" fontId="5" fillId="0" borderId="0" xfId="0" quotePrefix="1" applyFont="1" applyFill="1" applyAlignment="1">
      <alignment horizontal="left" indent="1"/>
    </xf>
    <xf numFmtId="0" fontId="5" fillId="0" borderId="0" xfId="0" quotePrefix="1" applyFont="1" applyFill="1" applyAlignment="1">
      <alignment horizontal="left"/>
    </xf>
    <xf numFmtId="165" fontId="5" fillId="0" borderId="0" xfId="0" applyNumberFormat="1" applyFont="1" applyFill="1"/>
    <xf numFmtId="166" fontId="5" fillId="0" borderId="0" xfId="0" applyNumberFormat="1" applyFont="1" applyFill="1"/>
    <xf numFmtId="164" fontId="5" fillId="0" borderId="3" xfId="2" applyNumberFormat="1" applyFont="1" applyFill="1" applyBorder="1"/>
    <xf numFmtId="165" fontId="5" fillId="0" borderId="3" xfId="0" applyNumberFormat="1" applyFont="1" applyFill="1" applyBorder="1"/>
    <xf numFmtId="166" fontId="5" fillId="0" borderId="3" xfId="0" applyNumberFormat="1" applyFont="1" applyFill="1" applyBorder="1"/>
    <xf numFmtId="165" fontId="6" fillId="0" borderId="0" xfId="0" applyNumberFormat="1" applyFont="1" applyFill="1"/>
    <xf numFmtId="0" fontId="5" fillId="0" borderId="0" xfId="0" applyFont="1" applyFill="1" applyAlignment="1">
      <alignment horizontal="centerContinuous"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quotePrefix="1" applyFont="1" applyFill="1" applyAlignment="1">
      <alignment horizontal="left"/>
    </xf>
    <xf numFmtId="0" fontId="5" fillId="0" borderId="0" xfId="9" applyNumberFormat="1" applyFont="1" applyFill="1" applyBorder="1" applyAlignment="1"/>
    <xf numFmtId="0" fontId="5" fillId="2" borderId="0" xfId="9" applyNumberFormat="1" applyFont="1" applyFill="1" applyAlignment="1"/>
    <xf numFmtId="0" fontId="5" fillId="2" borderId="0" xfId="9" applyNumberFormat="1" applyFont="1" applyFill="1" applyAlignment="1">
      <alignment horizontal="center"/>
    </xf>
    <xf numFmtId="0" fontId="4" fillId="2" borderId="2" xfId="9" applyNumberFormat="1" applyFont="1" applyFill="1" applyBorder="1" applyAlignment="1">
      <alignment horizontal="center" wrapText="1"/>
    </xf>
    <xf numFmtId="0" fontId="4" fillId="2" borderId="2" xfId="9" applyNumberFormat="1" applyFont="1" applyFill="1" applyBorder="1" applyAlignment="1">
      <alignment horizontal="left" wrapText="1"/>
    </xf>
    <xf numFmtId="0" fontId="4" fillId="2" borderId="0" xfId="9" applyNumberFormat="1" applyFont="1" applyFill="1" applyAlignment="1">
      <alignment horizontal="center" vertical="center" wrapText="1"/>
    </xf>
    <xf numFmtId="0" fontId="4" fillId="2" borderId="0" xfId="9" applyNumberFormat="1" applyFont="1" applyFill="1" applyAlignment="1"/>
    <xf numFmtId="0" fontId="4" fillId="2" borderId="2" xfId="9" applyNumberFormat="1" applyFont="1" applyFill="1" applyBorder="1" applyAlignment="1"/>
    <xf numFmtId="2" fontId="4" fillId="2" borderId="2" xfId="9" applyNumberFormat="1" applyFont="1" applyFill="1" applyBorder="1" applyAlignment="1">
      <alignment horizontal="center"/>
    </xf>
    <xf numFmtId="165" fontId="4" fillId="2" borderId="2" xfId="5" applyNumberFormat="1" applyFont="1" applyFill="1" applyBorder="1" applyAlignment="1">
      <alignment horizontal="center"/>
    </xf>
    <xf numFmtId="0" fontId="4" fillId="2" borderId="0" xfId="9" applyNumberFormat="1" applyFont="1" applyFill="1" applyAlignment="1">
      <alignment horizontal="center"/>
    </xf>
    <xf numFmtId="2" fontId="5" fillId="2" borderId="0" xfId="9" applyNumberFormat="1" applyFont="1" applyFill="1" applyAlignment="1">
      <alignment horizontal="center"/>
    </xf>
    <xf numFmtId="165" fontId="7" fillId="2" borderId="0" xfId="5" applyNumberFormat="1" applyFont="1" applyFill="1" applyAlignment="1">
      <alignment horizontal="center"/>
    </xf>
    <xf numFmtId="1" fontId="5" fillId="0" borderId="0" xfId="9" applyNumberFormat="1" applyFont="1" applyFill="1" applyAlignment="1">
      <alignment horizontal="center"/>
    </xf>
    <xf numFmtId="2" fontId="5" fillId="0" borderId="0" xfId="9" applyNumberFormat="1" applyFont="1" applyFill="1" applyAlignment="1">
      <alignment horizontal="center"/>
    </xf>
    <xf numFmtId="2" fontId="5" fillId="0" borderId="0" xfId="9" applyNumberFormat="1" applyFont="1" applyFill="1" applyAlignment="1">
      <alignment horizontal="left"/>
    </xf>
    <xf numFmtId="165" fontId="5" fillId="0" borderId="0" xfId="1" applyNumberFormat="1" applyFont="1" applyFill="1" applyAlignment="1">
      <alignment horizontal="left"/>
    </xf>
    <xf numFmtId="1" fontId="5" fillId="2" borderId="0" xfId="9" applyNumberFormat="1" applyFont="1" applyFill="1" applyAlignment="1">
      <alignment horizontal="center"/>
    </xf>
    <xf numFmtId="2" fontId="5" fillId="2" borderId="0" xfId="9" applyNumberFormat="1" applyFont="1" applyFill="1" applyAlignment="1">
      <alignment horizontal="left"/>
    </xf>
    <xf numFmtId="165" fontId="5" fillId="2" borderId="0" xfId="1" applyNumberFormat="1" applyFont="1" applyFill="1" applyAlignment="1">
      <alignment horizontal="left"/>
    </xf>
    <xf numFmtId="0" fontId="5" fillId="0" borderId="0" xfId="0" applyFont="1" applyFill="1" applyAlignment="1">
      <alignment vertical="top"/>
    </xf>
    <xf numFmtId="0" fontId="5" fillId="0" borderId="0" xfId="0" quotePrefix="1" applyFont="1" applyFill="1" applyAlignment="1">
      <alignment horizontal="center" vertical="top" wrapText="1"/>
    </xf>
    <xf numFmtId="0" fontId="5" fillId="5" borderId="23" xfId="0" applyFont="1" applyFill="1" applyBorder="1" applyAlignment="1">
      <alignment horizontal="center" wrapText="1"/>
    </xf>
    <xf numFmtId="0" fontId="5" fillId="5" borderId="2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0" fontId="5" fillId="5" borderId="20" xfId="0" applyFont="1" applyFill="1" applyBorder="1"/>
    <xf numFmtId="10" fontId="5" fillId="0" borderId="0" xfId="0" quotePrefix="1" applyNumberFormat="1" applyFont="1" applyFill="1" applyAlignment="1">
      <alignment horizontal="right"/>
    </xf>
    <xf numFmtId="164" fontId="5" fillId="0" borderId="0" xfId="0" quotePrefix="1" applyNumberFormat="1" applyFont="1" applyFill="1" applyAlignment="1">
      <alignment horizontal="left"/>
    </xf>
    <xf numFmtId="43" fontId="5" fillId="0" borderId="0" xfId="0" applyNumberFormat="1" applyFont="1" applyFill="1"/>
    <xf numFmtId="165" fontId="7" fillId="0" borderId="0" xfId="1" applyNumberFormat="1" applyFont="1"/>
    <xf numFmtId="10" fontId="5" fillId="0" borderId="2" xfId="0" applyNumberFormat="1" applyFont="1" applyFill="1" applyBorder="1" applyAlignment="1">
      <alignment horizontal="right"/>
    </xf>
    <xf numFmtId="164" fontId="5" fillId="0" borderId="2" xfId="0" applyNumberFormat="1" applyFont="1" applyFill="1" applyBorder="1"/>
    <xf numFmtId="164" fontId="5" fillId="0" borderId="0" xfId="0" applyNumberFormat="1" applyFont="1" applyFill="1" applyBorder="1"/>
    <xf numFmtId="10" fontId="5" fillId="0" borderId="0" xfId="0" applyNumberFormat="1" applyFont="1" applyFill="1" applyBorder="1" applyAlignment="1">
      <alignment horizontal="right"/>
    </xf>
    <xf numFmtId="10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/>
    <xf numFmtId="0" fontId="5" fillId="5" borderId="23" xfId="0" quotePrefix="1" applyFont="1" applyFill="1" applyBorder="1" applyAlignment="1">
      <alignment horizontal="left"/>
    </xf>
    <xf numFmtId="10" fontId="5" fillId="0" borderId="3" xfId="0" applyNumberFormat="1" applyFont="1" applyFill="1" applyBorder="1" applyAlignment="1">
      <alignment horizontal="right"/>
    </xf>
    <xf numFmtId="164" fontId="5" fillId="0" borderId="3" xfId="0" applyNumberFormat="1" applyFont="1" applyFill="1" applyBorder="1"/>
    <xf numFmtId="165" fontId="5" fillId="0" borderId="5" xfId="0" applyNumberFormat="1" applyFont="1" applyFill="1" applyBorder="1"/>
    <xf numFmtId="10" fontId="5" fillId="0" borderId="5" xfId="0" applyNumberFormat="1" applyFont="1" applyFill="1" applyBorder="1" applyAlignment="1">
      <alignment horizontal="right"/>
    </xf>
    <xf numFmtId="164" fontId="5" fillId="0" borderId="5" xfId="0" applyNumberFormat="1" applyFont="1" applyFill="1" applyBorder="1"/>
    <xf numFmtId="166" fontId="5" fillId="0" borderId="5" xfId="0" applyNumberFormat="1" applyFont="1" applyFill="1" applyBorder="1"/>
    <xf numFmtId="0" fontId="5" fillId="5" borderId="24" xfId="0" applyFont="1" applyFill="1" applyBorder="1"/>
    <xf numFmtId="0" fontId="5" fillId="5" borderId="19" xfId="0" applyFont="1" applyFill="1" applyBorder="1"/>
    <xf numFmtId="44" fontId="5" fillId="0" borderId="0" xfId="0" applyNumberFormat="1" applyFont="1" applyFill="1"/>
    <xf numFmtId="165" fontId="5" fillId="3" borderId="9" xfId="0" quotePrefix="1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7" fillId="0" borderId="0" xfId="0" quotePrefix="1" applyFont="1" applyFill="1" applyAlignment="1">
      <alignment horizontal="center"/>
    </xf>
    <xf numFmtId="0" fontId="5" fillId="5" borderId="23" xfId="6" applyFont="1" applyFill="1" applyBorder="1"/>
    <xf numFmtId="0" fontId="5" fillId="5" borderId="20" xfId="6" applyFont="1" applyFill="1" applyBorder="1"/>
    <xf numFmtId="0" fontId="7" fillId="0" borderId="0" xfId="0" quotePrefix="1" applyFont="1" applyFill="1" applyAlignment="1">
      <alignment horizontal="center" wrapText="1"/>
    </xf>
    <xf numFmtId="0" fontId="5" fillId="0" borderId="0" xfId="0" quotePrefix="1" applyFont="1" applyFill="1" applyBorder="1" applyAlignment="1">
      <alignment horizontal="left" indent="1"/>
    </xf>
    <xf numFmtId="0" fontId="5" fillId="0" borderId="0" xfId="0" quotePrefix="1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right" wrapText="1"/>
    </xf>
    <xf numFmtId="167" fontId="7" fillId="0" borderId="0" xfId="0" applyNumberFormat="1" applyFont="1" applyFill="1" applyBorder="1"/>
    <xf numFmtId="164" fontId="7" fillId="0" borderId="0" xfId="2" applyNumberFormat="1" applyFont="1" applyFill="1" applyBorder="1"/>
    <xf numFmtId="165" fontId="7" fillId="0" borderId="0" xfId="0" applyNumberFormat="1" applyFont="1" applyFill="1"/>
    <xf numFmtId="164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 applyFill="1" applyBorder="1" applyAlignment="1"/>
    <xf numFmtId="164" fontId="5" fillId="0" borderId="0" xfId="0" quotePrefix="1" applyNumberFormat="1" applyFont="1" applyFill="1" applyBorder="1" applyAlignment="1">
      <alignment horizontal="center"/>
    </xf>
    <xf numFmtId="171" fontId="7" fillId="0" borderId="0" xfId="0" applyNumberFormat="1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indent="1"/>
    </xf>
    <xf numFmtId="169" fontId="7" fillId="0" borderId="0" xfId="0" applyNumberFormat="1" applyFont="1" applyFill="1" applyBorder="1"/>
    <xf numFmtId="0" fontId="5" fillId="5" borderId="24" xfId="0" quotePrefix="1" applyFont="1" applyFill="1" applyBorder="1" applyAlignment="1">
      <alignment horizontal="left"/>
    </xf>
    <xf numFmtId="0" fontId="5" fillId="5" borderId="19" xfId="6" applyFont="1" applyFill="1" applyBorder="1"/>
    <xf numFmtId="9" fontId="7" fillId="0" borderId="0" xfId="0" applyNumberFormat="1" applyFont="1" applyFill="1"/>
    <xf numFmtId="165" fontId="5" fillId="0" borderId="0" xfId="1" applyNumberFormat="1" applyFont="1" applyFill="1"/>
    <xf numFmtId="0" fontId="9" fillId="0" borderId="16" xfId="0" applyFont="1" applyFill="1" applyBorder="1"/>
    <xf numFmtId="0" fontId="7" fillId="0" borderId="13" xfId="0" applyFont="1" applyBorder="1"/>
    <xf numFmtId="0" fontId="16" fillId="0" borderId="17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3" fontId="7" fillId="5" borderId="15" xfId="0" applyNumberFormat="1" applyFont="1" applyFill="1" applyBorder="1"/>
    <xf numFmtId="3" fontId="7" fillId="5" borderId="5" xfId="0" applyNumberFormat="1" applyFont="1" applyFill="1" applyBorder="1"/>
    <xf numFmtId="3" fontId="7" fillId="5" borderId="10" xfId="0" applyNumberFormat="1" applyFont="1" applyFill="1" applyBorder="1"/>
    <xf numFmtId="3" fontId="7" fillId="4" borderId="13" xfId="0" applyNumberFormat="1" applyFont="1" applyFill="1" applyBorder="1"/>
    <xf numFmtId="3" fontId="7" fillId="5" borderId="16" xfId="0" applyNumberFormat="1" applyFont="1" applyFill="1" applyBorder="1"/>
    <xf numFmtId="3" fontId="7" fillId="5" borderId="0" xfId="0" applyNumberFormat="1" applyFont="1" applyFill="1" applyBorder="1"/>
    <xf numFmtId="3" fontId="7" fillId="5" borderId="13" xfId="0" applyNumberFormat="1" applyFont="1" applyFill="1" applyBorder="1"/>
    <xf numFmtId="0" fontId="7" fillId="0" borderId="1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3" fontId="7" fillId="5" borderId="18" xfId="0" applyNumberFormat="1" applyFont="1" applyFill="1" applyBorder="1"/>
    <xf numFmtId="3" fontId="7" fillId="5" borderId="1" xfId="0" applyNumberFormat="1" applyFont="1" applyFill="1" applyBorder="1"/>
    <xf numFmtId="3" fontId="7" fillId="5" borderId="14" xfId="0" applyNumberFormat="1" applyFont="1" applyFill="1" applyBorder="1"/>
    <xf numFmtId="3" fontId="7" fillId="4" borderId="14" xfId="0" applyNumberFormat="1" applyFont="1" applyFill="1" applyBorder="1"/>
    <xf numFmtId="0" fontId="7" fillId="0" borderId="18" xfId="0" applyFont="1" applyBorder="1"/>
    <xf numFmtId="0" fontId="7" fillId="0" borderId="1" xfId="0" applyFont="1" applyBorder="1"/>
    <xf numFmtId="3" fontId="7" fillId="4" borderId="1" xfId="0" applyNumberFormat="1" applyFont="1" applyFill="1" applyBorder="1"/>
    <xf numFmtId="164" fontId="17" fillId="0" borderId="2" xfId="0" applyNumberFormat="1" applyFont="1" applyFill="1" applyBorder="1"/>
    <xf numFmtId="166" fontId="17" fillId="0" borderId="2" xfId="0" applyNumberFormat="1" applyFont="1" applyFill="1" applyBorder="1"/>
    <xf numFmtId="165" fontId="17" fillId="0" borderId="2" xfId="0" applyNumberFormat="1" applyFont="1" applyFill="1" applyBorder="1"/>
    <xf numFmtId="165" fontId="5" fillId="0" borderId="9" xfId="0" quotePrefix="1" applyNumberFormat="1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Continuous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Continuous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quotePrefix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5" borderId="21" xfId="0" applyFont="1" applyFill="1" applyBorder="1" applyAlignment="1">
      <alignment horizontal="center" wrapText="1"/>
    </xf>
    <xf numFmtId="0" fontId="4" fillId="5" borderId="22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0" fontId="8" fillId="0" borderId="0" xfId="0" applyFont="1"/>
    <xf numFmtId="0" fontId="4" fillId="5" borderId="21" xfId="6" quotePrefix="1" applyFont="1" applyFill="1" applyBorder="1" applyAlignment="1">
      <alignment horizontal="center" wrapText="1"/>
    </xf>
    <xf numFmtId="0" fontId="4" fillId="5" borderId="22" xfId="6" quotePrefix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/>
    <xf numFmtId="0" fontId="4" fillId="0" borderId="0" xfId="0" quotePrefix="1" applyFont="1" applyFill="1" applyAlignment="1">
      <alignment horizontal="center"/>
    </xf>
    <xf numFmtId="0" fontId="4" fillId="0" borderId="1" xfId="0" quotePrefix="1" applyFont="1" applyFill="1" applyBorder="1" applyAlignment="1">
      <alignment horizontal="centerContinuous" wrapText="1"/>
    </xf>
    <xf numFmtId="0" fontId="8" fillId="0" borderId="0" xfId="0" applyFont="1" applyFill="1" applyAlignment="1">
      <alignment horizontal="center"/>
    </xf>
    <xf numFmtId="165" fontId="15" fillId="2" borderId="2" xfId="5" applyNumberFormat="1" applyFont="1" applyFill="1" applyBorder="1" applyAlignment="1">
      <alignment horizontal="center"/>
    </xf>
    <xf numFmtId="165" fontId="18" fillId="0" borderId="0" xfId="1" applyNumberFormat="1" applyFont="1" applyFill="1" applyAlignment="1">
      <alignment horizontal="left"/>
    </xf>
    <xf numFmtId="165" fontId="18" fillId="2" borderId="0" xfId="1" applyNumberFormat="1" applyFont="1" applyFill="1" applyAlignment="1">
      <alignment horizontal="left"/>
    </xf>
    <xf numFmtId="0" fontId="19" fillId="2" borderId="0" xfId="9" applyNumberFormat="1" applyFont="1" applyFill="1" applyAlignment="1"/>
    <xf numFmtId="165" fontId="18" fillId="0" borderId="9" xfId="0" quotePrefix="1" applyNumberFormat="1" applyFont="1" applyFill="1" applyBorder="1" applyAlignment="1">
      <alignment horizontal="left"/>
    </xf>
    <xf numFmtId="166" fontId="7" fillId="0" borderId="0" xfId="0" applyNumberFormat="1" applyFont="1" applyFill="1" applyBorder="1"/>
    <xf numFmtId="10" fontId="5" fillId="0" borderId="0" xfId="0" quotePrefix="1" applyNumberFormat="1" applyFont="1" applyFill="1" applyAlignment="1">
      <alignment horizontal="center"/>
    </xf>
    <xf numFmtId="10" fontId="5" fillId="0" borderId="2" xfId="0" applyNumberFormat="1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10" fontId="5" fillId="0" borderId="0" xfId="0" applyNumberFormat="1" applyFont="1" applyFill="1" applyAlignment="1">
      <alignment horizontal="center"/>
    </xf>
    <xf numFmtId="10" fontId="5" fillId="0" borderId="3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Continuous"/>
    </xf>
    <xf numFmtId="173" fontId="7" fillId="0" borderId="25" xfId="1" applyNumberFormat="1" applyFont="1" applyFill="1" applyBorder="1"/>
    <xf numFmtId="173" fontId="7" fillId="0" borderId="6" xfId="1" applyNumberFormat="1" applyFont="1" applyFill="1" applyBorder="1"/>
    <xf numFmtId="173" fontId="7" fillId="0" borderId="4" xfId="1" applyNumberFormat="1" applyFont="1" applyFill="1" applyBorder="1"/>
    <xf numFmtId="0" fontId="4" fillId="5" borderId="35" xfId="0" applyFont="1" applyFill="1" applyBorder="1" applyAlignment="1">
      <alignment horizontal="center" wrapText="1"/>
    </xf>
    <xf numFmtId="0" fontId="5" fillId="5" borderId="27" xfId="0" applyFont="1" applyFill="1" applyBorder="1" applyAlignment="1">
      <alignment horizontal="center" wrapText="1"/>
    </xf>
    <xf numFmtId="0" fontId="5" fillId="5" borderId="27" xfId="0" applyFont="1" applyFill="1" applyBorder="1"/>
    <xf numFmtId="0" fontId="5" fillId="5" borderId="27" xfId="0" quotePrefix="1" applyFont="1" applyFill="1" applyBorder="1" applyAlignment="1">
      <alignment horizontal="left"/>
    </xf>
    <xf numFmtId="0" fontId="5" fillId="5" borderId="31" xfId="0" applyFont="1" applyFill="1" applyBorder="1"/>
    <xf numFmtId="0" fontId="5" fillId="0" borderId="0" xfId="0" applyFont="1" applyFill="1" applyBorder="1" applyAlignment="1">
      <alignment horizontal="centerContinuous" vertical="top" wrapText="1"/>
    </xf>
    <xf numFmtId="0" fontId="5" fillId="0" borderId="0" xfId="0" applyFont="1" applyFill="1" applyAlignment="1">
      <alignment horizontal="centerContinuous" vertical="top"/>
    </xf>
    <xf numFmtId="0" fontId="6" fillId="2" borderId="36" xfId="9" applyNumberFormat="1" applyFont="1" applyFill="1" applyBorder="1" applyAlignment="1">
      <alignment horizontal="center"/>
    </xf>
    <xf numFmtId="41" fontId="6" fillId="2" borderId="37" xfId="9" applyNumberFormat="1" applyFont="1" applyFill="1" applyBorder="1" applyAlignment="1">
      <alignment horizontal="center"/>
    </xf>
    <xf numFmtId="0" fontId="5" fillId="2" borderId="37" xfId="9" applyNumberFormat="1" applyFont="1" applyFill="1" applyBorder="1" applyAlignment="1">
      <alignment horizontal="center"/>
    </xf>
    <xf numFmtId="43" fontId="6" fillId="2" borderId="38" xfId="9" applyNumberFormat="1" applyFont="1" applyFill="1" applyBorder="1" applyAlignment="1">
      <alignment horizontal="center"/>
    </xf>
    <xf numFmtId="165" fontId="4" fillId="2" borderId="5" xfId="5" applyNumberFormat="1" applyFont="1" applyFill="1" applyBorder="1" applyAlignment="1">
      <alignment horizontal="center"/>
    </xf>
    <xf numFmtId="165" fontId="6" fillId="2" borderId="36" xfId="5" applyNumberFormat="1" applyFont="1" applyFill="1" applyBorder="1" applyAlignment="1">
      <alignment horizontal="center"/>
    </xf>
    <xf numFmtId="165" fontId="6" fillId="2" borderId="37" xfId="5" applyNumberFormat="1" applyFont="1" applyFill="1" applyBorder="1" applyAlignment="1">
      <alignment horizontal="center"/>
    </xf>
    <xf numFmtId="165" fontId="7" fillId="2" borderId="37" xfId="5" applyNumberFormat="1" applyFont="1" applyFill="1" applyBorder="1" applyAlignment="1">
      <alignment horizontal="center"/>
    </xf>
    <xf numFmtId="165" fontId="6" fillId="2" borderId="38" xfId="5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left"/>
    </xf>
    <xf numFmtId="0" fontId="23" fillId="0" borderId="0" xfId="0" applyFont="1" applyFill="1" applyAlignment="1">
      <alignment horizontal="left" indent="1"/>
    </xf>
    <xf numFmtId="0" fontId="23" fillId="0" borderId="0" xfId="0" quotePrefix="1" applyFont="1" applyFill="1" applyAlignment="1">
      <alignment horizontal="left" indent="1"/>
    </xf>
    <xf numFmtId="0" fontId="4" fillId="0" borderId="0" xfId="0" applyFont="1" applyFill="1" applyAlignment="1"/>
    <xf numFmtId="0" fontId="5" fillId="0" borderId="17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0" xfId="7" quotePrefix="1" applyFont="1" applyFill="1" applyAlignment="1">
      <alignment horizontal="left" indent="2"/>
    </xf>
    <xf numFmtId="0" fontId="5" fillId="0" borderId="1" xfId="7" quotePrefix="1" applyFont="1" applyBorder="1" applyAlignment="1">
      <alignment horizontal="center"/>
    </xf>
    <xf numFmtId="0" fontId="5" fillId="0" borderId="0" xfId="7" quotePrefix="1" applyFont="1" applyAlignment="1">
      <alignment horizontal="left" indent="1"/>
    </xf>
    <xf numFmtId="0" fontId="5" fillId="0" borderId="0" xfId="7" quotePrefix="1" applyFont="1" applyAlignment="1">
      <alignment horizontal="left" indent="3"/>
    </xf>
    <xf numFmtId="0" fontId="5" fillId="6" borderId="0" xfId="7" quotePrefix="1" applyFont="1" applyFill="1" applyAlignment="1">
      <alignment horizontal="left" indent="2"/>
    </xf>
    <xf numFmtId="0" fontId="5" fillId="0" borderId="0" xfId="7" quotePrefix="1" applyFont="1" applyFill="1" applyAlignment="1">
      <alignment horizontal="left" indent="3"/>
    </xf>
    <xf numFmtId="0" fontId="5" fillId="0" borderId="0" xfId="7" quotePrefix="1" applyFont="1" applyFill="1" applyAlignment="1">
      <alignment horizontal="left" indent="1"/>
    </xf>
    <xf numFmtId="0" fontId="5" fillId="5" borderId="27" xfId="0" applyFont="1" applyFill="1" applyBorder="1" applyAlignment="1">
      <alignment horizontal="left" vertical="top" wrapText="1"/>
    </xf>
    <xf numFmtId="0" fontId="5" fillId="5" borderId="27" xfId="0" applyFont="1" applyFill="1" applyBorder="1" applyAlignment="1">
      <alignment horizontal="left" wrapText="1"/>
    </xf>
    <xf numFmtId="0" fontId="4" fillId="0" borderId="0" xfId="0" applyFont="1" applyFill="1" applyAlignment="1">
      <alignment horizontal="center"/>
    </xf>
    <xf numFmtId="0" fontId="8" fillId="0" borderId="16" xfId="0" quotePrefix="1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center"/>
    </xf>
    <xf numFmtId="0" fontId="8" fillId="0" borderId="13" xfId="0" quotePrefix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8" fillId="0" borderId="15" xfId="0" quotePrefix="1" applyFont="1" applyFill="1" applyBorder="1" applyAlignment="1">
      <alignment horizontal="center"/>
    </xf>
    <xf numFmtId="0" fontId="8" fillId="0" borderId="5" xfId="0" quotePrefix="1" applyFont="1" applyFill="1" applyBorder="1" applyAlignment="1">
      <alignment horizontal="center"/>
    </xf>
    <xf numFmtId="0" fontId="8" fillId="0" borderId="10" xfId="0" quotePrefix="1" applyFont="1" applyFill="1" applyBorder="1" applyAlignment="1">
      <alignment horizontal="center"/>
    </xf>
    <xf numFmtId="0" fontId="4" fillId="2" borderId="0" xfId="9" applyNumberFormat="1" applyFont="1" applyFill="1" applyAlignment="1">
      <alignment horizontal="center"/>
    </xf>
    <xf numFmtId="0" fontId="4" fillId="2" borderId="0" xfId="9" quotePrefix="1" applyNumberFormat="1" applyFont="1" applyFill="1" applyAlignment="1">
      <alignment horizontal="center"/>
    </xf>
    <xf numFmtId="0" fontId="5" fillId="5" borderId="23" xfId="0" applyFont="1" applyFill="1" applyBorder="1" applyAlignment="1">
      <alignment horizontal="left"/>
    </xf>
    <xf numFmtId="0" fontId="5" fillId="5" borderId="20" xfId="0" applyFont="1" applyFill="1" applyBorder="1" applyAlignment="1">
      <alignment horizontal="left"/>
    </xf>
  </cellXfs>
  <cellStyles count="11">
    <cellStyle name="Comma" xfId="2" builtinId="3"/>
    <cellStyle name="Comma 10" xfId="8"/>
    <cellStyle name="Currency" xfId="1" builtinId="4"/>
    <cellStyle name="Currency 2" xfId="4"/>
    <cellStyle name="Currency 2 12" xfId="5"/>
    <cellStyle name="Normal" xfId="0" builtinId="0"/>
    <cellStyle name="Normal 2" xfId="3"/>
    <cellStyle name="Normal 2 10" xfId="7"/>
    <cellStyle name="Normal 2 2" xfId="9"/>
    <cellStyle name="Normal 510" xfId="6"/>
    <cellStyle name="Percent 2" xfId="10"/>
  </cellStyles>
  <dxfs count="0"/>
  <tableStyles count="0" defaultTableStyle="TableStyleMedium2" defaultPivotStyle="PivotStyleLight16"/>
  <colors>
    <mruColors>
      <color rgb="FF0033CC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26</xdr:col>
      <xdr:colOff>303963</xdr:colOff>
      <xdr:row>31</xdr:row>
      <xdr:rowOff>85098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2100" y="142875"/>
          <a:ext cx="6695238" cy="501904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27</xdr:col>
      <xdr:colOff>208652</xdr:colOff>
      <xdr:row>69</xdr:row>
      <xdr:rowOff>66052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82100" y="5362575"/>
          <a:ext cx="7180952" cy="49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561975</xdr:colOff>
      <xdr:row>0</xdr:row>
      <xdr:rowOff>28575</xdr:rowOff>
    </xdr:from>
    <xdr:ext cx="3467100" cy="977191"/>
    <xdr:sp macro="" textlink="">
      <xdr:nvSpPr>
        <xdr:cNvPr id="2" name="Rectangle 1"/>
        <xdr:cNvSpPr/>
      </xdr:nvSpPr>
      <xdr:spPr>
        <a:xfrm>
          <a:off x="7115175" y="28575"/>
          <a:ext cx="3467100" cy="97719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Schedule</a:t>
          </a:r>
          <a:r>
            <a:rPr lang="en-US" sz="20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140 Rate Design</a:t>
          </a:r>
        </a:p>
        <a:p>
          <a:pPr algn="ctr"/>
          <a:r>
            <a:rPr lang="en-US" sz="20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Eff. 5-1-2022 </a:t>
          </a:r>
        </a:p>
        <a:p>
          <a:pPr algn="ctr"/>
          <a:r>
            <a:rPr lang="en-US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UE-220234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zoomScale="115" zoomScaleNormal="115" workbookViewId="0">
      <pane xSplit="3" ySplit="8" topLeftCell="D9" activePane="bottomRight" state="frozen"/>
      <selection activeCell="D6" sqref="D6"/>
      <selection pane="topRight" activeCell="D6" sqref="D6"/>
      <selection pane="bottomLeft" activeCell="D6" sqref="D6"/>
      <selection pane="bottomRight"/>
    </sheetView>
  </sheetViews>
  <sheetFormatPr defaultColWidth="5.6640625" defaultRowHeight="10.199999999999999" x14ac:dyDescent="0.2"/>
  <cols>
    <col min="1" max="1" width="4.44140625" style="101" customWidth="1"/>
    <col min="2" max="2" width="28.109375" style="101" bestFit="1" customWidth="1"/>
    <col min="3" max="3" width="8.21875" style="101" bestFit="1" customWidth="1"/>
    <col min="4" max="4" width="14.6640625" style="101" bestFit="1" customWidth="1"/>
    <col min="5" max="5" width="15.109375" style="101" bestFit="1" customWidth="1"/>
    <col min="6" max="7" width="10.33203125" style="101" bestFit="1" customWidth="1"/>
    <col min="8" max="9" width="11.6640625" style="101" customWidth="1"/>
    <col min="10" max="16384" width="5.6640625" style="101"/>
  </cols>
  <sheetData>
    <row r="1" spans="1:9" s="237" customFormat="1" x14ac:dyDescent="0.2">
      <c r="A1" s="238" t="s">
        <v>0</v>
      </c>
      <c r="B1" s="238"/>
      <c r="C1" s="238"/>
      <c r="D1" s="238"/>
      <c r="E1" s="238"/>
      <c r="F1" s="238"/>
      <c r="G1" s="238"/>
      <c r="H1" s="238"/>
      <c r="I1" s="238"/>
    </row>
    <row r="2" spans="1:9" s="237" customFormat="1" x14ac:dyDescent="0.2">
      <c r="A2" s="238" t="s">
        <v>67</v>
      </c>
      <c r="B2" s="238"/>
      <c r="C2" s="238"/>
      <c r="D2" s="238"/>
      <c r="E2" s="238"/>
      <c r="F2" s="238"/>
      <c r="G2" s="238"/>
      <c r="H2" s="238"/>
      <c r="I2" s="238"/>
    </row>
    <row r="3" spans="1:9" s="237" customFormat="1" x14ac:dyDescent="0.2">
      <c r="A3" s="238" t="s">
        <v>271</v>
      </c>
      <c r="B3" s="238"/>
      <c r="C3" s="238"/>
      <c r="D3" s="238"/>
      <c r="E3" s="238"/>
      <c r="F3" s="238"/>
      <c r="G3" s="238"/>
      <c r="H3" s="238"/>
      <c r="I3" s="238"/>
    </row>
    <row r="4" spans="1:9" s="237" customFormat="1" x14ac:dyDescent="0.2">
      <c r="A4" s="238" t="s">
        <v>272</v>
      </c>
      <c r="B4" s="238"/>
      <c r="C4" s="238"/>
      <c r="D4" s="238"/>
      <c r="E4" s="238"/>
      <c r="F4" s="238"/>
      <c r="G4" s="238"/>
      <c r="H4" s="238"/>
      <c r="I4" s="238"/>
    </row>
    <row r="5" spans="1:9" s="237" customFormat="1" x14ac:dyDescent="0.2">
      <c r="A5" s="238" t="s">
        <v>273</v>
      </c>
      <c r="B5" s="238"/>
      <c r="C5" s="238"/>
      <c r="D5" s="238"/>
      <c r="E5" s="238"/>
      <c r="F5" s="238"/>
      <c r="G5" s="238"/>
      <c r="H5" s="238"/>
      <c r="I5" s="238"/>
    </row>
    <row r="6" spans="1:9" s="237" customFormat="1" x14ac:dyDescent="0.2">
      <c r="A6" s="252"/>
      <c r="B6" s="114"/>
      <c r="C6" s="114"/>
      <c r="D6" s="114"/>
      <c r="E6" s="114"/>
      <c r="F6" s="114"/>
      <c r="G6" s="114"/>
      <c r="H6" s="114"/>
      <c r="I6" s="114"/>
    </row>
    <row r="7" spans="1:9" s="243" customFormat="1" ht="30.6" x14ac:dyDescent="0.2">
      <c r="A7" s="241" t="s">
        <v>1</v>
      </c>
      <c r="B7" s="241" t="s">
        <v>2</v>
      </c>
      <c r="C7" s="241" t="s">
        <v>3</v>
      </c>
      <c r="D7" s="242" t="s">
        <v>212</v>
      </c>
      <c r="E7" s="242" t="s">
        <v>213</v>
      </c>
      <c r="F7" s="242" t="s">
        <v>214</v>
      </c>
      <c r="G7" s="242" t="s">
        <v>215</v>
      </c>
      <c r="H7" s="253" t="s">
        <v>244</v>
      </c>
      <c r="I7" s="253"/>
    </row>
    <row r="8" spans="1:9" s="103" customFormat="1" ht="20.399999999999999" x14ac:dyDescent="0.2">
      <c r="A8" s="109"/>
      <c r="B8" s="110" t="s">
        <v>30</v>
      </c>
      <c r="C8" s="111" t="s">
        <v>29</v>
      </c>
      <c r="D8" s="111" t="s">
        <v>28</v>
      </c>
      <c r="E8" s="111" t="s">
        <v>32</v>
      </c>
      <c r="F8" s="112" t="s">
        <v>31</v>
      </c>
      <c r="G8" s="112" t="s">
        <v>27</v>
      </c>
      <c r="H8" s="111" t="s">
        <v>82</v>
      </c>
      <c r="I8" s="111" t="s">
        <v>83</v>
      </c>
    </row>
    <row r="9" spans="1:9" s="103" customFormat="1" x14ac:dyDescent="0.2">
      <c r="A9" s="109">
        <v>1</v>
      </c>
      <c r="B9" s="290" t="s">
        <v>7</v>
      </c>
      <c r="C9" s="111"/>
      <c r="D9" s="111"/>
      <c r="E9" s="111"/>
      <c r="F9" s="112"/>
      <c r="G9" s="112"/>
      <c r="H9" s="111"/>
      <c r="I9" s="111"/>
    </row>
    <row r="10" spans="1:9" ht="13.2" customHeight="1" x14ac:dyDescent="0.2">
      <c r="A10" s="103">
        <f>A9+1</f>
        <v>2</v>
      </c>
      <c r="B10" s="288" t="s">
        <v>7</v>
      </c>
      <c r="C10" s="114">
        <v>7</v>
      </c>
      <c r="D10" s="115">
        <f>'Projected TY Revenues'!$C$8</f>
        <v>10819933224.296162</v>
      </c>
      <c r="E10" s="116">
        <f>'Projected TY Revenues'!$Z$8</f>
        <v>1355905657.1343408</v>
      </c>
      <c r="F10" s="100">
        <f>+'Prior TY Rate Design'!O9</f>
        <v>2.7980000000000001E-3</v>
      </c>
      <c r="G10" s="100">
        <f>+'Rate Design'!O10</f>
        <v>2.6120000000000002E-3</v>
      </c>
      <c r="H10" s="116">
        <f>SUM(G10,-F10)*D10</f>
        <v>-2012507.5797190857</v>
      </c>
      <c r="I10" s="261">
        <f>H10/SUM(E10,D10*F10)</f>
        <v>-1.4518372982598197E-3</v>
      </c>
    </row>
    <row r="11" spans="1:9" ht="13.2" customHeight="1" x14ac:dyDescent="0.2">
      <c r="A11" s="103">
        <f t="shared" ref="A11:A37" si="0">+A10+1</f>
        <v>3</v>
      </c>
      <c r="B11" s="286" t="s">
        <v>26</v>
      </c>
      <c r="D11" s="118">
        <f>SUM(D10:D10)</f>
        <v>10819933224.296162</v>
      </c>
      <c r="E11" s="119">
        <f>SUM(E10:E10)</f>
        <v>1355905657.1343408</v>
      </c>
      <c r="F11" s="120">
        <f>+F10</f>
        <v>2.7980000000000001E-3</v>
      </c>
      <c r="G11" s="120">
        <f>+G10</f>
        <v>2.6120000000000002E-3</v>
      </c>
      <c r="H11" s="119">
        <f>SUM(H10:H10)</f>
        <v>-2012507.5797190857</v>
      </c>
      <c r="I11" s="262">
        <f>H11/SUM(E11,D11*F11)</f>
        <v>-1.4518372982598197E-3</v>
      </c>
    </row>
    <row r="12" spans="1:9" ht="13.2" customHeight="1" x14ac:dyDescent="0.2">
      <c r="A12" s="103">
        <f t="shared" si="0"/>
        <v>4</v>
      </c>
      <c r="D12" s="121"/>
      <c r="E12" s="122"/>
      <c r="F12" s="123"/>
      <c r="G12" s="123"/>
      <c r="H12" s="122"/>
      <c r="I12" s="263"/>
    </row>
    <row r="13" spans="1:9" ht="13.2" customHeight="1" x14ac:dyDescent="0.2">
      <c r="A13" s="103">
        <f t="shared" si="0"/>
        <v>5</v>
      </c>
      <c r="B13" s="237" t="s">
        <v>8</v>
      </c>
      <c r="D13" s="121"/>
      <c r="E13" s="122"/>
      <c r="F13" s="123"/>
      <c r="G13" s="123"/>
      <c r="H13" s="122"/>
      <c r="I13" s="263"/>
    </row>
    <row r="14" spans="1:9" ht="13.2" customHeight="1" x14ac:dyDescent="0.2">
      <c r="A14" s="103">
        <f t="shared" si="0"/>
        <v>6</v>
      </c>
      <c r="B14" s="124" t="s">
        <v>9</v>
      </c>
      <c r="C14" s="107" t="s">
        <v>246</v>
      </c>
      <c r="D14" s="121">
        <f>'Projected TY Revenues'!C11</f>
        <v>2760629037.5469441</v>
      </c>
      <c r="E14" s="122">
        <f>'Projected TY Revenues'!Z11</f>
        <v>349055784.37441713</v>
      </c>
      <c r="F14" s="100">
        <f>+'Prior TY Rate Design'!O13</f>
        <v>2.3509999999999998E-3</v>
      </c>
      <c r="G14" s="100">
        <f>+'Rate Design'!O14</f>
        <v>2.0930000000000002E-3</v>
      </c>
      <c r="H14" s="122">
        <f t="shared" ref="H14:H17" si="1">SUM(G14,-F14)*D14</f>
        <v>-712242.29168711032</v>
      </c>
      <c r="I14" s="263">
        <f t="shared" ref="I14:I18" si="2">H14/SUM(E14,D14*F14)</f>
        <v>-2.0032351513687117E-3</v>
      </c>
    </row>
    <row r="15" spans="1:9" ht="13.2" customHeight="1" x14ac:dyDescent="0.2">
      <c r="A15" s="103">
        <f t="shared" si="0"/>
        <v>7</v>
      </c>
      <c r="B15" s="124" t="s">
        <v>10</v>
      </c>
      <c r="C15" s="107" t="s">
        <v>247</v>
      </c>
      <c r="D15" s="121">
        <f>'Projected TY Revenues'!C12</f>
        <v>2918334800.0424857</v>
      </c>
      <c r="E15" s="122">
        <f>'Projected TY Revenues'!Z12</f>
        <v>358672086.26693016</v>
      </c>
      <c r="F15" s="100">
        <f>+'Prior TY Rate Design'!O14</f>
        <v>2.163E-3</v>
      </c>
      <c r="G15" s="100">
        <f>+'Rate Design'!O15</f>
        <v>1.98E-3</v>
      </c>
      <c r="H15" s="122">
        <f t="shared" si="1"/>
        <v>-534055.26840777486</v>
      </c>
      <c r="I15" s="263">
        <f t="shared" si="2"/>
        <v>-1.4632274787163269E-3</v>
      </c>
    </row>
    <row r="16" spans="1:9" ht="13.2" customHeight="1" x14ac:dyDescent="0.2">
      <c r="A16" s="103">
        <f t="shared" si="0"/>
        <v>8</v>
      </c>
      <c r="B16" s="124" t="s">
        <v>11</v>
      </c>
      <c r="C16" s="107" t="s">
        <v>248</v>
      </c>
      <c r="D16" s="121">
        <f>'Projected TY Revenues'!C13</f>
        <v>1841150784.7064102</v>
      </c>
      <c r="E16" s="122">
        <f>'Projected TY Revenues'!Z13</f>
        <v>208975263.51873627</v>
      </c>
      <c r="F16" s="100">
        <f>+'Prior TY Rate Design'!O15</f>
        <v>1.9169999999999999E-3</v>
      </c>
      <c r="G16" s="100">
        <f>+'Rate Design'!O16</f>
        <v>1.7149999999999999E-3</v>
      </c>
      <c r="H16" s="122">
        <f t="shared" si="1"/>
        <v>-371912.45851069473</v>
      </c>
      <c r="I16" s="263">
        <f t="shared" si="2"/>
        <v>-1.7501371581480931E-3</v>
      </c>
    </row>
    <row r="17" spans="1:9" ht="13.2" customHeight="1" x14ac:dyDescent="0.2">
      <c r="A17" s="103">
        <f t="shared" si="0"/>
        <v>9</v>
      </c>
      <c r="B17" s="288" t="s">
        <v>25</v>
      </c>
      <c r="C17" s="114">
        <v>29</v>
      </c>
      <c r="D17" s="121">
        <f>'Projected TY Revenues'!C14</f>
        <v>15025074.984411309</v>
      </c>
      <c r="E17" s="122">
        <f>'Projected TY Revenues'!Z14</f>
        <v>1633308.1714421981</v>
      </c>
      <c r="F17" s="100">
        <f>+F15</f>
        <v>2.163E-3</v>
      </c>
      <c r="G17" s="100">
        <f>+G15</f>
        <v>1.98E-3</v>
      </c>
      <c r="H17" s="122">
        <f t="shared" si="1"/>
        <v>-2749.5887221472694</v>
      </c>
      <c r="I17" s="263">
        <f t="shared" si="2"/>
        <v>-1.6506042102447205E-3</v>
      </c>
    </row>
    <row r="18" spans="1:9" ht="13.2" customHeight="1" x14ac:dyDescent="0.2">
      <c r="A18" s="103">
        <f t="shared" si="0"/>
        <v>10</v>
      </c>
      <c r="B18" s="287" t="s">
        <v>12</v>
      </c>
      <c r="D18" s="118">
        <f>SUM(D14:D17)</f>
        <v>7535139697.2802515</v>
      </c>
      <c r="E18" s="119">
        <f>SUM(E14:E17)</f>
        <v>918336442.33152568</v>
      </c>
      <c r="F18" s="120">
        <f>SUMPRODUCT(D14:D17,F14:F17)/SUM(D14:D17)</f>
        <v>2.1717689370967996E-3</v>
      </c>
      <c r="G18" s="120">
        <f>SUMPRODUCT(D14:D17,G14:G17)/SUM(D14:D17)</f>
        <v>1.9566488898980993E-3</v>
      </c>
      <c r="H18" s="119">
        <f>SUM(H14:H17)</f>
        <v>-1620959.6073277271</v>
      </c>
      <c r="I18" s="262">
        <f t="shared" si="2"/>
        <v>-1.7342011665308298E-3</v>
      </c>
    </row>
    <row r="19" spans="1:9" ht="13.2" customHeight="1" x14ac:dyDescent="0.2">
      <c r="A19" s="103">
        <f t="shared" si="0"/>
        <v>11</v>
      </c>
      <c r="D19" s="121"/>
      <c r="E19" s="122"/>
      <c r="F19" s="123"/>
      <c r="G19" s="123"/>
      <c r="H19" s="122"/>
      <c r="I19" s="263"/>
    </row>
    <row r="20" spans="1:9" ht="13.2" customHeight="1" x14ac:dyDescent="0.2">
      <c r="A20" s="103">
        <f t="shared" si="0"/>
        <v>12</v>
      </c>
      <c r="B20" s="237" t="s">
        <v>13</v>
      </c>
      <c r="D20" s="121"/>
      <c r="E20" s="122"/>
      <c r="F20" s="123"/>
      <c r="G20" s="123"/>
      <c r="H20" s="122"/>
      <c r="I20" s="263"/>
    </row>
    <row r="21" spans="1:9" ht="13.2" customHeight="1" x14ac:dyDescent="0.2">
      <c r="A21" s="103">
        <f t="shared" si="0"/>
        <v>13</v>
      </c>
      <c r="B21" s="124" t="s">
        <v>22</v>
      </c>
      <c r="C21" s="107" t="s">
        <v>249</v>
      </c>
      <c r="D21" s="121">
        <f>'Projected TY Revenues'!C17</f>
        <v>1333658303.3084397</v>
      </c>
      <c r="E21" s="122">
        <f>'Projected TY Revenues'!Z17</f>
        <v>148198531.88121554</v>
      </c>
      <c r="F21" s="100">
        <f>+'Prior TY Rate Design'!O19</f>
        <v>1.936E-3</v>
      </c>
      <c r="G21" s="123">
        <f>+'Rate Design'!O20</f>
        <v>1.7260000000000001E-3</v>
      </c>
      <c r="H21" s="122">
        <f t="shared" ref="H21:H23" si="3">SUM(G21,-F21)*D21</f>
        <v>-280068.24369477219</v>
      </c>
      <c r="I21" s="263">
        <f t="shared" ref="I21:I24" si="4">H21/SUM(E21,D21*F21)</f>
        <v>-1.8574567280084397E-3</v>
      </c>
    </row>
    <row r="22" spans="1:9" ht="13.2" customHeight="1" x14ac:dyDescent="0.2">
      <c r="A22" s="103">
        <f t="shared" si="0"/>
        <v>14</v>
      </c>
      <c r="B22" s="113" t="s">
        <v>25</v>
      </c>
      <c r="C22" s="114">
        <v>35</v>
      </c>
      <c r="D22" s="121">
        <f>'Projected TY Revenues'!C18</f>
        <v>4706241.1306298776</v>
      </c>
      <c r="E22" s="122">
        <f>'Projected TY Revenues'!Z18</f>
        <v>404692.28306819848</v>
      </c>
      <c r="F22" s="100">
        <f>+F21</f>
        <v>1.936E-3</v>
      </c>
      <c r="G22" s="123">
        <f>+G21</f>
        <v>1.7260000000000001E-3</v>
      </c>
      <c r="H22" s="122">
        <f t="shared" si="3"/>
        <v>-988.31063743227378</v>
      </c>
      <c r="I22" s="263">
        <f t="shared" si="4"/>
        <v>-2.3883569859763864E-3</v>
      </c>
    </row>
    <row r="23" spans="1:9" ht="13.2" customHeight="1" x14ac:dyDescent="0.2">
      <c r="A23" s="103">
        <f t="shared" si="0"/>
        <v>15</v>
      </c>
      <c r="B23" s="288" t="s">
        <v>14</v>
      </c>
      <c r="C23" s="114">
        <v>43</v>
      </c>
      <c r="D23" s="121">
        <f>'Projected TY Revenues'!C19</f>
        <v>121401391.0505466</v>
      </c>
      <c r="E23" s="122">
        <f>'Projected TY Revenues'!Z19</f>
        <v>13786031.262443401</v>
      </c>
      <c r="F23" s="100">
        <f>+'Prior TY Rate Design'!O20</f>
        <v>2.5479999999999999E-3</v>
      </c>
      <c r="G23" s="123">
        <f>+'Rate Design'!O21</f>
        <v>1.529E-3</v>
      </c>
      <c r="H23" s="122">
        <f t="shared" si="3"/>
        <v>-123708.01748050698</v>
      </c>
      <c r="I23" s="263">
        <f t="shared" si="4"/>
        <v>-8.776505166768615E-3</v>
      </c>
    </row>
    <row r="24" spans="1:9" ht="13.2" customHeight="1" x14ac:dyDescent="0.2">
      <c r="A24" s="103">
        <f t="shared" si="0"/>
        <v>16</v>
      </c>
      <c r="B24" s="286" t="s">
        <v>15</v>
      </c>
      <c r="D24" s="118">
        <f>SUM(D21:D23)</f>
        <v>1459765935.4896162</v>
      </c>
      <c r="E24" s="119">
        <f>SUM(E21:E23)</f>
        <v>162389255.42672715</v>
      </c>
      <c r="F24" s="120">
        <f>SUMPRODUCT(D21:D23,F21:F23)/SUM(D21:D23)</f>
        <v>1.9868969619831651E-3</v>
      </c>
      <c r="G24" s="120">
        <f>SUMPRODUCT(D21:D23,G21:G23)/SUM(D21:D23)</f>
        <v>1.7096165007995368E-3</v>
      </c>
      <c r="H24" s="119">
        <f>SUM(H21:H23)</f>
        <v>-404764.57181271142</v>
      </c>
      <c r="I24" s="262">
        <f t="shared" si="4"/>
        <v>-2.4488196780499808E-3</v>
      </c>
    </row>
    <row r="25" spans="1:9" ht="13.2" customHeight="1" x14ac:dyDescent="0.2">
      <c r="A25" s="103">
        <f t="shared" si="0"/>
        <v>17</v>
      </c>
      <c r="D25" s="34"/>
      <c r="E25" s="126"/>
      <c r="F25" s="127"/>
      <c r="G25" s="127"/>
      <c r="H25" s="126"/>
      <c r="I25" s="264"/>
    </row>
    <row r="26" spans="1:9" ht="13.2" customHeight="1" x14ac:dyDescent="0.2">
      <c r="A26" s="103">
        <f t="shared" si="0"/>
        <v>18</v>
      </c>
      <c r="B26" s="287" t="s">
        <v>174</v>
      </c>
      <c r="C26" s="114" t="s">
        <v>178</v>
      </c>
      <c r="D26" s="118">
        <f>'Projected TY Revenues'!$C$28</f>
        <v>289426597.44700003</v>
      </c>
      <c r="E26" s="119">
        <f>'Projected TY Revenues'!$Z$28</f>
        <v>6633983.8705623131</v>
      </c>
      <c r="F26" s="120">
        <f>+'Prior TY Rate Design'!O23</f>
        <v>7.3000000000000007E-4</v>
      </c>
      <c r="G26" s="120">
        <f>+'Rate Design'!O24</f>
        <v>5.1500000000000005E-4</v>
      </c>
      <c r="H26" s="119">
        <f>SUM(G26,-F26)*D26</f>
        <v>-62226.718451105015</v>
      </c>
      <c r="I26" s="262">
        <f>H26/SUM(E26,D26*F26)</f>
        <v>-9.09047580259904E-3</v>
      </c>
    </row>
    <row r="27" spans="1:9" ht="13.2" customHeight="1" x14ac:dyDescent="0.2">
      <c r="A27" s="103">
        <f t="shared" si="0"/>
        <v>19</v>
      </c>
      <c r="D27" s="34"/>
      <c r="E27" s="126"/>
      <c r="F27" s="127"/>
      <c r="G27" s="127"/>
      <c r="H27" s="126"/>
      <c r="I27" s="264"/>
    </row>
    <row r="28" spans="1:9" ht="13.2" customHeight="1" x14ac:dyDescent="0.2">
      <c r="A28" s="103">
        <f t="shared" si="0"/>
        <v>20</v>
      </c>
      <c r="B28" s="237" t="s">
        <v>24</v>
      </c>
      <c r="D28" s="34"/>
      <c r="E28" s="126"/>
      <c r="F28" s="127"/>
      <c r="G28" s="127"/>
      <c r="H28" s="126"/>
      <c r="I28" s="264"/>
    </row>
    <row r="29" spans="1:9" ht="13.2" customHeight="1" x14ac:dyDescent="0.2">
      <c r="A29" s="103">
        <f t="shared" si="0"/>
        <v>21</v>
      </c>
      <c r="B29" s="124" t="s">
        <v>23</v>
      </c>
      <c r="C29" s="114">
        <v>46</v>
      </c>
      <c r="D29" s="121">
        <f>'Projected TY Revenues'!C22</f>
        <v>89534657.209352404</v>
      </c>
      <c r="E29" s="122">
        <f>'Projected TY Revenues'!$Z$22</f>
        <v>7034406.9526320165</v>
      </c>
      <c r="F29" s="123">
        <f>+'Prior TY Rate Design'!O25</f>
        <v>1.4490000000000002E-3</v>
      </c>
      <c r="G29" s="123">
        <f>+'Rate Design'!O26</f>
        <v>9.5E-4</v>
      </c>
      <c r="H29" s="122">
        <f t="shared" ref="H29:H30" si="5">SUM(G29,-F29)*D29</f>
        <v>-44677.793947466867</v>
      </c>
      <c r="I29" s="263">
        <f t="shared" ref="I29:I31" si="6">H29/SUM(E29,D29*F29)</f>
        <v>-6.2363071200084398E-3</v>
      </c>
    </row>
    <row r="30" spans="1:9" ht="13.2" customHeight="1" x14ac:dyDescent="0.2">
      <c r="A30" s="103">
        <f t="shared" si="0"/>
        <v>22</v>
      </c>
      <c r="B30" s="289" t="s">
        <v>22</v>
      </c>
      <c r="C30" s="114">
        <v>49</v>
      </c>
      <c r="D30" s="121">
        <f>'Projected TY Revenues'!C23</f>
        <v>507432186.97467959</v>
      </c>
      <c r="E30" s="122">
        <f>'Projected TY Revenues'!$Z$23</f>
        <v>42122439.487932615</v>
      </c>
      <c r="F30" s="123">
        <f>+F29</f>
        <v>1.4490000000000002E-3</v>
      </c>
      <c r="G30" s="123">
        <f>+G29</f>
        <v>9.5E-4</v>
      </c>
      <c r="H30" s="122">
        <f t="shared" si="5"/>
        <v>-253208.66130036523</v>
      </c>
      <c r="I30" s="263">
        <f t="shared" si="6"/>
        <v>-5.9081240883435129E-3</v>
      </c>
    </row>
    <row r="31" spans="1:9" ht="13.2" customHeight="1" x14ac:dyDescent="0.2">
      <c r="A31" s="103">
        <f t="shared" si="0"/>
        <v>23</v>
      </c>
      <c r="B31" s="287" t="s">
        <v>16</v>
      </c>
      <c r="D31" s="118">
        <f>SUM(D29:D30)</f>
        <v>596966844.18403196</v>
      </c>
      <c r="E31" s="119">
        <f>SUM(E29:E30)</f>
        <v>49156846.440564632</v>
      </c>
      <c r="F31" s="120">
        <f>SUMPRODUCT(D29:D30,F29:F30)/SUM(D29:D30)</f>
        <v>1.4490000000000002E-3</v>
      </c>
      <c r="G31" s="120">
        <f>SUMPRODUCT(D29:D30,G29:G30)/SUM(D29:D30)</f>
        <v>9.5000000000000011E-4</v>
      </c>
      <c r="H31" s="119">
        <f>SUM(H29:H30)</f>
        <v>-297886.45524783211</v>
      </c>
      <c r="I31" s="262">
        <f t="shared" si="6"/>
        <v>-5.955126548175085E-3</v>
      </c>
    </row>
    <row r="32" spans="1:9" ht="13.2" customHeight="1" x14ac:dyDescent="0.2">
      <c r="A32" s="103">
        <f t="shared" si="0"/>
        <v>24</v>
      </c>
      <c r="D32" s="34"/>
      <c r="E32" s="126"/>
      <c r="F32" s="127"/>
      <c r="G32" s="127"/>
      <c r="H32" s="126"/>
      <c r="I32" s="264"/>
    </row>
    <row r="33" spans="1:9" ht="13.2" customHeight="1" x14ac:dyDescent="0.25">
      <c r="A33" s="103">
        <f t="shared" si="0"/>
        <v>25</v>
      </c>
      <c r="B33" s="237" t="s">
        <v>290</v>
      </c>
      <c r="C33" s="114" t="s">
        <v>18</v>
      </c>
      <c r="D33" s="118">
        <f>'Projected TY Revenues'!$C$26</f>
        <v>61936299.716516443</v>
      </c>
      <c r="E33" s="119">
        <f>'Projected TY Revenues'!$Z$26</f>
        <v>19561712.456250757</v>
      </c>
      <c r="F33" s="120">
        <f>+'Prior TY Rate Design'!O27</f>
        <v>8.2880000000000002E-3</v>
      </c>
      <c r="G33" s="120">
        <f>+'Rate Design'!O28</f>
        <v>8.5870000000000009E-3</v>
      </c>
      <c r="H33" s="119">
        <f>SUM(G33,-F33)*D33</f>
        <v>18518.953615238457</v>
      </c>
      <c r="I33" s="262">
        <f>H33/SUM(E33,D33*F33)</f>
        <v>9.2248648801384334E-4</v>
      </c>
    </row>
    <row r="34" spans="1:9" ht="13.2" customHeight="1" x14ac:dyDescent="0.2">
      <c r="A34" s="103">
        <f t="shared" si="0"/>
        <v>26</v>
      </c>
      <c r="C34" s="108"/>
      <c r="D34" s="34"/>
      <c r="E34" s="126"/>
      <c r="F34" s="127"/>
      <c r="G34" s="127"/>
      <c r="H34" s="126"/>
      <c r="I34" s="264"/>
    </row>
    <row r="35" spans="1:9" ht="13.2" customHeight="1" x14ac:dyDescent="0.2">
      <c r="A35" s="103">
        <f t="shared" si="0"/>
        <v>27</v>
      </c>
      <c r="B35" s="286" t="s">
        <v>291</v>
      </c>
      <c r="C35" s="114" t="s">
        <v>75</v>
      </c>
      <c r="D35" s="118">
        <f>'Projected TY Revenues'!C27</f>
        <v>1954952937.6518955</v>
      </c>
      <c r="E35" s="119">
        <f>'Projected TY Revenues'!$Z$27</f>
        <v>12505305.865410633</v>
      </c>
      <c r="F35" s="120">
        <f>+'Prior TY Rate Design'!O29</f>
        <v>1.9000000000000001E-5</v>
      </c>
      <c r="G35" s="120">
        <f>+'Rate Design'!O30</f>
        <v>1.7E-5</v>
      </c>
      <c r="H35" s="119">
        <f>SUM(G35,-F35)*D35</f>
        <v>-3909.9058753037934</v>
      </c>
      <c r="I35" s="262">
        <f t="shared" ref="I35" si="7">H35/SUM(E35,D35*F35)</f>
        <v>-3.1173382268006781E-4</v>
      </c>
    </row>
    <row r="36" spans="1:9" ht="13.2" customHeight="1" x14ac:dyDescent="0.2">
      <c r="A36" s="103">
        <f t="shared" si="0"/>
        <v>28</v>
      </c>
      <c r="D36" s="34"/>
      <c r="E36" s="126"/>
      <c r="F36" s="127"/>
      <c r="G36" s="127"/>
      <c r="H36" s="126"/>
      <c r="I36" s="264"/>
    </row>
    <row r="37" spans="1:9" ht="13.2" customHeight="1" thickBot="1" x14ac:dyDescent="0.25">
      <c r="A37" s="103">
        <f t="shared" si="0"/>
        <v>29</v>
      </c>
      <c r="B37" s="287" t="s">
        <v>19</v>
      </c>
      <c r="D37" s="128">
        <f>SUM(D11,D18,D24,D26,D31,D33,D35)</f>
        <v>22718121536.065468</v>
      </c>
      <c r="E37" s="129">
        <f>SUM(E11,E18,E24,E26,E31,E33,E35)</f>
        <v>2524489203.525382</v>
      </c>
      <c r="F37" s="130">
        <f>'Prior TY Rate Design'!O31</f>
        <v>2.2520000000000001E-3</v>
      </c>
      <c r="G37" s="130">
        <f>(+G11*D11+G18*D18+G24*D24+G26*D26+G31*D31+G33*D33+G35*D35)/D37</f>
        <v>2.059245196280353E-3</v>
      </c>
      <c r="H37" s="129">
        <f>SUM(H11,H18,H24,H26,H31,H33,H35)</f>
        <v>-4383735.8848185269</v>
      </c>
      <c r="I37" s="265">
        <f>H37/SUM(E37,D37*F37)</f>
        <v>-1.7019918007157974E-3</v>
      </c>
    </row>
    <row r="38" spans="1:9" ht="10.8" thickTop="1" x14ac:dyDescent="0.2">
      <c r="A38" s="103"/>
      <c r="D38" s="106">
        <f>D37-'Projected TY Revenues'!$C$30</f>
        <v>0</v>
      </c>
      <c r="E38" s="131">
        <f>'Projected TY Revenues'!$Z$30-E37</f>
        <v>0</v>
      </c>
      <c r="F38" s="127"/>
    </row>
    <row r="39" spans="1:9" x14ac:dyDescent="0.2">
      <c r="A39" s="103"/>
      <c r="B39" s="125"/>
    </row>
    <row r="40" spans="1:9" ht="41.4" customHeight="1" x14ac:dyDescent="0.2">
      <c r="A40" s="103"/>
      <c r="B40" s="291" t="s">
        <v>292</v>
      </c>
      <c r="C40" s="292"/>
      <c r="D40" s="292"/>
      <c r="E40" s="292"/>
      <c r="F40" s="292"/>
      <c r="G40" s="292"/>
      <c r="H40" s="292"/>
      <c r="I40" s="293"/>
    </row>
    <row r="41" spans="1:9" x14ac:dyDescent="0.2">
      <c r="A41" s="108"/>
      <c r="B41" s="275"/>
      <c r="C41" s="275"/>
      <c r="D41" s="275"/>
      <c r="E41" s="275"/>
      <c r="F41" s="275"/>
      <c r="G41" s="275"/>
      <c r="H41" s="275"/>
      <c r="I41" s="276"/>
    </row>
    <row r="42" spans="1:9" x14ac:dyDescent="0.2">
      <c r="B42" s="132"/>
      <c r="C42" s="132"/>
      <c r="D42" s="132"/>
      <c r="E42" s="132"/>
      <c r="F42" s="132"/>
      <c r="G42" s="132"/>
      <c r="H42" s="132"/>
      <c r="I42" s="132"/>
    </row>
    <row r="44" spans="1:9" x14ac:dyDescent="0.2">
      <c r="D44" s="126"/>
    </row>
  </sheetData>
  <mergeCells count="1">
    <mergeCell ref="B40:I40"/>
  </mergeCells>
  <printOptions horizontalCentered="1"/>
  <pageMargins left="0.7" right="0.7" top="0.75" bottom="0.75" header="0.3" footer="0.3"/>
  <pageSetup scale="97" orientation="landscape" r:id="rId1"/>
  <headerFooter alignWithMargins="0">
    <oddFooter>&amp;L&amp;F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0"/>
  <sheetViews>
    <sheetView zoomScaleNormal="100" workbookViewId="0">
      <pane ySplit="8" topLeftCell="A9" activePane="bottomLeft" state="frozen"/>
      <selection activeCell="E44" sqref="E44"/>
      <selection pane="bottomLeft" activeCell="I43" sqref="I43"/>
    </sheetView>
  </sheetViews>
  <sheetFormatPr defaultColWidth="8.6640625" defaultRowHeight="10.199999999999999" x14ac:dyDescent="0.2"/>
  <cols>
    <col min="1" max="1" width="21.5546875" style="45" customWidth="1"/>
    <col min="2" max="2" width="7.6640625" style="45" bestFit="1" customWidth="1"/>
    <col min="3" max="3" width="12.6640625" style="45" bestFit="1" customWidth="1"/>
    <col min="4" max="4" width="9.6640625" style="45" bestFit="1" customWidth="1"/>
    <col min="5" max="5" width="10.33203125" style="45" bestFit="1" customWidth="1"/>
    <col min="6" max="6" width="10" style="45" bestFit="1" customWidth="1"/>
    <col min="7" max="7" width="2" style="45" customWidth="1"/>
    <col min="8" max="8" width="7.109375" style="45" customWidth="1"/>
    <col min="9" max="9" width="9.109375" style="45" bestFit="1" customWidth="1"/>
    <col min="10" max="10" width="7.6640625" style="45" bestFit="1" customWidth="1"/>
    <col min="11" max="11" width="9" style="45" bestFit="1" customWidth="1"/>
    <col min="12" max="13" width="9" style="45" customWidth="1"/>
    <col min="14" max="14" width="4" style="45" customWidth="1"/>
    <col min="15" max="16384" width="8.6640625" style="45"/>
  </cols>
  <sheetData>
    <row r="1" spans="1:18" s="43" customFormat="1" x14ac:dyDescent="0.2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8" s="43" customFormat="1" x14ac:dyDescent="0.2">
      <c r="A2" s="41" t="s">
        <v>62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8" x14ac:dyDescent="0.2">
      <c r="A3" s="238" t="str">
        <f>'Rate Impacts'!A4</f>
        <v>Forecasted Test-Year Ended April 30, 2024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8" x14ac:dyDescent="0.2">
      <c r="A4" s="238" t="str">
        <f>'Rate Impacts'!A5</f>
        <v>Proposed Rate Effective May 1, 2023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8" x14ac:dyDescent="0.2">
      <c r="A5" s="41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7" spans="1:18" x14ac:dyDescent="0.2">
      <c r="C7" s="295" t="s">
        <v>179</v>
      </c>
      <c r="D7" s="295"/>
      <c r="E7" s="295"/>
      <c r="F7" s="295"/>
      <c r="G7" s="46"/>
      <c r="H7" s="295" t="s">
        <v>180</v>
      </c>
      <c r="I7" s="295"/>
      <c r="J7" s="295"/>
      <c r="K7" s="295"/>
      <c r="L7" s="47"/>
      <c r="M7" s="47"/>
      <c r="O7" s="48"/>
      <c r="P7" s="48"/>
      <c r="Q7" s="48"/>
      <c r="R7" s="48"/>
    </row>
    <row r="8" spans="1:18" ht="20.399999999999999" x14ac:dyDescent="0.2">
      <c r="A8" s="49" t="s">
        <v>34</v>
      </c>
      <c r="B8" s="49" t="s">
        <v>61</v>
      </c>
      <c r="C8" s="49" t="s">
        <v>181</v>
      </c>
      <c r="D8" s="49" t="s">
        <v>182</v>
      </c>
      <c r="E8" s="49" t="s">
        <v>183</v>
      </c>
      <c r="F8" s="49" t="s">
        <v>184</v>
      </c>
      <c r="G8" s="46"/>
      <c r="H8" s="49" t="s">
        <v>181</v>
      </c>
      <c r="I8" s="49" t="s">
        <v>182</v>
      </c>
      <c r="J8" s="49" t="s">
        <v>183</v>
      </c>
      <c r="K8" s="49" t="s">
        <v>184</v>
      </c>
      <c r="L8" s="50" t="s">
        <v>185</v>
      </c>
      <c r="M8" s="49" t="s">
        <v>229</v>
      </c>
    </row>
    <row r="9" spans="1:18" x14ac:dyDescent="0.2">
      <c r="A9" s="45" t="s">
        <v>60</v>
      </c>
      <c r="B9" s="51">
        <f t="shared" ref="B9:B20" si="0">ROUND(+E76,0)</f>
        <v>707</v>
      </c>
      <c r="C9" s="1">
        <f t="shared" ref="C9:C20" si="1">ROUND(+$E$29,2)</f>
        <v>7.49</v>
      </c>
      <c r="D9" s="1">
        <f t="shared" ref="D9:D20" si="2">ROUND(IF($B9&gt;600,600*$E$67,$B9*$E$43),2)</f>
        <v>66.739999999999995</v>
      </c>
      <c r="E9" s="1">
        <f t="shared" ref="E9:E20" si="3">ROUND(IF($B9&gt;600,($B9-600)*$E$68,0),2)</f>
        <v>13.98</v>
      </c>
      <c r="F9" s="52">
        <f t="shared" ref="F9:F20" si="4">SUM(C9:E9)</f>
        <v>88.21</v>
      </c>
      <c r="G9" s="46"/>
      <c r="H9" s="1">
        <f t="shared" ref="H9:H20" si="5">ROUND(+$F$29,2)</f>
        <v>7.49</v>
      </c>
      <c r="I9" s="1">
        <f t="shared" ref="I9:I20" si="6">ROUND(IF($B9&gt;600,600*$F$67,$B9*$F$43),2)</f>
        <v>66.62</v>
      </c>
      <c r="J9" s="1">
        <f t="shared" ref="J9:J20" si="7">ROUND(IF($B9&gt;600,($B9-600)*$F$68,0),2)</f>
        <v>13.96</v>
      </c>
      <c r="K9" s="52">
        <f t="shared" ref="K9:K20" si="8">SUM(H9:J9)</f>
        <v>88.07</v>
      </c>
      <c r="L9" s="52">
        <f t="shared" ref="L9:L20" si="9">+K9-F9</f>
        <v>-0.14000000000000057</v>
      </c>
      <c r="M9" s="53">
        <f t="shared" ref="M9:M20" si="10">+L9/F9</f>
        <v>-1.5871216415372473E-3</v>
      </c>
    </row>
    <row r="10" spans="1:18" x14ac:dyDescent="0.2">
      <c r="A10" s="45" t="s">
        <v>59</v>
      </c>
      <c r="B10" s="51">
        <f t="shared" si="0"/>
        <v>641</v>
      </c>
      <c r="C10" s="1">
        <f t="shared" si="1"/>
        <v>7.49</v>
      </c>
      <c r="D10" s="1">
        <f t="shared" si="2"/>
        <v>66.739999999999995</v>
      </c>
      <c r="E10" s="1">
        <f t="shared" si="3"/>
        <v>5.36</v>
      </c>
      <c r="F10" s="52">
        <f t="shared" si="4"/>
        <v>79.589999999999989</v>
      </c>
      <c r="G10" s="46"/>
      <c r="H10" s="1">
        <f t="shared" si="5"/>
        <v>7.49</v>
      </c>
      <c r="I10" s="1">
        <f t="shared" si="6"/>
        <v>66.62</v>
      </c>
      <c r="J10" s="1">
        <f t="shared" si="7"/>
        <v>5.35</v>
      </c>
      <c r="K10" s="52">
        <f t="shared" si="8"/>
        <v>79.459999999999994</v>
      </c>
      <c r="L10" s="52">
        <f t="shared" si="9"/>
        <v>-0.12999999999999545</v>
      </c>
      <c r="M10" s="53">
        <f t="shared" si="10"/>
        <v>-1.6333710265108113E-3</v>
      </c>
    </row>
    <row r="11" spans="1:18" x14ac:dyDescent="0.2">
      <c r="A11" s="45" t="s">
        <v>58</v>
      </c>
      <c r="B11" s="51">
        <f t="shared" si="0"/>
        <v>660</v>
      </c>
      <c r="C11" s="1">
        <f t="shared" si="1"/>
        <v>7.49</v>
      </c>
      <c r="D11" s="1">
        <f t="shared" si="2"/>
        <v>66.739999999999995</v>
      </c>
      <c r="E11" s="1">
        <f t="shared" si="3"/>
        <v>7.84</v>
      </c>
      <c r="F11" s="52">
        <f t="shared" si="4"/>
        <v>82.07</v>
      </c>
      <c r="G11" s="46"/>
      <c r="H11" s="1">
        <f t="shared" si="5"/>
        <v>7.49</v>
      </c>
      <c r="I11" s="1">
        <f t="shared" si="6"/>
        <v>66.62</v>
      </c>
      <c r="J11" s="1">
        <f t="shared" si="7"/>
        <v>7.83</v>
      </c>
      <c r="K11" s="52">
        <f t="shared" si="8"/>
        <v>81.94</v>
      </c>
      <c r="L11" s="52">
        <f t="shared" si="9"/>
        <v>-0.12999999999999545</v>
      </c>
      <c r="M11" s="53">
        <f t="shared" si="10"/>
        <v>-1.5840136468867486E-3</v>
      </c>
    </row>
    <row r="12" spans="1:18" x14ac:dyDescent="0.2">
      <c r="A12" s="45" t="s">
        <v>57</v>
      </c>
      <c r="B12" s="51">
        <f t="shared" si="0"/>
        <v>673</v>
      </c>
      <c r="C12" s="1">
        <f t="shared" si="1"/>
        <v>7.49</v>
      </c>
      <c r="D12" s="1">
        <f t="shared" si="2"/>
        <v>66.739999999999995</v>
      </c>
      <c r="E12" s="1">
        <f t="shared" si="3"/>
        <v>9.5399999999999991</v>
      </c>
      <c r="F12" s="52">
        <f t="shared" si="4"/>
        <v>83.769999999999982</v>
      </c>
      <c r="G12" s="46"/>
      <c r="H12" s="1">
        <f t="shared" si="5"/>
        <v>7.49</v>
      </c>
      <c r="I12" s="1">
        <f t="shared" si="6"/>
        <v>66.62</v>
      </c>
      <c r="J12" s="1">
        <f t="shared" si="7"/>
        <v>9.52</v>
      </c>
      <c r="K12" s="52">
        <f t="shared" si="8"/>
        <v>83.63</v>
      </c>
      <c r="L12" s="52">
        <f t="shared" si="9"/>
        <v>-0.13999999999998636</v>
      </c>
      <c r="M12" s="53">
        <f t="shared" si="10"/>
        <v>-1.6712426883130761E-3</v>
      </c>
    </row>
    <row r="13" spans="1:18" x14ac:dyDescent="0.2">
      <c r="A13" s="45" t="s">
        <v>56</v>
      </c>
      <c r="B13" s="51">
        <f t="shared" si="0"/>
        <v>640</v>
      </c>
      <c r="C13" s="1">
        <f t="shared" si="1"/>
        <v>7.49</v>
      </c>
      <c r="D13" s="1">
        <f t="shared" si="2"/>
        <v>66.739999999999995</v>
      </c>
      <c r="E13" s="1">
        <f t="shared" si="3"/>
        <v>5.23</v>
      </c>
      <c r="F13" s="52">
        <f t="shared" si="4"/>
        <v>79.459999999999994</v>
      </c>
      <c r="G13" s="46"/>
      <c r="H13" s="1">
        <f t="shared" si="5"/>
        <v>7.49</v>
      </c>
      <c r="I13" s="1">
        <f t="shared" si="6"/>
        <v>66.62</v>
      </c>
      <c r="J13" s="1">
        <f t="shared" si="7"/>
        <v>5.22</v>
      </c>
      <c r="K13" s="52">
        <f t="shared" si="8"/>
        <v>79.33</v>
      </c>
      <c r="L13" s="52">
        <f t="shared" si="9"/>
        <v>-0.12999999999999545</v>
      </c>
      <c r="M13" s="53">
        <f t="shared" si="10"/>
        <v>-1.6360432922224448E-3</v>
      </c>
    </row>
    <row r="14" spans="1:18" x14ac:dyDescent="0.2">
      <c r="A14" s="45" t="s">
        <v>55</v>
      </c>
      <c r="B14" s="51">
        <f t="shared" si="0"/>
        <v>759</v>
      </c>
      <c r="C14" s="1">
        <f t="shared" si="1"/>
        <v>7.49</v>
      </c>
      <c r="D14" s="1">
        <f t="shared" si="2"/>
        <v>66.739999999999995</v>
      </c>
      <c r="E14" s="1">
        <f t="shared" si="3"/>
        <v>20.77</v>
      </c>
      <c r="F14" s="52">
        <f t="shared" si="4"/>
        <v>94.999999999999986</v>
      </c>
      <c r="G14" s="46"/>
      <c r="H14" s="1">
        <f t="shared" si="5"/>
        <v>7.49</v>
      </c>
      <c r="I14" s="1">
        <f t="shared" si="6"/>
        <v>66.62</v>
      </c>
      <c r="J14" s="1">
        <f t="shared" si="7"/>
        <v>20.74</v>
      </c>
      <c r="K14" s="52">
        <f t="shared" si="8"/>
        <v>94.85</v>
      </c>
      <c r="L14" s="52">
        <f t="shared" si="9"/>
        <v>-0.14999999999999147</v>
      </c>
      <c r="M14" s="53">
        <f t="shared" si="10"/>
        <v>-1.578947368420963E-3</v>
      </c>
    </row>
    <row r="15" spans="1:18" x14ac:dyDescent="0.2">
      <c r="A15" s="45" t="s">
        <v>54</v>
      </c>
      <c r="B15" s="51">
        <f t="shared" si="0"/>
        <v>971</v>
      </c>
      <c r="C15" s="1">
        <f t="shared" si="1"/>
        <v>7.49</v>
      </c>
      <c r="D15" s="1">
        <f t="shared" si="2"/>
        <v>66.739999999999995</v>
      </c>
      <c r="E15" s="1">
        <f t="shared" si="3"/>
        <v>48.47</v>
      </c>
      <c r="F15" s="52">
        <f t="shared" si="4"/>
        <v>122.69999999999999</v>
      </c>
      <c r="G15" s="46"/>
      <c r="H15" s="1">
        <f t="shared" si="5"/>
        <v>7.49</v>
      </c>
      <c r="I15" s="1">
        <f t="shared" si="6"/>
        <v>66.62</v>
      </c>
      <c r="J15" s="1">
        <f t="shared" si="7"/>
        <v>48.4</v>
      </c>
      <c r="K15" s="52">
        <f t="shared" si="8"/>
        <v>122.50999999999999</v>
      </c>
      <c r="L15" s="52">
        <f t="shared" si="9"/>
        <v>-0.18999999999999773</v>
      </c>
      <c r="M15" s="53">
        <f t="shared" si="10"/>
        <v>-1.548492257538694E-3</v>
      </c>
    </row>
    <row r="16" spans="1:18" x14ac:dyDescent="0.2">
      <c r="A16" s="45" t="s">
        <v>53</v>
      </c>
      <c r="B16" s="51">
        <f t="shared" si="0"/>
        <v>1079</v>
      </c>
      <c r="C16" s="1">
        <f t="shared" si="1"/>
        <v>7.49</v>
      </c>
      <c r="D16" s="1">
        <f t="shared" si="2"/>
        <v>66.739999999999995</v>
      </c>
      <c r="E16" s="1">
        <f t="shared" si="3"/>
        <v>62.58</v>
      </c>
      <c r="F16" s="52">
        <f t="shared" si="4"/>
        <v>136.81</v>
      </c>
      <c r="G16" s="46"/>
      <c r="H16" s="1">
        <f t="shared" si="5"/>
        <v>7.49</v>
      </c>
      <c r="I16" s="1">
        <f t="shared" si="6"/>
        <v>66.62</v>
      </c>
      <c r="J16" s="1">
        <f t="shared" si="7"/>
        <v>62.49</v>
      </c>
      <c r="K16" s="52">
        <f t="shared" si="8"/>
        <v>136.6</v>
      </c>
      <c r="L16" s="52">
        <f t="shared" si="9"/>
        <v>-0.21000000000000796</v>
      </c>
      <c r="M16" s="53">
        <f t="shared" si="10"/>
        <v>-1.5349755134859144E-3</v>
      </c>
    </row>
    <row r="17" spans="1:13" x14ac:dyDescent="0.2">
      <c r="A17" s="45" t="s">
        <v>52</v>
      </c>
      <c r="B17" s="51">
        <f t="shared" si="0"/>
        <v>1093</v>
      </c>
      <c r="C17" s="1">
        <f t="shared" si="1"/>
        <v>7.49</v>
      </c>
      <c r="D17" s="1">
        <f t="shared" si="2"/>
        <v>66.739999999999995</v>
      </c>
      <c r="E17" s="1">
        <f t="shared" si="3"/>
        <v>64.41</v>
      </c>
      <c r="F17" s="52">
        <f t="shared" si="4"/>
        <v>138.63999999999999</v>
      </c>
      <c r="G17" s="46"/>
      <c r="H17" s="1">
        <f t="shared" si="5"/>
        <v>7.49</v>
      </c>
      <c r="I17" s="1">
        <f t="shared" si="6"/>
        <v>66.62</v>
      </c>
      <c r="J17" s="1">
        <f t="shared" si="7"/>
        <v>64.319999999999993</v>
      </c>
      <c r="K17" s="52">
        <f t="shared" si="8"/>
        <v>138.43</v>
      </c>
      <c r="L17" s="52">
        <f t="shared" si="9"/>
        <v>-0.20999999999997954</v>
      </c>
      <c r="M17" s="53">
        <f t="shared" si="10"/>
        <v>-1.5147143681475733E-3</v>
      </c>
    </row>
    <row r="18" spans="1:13" x14ac:dyDescent="0.2">
      <c r="A18" s="45" t="s">
        <v>51</v>
      </c>
      <c r="B18" s="51">
        <f t="shared" si="0"/>
        <v>957</v>
      </c>
      <c r="C18" s="1">
        <f t="shared" si="1"/>
        <v>7.49</v>
      </c>
      <c r="D18" s="1">
        <f t="shared" si="2"/>
        <v>66.739999999999995</v>
      </c>
      <c r="E18" s="1">
        <f t="shared" si="3"/>
        <v>46.64</v>
      </c>
      <c r="F18" s="52">
        <f t="shared" si="4"/>
        <v>120.86999999999999</v>
      </c>
      <c r="G18" s="46"/>
      <c r="H18" s="1">
        <f t="shared" si="5"/>
        <v>7.49</v>
      </c>
      <c r="I18" s="1">
        <f t="shared" si="6"/>
        <v>66.62</v>
      </c>
      <c r="J18" s="1">
        <f t="shared" si="7"/>
        <v>46.57</v>
      </c>
      <c r="K18" s="52">
        <f t="shared" si="8"/>
        <v>120.68</v>
      </c>
      <c r="L18" s="52">
        <f t="shared" si="9"/>
        <v>-0.18999999999998352</v>
      </c>
      <c r="M18" s="53">
        <f t="shared" si="10"/>
        <v>-1.5719367915941387E-3</v>
      </c>
    </row>
    <row r="19" spans="1:13" x14ac:dyDescent="0.2">
      <c r="A19" s="45" t="s">
        <v>50</v>
      </c>
      <c r="B19" s="51">
        <f t="shared" si="0"/>
        <v>944</v>
      </c>
      <c r="C19" s="1">
        <f t="shared" si="1"/>
        <v>7.49</v>
      </c>
      <c r="D19" s="1">
        <f t="shared" si="2"/>
        <v>66.739999999999995</v>
      </c>
      <c r="E19" s="1">
        <f t="shared" si="3"/>
        <v>44.94</v>
      </c>
      <c r="F19" s="52">
        <f t="shared" si="4"/>
        <v>119.16999999999999</v>
      </c>
      <c r="G19" s="46"/>
      <c r="H19" s="1">
        <f t="shared" si="5"/>
        <v>7.49</v>
      </c>
      <c r="I19" s="1">
        <f t="shared" si="6"/>
        <v>66.62</v>
      </c>
      <c r="J19" s="1">
        <f t="shared" si="7"/>
        <v>44.88</v>
      </c>
      <c r="K19" s="52">
        <f t="shared" si="8"/>
        <v>118.99000000000001</v>
      </c>
      <c r="L19" s="52">
        <f t="shared" si="9"/>
        <v>-0.1799999999999784</v>
      </c>
      <c r="M19" s="53">
        <f t="shared" si="10"/>
        <v>-1.5104472602163164E-3</v>
      </c>
    </row>
    <row r="20" spans="1:13" x14ac:dyDescent="0.2">
      <c r="A20" s="45" t="s">
        <v>49</v>
      </c>
      <c r="B20" s="51">
        <f t="shared" si="0"/>
        <v>842</v>
      </c>
      <c r="C20" s="1">
        <f t="shared" si="1"/>
        <v>7.49</v>
      </c>
      <c r="D20" s="1">
        <f t="shared" si="2"/>
        <v>66.739999999999995</v>
      </c>
      <c r="E20" s="1">
        <f t="shared" si="3"/>
        <v>31.62</v>
      </c>
      <c r="F20" s="52">
        <f t="shared" si="4"/>
        <v>105.85</v>
      </c>
      <c r="G20" s="46"/>
      <c r="H20" s="1">
        <f t="shared" si="5"/>
        <v>7.49</v>
      </c>
      <c r="I20" s="1">
        <f t="shared" si="6"/>
        <v>66.62</v>
      </c>
      <c r="J20" s="1">
        <f t="shared" si="7"/>
        <v>31.57</v>
      </c>
      <c r="K20" s="52">
        <f t="shared" si="8"/>
        <v>105.68</v>
      </c>
      <c r="L20" s="52">
        <f t="shared" si="9"/>
        <v>-0.16999999999998749</v>
      </c>
      <c r="M20" s="53">
        <f t="shared" si="10"/>
        <v>-1.6060462919224138E-3</v>
      </c>
    </row>
    <row r="21" spans="1:13" x14ac:dyDescent="0.2">
      <c r="C21" s="1"/>
      <c r="G21" s="46"/>
      <c r="H21" s="1"/>
      <c r="M21" s="53"/>
    </row>
    <row r="22" spans="1:13" ht="10.8" thickBot="1" x14ac:dyDescent="0.25">
      <c r="A22" s="54" t="s">
        <v>48</v>
      </c>
      <c r="B22" s="55">
        <f>SUM(B9:B21)</f>
        <v>9966</v>
      </c>
      <c r="C22" s="2">
        <f>SUM(C9:C21)</f>
        <v>89.88</v>
      </c>
      <c r="D22" s="2">
        <f>SUM(D9:D21)</f>
        <v>800.88</v>
      </c>
      <c r="E22" s="2">
        <f>SUM(E9:E21)</f>
        <v>361.38</v>
      </c>
      <c r="F22" s="2">
        <f>SUM(F9:F21)</f>
        <v>1252.1399999999999</v>
      </c>
      <c r="G22" s="46"/>
      <c r="H22" s="2">
        <f>SUM(H9:H21)</f>
        <v>89.88</v>
      </c>
      <c r="I22" s="2">
        <f>SUM(I9:I21)</f>
        <v>799.44</v>
      </c>
      <c r="J22" s="2">
        <f>SUM(J9:J21)</f>
        <v>360.84999999999997</v>
      </c>
      <c r="K22" s="2">
        <f>SUM(K9:K21)</f>
        <v>1250.17</v>
      </c>
      <c r="L22" s="2">
        <f>+K22-F22</f>
        <v>-1.9699999999997999</v>
      </c>
      <c r="M22" s="56">
        <f>+L22/F22</f>
        <v>-1.5733064992730845E-3</v>
      </c>
    </row>
    <row r="23" spans="1:13" ht="10.8" thickTop="1" x14ac:dyDescent="0.2">
      <c r="G23" s="46"/>
      <c r="M23" s="53"/>
    </row>
    <row r="24" spans="1:13" ht="10.8" thickBot="1" x14ac:dyDescent="0.25">
      <c r="A24" s="57" t="s">
        <v>186</v>
      </c>
      <c r="B24" s="28">
        <f>ROUND(AVERAGE(B9:B20),-2)</f>
        <v>800</v>
      </c>
      <c r="C24" s="58">
        <f>ROUND(+$E$29,2)</f>
        <v>7.49</v>
      </c>
      <c r="D24" s="58">
        <f>ROUND(IF($B24&gt;600,600*$E$67,$B24*$E$43),2)</f>
        <v>66.739999999999995</v>
      </c>
      <c r="E24" s="58">
        <f>ROUND(IF($B24&gt;600,($B24-600)*$E$68,0),2)</f>
        <v>26.13</v>
      </c>
      <c r="F24" s="58">
        <f>SUM(C24:E24)</f>
        <v>100.35999999999999</v>
      </c>
      <c r="G24" s="46"/>
      <c r="H24" s="58">
        <f>ROUND(+$F$29,2)</f>
        <v>7.49</v>
      </c>
      <c r="I24" s="58">
        <f>ROUND(IF($B24&gt;600,600*$F$67,$B24*$F$43),2)</f>
        <v>66.62</v>
      </c>
      <c r="J24" s="58">
        <f>ROUND(IF($B24&gt;600,($B24-600)*$F$68,0),2)</f>
        <v>26.09</v>
      </c>
      <c r="K24" s="58">
        <f>SUM(H24:J24)</f>
        <v>100.2</v>
      </c>
      <c r="L24" s="58">
        <f>+K24-F24</f>
        <v>-0.15999999999998238</v>
      </c>
      <c r="M24" s="56">
        <f>+L24/F24</f>
        <v>-1.5942606616179992E-3</v>
      </c>
    </row>
    <row r="25" spans="1:13" ht="11.4" thickTop="1" thickBot="1" x14ac:dyDescent="0.25">
      <c r="A25" s="59" t="s">
        <v>186</v>
      </c>
      <c r="B25" s="60">
        <v>1000</v>
      </c>
      <c r="C25" s="58">
        <f>ROUND(+$E$29,2)</f>
        <v>7.49</v>
      </c>
      <c r="D25" s="58">
        <f>ROUND(IF($B25&gt;600,600*$E$67,$B25*$E$43),2)</f>
        <v>66.739999999999995</v>
      </c>
      <c r="E25" s="58">
        <f>ROUND(IF($B25&gt;600,($B25-600)*$E$68,0),2)</f>
        <v>52.26</v>
      </c>
      <c r="F25" s="58">
        <f>SUM(C25:E25)</f>
        <v>126.48999999999998</v>
      </c>
      <c r="G25" s="46"/>
      <c r="H25" s="58">
        <f>ROUND(+$F$29,2)</f>
        <v>7.49</v>
      </c>
      <c r="I25" s="58">
        <f>ROUND(IF($B25&gt;600,600*$F$67,$B25*$F$43),2)</f>
        <v>66.62</v>
      </c>
      <c r="J25" s="58">
        <f>ROUND(IF($B25&gt;600,($B25-600)*$F$68,0),2)</f>
        <v>52.18</v>
      </c>
      <c r="K25" s="58">
        <f>SUM(H25:J25)</f>
        <v>126.28999999999999</v>
      </c>
      <c r="L25" s="58">
        <f>+K25-F25</f>
        <v>-0.19999999999998863</v>
      </c>
      <c r="M25" s="56">
        <f>+L25/F25</f>
        <v>-1.5811526602892614E-3</v>
      </c>
    </row>
    <row r="26" spans="1:13" ht="10.8" thickTop="1" x14ac:dyDescent="0.2"/>
    <row r="27" spans="1:13" ht="40.799999999999997" x14ac:dyDescent="0.2">
      <c r="A27" s="61" t="s">
        <v>85</v>
      </c>
      <c r="B27" s="62"/>
      <c r="C27" s="62"/>
      <c r="D27" s="62"/>
      <c r="E27" s="63" t="s">
        <v>293</v>
      </c>
      <c r="F27" s="64" t="s">
        <v>294</v>
      </c>
    </row>
    <row r="28" spans="1:13" x14ac:dyDescent="0.2">
      <c r="A28" s="296" t="s">
        <v>47</v>
      </c>
      <c r="B28" s="296"/>
      <c r="C28" s="296"/>
      <c r="D28" s="296"/>
      <c r="E28" s="65"/>
      <c r="F28" s="65"/>
    </row>
    <row r="29" spans="1:13" x14ac:dyDescent="0.2">
      <c r="A29" s="294" t="s">
        <v>86</v>
      </c>
      <c r="B29" s="294"/>
      <c r="C29" s="294"/>
      <c r="D29" s="294"/>
      <c r="E29" s="66">
        <v>7.49</v>
      </c>
      <c r="F29" s="67">
        <f>E29</f>
        <v>7.49</v>
      </c>
      <c r="G29" s="6" t="s">
        <v>38</v>
      </c>
      <c r="H29" s="6"/>
    </row>
    <row r="30" spans="1:13" ht="10.8" thickBot="1" x14ac:dyDescent="0.25">
      <c r="A30" s="297" t="s">
        <v>76</v>
      </c>
      <c r="B30" s="297"/>
      <c r="C30" s="297"/>
      <c r="D30" s="297"/>
      <c r="E30" s="68">
        <f>SUM(E29)</f>
        <v>7.49</v>
      </c>
      <c r="F30" s="68">
        <f>SUM(F29:F29)</f>
        <v>7.49</v>
      </c>
    </row>
    <row r="31" spans="1:13" ht="10.8" thickTop="1" x14ac:dyDescent="0.2">
      <c r="A31" s="296" t="s">
        <v>46</v>
      </c>
      <c r="B31" s="296"/>
      <c r="C31" s="296"/>
      <c r="D31" s="296"/>
      <c r="E31" s="69"/>
      <c r="F31" s="69"/>
    </row>
    <row r="32" spans="1:13" x14ac:dyDescent="0.2">
      <c r="A32" s="294" t="s">
        <v>45</v>
      </c>
      <c r="B32" s="294"/>
      <c r="C32" s="294"/>
      <c r="D32" s="294"/>
      <c r="E32" s="70">
        <v>8.9437000000000003E-2</v>
      </c>
      <c r="F32" s="71">
        <f>E32</f>
        <v>8.9437000000000003E-2</v>
      </c>
      <c r="G32" s="6" t="s">
        <v>77</v>
      </c>
      <c r="H32" s="6"/>
    </row>
    <row r="33" spans="1:8" x14ac:dyDescent="0.2">
      <c r="A33" s="294" t="s">
        <v>40</v>
      </c>
      <c r="B33" s="294"/>
      <c r="C33" s="294"/>
      <c r="D33" s="294"/>
      <c r="E33" s="72">
        <v>2.6870000000000002E-3</v>
      </c>
      <c r="F33" s="71">
        <f>E33</f>
        <v>2.6870000000000002E-3</v>
      </c>
      <c r="G33" s="6" t="s">
        <v>77</v>
      </c>
      <c r="H33" s="6"/>
    </row>
    <row r="34" spans="1:8" s="6" customFormat="1" x14ac:dyDescent="0.2">
      <c r="A34" s="298" t="s">
        <v>39</v>
      </c>
      <c r="B34" s="298"/>
      <c r="C34" s="298"/>
      <c r="D34" s="298"/>
      <c r="E34" s="98">
        <f>'Prior TY Rate Design'!O9</f>
        <v>2.7980000000000001E-3</v>
      </c>
      <c r="F34" s="98">
        <f>'Rate Impacts'!G10</f>
        <v>2.6120000000000002E-3</v>
      </c>
      <c r="G34" s="6" t="s">
        <v>77</v>
      </c>
    </row>
    <row r="35" spans="1:8" s="6" customFormat="1" x14ac:dyDescent="0.2">
      <c r="A35" s="294" t="s">
        <v>230</v>
      </c>
      <c r="B35" s="294"/>
      <c r="C35" s="294"/>
      <c r="D35" s="294"/>
      <c r="E35" s="72">
        <v>1.828E-3</v>
      </c>
      <c r="F35" s="71">
        <f t="shared" ref="F35:F42" si="11">E35</f>
        <v>1.828E-3</v>
      </c>
      <c r="G35" s="6" t="s">
        <v>77</v>
      </c>
    </row>
    <row r="36" spans="1:8" s="6" customFormat="1" x14ac:dyDescent="0.2">
      <c r="A36" s="294" t="s">
        <v>231</v>
      </c>
      <c r="B36" s="294"/>
      <c r="C36" s="294"/>
      <c r="D36" s="294"/>
      <c r="E36" s="72">
        <v>2.6689999999999999E-3</v>
      </c>
      <c r="F36" s="71">
        <f t="shared" si="11"/>
        <v>2.6689999999999999E-3</v>
      </c>
      <c r="G36" s="6" t="s">
        <v>77</v>
      </c>
    </row>
    <row r="37" spans="1:8" s="6" customFormat="1" x14ac:dyDescent="0.2">
      <c r="A37" s="294" t="s">
        <v>232</v>
      </c>
      <c r="B37" s="294"/>
      <c r="C37" s="294"/>
      <c r="D37" s="294"/>
      <c r="E37" s="72">
        <v>1.0007E-2</v>
      </c>
      <c r="F37" s="71">
        <f t="shared" si="11"/>
        <v>1.0007E-2</v>
      </c>
      <c r="G37" s="6" t="s">
        <v>77</v>
      </c>
    </row>
    <row r="38" spans="1:8" s="6" customFormat="1" x14ac:dyDescent="0.2">
      <c r="A38" s="294" t="s">
        <v>233</v>
      </c>
      <c r="B38" s="294"/>
      <c r="C38" s="294"/>
      <c r="D38" s="294"/>
      <c r="E38" s="72">
        <v>5.0289999999999996E-3</v>
      </c>
      <c r="F38" s="71">
        <f t="shared" si="11"/>
        <v>5.0289999999999996E-3</v>
      </c>
      <c r="G38" s="6" t="s">
        <v>77</v>
      </c>
    </row>
    <row r="39" spans="1:8" s="6" customFormat="1" x14ac:dyDescent="0.2">
      <c r="A39" s="294" t="s">
        <v>234</v>
      </c>
      <c r="B39" s="294"/>
      <c r="C39" s="294"/>
      <c r="D39" s="294"/>
      <c r="E39" s="72">
        <v>3.19E-4</v>
      </c>
      <c r="F39" s="71">
        <f t="shared" si="11"/>
        <v>3.19E-4</v>
      </c>
      <c r="G39" s="6" t="s">
        <v>77</v>
      </c>
    </row>
    <row r="40" spans="1:8" s="6" customFormat="1" x14ac:dyDescent="0.2">
      <c r="A40" s="294" t="s">
        <v>187</v>
      </c>
      <c r="B40" s="294"/>
      <c r="C40" s="294"/>
      <c r="D40" s="294"/>
      <c r="E40" s="72">
        <v>-8.8400000000000002E-4</v>
      </c>
      <c r="F40" s="71">
        <f t="shared" si="11"/>
        <v>-8.8400000000000002E-4</v>
      </c>
      <c r="G40" s="6" t="s">
        <v>77</v>
      </c>
    </row>
    <row r="41" spans="1:8" s="6" customFormat="1" x14ac:dyDescent="0.2">
      <c r="A41" s="294" t="s">
        <v>37</v>
      </c>
      <c r="B41" s="294"/>
      <c r="C41" s="294"/>
      <c r="D41" s="294"/>
      <c r="E41" s="72">
        <v>-3.0829999999999998E-3</v>
      </c>
      <c r="F41" s="71">
        <f t="shared" si="11"/>
        <v>-3.0829999999999998E-3</v>
      </c>
      <c r="G41" s="6" t="s">
        <v>77</v>
      </c>
    </row>
    <row r="42" spans="1:8" s="6" customFormat="1" x14ac:dyDescent="0.2">
      <c r="A42" s="294" t="s">
        <v>188</v>
      </c>
      <c r="B42" s="294"/>
      <c r="C42" s="294"/>
      <c r="D42" s="294"/>
      <c r="E42" s="72">
        <v>0</v>
      </c>
      <c r="F42" s="71">
        <f t="shared" si="11"/>
        <v>0</v>
      </c>
      <c r="G42" s="6" t="s">
        <v>77</v>
      </c>
    </row>
    <row r="43" spans="1:8" s="6" customFormat="1" ht="10.8" thickBot="1" x14ac:dyDescent="0.25">
      <c r="A43" s="299" t="s">
        <v>78</v>
      </c>
      <c r="B43" s="299"/>
      <c r="C43" s="299"/>
      <c r="D43" s="299"/>
      <c r="E43" s="73">
        <f>SUM(E32:E42)</f>
        <v>0.110807</v>
      </c>
      <c r="F43" s="73">
        <f>SUM(F32:F42)</f>
        <v>0.11062100000000001</v>
      </c>
      <c r="G43" s="6" t="s">
        <v>77</v>
      </c>
    </row>
    <row r="44" spans="1:8" s="6" customFormat="1" ht="10.8" thickTop="1" x14ac:dyDescent="0.2">
      <c r="A44" s="300"/>
      <c r="B44" s="300"/>
      <c r="C44" s="300"/>
      <c r="D44" s="300"/>
      <c r="E44" s="71"/>
      <c r="F44" s="71"/>
    </row>
    <row r="45" spans="1:8" s="6" customFormat="1" x14ac:dyDescent="0.2">
      <c r="A45" s="300" t="s">
        <v>44</v>
      </c>
      <c r="B45" s="300"/>
      <c r="C45" s="300"/>
      <c r="D45" s="300"/>
      <c r="E45" s="74">
        <v>0.10885400000000001</v>
      </c>
      <c r="F45" s="71">
        <f>E45</f>
        <v>0.10885400000000001</v>
      </c>
      <c r="G45" s="6" t="s">
        <v>77</v>
      </c>
    </row>
    <row r="46" spans="1:8" s="6" customFormat="1" x14ac:dyDescent="0.2">
      <c r="A46" s="294" t="s">
        <v>40</v>
      </c>
      <c r="B46" s="294"/>
      <c r="C46" s="294"/>
      <c r="D46" s="294"/>
      <c r="E46" s="71">
        <f t="shared" ref="E46:E55" si="12">+E33</f>
        <v>2.6870000000000002E-3</v>
      </c>
      <c r="F46" s="71">
        <f t="shared" ref="F46:F55" si="13">F33</f>
        <v>2.6870000000000002E-3</v>
      </c>
      <c r="G46" s="6" t="s">
        <v>77</v>
      </c>
    </row>
    <row r="47" spans="1:8" s="6" customFormat="1" x14ac:dyDescent="0.2">
      <c r="A47" s="298" t="s">
        <v>39</v>
      </c>
      <c r="B47" s="298"/>
      <c r="C47" s="298"/>
      <c r="D47" s="298"/>
      <c r="E47" s="99">
        <f t="shared" si="12"/>
        <v>2.7980000000000001E-3</v>
      </c>
      <c r="F47" s="99">
        <f t="shared" si="13"/>
        <v>2.6120000000000002E-3</v>
      </c>
      <c r="G47" s="6" t="s">
        <v>77</v>
      </c>
    </row>
    <row r="48" spans="1:8" s="6" customFormat="1" x14ac:dyDescent="0.2">
      <c r="A48" s="294" t="s">
        <v>230</v>
      </c>
      <c r="B48" s="294"/>
      <c r="C48" s="294"/>
      <c r="D48" s="294"/>
      <c r="E48" s="71">
        <f t="shared" si="12"/>
        <v>1.828E-3</v>
      </c>
      <c r="F48" s="71">
        <f t="shared" si="13"/>
        <v>1.828E-3</v>
      </c>
      <c r="G48" s="6" t="s">
        <v>77</v>
      </c>
    </row>
    <row r="49" spans="1:7" s="6" customFormat="1" x14ac:dyDescent="0.2">
      <c r="A49" s="294" t="s">
        <v>231</v>
      </c>
      <c r="B49" s="294"/>
      <c r="C49" s="294"/>
      <c r="D49" s="294"/>
      <c r="E49" s="71">
        <f t="shared" si="12"/>
        <v>2.6689999999999999E-3</v>
      </c>
      <c r="F49" s="71">
        <f t="shared" si="13"/>
        <v>2.6689999999999999E-3</v>
      </c>
      <c r="G49" s="6" t="s">
        <v>77</v>
      </c>
    </row>
    <row r="50" spans="1:7" s="6" customFormat="1" x14ac:dyDescent="0.2">
      <c r="A50" s="294" t="s">
        <v>232</v>
      </c>
      <c r="B50" s="294"/>
      <c r="C50" s="294"/>
      <c r="D50" s="294"/>
      <c r="E50" s="71">
        <f t="shared" si="12"/>
        <v>1.0007E-2</v>
      </c>
      <c r="F50" s="71">
        <f t="shared" si="13"/>
        <v>1.0007E-2</v>
      </c>
      <c r="G50" s="6" t="s">
        <v>77</v>
      </c>
    </row>
    <row r="51" spans="1:7" s="6" customFormat="1" x14ac:dyDescent="0.2">
      <c r="A51" s="294" t="s">
        <v>233</v>
      </c>
      <c r="B51" s="294"/>
      <c r="C51" s="294"/>
      <c r="D51" s="294"/>
      <c r="E51" s="71">
        <f t="shared" si="12"/>
        <v>5.0289999999999996E-3</v>
      </c>
      <c r="F51" s="71">
        <f t="shared" si="13"/>
        <v>5.0289999999999996E-3</v>
      </c>
      <c r="G51" s="6" t="s">
        <v>77</v>
      </c>
    </row>
    <row r="52" spans="1:7" s="6" customFormat="1" x14ac:dyDescent="0.2">
      <c r="A52" s="294" t="s">
        <v>234</v>
      </c>
      <c r="B52" s="294"/>
      <c r="C52" s="294"/>
      <c r="D52" s="294"/>
      <c r="E52" s="71">
        <f t="shared" si="12"/>
        <v>3.19E-4</v>
      </c>
      <c r="F52" s="71">
        <f t="shared" si="13"/>
        <v>3.19E-4</v>
      </c>
      <c r="G52" s="6" t="s">
        <v>77</v>
      </c>
    </row>
    <row r="53" spans="1:7" s="6" customFormat="1" x14ac:dyDescent="0.2">
      <c r="A53" s="294" t="s">
        <v>187</v>
      </c>
      <c r="B53" s="294"/>
      <c r="C53" s="294"/>
      <c r="D53" s="294"/>
      <c r="E53" s="71">
        <f t="shared" si="12"/>
        <v>-8.8400000000000002E-4</v>
      </c>
      <c r="F53" s="71">
        <f t="shared" si="13"/>
        <v>-8.8400000000000002E-4</v>
      </c>
      <c r="G53" s="6" t="s">
        <v>77</v>
      </c>
    </row>
    <row r="54" spans="1:7" s="6" customFormat="1" x14ac:dyDescent="0.2">
      <c r="A54" s="294" t="s">
        <v>37</v>
      </c>
      <c r="B54" s="294"/>
      <c r="C54" s="294"/>
      <c r="D54" s="294"/>
      <c r="E54" s="71">
        <f t="shared" si="12"/>
        <v>-3.0829999999999998E-3</v>
      </c>
      <c r="F54" s="71">
        <f t="shared" si="13"/>
        <v>-3.0829999999999998E-3</v>
      </c>
      <c r="G54" s="6" t="s">
        <v>77</v>
      </c>
    </row>
    <row r="55" spans="1:7" s="6" customFormat="1" x14ac:dyDescent="0.2">
      <c r="A55" s="294" t="s">
        <v>188</v>
      </c>
      <c r="B55" s="294"/>
      <c r="C55" s="294"/>
      <c r="D55" s="294"/>
      <c r="E55" s="71">
        <f t="shared" si="12"/>
        <v>0</v>
      </c>
      <c r="F55" s="71">
        <f t="shared" si="13"/>
        <v>0</v>
      </c>
      <c r="G55" s="6" t="s">
        <v>77</v>
      </c>
    </row>
    <row r="56" spans="1:7" s="6" customFormat="1" ht="10.8" thickBot="1" x14ac:dyDescent="0.25">
      <c r="A56" s="299" t="s">
        <v>79</v>
      </c>
      <c r="B56" s="299"/>
      <c r="C56" s="299"/>
      <c r="D56" s="299"/>
      <c r="E56" s="73">
        <f>SUM(E45:E55)</f>
        <v>0.13022400000000001</v>
      </c>
      <c r="F56" s="73">
        <f>SUM(F45:F55)</f>
        <v>0.13003800000000001</v>
      </c>
      <c r="G56" s="6" t="s">
        <v>77</v>
      </c>
    </row>
    <row r="57" spans="1:7" s="6" customFormat="1" ht="10.8" thickTop="1" x14ac:dyDescent="0.2">
      <c r="A57" s="300"/>
      <c r="B57" s="300"/>
      <c r="C57" s="300"/>
      <c r="D57" s="300"/>
      <c r="E57" s="71"/>
      <c r="F57" s="71"/>
    </row>
    <row r="58" spans="1:7" s="6" customFormat="1" x14ac:dyDescent="0.2">
      <c r="A58" s="299" t="s">
        <v>36</v>
      </c>
      <c r="B58" s="299"/>
      <c r="C58" s="299"/>
      <c r="D58" s="299"/>
      <c r="E58" s="72">
        <v>-6.6889999999999996E-3</v>
      </c>
      <c r="F58" s="71">
        <f>E58</f>
        <v>-6.6889999999999996E-3</v>
      </c>
      <c r="G58" s="6" t="s">
        <v>77</v>
      </c>
    </row>
    <row r="59" spans="1:7" s="6" customFormat="1" x14ac:dyDescent="0.2">
      <c r="A59" s="300"/>
      <c r="B59" s="300"/>
      <c r="C59" s="300"/>
      <c r="D59" s="300"/>
      <c r="E59" s="71"/>
      <c r="F59" s="71"/>
    </row>
    <row r="60" spans="1:7" s="6" customFormat="1" x14ac:dyDescent="0.2">
      <c r="A60" s="300" t="s">
        <v>87</v>
      </c>
      <c r="B60" s="300"/>
      <c r="C60" s="300"/>
      <c r="D60" s="300"/>
      <c r="E60" s="71"/>
      <c r="F60" s="71"/>
      <c r="G60" s="6" t="s">
        <v>77</v>
      </c>
    </row>
    <row r="61" spans="1:7" s="6" customFormat="1" x14ac:dyDescent="0.2">
      <c r="A61" s="294" t="s">
        <v>43</v>
      </c>
      <c r="B61" s="294"/>
      <c r="C61" s="294"/>
      <c r="D61" s="294"/>
      <c r="E61" s="72">
        <v>0</v>
      </c>
      <c r="F61" s="71">
        <f>E61</f>
        <v>0</v>
      </c>
      <c r="G61" s="6" t="s">
        <v>77</v>
      </c>
    </row>
    <row r="62" spans="1:7" s="6" customFormat="1" x14ac:dyDescent="0.2">
      <c r="A62" s="294" t="s">
        <v>209</v>
      </c>
      <c r="B62" s="294"/>
      <c r="C62" s="294"/>
      <c r="D62" s="294"/>
      <c r="E62" s="72">
        <v>2.1350000000000002E-3</v>
      </c>
      <c r="F62" s="71">
        <f>E62</f>
        <v>2.1350000000000002E-3</v>
      </c>
      <c r="G62" s="6" t="s">
        <v>77</v>
      </c>
    </row>
    <row r="63" spans="1:7" s="6" customFormat="1" x14ac:dyDescent="0.2">
      <c r="A63" s="294" t="s">
        <v>42</v>
      </c>
      <c r="B63" s="294"/>
      <c r="C63" s="294"/>
      <c r="D63" s="294"/>
      <c r="E63" s="72">
        <v>5.1E-5</v>
      </c>
      <c r="F63" s="71">
        <f>E63</f>
        <v>5.1E-5</v>
      </c>
      <c r="G63" s="6" t="s">
        <v>77</v>
      </c>
    </row>
    <row r="64" spans="1:7" s="6" customFormat="1" x14ac:dyDescent="0.2">
      <c r="A64" s="294" t="s">
        <v>41</v>
      </c>
      <c r="B64" s="294"/>
      <c r="C64" s="294"/>
      <c r="D64" s="294"/>
      <c r="E64" s="72">
        <v>4.9230000000000003E-3</v>
      </c>
      <c r="F64" s="71">
        <f>E64</f>
        <v>4.9230000000000003E-3</v>
      </c>
      <c r="G64" s="6" t="s">
        <v>77</v>
      </c>
    </row>
    <row r="65" spans="1:14" ht="10.8" thickBot="1" x14ac:dyDescent="0.25">
      <c r="A65" s="297" t="s">
        <v>88</v>
      </c>
      <c r="B65" s="297"/>
      <c r="C65" s="297"/>
      <c r="D65" s="297"/>
      <c r="E65" s="73">
        <f>SUM(E61:E64)</f>
        <v>7.1090000000000007E-3</v>
      </c>
      <c r="F65" s="73">
        <f>SUM(F61:F64)</f>
        <v>7.1090000000000007E-3</v>
      </c>
      <c r="G65" s="6" t="s">
        <v>77</v>
      </c>
    </row>
    <row r="66" spans="1:14" ht="10.8" thickTop="1" x14ac:dyDescent="0.2">
      <c r="A66" s="296"/>
      <c r="B66" s="296"/>
      <c r="C66" s="296"/>
      <c r="D66" s="296"/>
      <c r="E66" s="75"/>
      <c r="F66" s="75"/>
    </row>
    <row r="67" spans="1:14" x14ac:dyDescent="0.2">
      <c r="A67" s="297" t="s">
        <v>89</v>
      </c>
      <c r="B67" s="297"/>
      <c r="C67" s="297"/>
      <c r="D67" s="297"/>
      <c r="E67" s="75">
        <f>SUM(E43,E58:E58,E65)</f>
        <v>0.11122700000000001</v>
      </c>
      <c r="F67" s="75">
        <f>SUM(F43,F58:F58,F65)</f>
        <v>0.11104100000000001</v>
      </c>
      <c r="G67" s="6" t="s">
        <v>77</v>
      </c>
      <c r="I67" s="76"/>
    </row>
    <row r="68" spans="1:14" x14ac:dyDescent="0.2">
      <c r="A68" s="297" t="s">
        <v>90</v>
      </c>
      <c r="B68" s="297"/>
      <c r="C68" s="297"/>
      <c r="D68" s="297"/>
      <c r="E68" s="77">
        <f>SUM(E56,E58:E58,E65)</f>
        <v>0.13064400000000001</v>
      </c>
      <c r="F68" s="77">
        <f>SUM(F56,F58:F58,F65)</f>
        <v>0.13045800000000002</v>
      </c>
      <c r="G68" s="6" t="s">
        <v>77</v>
      </c>
      <c r="I68" s="76"/>
    </row>
    <row r="73" spans="1:14" ht="10.8" thickBot="1" x14ac:dyDescent="0.25"/>
    <row r="74" spans="1:14" ht="10.8" thickBot="1" x14ac:dyDescent="0.25">
      <c r="A74" s="78" t="s">
        <v>295</v>
      </c>
      <c r="B74" s="79"/>
      <c r="C74" s="79"/>
      <c r="D74" s="79"/>
      <c r="E74" s="80"/>
    </row>
    <row r="75" spans="1:14" ht="31.2" thickBot="1" x14ac:dyDescent="0.25">
      <c r="A75" s="81" t="s">
        <v>170</v>
      </c>
      <c r="B75" s="81" t="s">
        <v>235</v>
      </c>
      <c r="C75" s="81" t="s">
        <v>236</v>
      </c>
      <c r="D75" s="81" t="s">
        <v>237</v>
      </c>
      <c r="E75" s="82" t="s">
        <v>238</v>
      </c>
      <c r="F75" s="83"/>
      <c r="G75" s="83"/>
      <c r="H75" s="83"/>
      <c r="I75" s="83"/>
      <c r="J75" s="83"/>
      <c r="K75" s="83"/>
      <c r="L75" s="83"/>
      <c r="M75" s="83"/>
      <c r="N75" s="83"/>
    </row>
    <row r="76" spans="1:14" x14ac:dyDescent="0.2">
      <c r="A76" s="84">
        <v>2023</v>
      </c>
      <c r="B76" s="84">
        <v>5</v>
      </c>
      <c r="C76" s="85">
        <v>762205839.85284996</v>
      </c>
      <c r="D76" s="85">
        <v>1078331</v>
      </c>
      <c r="E76" s="86">
        <f t="shared" ref="E76:E87" si="14">ROUND(+C76/D76,0)</f>
        <v>707</v>
      </c>
    </row>
    <row r="77" spans="1:14" x14ac:dyDescent="0.2">
      <c r="A77" s="84">
        <v>2023</v>
      </c>
      <c r="B77" s="84">
        <v>6</v>
      </c>
      <c r="C77" s="85">
        <v>692093105.16410398</v>
      </c>
      <c r="D77" s="85">
        <v>1079181</v>
      </c>
      <c r="E77" s="86">
        <f t="shared" si="14"/>
        <v>641</v>
      </c>
    </row>
    <row r="78" spans="1:14" x14ac:dyDescent="0.2">
      <c r="A78" s="84">
        <v>2023</v>
      </c>
      <c r="B78" s="84">
        <v>7</v>
      </c>
      <c r="C78" s="85">
        <v>712672915.70015705</v>
      </c>
      <c r="D78" s="85">
        <v>1080031</v>
      </c>
      <c r="E78" s="86">
        <f t="shared" si="14"/>
        <v>660</v>
      </c>
    </row>
    <row r="79" spans="1:14" x14ac:dyDescent="0.2">
      <c r="A79" s="84">
        <v>2023</v>
      </c>
      <c r="B79" s="84">
        <v>8</v>
      </c>
      <c r="C79" s="85">
        <v>727762416.70503592</v>
      </c>
      <c r="D79" s="85">
        <v>1081402</v>
      </c>
      <c r="E79" s="86">
        <f t="shared" si="14"/>
        <v>673</v>
      </c>
    </row>
    <row r="80" spans="1:14" x14ac:dyDescent="0.2">
      <c r="A80" s="84">
        <v>2023</v>
      </c>
      <c r="B80" s="84">
        <v>9</v>
      </c>
      <c r="C80" s="85">
        <v>693121227.11251199</v>
      </c>
      <c r="D80" s="85">
        <v>1082774</v>
      </c>
      <c r="E80" s="86">
        <f t="shared" si="14"/>
        <v>640</v>
      </c>
    </row>
    <row r="81" spans="1:5" x14ac:dyDescent="0.2">
      <c r="A81" s="84">
        <v>2023</v>
      </c>
      <c r="B81" s="84">
        <v>10</v>
      </c>
      <c r="C81" s="85">
        <v>823006711.40379405</v>
      </c>
      <c r="D81" s="85">
        <v>1084145</v>
      </c>
      <c r="E81" s="86">
        <f t="shared" si="14"/>
        <v>759</v>
      </c>
    </row>
    <row r="82" spans="1:5" x14ac:dyDescent="0.2">
      <c r="A82" s="84">
        <v>2023</v>
      </c>
      <c r="B82" s="84">
        <v>11</v>
      </c>
      <c r="C82" s="85">
        <v>1054156795.9282601</v>
      </c>
      <c r="D82" s="85">
        <v>1085695</v>
      </c>
      <c r="E82" s="86">
        <f t="shared" si="14"/>
        <v>971</v>
      </c>
    </row>
    <row r="83" spans="1:5" x14ac:dyDescent="0.2">
      <c r="A83" s="84">
        <v>2023</v>
      </c>
      <c r="B83" s="84">
        <v>12</v>
      </c>
      <c r="C83" s="85">
        <v>1172740017.64873</v>
      </c>
      <c r="D83" s="85">
        <v>1087245</v>
      </c>
      <c r="E83" s="86">
        <f t="shared" si="14"/>
        <v>1079</v>
      </c>
    </row>
    <row r="84" spans="1:5" x14ac:dyDescent="0.2">
      <c r="A84" s="84">
        <v>2024</v>
      </c>
      <c r="B84" s="84">
        <v>1</v>
      </c>
      <c r="C84" s="85">
        <v>1189980818.2927501</v>
      </c>
      <c r="D84" s="85">
        <v>1088795</v>
      </c>
      <c r="E84" s="86">
        <f t="shared" si="14"/>
        <v>1093</v>
      </c>
    </row>
    <row r="85" spans="1:5" x14ac:dyDescent="0.2">
      <c r="A85" s="84">
        <v>2024</v>
      </c>
      <c r="B85" s="84">
        <v>2</v>
      </c>
      <c r="C85" s="85">
        <v>1042972545.10947</v>
      </c>
      <c r="D85" s="85">
        <v>1089809</v>
      </c>
      <c r="E85" s="86">
        <f t="shared" si="14"/>
        <v>957</v>
      </c>
    </row>
    <row r="86" spans="1:5" x14ac:dyDescent="0.2">
      <c r="A86" s="84">
        <v>2024</v>
      </c>
      <c r="B86" s="84">
        <v>3</v>
      </c>
      <c r="C86" s="85">
        <v>1030097128.6290001</v>
      </c>
      <c r="D86" s="85">
        <v>1090822</v>
      </c>
      <c r="E86" s="86">
        <f t="shared" si="14"/>
        <v>944</v>
      </c>
    </row>
    <row r="87" spans="1:5" x14ac:dyDescent="0.2">
      <c r="A87" s="84">
        <v>2024</v>
      </c>
      <c r="B87" s="84">
        <v>4</v>
      </c>
      <c r="C87" s="85">
        <v>919123702.74949801</v>
      </c>
      <c r="D87" s="85">
        <v>1091836</v>
      </c>
      <c r="E87" s="86">
        <f t="shared" si="14"/>
        <v>842</v>
      </c>
    </row>
    <row r="88" spans="1:5" x14ac:dyDescent="0.2">
      <c r="A88" s="87"/>
      <c r="B88" s="87" t="s">
        <v>35</v>
      </c>
      <c r="C88" s="88">
        <f>SUM(C76:C87)</f>
        <v>10819933224.296162</v>
      </c>
      <c r="D88" s="88">
        <f>SUM(D76:D87)</f>
        <v>13020066</v>
      </c>
      <c r="E88" s="89">
        <f>SUM(E76:E87)</f>
        <v>9966</v>
      </c>
    </row>
    <row r="89" spans="1:5" x14ac:dyDescent="0.2">
      <c r="A89" s="87"/>
      <c r="B89" s="87"/>
      <c r="C89" s="87"/>
      <c r="D89" s="87"/>
      <c r="E89" s="86"/>
    </row>
    <row r="90" spans="1:5" ht="10.8" thickBot="1" x14ac:dyDescent="0.25">
      <c r="A90" s="90"/>
      <c r="B90" s="90" t="s">
        <v>239</v>
      </c>
      <c r="C90" s="91"/>
      <c r="D90" s="91"/>
      <c r="E90" s="92">
        <f>ROUND(AVERAGE(E76:E87),0)</f>
        <v>831</v>
      </c>
    </row>
  </sheetData>
  <mergeCells count="43">
    <mergeCell ref="A66:D66"/>
    <mergeCell ref="A67:D67"/>
    <mergeCell ref="A68:D68"/>
    <mergeCell ref="A60:D60"/>
    <mergeCell ref="A61:D61"/>
    <mergeCell ref="A62:D62"/>
    <mergeCell ref="A63:D63"/>
    <mergeCell ref="A64:D64"/>
    <mergeCell ref="A65:D65"/>
    <mergeCell ref="A59:D59"/>
    <mergeCell ref="A49:D49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48:D48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37:D37"/>
    <mergeCell ref="C7:F7"/>
    <mergeCell ref="H7:K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</mergeCells>
  <printOptions horizontalCentered="1"/>
  <pageMargins left="0.25" right="0.25" top="0.75" bottom="0.75" header="0.3" footer="0.3"/>
  <pageSetup scale="51" orientation="landscape" r:id="rId1"/>
  <headerFooter>
    <oddFooter>&amp;L&amp;"Times New Roman,Regular"&amp;F
&amp;A&amp;R&amp;"Times New Roman,Regular"Page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workbookViewId="0">
      <pane xSplit="3" ySplit="8" topLeftCell="D9" activePane="bottomRight" state="frozen"/>
      <selection activeCell="D6" sqref="D6"/>
      <selection pane="topRight" activeCell="D6" sqref="D6"/>
      <selection pane="bottomLeft" activeCell="D6" sqref="D6"/>
      <selection pane="bottomRight" activeCell="G38" sqref="G38"/>
    </sheetView>
  </sheetViews>
  <sheetFormatPr defaultColWidth="9.109375" defaultRowHeight="10.199999999999999" x14ac:dyDescent="0.2"/>
  <cols>
    <col min="1" max="1" width="4.6640625" style="101" customWidth="1"/>
    <col min="2" max="2" width="29.6640625" style="101" customWidth="1"/>
    <col min="3" max="3" width="13.88671875" style="101" customWidth="1"/>
    <col min="4" max="4" width="15.6640625" style="101" bestFit="1" customWidth="1"/>
    <col min="5" max="5" width="9" style="101" customWidth="1"/>
    <col min="6" max="6" width="0.88671875" style="101" customWidth="1"/>
    <col min="7" max="7" width="16.33203125" style="101" customWidth="1"/>
    <col min="8" max="8" width="16.77734375" style="101" customWidth="1"/>
    <col min="9" max="9" width="13.109375" style="101" customWidth="1"/>
    <col min="10" max="10" width="0.88671875" style="101" customWidth="1"/>
    <col min="11" max="11" width="14.6640625" style="101" customWidth="1"/>
    <col min="12" max="12" width="0.88671875" style="101" customWidth="1"/>
    <col min="13" max="13" width="12.5546875" style="101" customWidth="1"/>
    <col min="14" max="14" width="13.109375" style="101" bestFit="1" customWidth="1"/>
    <col min="15" max="15" width="12.6640625" style="101" customWidth="1"/>
    <col min="16" max="16" width="0.88671875" style="101" customWidth="1"/>
    <col min="17" max="17" width="9.44140625" style="101" customWidth="1"/>
    <col min="18" max="18" width="1.109375" style="101" customWidth="1"/>
    <col min="19" max="19" width="1.6640625" style="101" customWidth="1"/>
    <col min="20" max="20" width="33.5546875" style="101" bestFit="1" customWidth="1"/>
    <col min="21" max="16384" width="9.109375" style="101"/>
  </cols>
  <sheetData>
    <row r="1" spans="1:20" s="237" customFormat="1" ht="12.75" customHeight="1" x14ac:dyDescent="0.2">
      <c r="A1" s="303" t="s">
        <v>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</row>
    <row r="2" spans="1:20" s="237" customFormat="1" x14ac:dyDescent="0.2">
      <c r="A2" s="303" t="s">
        <v>175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</row>
    <row r="3" spans="1:20" s="237" customFormat="1" x14ac:dyDescent="0.2">
      <c r="A3" s="303" t="str">
        <f>'Rate Impacts'!A4</f>
        <v>Forecasted Test-Year Ended April 30, 2024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</row>
    <row r="4" spans="1:20" s="237" customFormat="1" x14ac:dyDescent="0.2">
      <c r="A4" s="303" t="str">
        <f>'Rate Impacts'!A5</f>
        <v>Proposed Rate Effective May 1, 2023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</row>
    <row r="5" spans="1:20" s="237" customFormat="1" x14ac:dyDescent="0.2">
      <c r="B5" s="238"/>
      <c r="C5" s="238"/>
      <c r="D5" s="238"/>
    </row>
    <row r="6" spans="1:20" s="239" customFormat="1" ht="10.8" thickBot="1" x14ac:dyDescent="0.25">
      <c r="B6" s="240"/>
      <c r="C6" s="240"/>
    </row>
    <row r="7" spans="1:20" s="243" customFormat="1" ht="40.799999999999997" x14ac:dyDescent="0.2">
      <c r="A7" s="241" t="s">
        <v>1</v>
      </c>
      <c r="B7" s="241" t="s">
        <v>2</v>
      </c>
      <c r="C7" s="241" t="s">
        <v>3</v>
      </c>
      <c r="D7" s="242" t="s">
        <v>269</v>
      </c>
      <c r="E7" s="241" t="s">
        <v>4</v>
      </c>
      <c r="F7" s="241"/>
      <c r="G7" s="241" t="s">
        <v>265</v>
      </c>
      <c r="H7" s="241" t="s">
        <v>264</v>
      </c>
      <c r="I7" s="241" t="s">
        <v>263</v>
      </c>
      <c r="J7" s="241"/>
      <c r="K7" s="241" t="str">
        <f>+'Rate Impacts'!D7</f>
        <v>Forecasted
Test-Year 
Determinates (kWh)</v>
      </c>
      <c r="L7" s="241"/>
      <c r="M7" s="242" t="s">
        <v>266</v>
      </c>
      <c r="N7" s="242" t="s">
        <v>267</v>
      </c>
      <c r="O7" s="242" t="s">
        <v>268</v>
      </c>
      <c r="P7" s="241"/>
      <c r="Q7" s="241" t="s">
        <v>72</v>
      </c>
      <c r="T7" s="270" t="s">
        <v>190</v>
      </c>
    </row>
    <row r="8" spans="1:20" s="103" customFormat="1" ht="20.399999999999999" x14ac:dyDescent="0.2">
      <c r="A8" s="110"/>
      <c r="B8" s="110"/>
      <c r="C8" s="111"/>
      <c r="D8" s="111" t="s">
        <v>30</v>
      </c>
      <c r="E8" s="111" t="s">
        <v>91</v>
      </c>
      <c r="F8" s="158"/>
      <c r="G8" s="159" t="s">
        <v>161</v>
      </c>
      <c r="H8" s="159" t="s">
        <v>162</v>
      </c>
      <c r="I8" s="111" t="s">
        <v>163</v>
      </c>
      <c r="J8" s="112"/>
      <c r="K8" s="111" t="s">
        <v>27</v>
      </c>
      <c r="L8" s="111"/>
      <c r="M8" s="159" t="s">
        <v>164</v>
      </c>
      <c r="N8" s="159" t="s">
        <v>165</v>
      </c>
      <c r="O8" s="159" t="s">
        <v>166</v>
      </c>
      <c r="P8" s="112"/>
      <c r="Q8" s="159" t="s">
        <v>167</v>
      </c>
      <c r="T8" s="271"/>
    </row>
    <row r="9" spans="1:20" s="103" customFormat="1" x14ac:dyDescent="0.2">
      <c r="A9" s="103">
        <v>1</v>
      </c>
      <c r="B9" s="162" t="s">
        <v>7</v>
      </c>
      <c r="C9" s="109"/>
      <c r="D9" s="101"/>
      <c r="F9" s="101"/>
      <c r="K9" s="109"/>
      <c r="L9" s="109"/>
      <c r="T9" s="272"/>
    </row>
    <row r="10" spans="1:20" x14ac:dyDescent="0.2">
      <c r="A10" s="103">
        <f>+A9+1</f>
        <v>2</v>
      </c>
      <c r="B10" s="113" t="s">
        <v>7</v>
      </c>
      <c r="C10" s="108">
        <v>7</v>
      </c>
      <c r="D10" s="116">
        <f>'Plant-In-Service Trans Adj'!E40</f>
        <v>6244370841.5606461</v>
      </c>
      <c r="E10" s="164">
        <f>+D10/$D$36</f>
        <v>0.60395798247450938</v>
      </c>
      <c r="G10" s="116">
        <f>+E10*$G$38</f>
        <v>26175257.174309522</v>
      </c>
      <c r="H10" s="116">
        <f>+E10*$H$38</f>
        <v>2090065.0118537468</v>
      </c>
      <c r="I10" s="116">
        <f>SUM(G10:H10)</f>
        <v>28265322.186163269</v>
      </c>
      <c r="J10" s="116"/>
      <c r="K10" s="165">
        <f>'Projected TY Revenues'!$C$8</f>
        <v>10819933224.296162</v>
      </c>
      <c r="L10" s="165"/>
      <c r="M10" s="100">
        <f>ROUND(G10/$K10,6)</f>
        <v>2.4190000000000001E-3</v>
      </c>
      <c r="N10" s="100">
        <f>ROUND((H10)/$K10,6)</f>
        <v>1.93E-4</v>
      </c>
      <c r="O10" s="100">
        <f>SUM(M10:N10)</f>
        <v>2.6120000000000002E-3</v>
      </c>
      <c r="Q10" s="116">
        <f>+O10*K10-I10</f>
        <v>-3656.6043016910553</v>
      </c>
      <c r="R10" s="166"/>
      <c r="S10" s="167"/>
      <c r="T10" s="272" t="s">
        <v>191</v>
      </c>
    </row>
    <row r="11" spans="1:20" x14ac:dyDescent="0.2">
      <c r="A11" s="103">
        <f>+A10+1</f>
        <v>3</v>
      </c>
      <c r="B11" s="117" t="s">
        <v>26</v>
      </c>
      <c r="D11" s="119">
        <f>SUM(D10:D10)</f>
        <v>6244370841.5606461</v>
      </c>
      <c r="E11" s="168">
        <f>+D11/$D$36</f>
        <v>0.60395798247450938</v>
      </c>
      <c r="G11" s="119">
        <f>SUM(G10:G10)</f>
        <v>26175257.174309522</v>
      </c>
      <c r="H11" s="119">
        <f>SUM(H10:H10)</f>
        <v>2090065.0118537468</v>
      </c>
      <c r="I11" s="119">
        <f>SUM(I10:I10)</f>
        <v>28265322.186163269</v>
      </c>
      <c r="J11" s="119"/>
      <c r="K11" s="169">
        <f>SUM(K10:K10)</f>
        <v>10819933224.296162</v>
      </c>
      <c r="L11" s="170"/>
      <c r="M11" s="120">
        <f>ROUND(G11/$K11,6)</f>
        <v>2.4190000000000001E-3</v>
      </c>
      <c r="N11" s="120">
        <f t="shared" ref="N11" si="0">ROUND((H11)/$K11,6)</f>
        <v>1.93E-4</v>
      </c>
      <c r="O11" s="120">
        <f>SUM(M11:N11)</f>
        <v>2.6120000000000002E-3</v>
      </c>
      <c r="Q11" s="119">
        <f>SUM(Q10:Q10)</f>
        <v>-3656.6043016910553</v>
      </c>
      <c r="S11" s="40"/>
      <c r="T11" s="272"/>
    </row>
    <row r="12" spans="1:20" x14ac:dyDescent="0.2">
      <c r="A12" s="103">
        <f>+A11+1</f>
        <v>4</v>
      </c>
      <c r="D12" s="122"/>
      <c r="E12" s="171"/>
      <c r="G12" s="122"/>
      <c r="H12" s="122"/>
      <c r="I12" s="122"/>
      <c r="J12" s="122"/>
      <c r="K12" s="170"/>
      <c r="L12" s="170"/>
      <c r="M12" s="123"/>
      <c r="N12" s="123"/>
      <c r="O12" s="123"/>
      <c r="Q12" s="122"/>
      <c r="S12" s="40"/>
      <c r="T12" s="272"/>
    </row>
    <row r="13" spans="1:20" x14ac:dyDescent="0.2">
      <c r="A13" s="103">
        <f>+A12+1</f>
        <v>5</v>
      </c>
      <c r="B13" s="101" t="s">
        <v>8</v>
      </c>
      <c r="D13" s="122"/>
      <c r="E13" s="171"/>
      <c r="G13" s="122"/>
      <c r="H13" s="122"/>
      <c r="I13" s="122"/>
      <c r="J13" s="122"/>
      <c r="K13" s="170"/>
      <c r="L13" s="170"/>
      <c r="M13" s="123"/>
      <c r="N13" s="123"/>
      <c r="O13" s="123"/>
      <c r="Q13" s="122"/>
      <c r="S13" s="40"/>
      <c r="T13" s="272"/>
    </row>
    <row r="14" spans="1:20" x14ac:dyDescent="0.2">
      <c r="A14" s="103">
        <f t="shared" ref="A14:A38" si="1">+A13+1</f>
        <v>6</v>
      </c>
      <c r="B14" s="124" t="s">
        <v>9</v>
      </c>
      <c r="C14" s="108" t="s">
        <v>74</v>
      </c>
      <c r="D14" s="116">
        <f>'Plant-In-Service Trans Adj'!F40</f>
        <v>1276438830.6252151</v>
      </c>
      <c r="E14" s="164">
        <f t="shared" ref="E14:E16" si="2">+D14/$D$36</f>
        <v>0.12345766138127907</v>
      </c>
      <c r="G14" s="116">
        <f>+E14*$G$38</f>
        <v>5350597.4431428108</v>
      </c>
      <c r="H14" s="116">
        <f t="shared" ref="H14:H16" si="3">+E14*$H$38</f>
        <v>427239.22190926503</v>
      </c>
      <c r="I14" s="116">
        <f>SUM(G14:H14)</f>
        <v>5777836.6650520759</v>
      </c>
      <c r="J14" s="116"/>
      <c r="K14" s="165">
        <f>'Projected TY Revenues'!$C$11</f>
        <v>2760629037.5469441</v>
      </c>
      <c r="L14" s="165"/>
      <c r="M14" s="100">
        <f>ROUND(G14/$K14,6)</f>
        <v>1.9380000000000001E-3</v>
      </c>
      <c r="N14" s="100">
        <f t="shared" ref="N14:N17" si="4">ROUND((H14)/$K14,6)</f>
        <v>1.55E-4</v>
      </c>
      <c r="O14" s="100">
        <f t="shared" ref="O14:O16" si="5">SUM(M14:N14)</f>
        <v>2.0930000000000002E-3</v>
      </c>
      <c r="Q14" s="116">
        <f t="shared" ref="Q14:Q16" si="6">+O14*K14-I14</f>
        <v>159.91053367871791</v>
      </c>
      <c r="R14" s="166"/>
      <c r="S14" s="40"/>
      <c r="T14" s="272" t="s">
        <v>191</v>
      </c>
    </row>
    <row r="15" spans="1:20" x14ac:dyDescent="0.2">
      <c r="A15" s="103">
        <f t="shared" si="1"/>
        <v>7</v>
      </c>
      <c r="B15" s="124" t="s">
        <v>10</v>
      </c>
      <c r="C15" s="107" t="s">
        <v>80</v>
      </c>
      <c r="D15" s="116">
        <f>'Plant-In-Service Trans Adj'!G40</f>
        <v>1283557035.4489176</v>
      </c>
      <c r="E15" s="164">
        <f t="shared" si="2"/>
        <v>0.12414613692721402</v>
      </c>
      <c r="G15" s="116">
        <f>+E15*$G$38</f>
        <v>5380435.6520844912</v>
      </c>
      <c r="H15" s="116">
        <f t="shared" si="3"/>
        <v>429621.76952322305</v>
      </c>
      <c r="I15" s="116">
        <f>SUM(G15:H15)</f>
        <v>5810057.4216077141</v>
      </c>
      <c r="J15" s="116"/>
      <c r="K15" s="165">
        <f>SUM('Projected TY Revenues'!$C$12,'Projected TY Revenues'!$C$14)</f>
        <v>2933359875.026897</v>
      </c>
      <c r="L15" s="165"/>
      <c r="M15" s="100">
        <f>ROUND(G15/$K15,6)</f>
        <v>1.8339999999999999E-3</v>
      </c>
      <c r="N15" s="100">
        <f t="shared" si="4"/>
        <v>1.46E-4</v>
      </c>
      <c r="O15" s="100">
        <f t="shared" si="5"/>
        <v>1.98E-3</v>
      </c>
      <c r="Q15" s="116">
        <f t="shared" si="6"/>
        <v>-2004.8690544581041</v>
      </c>
      <c r="R15" s="166"/>
      <c r="S15" s="40"/>
      <c r="T15" s="272" t="s">
        <v>191</v>
      </c>
    </row>
    <row r="16" spans="1:20" x14ac:dyDescent="0.2">
      <c r="A16" s="103">
        <f t="shared" si="1"/>
        <v>8</v>
      </c>
      <c r="B16" s="124" t="s">
        <v>11</v>
      </c>
      <c r="C16" s="107" t="s">
        <v>92</v>
      </c>
      <c r="D16" s="122">
        <f>'Plant-In-Service Trans Adj'!H40</f>
        <v>697432814.32802212</v>
      </c>
      <c r="E16" s="171">
        <f t="shared" si="2"/>
        <v>6.7455973730701183E-2</v>
      </c>
      <c r="G16" s="122">
        <f>+E16*$G$38</f>
        <v>2923510.4288386367</v>
      </c>
      <c r="H16" s="122">
        <f t="shared" si="3"/>
        <v>233439.03818841322</v>
      </c>
      <c r="I16" s="122">
        <f>SUM(G16:H16)</f>
        <v>3156949.46702705</v>
      </c>
      <c r="J16" s="122"/>
      <c r="K16" s="170">
        <f>'Projected TY Revenues'!$C$13</f>
        <v>1841150784.7064102</v>
      </c>
      <c r="L16" s="170"/>
      <c r="M16" s="123">
        <f>ROUND(G16/$K16,6)</f>
        <v>1.588E-3</v>
      </c>
      <c r="N16" s="100">
        <f t="shared" si="4"/>
        <v>1.27E-4</v>
      </c>
      <c r="O16" s="123">
        <f t="shared" si="5"/>
        <v>1.7149999999999999E-3</v>
      </c>
      <c r="Q16" s="122">
        <f t="shared" si="6"/>
        <v>624.12874444341287</v>
      </c>
      <c r="R16" s="166"/>
      <c r="S16" s="40"/>
      <c r="T16" s="272" t="s">
        <v>191</v>
      </c>
    </row>
    <row r="17" spans="1:20" x14ac:dyDescent="0.2">
      <c r="A17" s="103">
        <f t="shared" si="1"/>
        <v>9</v>
      </c>
      <c r="B17" s="125" t="s">
        <v>12</v>
      </c>
      <c r="D17" s="119">
        <f>SUM(D14:D16)</f>
        <v>3257428680.4021549</v>
      </c>
      <c r="E17" s="168">
        <f>+D17/$D$36</f>
        <v>0.31505977203919427</v>
      </c>
      <c r="G17" s="119">
        <f>SUM(G14:G16)</f>
        <v>13654543.524065938</v>
      </c>
      <c r="H17" s="119">
        <f>SUM(H14:H16)</f>
        <v>1090300.0296209012</v>
      </c>
      <c r="I17" s="119">
        <f>SUM(I14:I16)</f>
        <v>14744843.553686839</v>
      </c>
      <c r="J17" s="119"/>
      <c r="K17" s="169">
        <f>SUM(K14:K16)</f>
        <v>7535139697.2802515</v>
      </c>
      <c r="L17" s="170"/>
      <c r="M17" s="120">
        <f>ROUND(G17/$K17,6)</f>
        <v>1.812E-3</v>
      </c>
      <c r="N17" s="120">
        <f t="shared" si="4"/>
        <v>1.45E-4</v>
      </c>
      <c r="O17" s="120">
        <f>SUM(M17:N17)</f>
        <v>1.957E-3</v>
      </c>
      <c r="Q17" s="119">
        <f>SUM(Q14:Q16)</f>
        <v>-1220.8297763359733</v>
      </c>
      <c r="S17" s="40"/>
      <c r="T17" s="272"/>
    </row>
    <row r="18" spans="1:20" x14ac:dyDescent="0.2">
      <c r="A18" s="103">
        <f t="shared" si="1"/>
        <v>10</v>
      </c>
      <c r="D18" s="122"/>
      <c r="E18" s="171"/>
      <c r="G18" s="122"/>
      <c r="H18" s="122"/>
      <c r="I18" s="122"/>
      <c r="J18" s="122"/>
      <c r="K18" s="170"/>
      <c r="L18" s="170"/>
      <c r="M18" s="123"/>
      <c r="N18" s="123"/>
      <c r="O18" s="123"/>
      <c r="Q18" s="122"/>
      <c r="S18" s="40"/>
      <c r="T18" s="272"/>
    </row>
    <row r="19" spans="1:20" x14ac:dyDescent="0.2">
      <c r="A19" s="103">
        <f t="shared" si="1"/>
        <v>11</v>
      </c>
      <c r="B19" s="101" t="s">
        <v>13</v>
      </c>
      <c r="D19" s="122"/>
      <c r="E19" s="171"/>
      <c r="G19" s="122"/>
      <c r="H19" s="122"/>
      <c r="I19" s="122"/>
      <c r="J19" s="122"/>
      <c r="K19" s="170"/>
      <c r="L19" s="170"/>
      <c r="M19" s="123"/>
      <c r="N19" s="123"/>
      <c r="O19" s="123"/>
      <c r="Q19" s="122"/>
      <c r="S19" s="40"/>
      <c r="T19" s="272"/>
    </row>
    <row r="20" spans="1:20" x14ac:dyDescent="0.2">
      <c r="A20" s="103">
        <f t="shared" si="1"/>
        <v>12</v>
      </c>
      <c r="B20" s="124" t="s">
        <v>22</v>
      </c>
      <c r="C20" s="107" t="s">
        <v>81</v>
      </c>
      <c r="D20" s="116">
        <f>SUM('Plant-In-Service Trans Adj'!$I$40:$J$40)</f>
        <v>510341260.75347519</v>
      </c>
      <c r="E20" s="164">
        <f t="shared" ref="E20:E22" si="7">+D20/$D$36</f>
        <v>4.9360405722017026E-2</v>
      </c>
      <c r="G20" s="116">
        <f>+E20*$G$38</f>
        <v>2139256.9541153233</v>
      </c>
      <c r="H20" s="116">
        <f t="shared" ref="H20:H21" si="8">+E20*$H$38</f>
        <v>170817.27531409438</v>
      </c>
      <c r="I20" s="116">
        <f>SUM(G20:H20)</f>
        <v>2310074.2294294178</v>
      </c>
      <c r="J20" s="116"/>
      <c r="K20" s="165">
        <f>SUM('Projected TY Revenues'!$C$17:$C$18)</f>
        <v>1338364544.4390695</v>
      </c>
      <c r="L20" s="165"/>
      <c r="M20" s="100">
        <f>ROUND(G20/$K20,6)</f>
        <v>1.598E-3</v>
      </c>
      <c r="N20" s="100">
        <f t="shared" ref="N20:N32" si="9">ROUND((H20)/$K20,6)</f>
        <v>1.2799999999999999E-4</v>
      </c>
      <c r="O20" s="100">
        <f t="shared" ref="O20:O21" si="10">SUM(M20:N20)</f>
        <v>1.7260000000000001E-3</v>
      </c>
      <c r="Q20" s="116">
        <f t="shared" ref="Q20:Q21" si="11">+O20*K20-I20</f>
        <v>-57.025727583561093</v>
      </c>
      <c r="R20" s="166"/>
      <c r="S20" s="40"/>
      <c r="T20" s="272" t="s">
        <v>191</v>
      </c>
    </row>
    <row r="21" spans="1:20" x14ac:dyDescent="0.2">
      <c r="A21" s="103">
        <f t="shared" si="1"/>
        <v>13</v>
      </c>
      <c r="B21" s="113" t="s">
        <v>14</v>
      </c>
      <c r="C21" s="108">
        <v>43</v>
      </c>
      <c r="D21" s="116">
        <f>'Plant-In-Service Trans Adj'!$K$40</f>
        <v>41021239.176387154</v>
      </c>
      <c r="E21" s="164">
        <f t="shared" si="7"/>
        <v>3.9675902473119435E-3</v>
      </c>
      <c r="G21" s="116">
        <f>+E21*$G$38</f>
        <v>171953.51017660511</v>
      </c>
      <c r="H21" s="116">
        <f t="shared" si="8"/>
        <v>13730.295480660927</v>
      </c>
      <c r="I21" s="116">
        <f>SUM(G21:H21)</f>
        <v>185683.80565726603</v>
      </c>
      <c r="J21" s="116"/>
      <c r="K21" s="165">
        <f>'Projected TY Revenues'!$C$19</f>
        <v>121401391.0505466</v>
      </c>
      <c r="L21" s="165"/>
      <c r="M21" s="100">
        <f>ROUND(G21/$K21,6)</f>
        <v>1.4159999999999999E-3</v>
      </c>
      <c r="N21" s="100">
        <f t="shared" si="9"/>
        <v>1.13E-4</v>
      </c>
      <c r="O21" s="100">
        <f t="shared" si="10"/>
        <v>1.529E-3</v>
      </c>
      <c r="Q21" s="116">
        <f t="shared" si="11"/>
        <v>-61.078740980272414</v>
      </c>
      <c r="R21" s="166"/>
      <c r="S21" s="40"/>
      <c r="T21" s="272" t="s">
        <v>194</v>
      </c>
    </row>
    <row r="22" spans="1:20" x14ac:dyDescent="0.2">
      <c r="A22" s="103">
        <f t="shared" si="1"/>
        <v>14</v>
      </c>
      <c r="B22" s="117" t="s">
        <v>15</v>
      </c>
      <c r="D22" s="119">
        <f>SUM(D20:D21)</f>
        <v>551362499.92986238</v>
      </c>
      <c r="E22" s="168">
        <f t="shared" si="7"/>
        <v>5.3327995969328974E-2</v>
      </c>
      <c r="G22" s="119">
        <f>SUM(G20:G21)</f>
        <v>2311210.4642919283</v>
      </c>
      <c r="H22" s="119">
        <f>SUM(H20:H21)</f>
        <v>184547.5707947553</v>
      </c>
      <c r="I22" s="119">
        <f>SUM(I20:I21)</f>
        <v>2495758.0350866839</v>
      </c>
      <c r="J22" s="119"/>
      <c r="K22" s="169">
        <f>SUM(K20:K21)</f>
        <v>1459765935.4896162</v>
      </c>
      <c r="L22" s="170"/>
      <c r="M22" s="120">
        <f>ROUND(G22/$K22,6)</f>
        <v>1.583E-3</v>
      </c>
      <c r="N22" s="120">
        <f t="shared" si="9"/>
        <v>1.26E-4</v>
      </c>
      <c r="O22" s="120">
        <f>SUM(M22:N22)</f>
        <v>1.709E-3</v>
      </c>
      <c r="Q22" s="119">
        <f>SUM(Q20:Q21)</f>
        <v>-118.10446856383351</v>
      </c>
      <c r="S22" s="40"/>
      <c r="T22" s="272"/>
    </row>
    <row r="23" spans="1:20" x14ac:dyDescent="0.2">
      <c r="A23" s="103">
        <f t="shared" si="1"/>
        <v>15</v>
      </c>
      <c r="D23" s="126"/>
      <c r="E23" s="172"/>
      <c r="G23" s="126"/>
      <c r="H23" s="126"/>
      <c r="I23" s="126"/>
      <c r="J23" s="126"/>
      <c r="K23" s="173"/>
      <c r="L23" s="173"/>
      <c r="M23" s="127"/>
      <c r="N23" s="127"/>
      <c r="O23" s="127"/>
      <c r="Q23" s="126"/>
      <c r="S23" s="40"/>
      <c r="T23" s="272"/>
    </row>
    <row r="24" spans="1:20" x14ac:dyDescent="0.2">
      <c r="A24" s="103">
        <f t="shared" si="1"/>
        <v>16</v>
      </c>
      <c r="B24" s="125" t="s">
        <v>174</v>
      </c>
      <c r="C24" s="108" t="s">
        <v>178</v>
      </c>
      <c r="D24" s="119">
        <f>'Plant-In-Service Trans Adj'!L40</f>
        <v>32933252.079632595</v>
      </c>
      <c r="E24" s="168">
        <f>+D24/$D$36</f>
        <v>3.1853169818095222E-3</v>
      </c>
      <c r="G24" s="119">
        <f>+E24*$G$38</f>
        <v>138050.1518316775</v>
      </c>
      <c r="H24" s="119">
        <f>+E24*$H$38</f>
        <v>11023.150233178096</v>
      </c>
      <c r="I24" s="119">
        <f>SUM(G24:H24)</f>
        <v>149073.30206485561</v>
      </c>
      <c r="J24" s="119"/>
      <c r="K24" s="169">
        <f>'Projected TY Revenues'!$C$28</f>
        <v>289426597.44700003</v>
      </c>
      <c r="L24" s="170"/>
      <c r="M24" s="120">
        <f>ROUND(G24/$K24,6)</f>
        <v>4.7699999999999999E-4</v>
      </c>
      <c r="N24" s="120">
        <f t="shared" si="9"/>
        <v>3.8000000000000002E-5</v>
      </c>
      <c r="O24" s="120">
        <f>SUM(M24:N24)</f>
        <v>5.1500000000000005E-4</v>
      </c>
      <c r="Q24" s="119">
        <f>+O24*K24-I24</f>
        <v>-18.604379650583724</v>
      </c>
      <c r="R24" s="166"/>
      <c r="S24" s="40"/>
      <c r="T24" s="272" t="s">
        <v>191</v>
      </c>
    </row>
    <row r="25" spans="1:20" x14ac:dyDescent="0.2">
      <c r="A25" s="103">
        <f t="shared" si="1"/>
        <v>17</v>
      </c>
      <c r="D25" s="126"/>
      <c r="E25" s="172"/>
      <c r="G25" s="126"/>
      <c r="H25" s="126"/>
      <c r="I25" s="126"/>
      <c r="J25" s="126"/>
      <c r="K25" s="173"/>
      <c r="L25" s="173"/>
      <c r="M25" s="127"/>
      <c r="N25" s="127"/>
      <c r="O25" s="127"/>
      <c r="Q25" s="126"/>
      <c r="S25" s="40"/>
      <c r="T25" s="272"/>
    </row>
    <row r="26" spans="1:20" x14ac:dyDescent="0.2">
      <c r="A26" s="103">
        <f t="shared" si="1"/>
        <v>18</v>
      </c>
      <c r="B26" s="101" t="s">
        <v>24</v>
      </c>
      <c r="C26" s="107" t="s">
        <v>64</v>
      </c>
      <c r="D26" s="119">
        <f>'Plant-In-Service Trans Adj'!M40</f>
        <v>125253803.07043906</v>
      </c>
      <c r="E26" s="168">
        <f>+D26/$D$36</f>
        <v>1.2114596669402049E-2</v>
      </c>
      <c r="G26" s="119">
        <f>+E26*$G$38</f>
        <v>525040.9673954692</v>
      </c>
      <c r="H26" s="119">
        <f>+E26*$H$38</f>
        <v>41923.934058617764</v>
      </c>
      <c r="I26" s="119">
        <f>SUM(G26:H26)</f>
        <v>566964.901454087</v>
      </c>
      <c r="J26" s="119"/>
      <c r="K26" s="169">
        <f>'Projected TY Revenues'!$C$24</f>
        <v>596966844.18403196</v>
      </c>
      <c r="L26" s="170"/>
      <c r="M26" s="120">
        <f>ROUND(G26/$K26,6)</f>
        <v>8.8000000000000003E-4</v>
      </c>
      <c r="N26" s="120">
        <f t="shared" si="9"/>
        <v>6.9999999999999994E-5</v>
      </c>
      <c r="O26" s="120">
        <f>SUM(M26:N26)</f>
        <v>9.5E-4</v>
      </c>
      <c r="Q26" s="119">
        <f>+O26*K26-I26</f>
        <v>153.60052074340638</v>
      </c>
      <c r="R26" s="166"/>
      <c r="S26" s="40"/>
      <c r="T26" s="272" t="s">
        <v>194</v>
      </c>
    </row>
    <row r="27" spans="1:20" x14ac:dyDescent="0.2">
      <c r="A27" s="103">
        <f t="shared" si="1"/>
        <v>19</v>
      </c>
      <c r="D27" s="126"/>
      <c r="E27" s="172"/>
      <c r="G27" s="126"/>
      <c r="H27" s="126"/>
      <c r="I27" s="126"/>
      <c r="J27" s="126"/>
      <c r="K27" s="173"/>
      <c r="L27" s="173"/>
      <c r="M27" s="127"/>
      <c r="N27" s="127"/>
      <c r="O27" s="127"/>
      <c r="Q27" s="126"/>
      <c r="S27" s="40"/>
      <c r="T27" s="273"/>
    </row>
    <row r="28" spans="1:20" ht="10.199999999999999" customHeight="1" x14ac:dyDescent="0.2">
      <c r="A28" s="103">
        <f t="shared" si="1"/>
        <v>20</v>
      </c>
      <c r="B28" s="101" t="s">
        <v>17</v>
      </c>
      <c r="C28" s="108" t="s">
        <v>18</v>
      </c>
      <c r="D28" s="119">
        <f>'Plant-In-Service Trans Adj'!O40</f>
        <v>117495893.47476549</v>
      </c>
      <c r="E28" s="168">
        <f>+D28/$D$36</f>
        <v>1.1364248628501326E-2</v>
      </c>
      <c r="G28" s="119">
        <f>+E28*$G$38</f>
        <v>492521.23338956141</v>
      </c>
      <c r="H28" s="119">
        <f>+E28*$H$38</f>
        <v>39327.269667207394</v>
      </c>
      <c r="I28" s="119">
        <f>SUM(G28:H28)</f>
        <v>531848.50305676879</v>
      </c>
      <c r="J28" s="119"/>
      <c r="K28" s="169">
        <f>'Projected TY Revenues'!$C$26</f>
        <v>61936299.716516443</v>
      </c>
      <c r="L28" s="170"/>
      <c r="M28" s="120">
        <f>ROUND(G28/$K28,6)</f>
        <v>7.9520000000000007E-3</v>
      </c>
      <c r="N28" s="120">
        <f t="shared" si="9"/>
        <v>6.3500000000000004E-4</v>
      </c>
      <c r="O28" s="120">
        <f>SUM(M28:N28)</f>
        <v>8.5870000000000009E-3</v>
      </c>
      <c r="Q28" s="119">
        <f>+O28*K28-I28</f>
        <v>-1.497391042066738</v>
      </c>
      <c r="R28" s="166"/>
      <c r="S28" s="40"/>
      <c r="T28" s="301" t="s">
        <v>192</v>
      </c>
    </row>
    <row r="29" spans="1:20" x14ac:dyDescent="0.2">
      <c r="A29" s="103">
        <f t="shared" si="1"/>
        <v>21</v>
      </c>
      <c r="C29" s="108"/>
      <c r="D29" s="126"/>
      <c r="E29" s="172"/>
      <c r="G29" s="126"/>
      <c r="H29" s="126"/>
      <c r="I29" s="126"/>
      <c r="J29" s="126"/>
      <c r="K29" s="173"/>
      <c r="L29" s="173"/>
      <c r="M29" s="127"/>
      <c r="N29" s="127"/>
      <c r="O29" s="127"/>
      <c r="Q29" s="126"/>
      <c r="S29" s="40"/>
      <c r="T29" s="301"/>
    </row>
    <row r="30" spans="1:20" ht="10.199999999999999" customHeight="1" x14ac:dyDescent="0.2">
      <c r="A30" s="103">
        <f t="shared" si="1"/>
        <v>22</v>
      </c>
      <c r="B30" s="117" t="s">
        <v>21</v>
      </c>
      <c r="C30" s="107" t="s">
        <v>65</v>
      </c>
      <c r="D30" s="119">
        <f>'Plant-In-Service Trans Adj'!N40</f>
        <v>7629194.567398468</v>
      </c>
      <c r="E30" s="168">
        <f>+D30/$D$36</f>
        <v>7.378986731799976E-4</v>
      </c>
      <c r="G30" s="119">
        <f>+E30*$G$38</f>
        <v>31980.184217340655</v>
      </c>
      <c r="H30" s="119">
        <f>+E30*$H$38</f>
        <v>2553.5819442073657</v>
      </c>
      <c r="I30" s="119">
        <f>SUM(G30:H30)</f>
        <v>34533.766161548017</v>
      </c>
      <c r="J30" s="119"/>
      <c r="K30" s="233">
        <f>'Projected TY Revenues'!$C$27</f>
        <v>1954952937.6518955</v>
      </c>
      <c r="L30" s="170"/>
      <c r="M30" s="234">
        <f>ROUND(G30/$K30,6)</f>
        <v>1.5999999999999999E-5</v>
      </c>
      <c r="N30" s="234">
        <f t="shared" ref="N30" si="12">ROUND((H30)/$K30,6)</f>
        <v>9.9999999999999995E-7</v>
      </c>
      <c r="O30" s="234">
        <f>SUM(M30:N30)</f>
        <v>1.7E-5</v>
      </c>
      <c r="Q30" s="235">
        <f>+O30*K30-I30</f>
        <v>-1299.5662214657932</v>
      </c>
      <c r="R30" s="166"/>
      <c r="S30" s="40"/>
      <c r="T30" s="302" t="s">
        <v>195</v>
      </c>
    </row>
    <row r="31" spans="1:20" x14ac:dyDescent="0.2">
      <c r="A31" s="103">
        <f t="shared" si="1"/>
        <v>23</v>
      </c>
      <c r="D31" s="126"/>
      <c r="E31" s="172"/>
      <c r="G31" s="126"/>
      <c r="H31" s="126"/>
      <c r="I31" s="126"/>
      <c r="J31" s="126"/>
      <c r="K31" s="173"/>
      <c r="L31" s="173"/>
      <c r="M31" s="127"/>
      <c r="N31" s="127"/>
      <c r="O31" s="127"/>
      <c r="Q31" s="126"/>
      <c r="S31" s="40"/>
      <c r="T31" s="302"/>
    </row>
    <row r="32" spans="1:20" ht="10.8" thickBot="1" x14ac:dyDescent="0.25">
      <c r="A32" s="103">
        <f t="shared" si="1"/>
        <v>24</v>
      </c>
      <c r="B32" s="125" t="s">
        <v>19</v>
      </c>
      <c r="D32" s="129">
        <f>SUM(D11,D17,D22,D24,D26,D28,D30)</f>
        <v>10336474165.084898</v>
      </c>
      <c r="E32" s="175">
        <f>+D32/$D$36</f>
        <v>0.99974781143592539</v>
      </c>
      <c r="G32" s="129">
        <f>SUM(G11,G17,G22,G24,G26,G28,G30)</f>
        <v>43328603.699501447</v>
      </c>
      <c r="H32" s="129">
        <f>SUM(H11,H17,H22,H24,H26,H28,H30)</f>
        <v>3459740.5481726131</v>
      </c>
      <c r="I32" s="129">
        <f>SUM(I11,I17,I22,I24,I26,I28,I30)</f>
        <v>46788344.247674048</v>
      </c>
      <c r="J32" s="129"/>
      <c r="K32" s="176">
        <f>SUM(K11,K17,K22,K24,K26,K28,K30)</f>
        <v>22718121536.065468</v>
      </c>
      <c r="L32" s="170"/>
      <c r="M32" s="130">
        <f>ROUND(G32/$K32,6)</f>
        <v>1.9070000000000001E-3</v>
      </c>
      <c r="N32" s="130">
        <f t="shared" si="9"/>
        <v>1.5200000000000001E-4</v>
      </c>
      <c r="O32" s="130">
        <f>SUM(M32:N32)</f>
        <v>2.0590000000000001E-3</v>
      </c>
      <c r="Q32" s="129">
        <f>SUM(Q11,Q17,Q22,Q24,Q26,Q28,Q30)</f>
        <v>-6161.6060180058994</v>
      </c>
      <c r="S32" s="40"/>
      <c r="T32" s="273"/>
    </row>
    <row r="33" spans="1:20" ht="10.8" thickTop="1" x14ac:dyDescent="0.2">
      <c r="A33" s="103">
        <f t="shared" si="1"/>
        <v>25</v>
      </c>
      <c r="D33" s="177"/>
      <c r="E33" s="178"/>
      <c r="G33" s="177"/>
      <c r="H33" s="177"/>
      <c r="I33" s="177"/>
      <c r="J33" s="177"/>
      <c r="K33" s="179"/>
      <c r="L33" s="170"/>
      <c r="M33" s="180"/>
      <c r="N33" s="180"/>
      <c r="O33" s="180"/>
      <c r="Q33" s="177"/>
      <c r="S33" s="40"/>
      <c r="T33" s="273"/>
    </row>
    <row r="34" spans="1:20" x14ac:dyDescent="0.2">
      <c r="A34" s="103">
        <f t="shared" si="1"/>
        <v>26</v>
      </c>
      <c r="B34" s="125" t="s">
        <v>208</v>
      </c>
      <c r="D34" s="119">
        <f>'Plant-In-Service Trans Adj'!P40</f>
        <v>2607398.1332773012</v>
      </c>
      <c r="E34" s="168">
        <f>+D34/$D$36</f>
        <v>2.5218856407451667E-4</v>
      </c>
      <c r="G34" s="119">
        <f>+E34*$G$38</f>
        <v>10929.734704431885</v>
      </c>
      <c r="H34" s="119">
        <f>+E34*$H$38</f>
        <v>872.7270927063712</v>
      </c>
      <c r="I34" s="119">
        <f>SUM(G34:H34)</f>
        <v>11802.461797138256</v>
      </c>
      <c r="J34" s="119"/>
      <c r="K34" s="169">
        <f>'Projected TY Revenues'!$C$32</f>
        <v>7096018.3476012228</v>
      </c>
      <c r="L34" s="170"/>
      <c r="M34" s="120"/>
      <c r="N34" s="120"/>
      <c r="O34" s="120"/>
      <c r="Q34" s="119"/>
      <c r="R34" s="166"/>
      <c r="S34" s="40"/>
      <c r="T34" s="273"/>
    </row>
    <row r="35" spans="1:20" x14ac:dyDescent="0.2">
      <c r="A35" s="103">
        <f t="shared" si="1"/>
        <v>27</v>
      </c>
      <c r="D35" s="126"/>
      <c r="E35" s="172"/>
      <c r="G35" s="126"/>
      <c r="H35" s="126"/>
      <c r="I35" s="126"/>
      <c r="J35" s="126"/>
      <c r="K35" s="173"/>
      <c r="L35" s="173"/>
      <c r="M35" s="127"/>
      <c r="N35" s="127"/>
      <c r="O35" s="127"/>
      <c r="Q35" s="126"/>
      <c r="S35" s="40"/>
      <c r="T35" s="272"/>
    </row>
    <row r="36" spans="1:20" ht="10.8" thickBot="1" x14ac:dyDescent="0.25">
      <c r="A36" s="103">
        <f t="shared" si="1"/>
        <v>28</v>
      </c>
      <c r="B36" s="125" t="s">
        <v>20</v>
      </c>
      <c r="D36" s="129">
        <f>SUM(D32,D34)</f>
        <v>10339081563.218176</v>
      </c>
      <c r="E36" s="175">
        <f>SUM(E32,E34)</f>
        <v>0.99999999999999989</v>
      </c>
      <c r="G36" s="129">
        <f>SUM(G32,G34)</f>
        <v>43339533.434205882</v>
      </c>
      <c r="H36" s="129">
        <f>SUM(H32,H34)</f>
        <v>3460613.2752653197</v>
      </c>
      <c r="I36" s="129">
        <f>SUM(I32,I34)</f>
        <v>46800146.709471188</v>
      </c>
      <c r="J36" s="129"/>
      <c r="K36" s="176">
        <f>SUM(K32,K34)</f>
        <v>22725217554.413071</v>
      </c>
      <c r="L36" s="170"/>
      <c r="M36" s="130">
        <f>ROUND(G36/$K36,6)</f>
        <v>1.9070000000000001E-3</v>
      </c>
      <c r="N36" s="130">
        <f>ROUND((H36)/$K36,6)</f>
        <v>1.5200000000000001E-4</v>
      </c>
      <c r="O36" s="130">
        <f>SUM(M36:N36)</f>
        <v>2.0590000000000001E-3</v>
      </c>
      <c r="P36" s="166"/>
      <c r="Q36" s="129">
        <f>SUM(Q32,Q34)</f>
        <v>-6161.6060180058994</v>
      </c>
      <c r="R36" s="166"/>
      <c r="S36" s="40"/>
      <c r="T36" s="274"/>
    </row>
    <row r="37" spans="1:20" ht="10.8" thickTop="1" x14ac:dyDescent="0.2">
      <c r="A37" s="103">
        <f t="shared" si="1"/>
        <v>29</v>
      </c>
      <c r="P37" s="183"/>
      <c r="R37" s="166"/>
      <c r="T37" s="40"/>
    </row>
    <row r="38" spans="1:20" ht="10.8" thickBot="1" x14ac:dyDescent="0.25">
      <c r="A38" s="103">
        <f t="shared" si="1"/>
        <v>30</v>
      </c>
      <c r="B38" s="101" t="s">
        <v>66</v>
      </c>
      <c r="D38" s="126"/>
      <c r="G38" s="259">
        <v>43339533.434205867</v>
      </c>
      <c r="H38" s="259">
        <v>3460613.2752653202</v>
      </c>
      <c r="I38" s="236">
        <f>SUM(G38:H38)</f>
        <v>46800146.709471188</v>
      </c>
      <c r="T38" s="40"/>
    </row>
    <row r="39" spans="1:20" ht="10.8" thickTop="1" x14ac:dyDescent="0.2">
      <c r="G39" s="114" t="s">
        <v>282</v>
      </c>
      <c r="H39" s="114" t="s">
        <v>283</v>
      </c>
      <c r="T39" s="40"/>
    </row>
    <row r="41" spans="1:20" x14ac:dyDescent="0.2">
      <c r="C41" s="266" t="s">
        <v>262</v>
      </c>
      <c r="D41" s="266"/>
      <c r="E41" s="266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</row>
    <row r="42" spans="1:20" x14ac:dyDescent="0.2"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</row>
  </sheetData>
  <mergeCells count="6">
    <mergeCell ref="T28:T29"/>
    <mergeCell ref="T30:T31"/>
    <mergeCell ref="A1:Q1"/>
    <mergeCell ref="A2:Q2"/>
    <mergeCell ref="A4:Q4"/>
    <mergeCell ref="A3:Q3"/>
  </mergeCells>
  <printOptions horizontalCentered="1"/>
  <pageMargins left="0.7" right="0.7" top="0.75" bottom="0.75" header="0.3" footer="0.3"/>
  <pageSetup scale="55" fitToHeight="0" orientation="landscape" r:id="rId1"/>
  <headerFooter alignWithMargins="0">
    <oddFooter xml:space="preserve">&amp;L&amp;F
&amp;A&amp;RPage &amp;P of &amp;N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selection activeCell="D8" sqref="D8"/>
    </sheetView>
  </sheetViews>
  <sheetFormatPr defaultColWidth="9.109375" defaultRowHeight="10.199999999999999" x14ac:dyDescent="0.2"/>
  <cols>
    <col min="1" max="1" width="7.44140625" style="40" bestFit="1" customWidth="1"/>
    <col min="2" max="2" width="39.44140625" style="40" bestFit="1" customWidth="1"/>
    <col min="3" max="3" width="9.88671875" style="40" bestFit="1" customWidth="1"/>
    <col min="4" max="4" width="12.88671875" style="40" bestFit="1" customWidth="1"/>
    <col min="5" max="5" width="15.109375" style="40" bestFit="1" customWidth="1"/>
    <col min="6" max="6" width="10.109375" style="40" bestFit="1" customWidth="1"/>
    <col min="7" max="7" width="14.6640625" style="40" bestFit="1" customWidth="1"/>
    <col min="8" max="8" width="12.88671875" style="40" bestFit="1" customWidth="1"/>
    <col min="9" max="16384" width="9.109375" style="40"/>
  </cols>
  <sheetData>
    <row r="1" spans="1:8" s="247" customFormat="1" x14ac:dyDescent="0.2">
      <c r="A1" s="307" t="s">
        <v>0</v>
      </c>
      <c r="B1" s="307"/>
      <c r="C1" s="307"/>
      <c r="D1" s="307"/>
      <c r="E1" s="307"/>
    </row>
    <row r="2" spans="1:8" s="247" customFormat="1" x14ac:dyDescent="0.2">
      <c r="A2" s="308" t="s">
        <v>274</v>
      </c>
      <c r="B2" s="307"/>
      <c r="C2" s="307"/>
      <c r="D2" s="307"/>
      <c r="E2" s="307"/>
    </row>
    <row r="3" spans="1:8" s="247" customFormat="1" x14ac:dyDescent="0.2">
      <c r="A3" s="308" t="s">
        <v>275</v>
      </c>
      <c r="B3" s="307"/>
      <c r="C3" s="307"/>
      <c r="D3" s="307"/>
      <c r="E3" s="307"/>
    </row>
    <row r="4" spans="1:8" s="247" customFormat="1" x14ac:dyDescent="0.2">
      <c r="A4" s="308" t="str">
        <f>'Rate Impacts'!A4</f>
        <v>Forecasted Test-Year Ended April 30, 2024</v>
      </c>
      <c r="B4" s="307"/>
      <c r="C4" s="307"/>
      <c r="D4" s="307"/>
      <c r="E4" s="307"/>
    </row>
    <row r="5" spans="1:8" s="247" customFormat="1" x14ac:dyDescent="0.2">
      <c r="A5" s="308" t="str">
        <f>'Rate Impacts'!A5</f>
        <v>Proposed Rate Effective May 1, 2023</v>
      </c>
      <c r="B5" s="307"/>
      <c r="C5" s="307"/>
      <c r="D5" s="307"/>
      <c r="E5" s="307"/>
    </row>
    <row r="6" spans="1:8" s="247" customFormat="1" ht="10.8" thickBot="1" x14ac:dyDescent="0.25">
      <c r="A6" s="133"/>
      <c r="B6" s="133"/>
      <c r="C6" s="133"/>
      <c r="D6" s="133"/>
      <c r="E6" s="133"/>
    </row>
    <row r="7" spans="1:8" s="247" customFormat="1" ht="59.4" customHeight="1" x14ac:dyDescent="0.2">
      <c r="A7" s="250" t="s">
        <v>168</v>
      </c>
      <c r="B7" s="251" t="s">
        <v>169</v>
      </c>
      <c r="C7" s="250" t="str">
        <f>'Rate Design'!I7</f>
        <v>Combined Revenue Requirement</v>
      </c>
      <c r="D7" s="250" t="str">
        <f>'Rate Design'!G7</f>
        <v>Revenue Requirement
Base Component
(140A)</v>
      </c>
      <c r="E7" s="250" t="str">
        <f>'Rate Design'!H7</f>
        <v>Revenue Requirement
Deferral Component
(140B)</v>
      </c>
      <c r="G7" s="244" t="s">
        <v>190</v>
      </c>
      <c r="H7" s="245" t="s">
        <v>189</v>
      </c>
    </row>
    <row r="8" spans="1:8" x14ac:dyDescent="0.2">
      <c r="A8" s="135">
        <v>1</v>
      </c>
      <c r="B8" s="137" t="s">
        <v>270</v>
      </c>
      <c r="C8" s="209">
        <f>SUM(D8:E8)</f>
        <v>34533.766161548017</v>
      </c>
      <c r="D8" s="209">
        <f>+'Rate Design'!G30</f>
        <v>31980.184217340655</v>
      </c>
      <c r="E8" s="209">
        <f>+'Rate Design'!H30</f>
        <v>2553.5819442073657</v>
      </c>
      <c r="G8" s="105"/>
      <c r="H8" s="163"/>
    </row>
    <row r="9" spans="1:8" ht="10.8" thickBot="1" x14ac:dyDescent="0.25">
      <c r="A9" s="135">
        <f t="shared" ref="A9:A10" si="0">+A8+1</f>
        <v>2</v>
      </c>
      <c r="B9" s="137" t="s">
        <v>276</v>
      </c>
      <c r="C9" s="34">
        <f>+F29</f>
        <v>3417827.667205642</v>
      </c>
      <c r="D9" s="34"/>
      <c r="E9" s="34"/>
      <c r="G9" s="105"/>
      <c r="H9" s="163"/>
    </row>
    <row r="10" spans="1:8" ht="10.8" thickBot="1" x14ac:dyDescent="0.25">
      <c r="A10" s="135">
        <f t="shared" si="0"/>
        <v>3</v>
      </c>
      <c r="B10" s="134" t="s">
        <v>242</v>
      </c>
      <c r="C10" s="267">
        <f>SUM(D10:E10)</f>
        <v>9.9999999999999985E-3</v>
      </c>
      <c r="D10" s="268">
        <f>ROUND(D8/$C$9,3)</f>
        <v>8.9999999999999993E-3</v>
      </c>
      <c r="E10" s="269">
        <f>ROUND(E8/$C$9,3)</f>
        <v>1E-3</v>
      </c>
      <c r="G10" s="105" t="s">
        <v>194</v>
      </c>
      <c r="H10" s="163" t="s">
        <v>243</v>
      </c>
    </row>
    <row r="11" spans="1:8" ht="10.8" thickBot="1" x14ac:dyDescent="0.25">
      <c r="A11" s="135"/>
      <c r="B11" s="134"/>
      <c r="C11" s="134"/>
      <c r="D11" s="134"/>
      <c r="E11" s="134"/>
      <c r="G11" s="181"/>
      <c r="H11" s="182"/>
    </row>
    <row r="12" spans="1:8" x14ac:dyDescent="0.2">
      <c r="A12" s="134"/>
      <c r="B12" s="134"/>
      <c r="C12" s="134"/>
      <c r="D12" s="134"/>
      <c r="E12" s="134"/>
    </row>
    <row r="13" spans="1:8" x14ac:dyDescent="0.2">
      <c r="A13" s="309" t="s">
        <v>211</v>
      </c>
      <c r="B13" s="310"/>
      <c r="C13" s="310"/>
      <c r="D13" s="310"/>
      <c r="E13" s="310"/>
      <c r="F13" s="311"/>
    </row>
    <row r="14" spans="1:8" x14ac:dyDescent="0.2">
      <c r="A14" s="304" t="s">
        <v>277</v>
      </c>
      <c r="B14" s="305"/>
      <c r="C14" s="305"/>
      <c r="D14" s="305"/>
      <c r="E14" s="305"/>
      <c r="F14" s="306"/>
    </row>
    <row r="15" spans="1:8" x14ac:dyDescent="0.2">
      <c r="A15" s="210"/>
      <c r="B15" s="36"/>
      <c r="C15" s="36"/>
      <c r="D15" s="36"/>
      <c r="E15" s="36"/>
      <c r="F15" s="211"/>
    </row>
    <row r="16" spans="1:8" x14ac:dyDescent="0.2">
      <c r="A16" s="212" t="s">
        <v>170</v>
      </c>
      <c r="B16" s="213" t="s">
        <v>34</v>
      </c>
      <c r="C16" s="212" t="s">
        <v>171</v>
      </c>
      <c r="D16" s="214" t="s">
        <v>172</v>
      </c>
      <c r="E16" s="214" t="s">
        <v>173</v>
      </c>
      <c r="F16" s="213" t="s">
        <v>35</v>
      </c>
    </row>
    <row r="17" spans="1:6" x14ac:dyDescent="0.2">
      <c r="A17" s="215">
        <v>2023</v>
      </c>
      <c r="B17" s="216">
        <v>5</v>
      </c>
      <c r="C17" s="217">
        <v>9588.8175919874193</v>
      </c>
      <c r="D17" s="218">
        <v>234684.38110622327</v>
      </c>
      <c r="E17" s="219">
        <v>43130.976480027028</v>
      </c>
      <c r="F17" s="220">
        <f>SUM(C17:E17)</f>
        <v>287404.17517823773</v>
      </c>
    </row>
    <row r="18" spans="1:6" x14ac:dyDescent="0.2">
      <c r="A18" s="215"/>
      <c r="B18" s="216">
        <v>6</v>
      </c>
      <c r="C18" s="221">
        <v>8840.6869460826656</v>
      </c>
      <c r="D18" s="222">
        <v>228825.5839585035</v>
      </c>
      <c r="E18" s="223">
        <v>41883.618358142841</v>
      </c>
      <c r="F18" s="220">
        <f t="shared" ref="F18:F28" si="1">SUM(C18:E18)</f>
        <v>279549.88926272898</v>
      </c>
    </row>
    <row r="19" spans="1:6" x14ac:dyDescent="0.2">
      <c r="A19" s="215"/>
      <c r="B19" s="216">
        <v>7</v>
      </c>
      <c r="C19" s="221">
        <v>9099.9983357589972</v>
      </c>
      <c r="D19" s="222">
        <v>240197.84622105962</v>
      </c>
      <c r="E19" s="223">
        <v>45803.967177308376</v>
      </c>
      <c r="F19" s="220">
        <f t="shared" si="1"/>
        <v>295101.811734127</v>
      </c>
    </row>
    <row r="20" spans="1:6" x14ac:dyDescent="0.2">
      <c r="A20" s="215"/>
      <c r="B20" s="216">
        <v>8</v>
      </c>
      <c r="C20" s="221">
        <v>8878.827063454275</v>
      </c>
      <c r="D20" s="222">
        <v>238616.56306909741</v>
      </c>
      <c r="E20" s="223">
        <v>47449.099195638009</v>
      </c>
      <c r="F20" s="220">
        <f t="shared" si="1"/>
        <v>294944.48932818969</v>
      </c>
    </row>
    <row r="21" spans="1:6" x14ac:dyDescent="0.2">
      <c r="A21" s="215"/>
      <c r="B21" s="216">
        <v>9</v>
      </c>
      <c r="C21" s="221">
        <v>8860.9324991903286</v>
      </c>
      <c r="D21" s="222">
        <v>236011.0979481875</v>
      </c>
      <c r="E21" s="223">
        <v>47080.279611704791</v>
      </c>
      <c r="F21" s="220">
        <f t="shared" si="1"/>
        <v>291952.31005908264</v>
      </c>
    </row>
    <row r="22" spans="1:6" x14ac:dyDescent="0.2">
      <c r="A22" s="215"/>
      <c r="B22" s="216">
        <v>10</v>
      </c>
      <c r="C22" s="221">
        <v>8616.9848423489657</v>
      </c>
      <c r="D22" s="222">
        <v>229245.10985887912</v>
      </c>
      <c r="E22" s="223">
        <v>46400.950211246862</v>
      </c>
      <c r="F22" s="220">
        <f t="shared" si="1"/>
        <v>284263.04491247493</v>
      </c>
    </row>
    <row r="23" spans="1:6" x14ac:dyDescent="0.2">
      <c r="A23" s="215"/>
      <c r="B23" s="216">
        <v>11</v>
      </c>
      <c r="C23" s="221">
        <v>8977.1368919070064</v>
      </c>
      <c r="D23" s="222">
        <v>225956.13610513881</v>
      </c>
      <c r="E23" s="223">
        <v>43135.227255712751</v>
      </c>
      <c r="F23" s="220">
        <f t="shared" si="1"/>
        <v>278068.50025275856</v>
      </c>
    </row>
    <row r="24" spans="1:6" x14ac:dyDescent="0.2">
      <c r="A24" s="224"/>
      <c r="B24" s="225">
        <v>12</v>
      </c>
      <c r="C24" s="226">
        <v>10012.476944691936</v>
      </c>
      <c r="D24" s="227">
        <v>228014.41441152341</v>
      </c>
      <c r="E24" s="228">
        <v>41950.81850385759</v>
      </c>
      <c r="F24" s="229">
        <f t="shared" si="1"/>
        <v>279977.70986007294</v>
      </c>
    </row>
    <row r="25" spans="1:6" x14ac:dyDescent="0.2">
      <c r="A25" s="215">
        <v>2024</v>
      </c>
      <c r="B25" s="216">
        <v>1</v>
      </c>
      <c r="C25" s="221">
        <v>9346.2577449514611</v>
      </c>
      <c r="D25" s="222">
        <v>231810.77749261376</v>
      </c>
      <c r="E25" s="223">
        <v>42348.487676670673</v>
      </c>
      <c r="F25" s="220">
        <f t="shared" si="1"/>
        <v>283505.52291423589</v>
      </c>
    </row>
    <row r="26" spans="1:6" x14ac:dyDescent="0.2">
      <c r="A26" s="215"/>
      <c r="B26" s="216">
        <v>2</v>
      </c>
      <c r="C26" s="221">
        <v>10165.069272493394</v>
      </c>
      <c r="D26" s="222">
        <v>238079.57125715067</v>
      </c>
      <c r="E26" s="223">
        <v>45415.748757843641</v>
      </c>
      <c r="F26" s="220">
        <f t="shared" si="1"/>
        <v>293660.38928748772</v>
      </c>
    </row>
    <row r="27" spans="1:6" x14ac:dyDescent="0.2">
      <c r="A27" s="215"/>
      <c r="B27" s="216">
        <v>3</v>
      </c>
      <c r="C27" s="221">
        <v>9110.7555955848275</v>
      </c>
      <c r="D27" s="222">
        <v>236411.44605327441</v>
      </c>
      <c r="E27" s="223">
        <v>43674.823970225298</v>
      </c>
      <c r="F27" s="220">
        <f t="shared" si="1"/>
        <v>289197.02561908454</v>
      </c>
    </row>
    <row r="28" spans="1:6" x14ac:dyDescent="0.2">
      <c r="A28" s="224"/>
      <c r="B28" s="225">
        <v>4</v>
      </c>
      <c r="C28" s="226">
        <v>8599.2704772111592</v>
      </c>
      <c r="D28" s="227">
        <v>212093.23190493567</v>
      </c>
      <c r="E28" s="228">
        <v>39510.296415014287</v>
      </c>
      <c r="F28" s="229">
        <f t="shared" si="1"/>
        <v>260202.79879716111</v>
      </c>
    </row>
    <row r="29" spans="1:6" x14ac:dyDescent="0.2">
      <c r="A29" s="230"/>
      <c r="B29" s="231" t="s">
        <v>35</v>
      </c>
      <c r="C29" s="232">
        <f>SUM(C17:C28)</f>
        <v>110097.21420566243</v>
      </c>
      <c r="D29" s="232">
        <f>SUM(D17:D28)</f>
        <v>2779946.1593865869</v>
      </c>
      <c r="E29" s="232">
        <f>SUM(E17:E28)</f>
        <v>527784.29361339204</v>
      </c>
      <c r="F29" s="229">
        <f>SUM(F17:F28)</f>
        <v>3417827.667205642</v>
      </c>
    </row>
  </sheetData>
  <mergeCells count="7">
    <mergeCell ref="A14:F14"/>
    <mergeCell ref="A1:E1"/>
    <mergeCell ref="A2:E2"/>
    <mergeCell ref="A4:E4"/>
    <mergeCell ref="A5:E5"/>
    <mergeCell ref="A13:F13"/>
    <mergeCell ref="A3:E3"/>
  </mergeCells>
  <printOptions horizontalCentered="1"/>
  <pageMargins left="0.7" right="0.7" top="0.75" bottom="0.75" header="0.3" footer="0.3"/>
  <pageSetup scale="99" orientation="landscape" r:id="rId1"/>
  <headerFooter>
    <oddFooter>&amp;L&amp;F
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4"/>
  <sheetViews>
    <sheetView tabSelected="1" zoomScale="130" zoomScaleNormal="130" workbookViewId="0">
      <pane xSplit="5" ySplit="9" topLeftCell="F10" activePane="bottomRight" state="frozen"/>
      <selection activeCell="D6" sqref="D6"/>
      <selection pane="topRight" activeCell="D6" sqref="D6"/>
      <selection pane="bottomLeft" activeCell="D6" sqref="D6"/>
      <selection pane="bottomRight" activeCell="E172" sqref="E172"/>
    </sheetView>
  </sheetViews>
  <sheetFormatPr defaultColWidth="8.88671875" defaultRowHeight="10.199999999999999" x14ac:dyDescent="0.2"/>
  <cols>
    <col min="1" max="1" width="4.44140625" style="40" bestFit="1" customWidth="1"/>
    <col min="2" max="2" width="4.44140625" style="40" customWidth="1"/>
    <col min="3" max="3" width="29.6640625" style="40" bestFit="1" customWidth="1"/>
    <col min="4" max="4" width="18.6640625" style="40" bestFit="1" customWidth="1"/>
    <col min="5" max="5" width="12.33203125" style="40" bestFit="1" customWidth="1"/>
    <col min="6" max="8" width="12.88671875" style="40" customWidth="1"/>
    <col min="9" max="9" width="11.88671875" style="40" bestFit="1" customWidth="1"/>
    <col min="10" max="11" width="14.5546875" style="40" customWidth="1"/>
    <col min="12" max="12" width="11.33203125" style="40" bestFit="1" customWidth="1"/>
    <col min="13" max="13" width="2.6640625" style="40" customWidth="1"/>
    <col min="14" max="14" width="14.6640625" style="40" bestFit="1" customWidth="1"/>
    <col min="15" max="15" width="5.5546875" style="40" bestFit="1" customWidth="1"/>
    <col min="16" max="16384" width="8.88671875" style="40"/>
  </cols>
  <sheetData>
    <row r="1" spans="1:15" s="247" customFormat="1" x14ac:dyDescent="0.2">
      <c r="A1" s="307" t="s">
        <v>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</row>
    <row r="2" spans="1:15" s="247" customFormat="1" x14ac:dyDescent="0.2">
      <c r="A2" s="307" t="s">
        <v>281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</row>
    <row r="3" spans="1:15" s="247" customFormat="1" x14ac:dyDescent="0.2">
      <c r="A3" s="308" t="str">
        <f>'Rate Impacts'!A4</f>
        <v>Forecasted Test-Year Ended April 30, 2024</v>
      </c>
      <c r="B3" s="308"/>
      <c r="C3" s="307"/>
      <c r="D3" s="307"/>
      <c r="E3" s="307"/>
      <c r="F3" s="307"/>
      <c r="G3" s="307"/>
      <c r="H3" s="307"/>
      <c r="I3" s="307"/>
      <c r="J3" s="307"/>
      <c r="K3" s="307"/>
      <c r="L3" s="307"/>
    </row>
    <row r="4" spans="1:15" s="247" customFormat="1" x14ac:dyDescent="0.2">
      <c r="A4" s="308" t="str">
        <f>'Rate Impacts'!A5</f>
        <v>Proposed Rate Effective May 1, 2023</v>
      </c>
      <c r="B4" s="308"/>
      <c r="C4" s="307"/>
      <c r="D4" s="307"/>
      <c r="E4" s="307"/>
      <c r="F4" s="307"/>
      <c r="G4" s="307"/>
      <c r="H4" s="307"/>
      <c r="I4" s="307"/>
      <c r="J4" s="307"/>
      <c r="K4" s="307"/>
      <c r="L4" s="307"/>
    </row>
    <row r="5" spans="1:15" s="247" customFormat="1" x14ac:dyDescent="0.2">
      <c r="A5" s="308"/>
      <c r="B5" s="308"/>
      <c r="C5" s="307"/>
      <c r="D5" s="307"/>
      <c r="E5" s="307"/>
      <c r="F5" s="307"/>
      <c r="G5" s="307"/>
      <c r="H5" s="307"/>
      <c r="I5" s="307"/>
      <c r="J5" s="307"/>
      <c r="K5" s="307"/>
      <c r="L5" s="307"/>
    </row>
    <row r="6" spans="1:15" s="247" customFormat="1" ht="10.8" thickBot="1" x14ac:dyDescent="0.25">
      <c r="A6" s="246"/>
      <c r="B6" s="254"/>
      <c r="C6" s="303"/>
      <c r="D6" s="303"/>
      <c r="E6" s="303"/>
      <c r="F6" s="303"/>
      <c r="G6" s="303"/>
      <c r="H6" s="303"/>
      <c r="I6" s="133"/>
      <c r="J6" s="133"/>
      <c r="K6" s="133"/>
      <c r="L6" s="133"/>
    </row>
    <row r="7" spans="1:15" s="247" customFormat="1" ht="30.6" x14ac:dyDescent="0.2">
      <c r="A7" s="241" t="s">
        <v>1</v>
      </c>
      <c r="B7" s="241"/>
      <c r="C7" s="241" t="s">
        <v>3</v>
      </c>
      <c r="D7" s="241" t="s">
        <v>68</v>
      </c>
      <c r="E7" s="241" t="s">
        <v>94</v>
      </c>
      <c r="F7" s="242" t="s">
        <v>266</v>
      </c>
      <c r="G7" s="242" t="s">
        <v>267</v>
      </c>
      <c r="H7" s="242" t="s">
        <v>268</v>
      </c>
      <c r="I7" s="242" t="s">
        <v>320</v>
      </c>
      <c r="J7" s="242" t="s">
        <v>278</v>
      </c>
      <c r="K7" s="242" t="s">
        <v>279</v>
      </c>
      <c r="L7" s="242" t="s">
        <v>280</v>
      </c>
      <c r="N7" s="248" t="s">
        <v>190</v>
      </c>
      <c r="O7" s="249" t="s">
        <v>189</v>
      </c>
    </row>
    <row r="8" spans="1:15" x14ac:dyDescent="0.2">
      <c r="A8" s="135"/>
      <c r="B8" s="135"/>
      <c r="C8" s="185"/>
      <c r="D8" s="185"/>
      <c r="E8" s="186"/>
      <c r="F8" s="185" t="s">
        <v>30</v>
      </c>
      <c r="G8" s="185" t="s">
        <v>29</v>
      </c>
      <c r="H8" s="186" t="s">
        <v>28</v>
      </c>
      <c r="I8" s="187" t="s">
        <v>32</v>
      </c>
      <c r="J8" s="187" t="s">
        <v>31</v>
      </c>
      <c r="K8" s="187" t="s">
        <v>27</v>
      </c>
      <c r="L8" s="187" t="s">
        <v>93</v>
      </c>
      <c r="N8" s="188"/>
      <c r="O8" s="189"/>
    </row>
    <row r="9" spans="1:15" x14ac:dyDescent="0.2">
      <c r="A9" s="135"/>
      <c r="B9" s="135"/>
      <c r="C9" s="185"/>
      <c r="D9" s="185"/>
      <c r="E9" s="186"/>
      <c r="F9" s="186"/>
      <c r="G9" s="186"/>
      <c r="H9" s="104" t="s">
        <v>141</v>
      </c>
      <c r="I9" s="134"/>
      <c r="J9" s="190" t="s">
        <v>176</v>
      </c>
      <c r="K9" s="190" t="s">
        <v>177</v>
      </c>
      <c r="L9" s="104" t="s">
        <v>142</v>
      </c>
      <c r="N9" s="188"/>
      <c r="O9" s="189"/>
    </row>
    <row r="10" spans="1:15" x14ac:dyDescent="0.2">
      <c r="A10" s="135">
        <v>1</v>
      </c>
      <c r="B10" s="39" t="s">
        <v>95</v>
      </c>
      <c r="D10" s="39"/>
      <c r="E10" s="39"/>
      <c r="F10" s="39"/>
      <c r="G10" s="39"/>
      <c r="H10" s="36"/>
      <c r="I10" s="134"/>
      <c r="J10" s="134"/>
      <c r="K10" s="134"/>
      <c r="L10" s="134"/>
      <c r="N10" s="188"/>
      <c r="O10" s="189"/>
    </row>
    <row r="11" spans="1:15" x14ac:dyDescent="0.2">
      <c r="A11" s="135">
        <f>A10+1</f>
        <v>2</v>
      </c>
      <c r="B11" s="135"/>
      <c r="C11" s="191" t="s">
        <v>96</v>
      </c>
      <c r="D11" s="192" t="s">
        <v>261</v>
      </c>
      <c r="E11" s="193">
        <v>22</v>
      </c>
      <c r="F11" s="194">
        <v>0</v>
      </c>
      <c r="G11" s="194">
        <v>0</v>
      </c>
      <c r="H11" s="194">
        <v>0</v>
      </c>
      <c r="I11" s="195">
        <v>708</v>
      </c>
      <c r="J11" s="196">
        <f>ROUND($I11*F11,0)</f>
        <v>0</v>
      </c>
      <c r="K11" s="196">
        <f>ROUND($I11*G11,0)</f>
        <v>0</v>
      </c>
      <c r="L11" s="196">
        <f t="shared" ref="L11" si="0">SUM(J11:K11)</f>
        <v>0</v>
      </c>
      <c r="N11" s="174" t="s">
        <v>194</v>
      </c>
      <c r="O11" s="189"/>
    </row>
    <row r="12" spans="1:15" x14ac:dyDescent="0.2">
      <c r="A12" s="135">
        <f t="shared" ref="A12:A66" si="1">A11+1</f>
        <v>3</v>
      </c>
      <c r="B12" s="135"/>
      <c r="C12" s="109"/>
      <c r="D12" s="186"/>
      <c r="E12" s="104"/>
      <c r="F12" s="36"/>
      <c r="G12" s="36"/>
      <c r="H12" s="36"/>
      <c r="I12" s="37"/>
      <c r="J12" s="37"/>
      <c r="K12" s="37"/>
      <c r="L12" s="134"/>
      <c r="N12" s="188"/>
      <c r="O12" s="189"/>
    </row>
    <row r="13" spans="1:15" x14ac:dyDescent="0.2">
      <c r="A13" s="135">
        <f t="shared" si="1"/>
        <v>4</v>
      </c>
      <c r="B13" s="135"/>
      <c r="C13" s="191" t="s">
        <v>97</v>
      </c>
      <c r="D13" s="197" t="s">
        <v>69</v>
      </c>
      <c r="E13" s="198">
        <v>100</v>
      </c>
      <c r="F13" s="194">
        <v>0.02</v>
      </c>
      <c r="G13" s="194">
        <v>0</v>
      </c>
      <c r="H13" s="194">
        <v>0.02</v>
      </c>
      <c r="I13" s="195">
        <v>36</v>
      </c>
      <c r="J13" s="196">
        <f>ROUND($I13*F13,0)</f>
        <v>1</v>
      </c>
      <c r="K13" s="196">
        <f t="shared" ref="K13:K20" si="2">ROUND($I13*G13,0)</f>
        <v>0</v>
      </c>
      <c r="L13" s="196">
        <f t="shared" ref="L13:L20" si="3">SUM(J13:K13)</f>
        <v>1</v>
      </c>
      <c r="N13" s="174" t="s">
        <v>194</v>
      </c>
      <c r="O13" s="189"/>
    </row>
    <row r="14" spans="1:15" x14ac:dyDescent="0.2">
      <c r="A14" s="135">
        <f t="shared" si="1"/>
        <v>5</v>
      </c>
      <c r="B14" s="135"/>
      <c r="C14" s="191" t="str">
        <f>+C13</f>
        <v>50E-A</v>
      </c>
      <c r="D14" s="197" t="str">
        <f>+D13</f>
        <v>Mercury Vapor</v>
      </c>
      <c r="E14" s="198">
        <v>175</v>
      </c>
      <c r="F14" s="194">
        <v>0.03</v>
      </c>
      <c r="G14" s="194">
        <v>0</v>
      </c>
      <c r="H14" s="194">
        <v>0.03</v>
      </c>
      <c r="I14" s="195">
        <v>228</v>
      </c>
      <c r="J14" s="196">
        <f t="shared" ref="J14:J20" si="4">ROUND($I14*F14,0)</f>
        <v>7</v>
      </c>
      <c r="K14" s="196">
        <f t="shared" si="2"/>
        <v>0</v>
      </c>
      <c r="L14" s="196">
        <f t="shared" si="3"/>
        <v>7</v>
      </c>
      <c r="N14" s="174" t="s">
        <v>194</v>
      </c>
      <c r="O14" s="189"/>
    </row>
    <row r="15" spans="1:15" x14ac:dyDescent="0.2">
      <c r="A15" s="135">
        <f t="shared" si="1"/>
        <v>6</v>
      </c>
      <c r="B15" s="135"/>
      <c r="C15" s="191" t="str">
        <f>+C14</f>
        <v>50E-A</v>
      </c>
      <c r="D15" s="197" t="str">
        <f>+D14</f>
        <v>Mercury Vapor</v>
      </c>
      <c r="E15" s="198">
        <v>400</v>
      </c>
      <c r="F15" s="194">
        <v>7.0000000000000007E-2</v>
      </c>
      <c r="G15" s="194">
        <v>0.01</v>
      </c>
      <c r="H15" s="194">
        <v>0.08</v>
      </c>
      <c r="I15" s="195">
        <v>204</v>
      </c>
      <c r="J15" s="196">
        <f t="shared" si="4"/>
        <v>14</v>
      </c>
      <c r="K15" s="196">
        <f t="shared" si="2"/>
        <v>2</v>
      </c>
      <c r="L15" s="196">
        <f t="shared" si="3"/>
        <v>16</v>
      </c>
      <c r="N15" s="174" t="s">
        <v>194</v>
      </c>
      <c r="O15" s="189"/>
    </row>
    <row r="16" spans="1:15" x14ac:dyDescent="0.2">
      <c r="A16" s="135">
        <f t="shared" si="1"/>
        <v>7</v>
      </c>
      <c r="B16" s="135"/>
      <c r="C16" s="191"/>
      <c r="D16" s="197"/>
      <c r="E16" s="198"/>
      <c r="F16" s="194"/>
      <c r="G16" s="194"/>
      <c r="H16" s="194"/>
      <c r="I16" s="195"/>
      <c r="J16" s="196"/>
      <c r="K16" s="196"/>
      <c r="L16" s="196"/>
      <c r="N16" s="188"/>
      <c r="O16" s="189"/>
    </row>
    <row r="17" spans="1:15" x14ac:dyDescent="0.2">
      <c r="A17" s="135">
        <f t="shared" si="1"/>
        <v>8</v>
      </c>
      <c r="B17" s="135"/>
      <c r="C17" s="191" t="s">
        <v>98</v>
      </c>
      <c r="D17" s="197" t="str">
        <f>+D15</f>
        <v>Mercury Vapor</v>
      </c>
      <c r="E17" s="198">
        <v>100</v>
      </c>
      <c r="F17" s="194">
        <v>0.02</v>
      </c>
      <c r="G17" s="194">
        <v>0</v>
      </c>
      <c r="H17" s="194">
        <v>0.02</v>
      </c>
      <c r="I17" s="195">
        <v>0</v>
      </c>
      <c r="J17" s="196">
        <f t="shared" si="4"/>
        <v>0</v>
      </c>
      <c r="K17" s="196">
        <f t="shared" si="2"/>
        <v>0</v>
      </c>
      <c r="L17" s="196">
        <f t="shared" si="3"/>
        <v>0</v>
      </c>
      <c r="N17" s="174" t="s">
        <v>194</v>
      </c>
      <c r="O17" s="189"/>
    </row>
    <row r="18" spans="1:15" x14ac:dyDescent="0.2">
      <c r="A18" s="135">
        <f t="shared" si="1"/>
        <v>9</v>
      </c>
      <c r="B18" s="135"/>
      <c r="C18" s="191" t="str">
        <f t="shared" ref="C18:D20" si="5">+C17</f>
        <v>50E-B</v>
      </c>
      <c r="D18" s="197" t="str">
        <f t="shared" si="5"/>
        <v>Mercury Vapor</v>
      </c>
      <c r="E18" s="198">
        <v>175</v>
      </c>
      <c r="F18" s="194">
        <v>0.03</v>
      </c>
      <c r="G18" s="194">
        <v>0</v>
      </c>
      <c r="H18" s="194">
        <v>0.03</v>
      </c>
      <c r="I18" s="195">
        <v>12</v>
      </c>
      <c r="J18" s="196">
        <f t="shared" si="4"/>
        <v>0</v>
      </c>
      <c r="K18" s="196">
        <f t="shared" si="2"/>
        <v>0</v>
      </c>
      <c r="L18" s="196">
        <f t="shared" si="3"/>
        <v>0</v>
      </c>
      <c r="N18" s="174" t="s">
        <v>194</v>
      </c>
      <c r="O18" s="189"/>
    </row>
    <row r="19" spans="1:15" x14ac:dyDescent="0.2">
      <c r="A19" s="135">
        <f t="shared" si="1"/>
        <v>10</v>
      </c>
      <c r="B19" s="135"/>
      <c r="C19" s="191" t="str">
        <f t="shared" si="5"/>
        <v>50E-B</v>
      </c>
      <c r="D19" s="197" t="str">
        <f t="shared" si="5"/>
        <v>Mercury Vapor</v>
      </c>
      <c r="E19" s="198">
        <v>400</v>
      </c>
      <c r="F19" s="194">
        <v>7.0000000000000007E-2</v>
      </c>
      <c r="G19" s="194">
        <v>0.01</v>
      </c>
      <c r="H19" s="194">
        <v>0.08</v>
      </c>
      <c r="I19" s="195">
        <v>0</v>
      </c>
      <c r="J19" s="196">
        <f t="shared" si="4"/>
        <v>0</v>
      </c>
      <c r="K19" s="196">
        <f t="shared" si="2"/>
        <v>0</v>
      </c>
      <c r="L19" s="196">
        <f t="shared" si="3"/>
        <v>0</v>
      </c>
      <c r="N19" s="174" t="s">
        <v>194</v>
      </c>
      <c r="O19" s="189"/>
    </row>
    <row r="20" spans="1:15" x14ac:dyDescent="0.2">
      <c r="A20" s="135">
        <f t="shared" si="1"/>
        <v>11</v>
      </c>
      <c r="B20" s="135"/>
      <c r="C20" s="191" t="str">
        <f t="shared" si="5"/>
        <v>50E-B</v>
      </c>
      <c r="D20" s="197" t="str">
        <f t="shared" si="5"/>
        <v>Mercury Vapor</v>
      </c>
      <c r="E20" s="198">
        <v>700</v>
      </c>
      <c r="F20" s="194">
        <v>0.12</v>
      </c>
      <c r="G20" s="194">
        <v>0.01</v>
      </c>
      <c r="H20" s="194">
        <v>0.13</v>
      </c>
      <c r="I20" s="195">
        <v>0</v>
      </c>
      <c r="J20" s="196">
        <f t="shared" si="4"/>
        <v>0</v>
      </c>
      <c r="K20" s="196">
        <f t="shared" si="2"/>
        <v>0</v>
      </c>
      <c r="L20" s="196">
        <f t="shared" si="3"/>
        <v>0</v>
      </c>
      <c r="N20" s="174" t="s">
        <v>194</v>
      </c>
      <c r="O20" s="189"/>
    </row>
    <row r="21" spans="1:15" x14ac:dyDescent="0.2">
      <c r="A21" s="135">
        <f t="shared" si="1"/>
        <v>12</v>
      </c>
      <c r="B21" s="199" t="s">
        <v>99</v>
      </c>
      <c r="D21" s="200"/>
      <c r="E21" s="39"/>
      <c r="F21" s="36"/>
      <c r="G21" s="36"/>
      <c r="H21" s="36"/>
      <c r="I21" s="37"/>
      <c r="J21" s="37"/>
      <c r="K21" s="37"/>
      <c r="L21" s="134"/>
      <c r="N21" s="188"/>
      <c r="O21" s="189"/>
    </row>
    <row r="22" spans="1:15" x14ac:dyDescent="0.2">
      <c r="A22" s="135">
        <f t="shared" si="1"/>
        <v>13</v>
      </c>
      <c r="B22" s="199"/>
      <c r="C22" s="191" t="s">
        <v>100</v>
      </c>
      <c r="D22" s="197" t="s">
        <v>101</v>
      </c>
      <c r="E22" s="201" t="s">
        <v>260</v>
      </c>
      <c r="F22" s="194">
        <v>0</v>
      </c>
      <c r="G22" s="194">
        <v>0</v>
      </c>
      <c r="H22" s="194">
        <v>0</v>
      </c>
      <c r="I22" s="195">
        <v>0</v>
      </c>
      <c r="J22" s="196">
        <f>ROUND($I22*F22,0)</f>
        <v>0</v>
      </c>
      <c r="K22" s="196">
        <f t="shared" ref="K22" si="6">ROUND($I22*G22,0)</f>
        <v>0</v>
      </c>
      <c r="L22" s="196">
        <f t="shared" ref="L22" si="7">SUM(J22:K22)</f>
        <v>0</v>
      </c>
      <c r="N22" s="188"/>
      <c r="O22" s="189"/>
    </row>
    <row r="23" spans="1:15" x14ac:dyDescent="0.2">
      <c r="A23" s="135">
        <f t="shared" si="1"/>
        <v>14</v>
      </c>
      <c r="B23" s="135"/>
      <c r="C23" s="191" t="s">
        <v>100</v>
      </c>
      <c r="D23" s="197" t="s">
        <v>101</v>
      </c>
      <c r="E23" s="201" t="s">
        <v>102</v>
      </c>
      <c r="F23" s="194">
        <v>0.01</v>
      </c>
      <c r="G23" s="194">
        <v>0</v>
      </c>
      <c r="H23" s="194">
        <v>0.01</v>
      </c>
      <c r="I23" s="195">
        <v>64020</v>
      </c>
      <c r="J23" s="196">
        <f t="shared" ref="J23:J30" si="8">ROUND($I23*F23,0)</f>
        <v>640</v>
      </c>
      <c r="K23" s="196">
        <f t="shared" ref="K23:K31" si="9">ROUND($I23*G23,0)</f>
        <v>0</v>
      </c>
      <c r="L23" s="196">
        <f t="shared" ref="L23:L31" si="10">SUM(J23:K23)</f>
        <v>640</v>
      </c>
      <c r="N23" s="174" t="s">
        <v>196</v>
      </c>
      <c r="O23" s="189"/>
    </row>
    <row r="24" spans="1:15" x14ac:dyDescent="0.2">
      <c r="A24" s="135">
        <f t="shared" si="1"/>
        <v>15</v>
      </c>
      <c r="B24" s="135"/>
      <c r="C24" s="191" t="s">
        <v>100</v>
      </c>
      <c r="D24" s="197" t="s">
        <v>101</v>
      </c>
      <c r="E24" s="198" t="s">
        <v>103</v>
      </c>
      <c r="F24" s="194">
        <v>0.01</v>
      </c>
      <c r="G24" s="194">
        <v>0</v>
      </c>
      <c r="H24" s="194">
        <v>0.01</v>
      </c>
      <c r="I24" s="195">
        <v>34692</v>
      </c>
      <c r="J24" s="196">
        <f t="shared" si="8"/>
        <v>347</v>
      </c>
      <c r="K24" s="196">
        <f t="shared" si="9"/>
        <v>0</v>
      </c>
      <c r="L24" s="196">
        <f t="shared" si="10"/>
        <v>347</v>
      </c>
      <c r="N24" s="174" t="s">
        <v>196</v>
      </c>
      <c r="O24" s="189"/>
    </row>
    <row r="25" spans="1:15" x14ac:dyDescent="0.2">
      <c r="A25" s="135">
        <f t="shared" si="1"/>
        <v>16</v>
      </c>
      <c r="B25" s="135"/>
      <c r="C25" s="191" t="s">
        <v>100</v>
      </c>
      <c r="D25" s="197" t="s">
        <v>101</v>
      </c>
      <c r="E25" s="198" t="s">
        <v>104</v>
      </c>
      <c r="F25" s="194">
        <v>0.02</v>
      </c>
      <c r="G25" s="194">
        <v>0</v>
      </c>
      <c r="H25" s="194">
        <v>0.02</v>
      </c>
      <c r="I25" s="195">
        <v>15816</v>
      </c>
      <c r="J25" s="196">
        <f t="shared" si="8"/>
        <v>316</v>
      </c>
      <c r="K25" s="196">
        <f t="shared" si="9"/>
        <v>0</v>
      </c>
      <c r="L25" s="196">
        <f t="shared" si="10"/>
        <v>316</v>
      </c>
      <c r="N25" s="174" t="s">
        <v>196</v>
      </c>
      <c r="O25" s="189"/>
    </row>
    <row r="26" spans="1:15" x14ac:dyDescent="0.2">
      <c r="A26" s="135">
        <f t="shared" si="1"/>
        <v>17</v>
      </c>
      <c r="B26" s="135"/>
      <c r="C26" s="191" t="s">
        <v>100</v>
      </c>
      <c r="D26" s="197" t="s">
        <v>101</v>
      </c>
      <c r="E26" s="198" t="s">
        <v>105</v>
      </c>
      <c r="F26" s="194">
        <v>0.03</v>
      </c>
      <c r="G26" s="194">
        <v>0</v>
      </c>
      <c r="H26" s="194">
        <v>0.03</v>
      </c>
      <c r="I26" s="195">
        <v>6912</v>
      </c>
      <c r="J26" s="196">
        <f t="shared" si="8"/>
        <v>207</v>
      </c>
      <c r="K26" s="196">
        <f t="shared" si="9"/>
        <v>0</v>
      </c>
      <c r="L26" s="196">
        <f t="shared" si="10"/>
        <v>207</v>
      </c>
      <c r="N26" s="174" t="s">
        <v>196</v>
      </c>
      <c r="O26" s="189"/>
    </row>
    <row r="27" spans="1:15" x14ac:dyDescent="0.2">
      <c r="A27" s="135">
        <f t="shared" si="1"/>
        <v>18</v>
      </c>
      <c r="B27" s="135"/>
      <c r="C27" s="191" t="s">
        <v>100</v>
      </c>
      <c r="D27" s="197" t="s">
        <v>101</v>
      </c>
      <c r="E27" s="198" t="s">
        <v>106</v>
      </c>
      <c r="F27" s="194">
        <v>0.03</v>
      </c>
      <c r="G27" s="194">
        <v>0</v>
      </c>
      <c r="H27" s="194">
        <v>0.03</v>
      </c>
      <c r="I27" s="195">
        <v>900</v>
      </c>
      <c r="J27" s="196">
        <f t="shared" si="8"/>
        <v>27</v>
      </c>
      <c r="K27" s="196">
        <f t="shared" si="9"/>
        <v>0</v>
      </c>
      <c r="L27" s="196">
        <f t="shared" si="10"/>
        <v>27</v>
      </c>
      <c r="N27" s="174" t="s">
        <v>196</v>
      </c>
      <c r="O27" s="189"/>
    </row>
    <row r="28" spans="1:15" x14ac:dyDescent="0.2">
      <c r="A28" s="135">
        <f t="shared" si="1"/>
        <v>19</v>
      </c>
      <c r="B28" s="135"/>
      <c r="C28" s="191" t="s">
        <v>100</v>
      </c>
      <c r="D28" s="197" t="s">
        <v>101</v>
      </c>
      <c r="E28" s="198" t="s">
        <v>107</v>
      </c>
      <c r="F28" s="194">
        <v>0.04</v>
      </c>
      <c r="G28" s="194">
        <v>0</v>
      </c>
      <c r="H28" s="194">
        <v>0.04</v>
      </c>
      <c r="I28" s="195">
        <v>2412</v>
      </c>
      <c r="J28" s="196">
        <f t="shared" si="8"/>
        <v>96</v>
      </c>
      <c r="K28" s="196">
        <f t="shared" si="9"/>
        <v>0</v>
      </c>
      <c r="L28" s="196">
        <f t="shared" si="10"/>
        <v>96</v>
      </c>
      <c r="N28" s="174" t="s">
        <v>197</v>
      </c>
      <c r="O28" s="189"/>
    </row>
    <row r="29" spans="1:15" x14ac:dyDescent="0.2">
      <c r="A29" s="135">
        <f t="shared" si="1"/>
        <v>20</v>
      </c>
      <c r="B29" s="135"/>
      <c r="C29" s="191" t="s">
        <v>100</v>
      </c>
      <c r="D29" s="197" t="s">
        <v>101</v>
      </c>
      <c r="E29" s="198" t="s">
        <v>108</v>
      </c>
      <c r="F29" s="194">
        <v>0.04</v>
      </c>
      <c r="G29" s="194">
        <v>0</v>
      </c>
      <c r="H29" s="194">
        <v>0.04</v>
      </c>
      <c r="I29" s="195">
        <v>960</v>
      </c>
      <c r="J29" s="196">
        <f t="shared" si="8"/>
        <v>38</v>
      </c>
      <c r="K29" s="196">
        <f t="shared" si="9"/>
        <v>0</v>
      </c>
      <c r="L29" s="196">
        <f t="shared" si="10"/>
        <v>38</v>
      </c>
      <c r="N29" s="174" t="s">
        <v>197</v>
      </c>
      <c r="O29" s="189"/>
    </row>
    <row r="30" spans="1:15" x14ac:dyDescent="0.2">
      <c r="A30" s="135">
        <f t="shared" si="1"/>
        <v>21</v>
      </c>
      <c r="B30" s="135"/>
      <c r="C30" s="191" t="s">
        <v>100</v>
      </c>
      <c r="D30" s="197" t="s">
        <v>101</v>
      </c>
      <c r="E30" s="198" t="s">
        <v>109</v>
      </c>
      <c r="F30" s="194">
        <v>0.05</v>
      </c>
      <c r="G30" s="194">
        <v>0</v>
      </c>
      <c r="H30" s="194">
        <v>0.05</v>
      </c>
      <c r="I30" s="195">
        <v>96</v>
      </c>
      <c r="J30" s="196">
        <f t="shared" si="8"/>
        <v>5</v>
      </c>
      <c r="K30" s="196">
        <f t="shared" si="9"/>
        <v>0</v>
      </c>
      <c r="L30" s="196">
        <f t="shared" si="10"/>
        <v>5</v>
      </c>
      <c r="N30" s="174" t="s">
        <v>197</v>
      </c>
      <c r="O30" s="189"/>
    </row>
    <row r="31" spans="1:15" x14ac:dyDescent="0.2">
      <c r="A31" s="135">
        <f t="shared" si="1"/>
        <v>22</v>
      </c>
      <c r="B31" s="135"/>
      <c r="C31" s="191" t="s">
        <v>100</v>
      </c>
      <c r="D31" s="197" t="s">
        <v>101</v>
      </c>
      <c r="E31" s="198" t="s">
        <v>110</v>
      </c>
      <c r="F31" s="194">
        <v>0.05</v>
      </c>
      <c r="G31" s="194">
        <v>0</v>
      </c>
      <c r="H31" s="194">
        <v>0.05</v>
      </c>
      <c r="I31" s="195">
        <v>996</v>
      </c>
      <c r="J31" s="196">
        <f>ROUND($I31*F31,0)</f>
        <v>50</v>
      </c>
      <c r="K31" s="196">
        <f t="shared" si="9"/>
        <v>0</v>
      </c>
      <c r="L31" s="196">
        <f t="shared" si="10"/>
        <v>50</v>
      </c>
      <c r="N31" s="174" t="s">
        <v>197</v>
      </c>
      <c r="O31" s="189"/>
    </row>
    <row r="32" spans="1:15" x14ac:dyDescent="0.2">
      <c r="A32" s="135">
        <f t="shared" si="1"/>
        <v>23</v>
      </c>
      <c r="B32" s="135"/>
      <c r="C32" s="191"/>
      <c r="D32" s="197"/>
      <c r="E32" s="198"/>
      <c r="F32" s="194"/>
      <c r="G32" s="194"/>
      <c r="H32" s="194"/>
      <c r="I32" s="195"/>
      <c r="J32" s="196"/>
      <c r="K32" s="196"/>
      <c r="L32" s="196"/>
      <c r="N32" s="174"/>
      <c r="O32" s="189"/>
    </row>
    <row r="33" spans="1:15" x14ac:dyDescent="0.2">
      <c r="A33" s="135">
        <f t="shared" si="1"/>
        <v>24</v>
      </c>
      <c r="B33" s="135"/>
      <c r="C33" s="191" t="s">
        <v>100</v>
      </c>
      <c r="D33" s="197" t="s">
        <v>210</v>
      </c>
      <c r="E33" s="201" t="s">
        <v>284</v>
      </c>
      <c r="F33" s="260">
        <v>7.986E-3</v>
      </c>
      <c r="G33" s="260">
        <v>6.0099999999999997E-4</v>
      </c>
      <c r="H33" s="260">
        <v>8.5870000000000009E-3</v>
      </c>
      <c r="I33" s="195">
        <v>11448</v>
      </c>
      <c r="J33" s="196">
        <f>ROUND($I33*F33,0)</f>
        <v>91</v>
      </c>
      <c r="K33" s="196">
        <f>ROUND($I33*G33,0)</f>
        <v>7</v>
      </c>
      <c r="L33" s="196">
        <f>SUM(J33:K33)</f>
        <v>98</v>
      </c>
      <c r="N33" s="174"/>
      <c r="O33" s="189"/>
    </row>
    <row r="34" spans="1:15" x14ac:dyDescent="0.2">
      <c r="A34" s="135">
        <f t="shared" si="1"/>
        <v>25</v>
      </c>
      <c r="B34" s="199" t="s">
        <v>111</v>
      </c>
      <c r="D34" s="39"/>
      <c r="E34" s="39"/>
      <c r="F34" s="36"/>
      <c r="G34" s="36"/>
      <c r="H34" s="36"/>
      <c r="I34" s="37"/>
      <c r="J34" s="37"/>
      <c r="K34" s="37"/>
      <c r="L34" s="134"/>
      <c r="N34" s="188"/>
      <c r="O34" s="189"/>
    </row>
    <row r="35" spans="1:15" x14ac:dyDescent="0.2">
      <c r="A35" s="135">
        <f t="shared" si="1"/>
        <v>26</v>
      </c>
      <c r="B35" s="135"/>
      <c r="C35" s="191" t="s">
        <v>112</v>
      </c>
      <c r="D35" s="170" t="s">
        <v>70</v>
      </c>
      <c r="E35" s="170">
        <v>50</v>
      </c>
      <c r="F35" s="194">
        <v>0.01</v>
      </c>
      <c r="G35" s="194">
        <v>0</v>
      </c>
      <c r="H35" s="194">
        <v>0.01</v>
      </c>
      <c r="I35" s="195">
        <v>0</v>
      </c>
      <c r="J35" s="196">
        <f t="shared" ref="J35:J42" si="11">ROUND($I35*F35,0)</f>
        <v>0</v>
      </c>
      <c r="K35" s="196">
        <f t="shared" ref="K35:K42" si="12">ROUND($I35*G35,0)</f>
        <v>0</v>
      </c>
      <c r="L35" s="196">
        <f t="shared" ref="L35:L42" si="13">SUM(J35:K35)</f>
        <v>0</v>
      </c>
      <c r="N35" s="174" t="s">
        <v>198</v>
      </c>
      <c r="O35" s="189"/>
    </row>
    <row r="36" spans="1:15" x14ac:dyDescent="0.2">
      <c r="A36" s="135">
        <f t="shared" si="1"/>
        <v>27</v>
      </c>
      <c r="B36" s="135"/>
      <c r="C36" s="191" t="str">
        <f t="shared" ref="C36:C42" si="14">+C35</f>
        <v xml:space="preserve">52E </v>
      </c>
      <c r="D36" s="170" t="s">
        <v>70</v>
      </c>
      <c r="E36" s="170">
        <v>70</v>
      </c>
      <c r="F36" s="194">
        <v>0.01</v>
      </c>
      <c r="G36" s="194">
        <v>0</v>
      </c>
      <c r="H36" s="194">
        <v>0.01</v>
      </c>
      <c r="I36" s="195">
        <v>8040</v>
      </c>
      <c r="J36" s="196">
        <f t="shared" si="11"/>
        <v>80</v>
      </c>
      <c r="K36" s="196">
        <f t="shared" si="12"/>
        <v>0</v>
      </c>
      <c r="L36" s="196">
        <f t="shared" si="13"/>
        <v>80</v>
      </c>
      <c r="N36" s="174" t="s">
        <v>198</v>
      </c>
      <c r="O36" s="189"/>
    </row>
    <row r="37" spans="1:15" x14ac:dyDescent="0.2">
      <c r="A37" s="135">
        <f t="shared" si="1"/>
        <v>28</v>
      </c>
      <c r="B37" s="135"/>
      <c r="C37" s="191" t="str">
        <f t="shared" si="14"/>
        <v xml:space="preserve">52E </v>
      </c>
      <c r="D37" s="170" t="s">
        <v>70</v>
      </c>
      <c r="E37" s="170">
        <v>100</v>
      </c>
      <c r="F37" s="194">
        <v>0.02</v>
      </c>
      <c r="G37" s="194">
        <v>0</v>
      </c>
      <c r="H37" s="194">
        <v>0.02</v>
      </c>
      <c r="I37" s="195">
        <v>113976</v>
      </c>
      <c r="J37" s="196">
        <f t="shared" si="11"/>
        <v>2280</v>
      </c>
      <c r="K37" s="196">
        <f t="shared" si="12"/>
        <v>0</v>
      </c>
      <c r="L37" s="196">
        <f t="shared" si="13"/>
        <v>2280</v>
      </c>
      <c r="N37" s="174" t="s">
        <v>198</v>
      </c>
      <c r="O37" s="189"/>
    </row>
    <row r="38" spans="1:15" x14ac:dyDescent="0.2">
      <c r="A38" s="135">
        <f t="shared" si="1"/>
        <v>29</v>
      </c>
      <c r="B38" s="135"/>
      <c r="C38" s="191" t="str">
        <f t="shared" si="14"/>
        <v xml:space="preserve">52E </v>
      </c>
      <c r="D38" s="170" t="s">
        <v>70</v>
      </c>
      <c r="E38" s="170">
        <v>150</v>
      </c>
      <c r="F38" s="194">
        <v>0.03</v>
      </c>
      <c r="G38" s="194">
        <v>0</v>
      </c>
      <c r="H38" s="194">
        <v>0.03</v>
      </c>
      <c r="I38" s="195">
        <v>53004</v>
      </c>
      <c r="J38" s="196">
        <f t="shared" si="11"/>
        <v>1590</v>
      </c>
      <c r="K38" s="196">
        <f t="shared" si="12"/>
        <v>0</v>
      </c>
      <c r="L38" s="196">
        <f t="shared" si="13"/>
        <v>1590</v>
      </c>
      <c r="N38" s="174" t="s">
        <v>198</v>
      </c>
      <c r="O38" s="189"/>
    </row>
    <row r="39" spans="1:15" x14ac:dyDescent="0.2">
      <c r="A39" s="135">
        <f t="shared" si="1"/>
        <v>30</v>
      </c>
      <c r="B39" s="135"/>
      <c r="C39" s="191" t="str">
        <f t="shared" si="14"/>
        <v xml:space="preserve">52E </v>
      </c>
      <c r="D39" s="170" t="s">
        <v>70</v>
      </c>
      <c r="E39" s="170">
        <v>200</v>
      </c>
      <c r="F39" s="194">
        <v>0.04</v>
      </c>
      <c r="G39" s="194">
        <v>0</v>
      </c>
      <c r="H39" s="194">
        <v>0.04</v>
      </c>
      <c r="I39" s="195">
        <v>11160</v>
      </c>
      <c r="J39" s="196">
        <f t="shared" si="11"/>
        <v>446</v>
      </c>
      <c r="K39" s="196">
        <f t="shared" si="12"/>
        <v>0</v>
      </c>
      <c r="L39" s="196">
        <f t="shared" si="13"/>
        <v>446</v>
      </c>
      <c r="N39" s="174" t="s">
        <v>198</v>
      </c>
      <c r="O39" s="189"/>
    </row>
    <row r="40" spans="1:15" x14ac:dyDescent="0.2">
      <c r="A40" s="135">
        <f t="shared" si="1"/>
        <v>31</v>
      </c>
      <c r="B40" s="135"/>
      <c r="C40" s="191" t="str">
        <f t="shared" si="14"/>
        <v xml:space="preserve">52E </v>
      </c>
      <c r="D40" s="170" t="s">
        <v>70</v>
      </c>
      <c r="E40" s="170">
        <v>250</v>
      </c>
      <c r="F40" s="194">
        <v>0.05</v>
      </c>
      <c r="G40" s="194">
        <v>0</v>
      </c>
      <c r="H40" s="194">
        <v>0.05</v>
      </c>
      <c r="I40" s="195">
        <v>16512</v>
      </c>
      <c r="J40" s="196">
        <f t="shared" si="11"/>
        <v>826</v>
      </c>
      <c r="K40" s="196">
        <f t="shared" si="12"/>
        <v>0</v>
      </c>
      <c r="L40" s="196">
        <f t="shared" si="13"/>
        <v>826</v>
      </c>
      <c r="N40" s="174" t="s">
        <v>198</v>
      </c>
      <c r="O40" s="189"/>
    </row>
    <row r="41" spans="1:15" x14ac:dyDescent="0.2">
      <c r="A41" s="135">
        <f t="shared" si="1"/>
        <v>32</v>
      </c>
      <c r="B41" s="135"/>
      <c r="C41" s="191" t="str">
        <f t="shared" si="14"/>
        <v xml:space="preserve">52E </v>
      </c>
      <c r="D41" s="170" t="s">
        <v>70</v>
      </c>
      <c r="E41" s="170">
        <v>310</v>
      </c>
      <c r="F41" s="194">
        <v>0.06</v>
      </c>
      <c r="G41" s="194">
        <v>0</v>
      </c>
      <c r="H41" s="194">
        <v>0.06</v>
      </c>
      <c r="I41" s="195">
        <v>1740</v>
      </c>
      <c r="J41" s="196">
        <f t="shared" si="11"/>
        <v>104</v>
      </c>
      <c r="K41" s="196">
        <f t="shared" si="12"/>
        <v>0</v>
      </c>
      <c r="L41" s="196">
        <f t="shared" si="13"/>
        <v>104</v>
      </c>
      <c r="N41" s="174" t="s">
        <v>198</v>
      </c>
      <c r="O41" s="189"/>
    </row>
    <row r="42" spans="1:15" x14ac:dyDescent="0.2">
      <c r="A42" s="135">
        <f t="shared" si="1"/>
        <v>33</v>
      </c>
      <c r="B42" s="135"/>
      <c r="C42" s="191" t="str">
        <f t="shared" si="14"/>
        <v xml:space="preserve">52E </v>
      </c>
      <c r="D42" s="170" t="s">
        <v>70</v>
      </c>
      <c r="E42" s="170">
        <v>400</v>
      </c>
      <c r="F42" s="194">
        <v>7.0000000000000007E-2</v>
      </c>
      <c r="G42" s="194">
        <v>0.01</v>
      </c>
      <c r="H42" s="194">
        <v>0.08</v>
      </c>
      <c r="I42" s="195">
        <v>6936</v>
      </c>
      <c r="J42" s="196">
        <f t="shared" si="11"/>
        <v>486</v>
      </c>
      <c r="K42" s="196">
        <f t="shared" si="12"/>
        <v>69</v>
      </c>
      <c r="L42" s="196">
        <f t="shared" si="13"/>
        <v>555</v>
      </c>
      <c r="N42" s="174" t="s">
        <v>198</v>
      </c>
      <c r="O42" s="189"/>
    </row>
    <row r="43" spans="1:15" x14ac:dyDescent="0.2">
      <c r="A43" s="135">
        <f t="shared" si="1"/>
        <v>34</v>
      </c>
      <c r="B43" s="135"/>
      <c r="C43" s="203"/>
      <c r="D43" s="170"/>
      <c r="E43" s="170"/>
      <c r="F43" s="36"/>
      <c r="G43" s="36"/>
      <c r="H43" s="36"/>
      <c r="I43" s="37"/>
      <c r="J43" s="37"/>
      <c r="K43" s="37"/>
      <c r="L43" s="134"/>
      <c r="N43" s="174"/>
      <c r="O43" s="189"/>
    </row>
    <row r="44" spans="1:15" x14ac:dyDescent="0.2">
      <c r="A44" s="135">
        <f t="shared" si="1"/>
        <v>35</v>
      </c>
      <c r="B44" s="135"/>
      <c r="C44" s="191" t="str">
        <f>+C39</f>
        <v xml:space="preserve">52E </v>
      </c>
      <c r="D44" s="170" t="s">
        <v>113</v>
      </c>
      <c r="E44" s="170">
        <v>70</v>
      </c>
      <c r="F44" s="194">
        <v>0.01</v>
      </c>
      <c r="G44" s="194">
        <v>0</v>
      </c>
      <c r="H44" s="194">
        <v>0.01</v>
      </c>
      <c r="I44" s="195">
        <v>840</v>
      </c>
      <c r="J44" s="196">
        <f t="shared" ref="J44:J50" si="15">ROUND($I44*F44,0)</f>
        <v>8</v>
      </c>
      <c r="K44" s="196">
        <f t="shared" ref="K44:K50" si="16">ROUND($I44*G44,0)</f>
        <v>0</v>
      </c>
      <c r="L44" s="196">
        <f t="shared" ref="L44:L50" si="17">SUM(J44:K44)</f>
        <v>8</v>
      </c>
      <c r="N44" s="174" t="s">
        <v>198</v>
      </c>
      <c r="O44" s="189"/>
    </row>
    <row r="45" spans="1:15" x14ac:dyDescent="0.2">
      <c r="A45" s="135">
        <f t="shared" si="1"/>
        <v>36</v>
      </c>
      <c r="B45" s="135"/>
      <c r="C45" s="191" t="str">
        <f>+C40</f>
        <v xml:space="preserve">52E </v>
      </c>
      <c r="D45" s="170" t="s">
        <v>113</v>
      </c>
      <c r="E45" s="170">
        <v>100</v>
      </c>
      <c r="F45" s="194">
        <v>0.02</v>
      </c>
      <c r="G45" s="194">
        <v>0</v>
      </c>
      <c r="H45" s="194">
        <v>0.02</v>
      </c>
      <c r="I45" s="195">
        <v>48</v>
      </c>
      <c r="J45" s="196">
        <f t="shared" si="15"/>
        <v>1</v>
      </c>
      <c r="K45" s="196">
        <f t="shared" si="16"/>
        <v>0</v>
      </c>
      <c r="L45" s="196">
        <f t="shared" si="17"/>
        <v>1</v>
      </c>
      <c r="N45" s="174" t="s">
        <v>198</v>
      </c>
      <c r="O45" s="189"/>
    </row>
    <row r="46" spans="1:15" x14ac:dyDescent="0.2">
      <c r="A46" s="135">
        <f t="shared" si="1"/>
        <v>37</v>
      </c>
      <c r="B46" s="135"/>
      <c r="C46" s="191" t="str">
        <f>+C41</f>
        <v xml:space="preserve">52E </v>
      </c>
      <c r="D46" s="170" t="s">
        <v>113</v>
      </c>
      <c r="E46" s="170">
        <v>150</v>
      </c>
      <c r="F46" s="194">
        <v>0.03</v>
      </c>
      <c r="G46" s="194">
        <v>0</v>
      </c>
      <c r="H46" s="194">
        <v>0.03</v>
      </c>
      <c r="I46" s="195">
        <v>2376</v>
      </c>
      <c r="J46" s="196">
        <f t="shared" si="15"/>
        <v>71</v>
      </c>
      <c r="K46" s="196">
        <f t="shared" si="16"/>
        <v>0</v>
      </c>
      <c r="L46" s="196">
        <f t="shared" si="17"/>
        <v>71</v>
      </c>
      <c r="N46" s="174" t="s">
        <v>198</v>
      </c>
      <c r="O46" s="189"/>
    </row>
    <row r="47" spans="1:15" x14ac:dyDescent="0.2">
      <c r="A47" s="135">
        <f t="shared" si="1"/>
        <v>38</v>
      </c>
      <c r="B47" s="135"/>
      <c r="C47" s="191" t="str">
        <f>+C42</f>
        <v xml:space="preserve">52E </v>
      </c>
      <c r="D47" s="170" t="s">
        <v>113</v>
      </c>
      <c r="E47" s="170">
        <v>175</v>
      </c>
      <c r="F47" s="194">
        <v>0.03</v>
      </c>
      <c r="G47" s="194">
        <v>0</v>
      </c>
      <c r="H47" s="194">
        <v>0.03</v>
      </c>
      <c r="I47" s="195">
        <v>2508</v>
      </c>
      <c r="J47" s="196">
        <f t="shared" si="15"/>
        <v>75</v>
      </c>
      <c r="K47" s="196">
        <f t="shared" si="16"/>
        <v>0</v>
      </c>
      <c r="L47" s="196">
        <f t="shared" si="17"/>
        <v>75</v>
      </c>
      <c r="N47" s="174" t="s">
        <v>198</v>
      </c>
      <c r="O47" s="189"/>
    </row>
    <row r="48" spans="1:15" x14ac:dyDescent="0.2">
      <c r="A48" s="135">
        <f t="shared" si="1"/>
        <v>39</v>
      </c>
      <c r="B48" s="135"/>
      <c r="C48" s="191" t="str">
        <f t="shared" ref="C48:D50" si="18">+C47</f>
        <v xml:space="preserve">52E </v>
      </c>
      <c r="D48" s="170" t="str">
        <f t="shared" si="18"/>
        <v>Metal Halide</v>
      </c>
      <c r="E48" s="170">
        <v>250</v>
      </c>
      <c r="F48" s="194">
        <v>0.05</v>
      </c>
      <c r="G48" s="194">
        <v>0</v>
      </c>
      <c r="H48" s="194">
        <v>0.05</v>
      </c>
      <c r="I48" s="195">
        <v>432</v>
      </c>
      <c r="J48" s="196">
        <f t="shared" si="15"/>
        <v>22</v>
      </c>
      <c r="K48" s="196">
        <f t="shared" si="16"/>
        <v>0</v>
      </c>
      <c r="L48" s="196">
        <f t="shared" si="17"/>
        <v>22</v>
      </c>
      <c r="N48" s="174" t="s">
        <v>198</v>
      </c>
      <c r="O48" s="189"/>
    </row>
    <row r="49" spans="1:15" x14ac:dyDescent="0.2">
      <c r="A49" s="135">
        <f t="shared" si="1"/>
        <v>40</v>
      </c>
      <c r="B49" s="135"/>
      <c r="C49" s="191" t="str">
        <f t="shared" si="18"/>
        <v xml:space="preserve">52E </v>
      </c>
      <c r="D49" s="170" t="str">
        <f t="shared" si="18"/>
        <v>Metal Halide</v>
      </c>
      <c r="E49" s="170">
        <v>400</v>
      </c>
      <c r="F49" s="194">
        <v>7.0000000000000007E-2</v>
      </c>
      <c r="G49" s="194">
        <v>0.01</v>
      </c>
      <c r="H49" s="194">
        <v>0.08</v>
      </c>
      <c r="I49" s="195">
        <v>684</v>
      </c>
      <c r="J49" s="196">
        <f t="shared" si="15"/>
        <v>48</v>
      </c>
      <c r="K49" s="196">
        <f t="shared" si="16"/>
        <v>7</v>
      </c>
      <c r="L49" s="196">
        <f t="shared" si="17"/>
        <v>55</v>
      </c>
      <c r="N49" s="174" t="s">
        <v>198</v>
      </c>
      <c r="O49" s="189"/>
    </row>
    <row r="50" spans="1:15" x14ac:dyDescent="0.2">
      <c r="A50" s="135">
        <f t="shared" si="1"/>
        <v>41</v>
      </c>
      <c r="B50" s="135"/>
      <c r="C50" s="191" t="str">
        <f t="shared" si="18"/>
        <v xml:space="preserve">52E </v>
      </c>
      <c r="D50" s="170" t="str">
        <f t="shared" si="18"/>
        <v>Metal Halide</v>
      </c>
      <c r="E50" s="170">
        <v>1000</v>
      </c>
      <c r="F50" s="194">
        <v>0.18</v>
      </c>
      <c r="G50" s="194">
        <v>0.01</v>
      </c>
      <c r="H50" s="194">
        <v>0.19</v>
      </c>
      <c r="I50" s="195">
        <v>216</v>
      </c>
      <c r="J50" s="196">
        <f t="shared" si="15"/>
        <v>39</v>
      </c>
      <c r="K50" s="196">
        <f t="shared" si="16"/>
        <v>2</v>
      </c>
      <c r="L50" s="196">
        <f t="shared" si="17"/>
        <v>41</v>
      </c>
      <c r="N50" s="174" t="s">
        <v>198</v>
      </c>
      <c r="O50" s="189"/>
    </row>
    <row r="51" spans="1:15" x14ac:dyDescent="0.2">
      <c r="A51" s="135">
        <f t="shared" si="1"/>
        <v>42</v>
      </c>
      <c r="B51" s="199" t="s">
        <v>114</v>
      </c>
      <c r="D51" s="39"/>
      <c r="E51" s="39"/>
      <c r="F51" s="36"/>
      <c r="G51" s="36"/>
      <c r="H51" s="36"/>
      <c r="I51" s="37"/>
      <c r="J51" s="37"/>
      <c r="K51" s="37"/>
      <c r="L51" s="134"/>
      <c r="N51" s="174"/>
      <c r="O51" s="189"/>
    </row>
    <row r="52" spans="1:15" x14ac:dyDescent="0.2">
      <c r="A52" s="135">
        <f t="shared" si="1"/>
        <v>43</v>
      </c>
      <c r="B52" s="135"/>
      <c r="C52" s="191" t="s">
        <v>115</v>
      </c>
      <c r="D52" s="170" t="s">
        <v>70</v>
      </c>
      <c r="E52" s="170">
        <v>50</v>
      </c>
      <c r="F52" s="194">
        <v>0.49</v>
      </c>
      <c r="G52" s="194">
        <v>0.04</v>
      </c>
      <c r="H52" s="194">
        <v>0.53</v>
      </c>
      <c r="I52" s="195">
        <v>0</v>
      </c>
      <c r="J52" s="196">
        <f t="shared" ref="J52:J60" si="19">ROUND($I52*F52,0)</f>
        <v>0</v>
      </c>
      <c r="K52" s="196">
        <f t="shared" ref="K52:K60" si="20">ROUND($I52*G52,0)</f>
        <v>0</v>
      </c>
      <c r="L52" s="196">
        <f t="shared" ref="L52:L60" si="21">SUM(J52:K52)</f>
        <v>0</v>
      </c>
      <c r="N52" s="174" t="s">
        <v>198</v>
      </c>
      <c r="O52" s="189"/>
    </row>
    <row r="53" spans="1:15" x14ac:dyDescent="0.2">
      <c r="A53" s="135">
        <f t="shared" si="1"/>
        <v>44</v>
      </c>
      <c r="B53" s="135"/>
      <c r="C53" s="191" t="str">
        <f t="shared" ref="C53:C60" si="22">+C52</f>
        <v>53E - Company Owned</v>
      </c>
      <c r="D53" s="170" t="s">
        <v>70</v>
      </c>
      <c r="E53" s="170">
        <v>70</v>
      </c>
      <c r="F53" s="194">
        <v>0.53</v>
      </c>
      <c r="G53" s="194">
        <v>0.04</v>
      </c>
      <c r="H53" s="194">
        <v>0.57000000000000006</v>
      </c>
      <c r="I53" s="195">
        <v>38940</v>
      </c>
      <c r="J53" s="196">
        <f t="shared" si="19"/>
        <v>20638</v>
      </c>
      <c r="K53" s="196">
        <f t="shared" si="20"/>
        <v>1558</v>
      </c>
      <c r="L53" s="196">
        <f t="shared" si="21"/>
        <v>22196</v>
      </c>
      <c r="N53" s="174" t="s">
        <v>198</v>
      </c>
      <c r="O53" s="189"/>
    </row>
    <row r="54" spans="1:15" x14ac:dyDescent="0.2">
      <c r="A54" s="135">
        <f t="shared" si="1"/>
        <v>45</v>
      </c>
      <c r="B54" s="135"/>
      <c r="C54" s="191" t="str">
        <f t="shared" si="22"/>
        <v>53E - Company Owned</v>
      </c>
      <c r="D54" s="170" t="s">
        <v>70</v>
      </c>
      <c r="E54" s="170">
        <v>100</v>
      </c>
      <c r="F54" s="194">
        <v>0.51</v>
      </c>
      <c r="G54" s="194">
        <v>0.04</v>
      </c>
      <c r="H54" s="194">
        <v>0.55000000000000004</v>
      </c>
      <c r="I54" s="195">
        <v>317784</v>
      </c>
      <c r="J54" s="196">
        <f t="shared" si="19"/>
        <v>162070</v>
      </c>
      <c r="K54" s="196">
        <f t="shared" si="20"/>
        <v>12711</v>
      </c>
      <c r="L54" s="196">
        <f t="shared" si="21"/>
        <v>174781</v>
      </c>
      <c r="N54" s="174" t="s">
        <v>198</v>
      </c>
      <c r="O54" s="189"/>
    </row>
    <row r="55" spans="1:15" x14ac:dyDescent="0.2">
      <c r="A55" s="135">
        <f t="shared" si="1"/>
        <v>46</v>
      </c>
      <c r="B55" s="135"/>
      <c r="C55" s="191" t="str">
        <f t="shared" si="22"/>
        <v>53E - Company Owned</v>
      </c>
      <c r="D55" s="170" t="s">
        <v>70</v>
      </c>
      <c r="E55" s="170">
        <v>150</v>
      </c>
      <c r="F55" s="194">
        <v>0.52</v>
      </c>
      <c r="G55" s="194">
        <v>0.04</v>
      </c>
      <c r="H55" s="194">
        <v>0.56000000000000005</v>
      </c>
      <c r="I55" s="195">
        <v>37176</v>
      </c>
      <c r="J55" s="196">
        <f t="shared" si="19"/>
        <v>19332</v>
      </c>
      <c r="K55" s="196">
        <f t="shared" si="20"/>
        <v>1487</v>
      </c>
      <c r="L55" s="196">
        <f t="shared" si="21"/>
        <v>20819</v>
      </c>
      <c r="N55" s="174" t="s">
        <v>198</v>
      </c>
      <c r="O55" s="189"/>
    </row>
    <row r="56" spans="1:15" x14ac:dyDescent="0.2">
      <c r="A56" s="135">
        <f t="shared" si="1"/>
        <v>47</v>
      </c>
      <c r="B56" s="135"/>
      <c r="C56" s="191" t="str">
        <f t="shared" si="22"/>
        <v>53E - Company Owned</v>
      </c>
      <c r="D56" s="170" t="s">
        <v>70</v>
      </c>
      <c r="E56" s="170">
        <v>200</v>
      </c>
      <c r="F56" s="194">
        <v>0.56000000000000005</v>
      </c>
      <c r="G56" s="194">
        <v>0.04</v>
      </c>
      <c r="H56" s="194">
        <v>0.60000000000000009</v>
      </c>
      <c r="I56" s="195">
        <v>47988</v>
      </c>
      <c r="J56" s="196">
        <f t="shared" si="19"/>
        <v>26873</v>
      </c>
      <c r="K56" s="196">
        <f t="shared" si="20"/>
        <v>1920</v>
      </c>
      <c r="L56" s="196">
        <f t="shared" si="21"/>
        <v>28793</v>
      </c>
      <c r="N56" s="174" t="s">
        <v>198</v>
      </c>
      <c r="O56" s="189"/>
    </row>
    <row r="57" spans="1:15" x14ac:dyDescent="0.2">
      <c r="A57" s="135">
        <f t="shared" si="1"/>
        <v>48</v>
      </c>
      <c r="B57" s="135"/>
      <c r="C57" s="191" t="str">
        <f t="shared" si="22"/>
        <v>53E - Company Owned</v>
      </c>
      <c r="D57" s="170" t="s">
        <v>70</v>
      </c>
      <c r="E57" s="170">
        <v>250</v>
      </c>
      <c r="F57" s="194">
        <v>0.57999999999999996</v>
      </c>
      <c r="G57" s="194">
        <v>0.04</v>
      </c>
      <c r="H57" s="194">
        <v>0.62</v>
      </c>
      <c r="I57" s="195">
        <v>17184</v>
      </c>
      <c r="J57" s="196">
        <f t="shared" si="19"/>
        <v>9967</v>
      </c>
      <c r="K57" s="196">
        <f t="shared" si="20"/>
        <v>687</v>
      </c>
      <c r="L57" s="196">
        <f t="shared" si="21"/>
        <v>10654</v>
      </c>
      <c r="N57" s="174" t="s">
        <v>198</v>
      </c>
      <c r="O57" s="189"/>
    </row>
    <row r="58" spans="1:15" x14ac:dyDescent="0.2">
      <c r="A58" s="135">
        <f t="shared" si="1"/>
        <v>49</v>
      </c>
      <c r="B58" s="135"/>
      <c r="C58" s="191" t="str">
        <f t="shared" si="22"/>
        <v>53E - Company Owned</v>
      </c>
      <c r="D58" s="170" t="s">
        <v>70</v>
      </c>
      <c r="E58" s="170">
        <v>310</v>
      </c>
      <c r="F58" s="194">
        <v>0.6</v>
      </c>
      <c r="G58" s="194">
        <v>0.05</v>
      </c>
      <c r="H58" s="194">
        <v>0.65</v>
      </c>
      <c r="I58" s="195">
        <v>180</v>
      </c>
      <c r="J58" s="196">
        <f t="shared" si="19"/>
        <v>108</v>
      </c>
      <c r="K58" s="196">
        <f t="shared" si="20"/>
        <v>9</v>
      </c>
      <c r="L58" s="196">
        <f t="shared" si="21"/>
        <v>117</v>
      </c>
      <c r="N58" s="174" t="s">
        <v>198</v>
      </c>
      <c r="O58" s="189"/>
    </row>
    <row r="59" spans="1:15" x14ac:dyDescent="0.2">
      <c r="A59" s="135">
        <f t="shared" si="1"/>
        <v>50</v>
      </c>
      <c r="B59" s="135"/>
      <c r="C59" s="191" t="str">
        <f t="shared" si="22"/>
        <v>53E - Company Owned</v>
      </c>
      <c r="D59" s="170" t="s">
        <v>70</v>
      </c>
      <c r="E59" s="170">
        <v>400</v>
      </c>
      <c r="F59" s="194">
        <v>0.66</v>
      </c>
      <c r="G59" s="194">
        <v>0.05</v>
      </c>
      <c r="H59" s="194">
        <v>0.71000000000000008</v>
      </c>
      <c r="I59" s="195">
        <v>7788</v>
      </c>
      <c r="J59" s="196">
        <f t="shared" si="19"/>
        <v>5140</v>
      </c>
      <c r="K59" s="196">
        <f t="shared" si="20"/>
        <v>389</v>
      </c>
      <c r="L59" s="196">
        <f t="shared" si="21"/>
        <v>5529</v>
      </c>
      <c r="N59" s="174" t="s">
        <v>198</v>
      </c>
      <c r="O59" s="189"/>
    </row>
    <row r="60" spans="1:15" x14ac:dyDescent="0.2">
      <c r="A60" s="135">
        <f t="shared" si="1"/>
        <v>51</v>
      </c>
      <c r="B60" s="135"/>
      <c r="C60" s="191" t="str">
        <f t="shared" si="22"/>
        <v>53E - Company Owned</v>
      </c>
      <c r="D60" s="170" t="s">
        <v>70</v>
      </c>
      <c r="E60" s="170">
        <v>1000</v>
      </c>
      <c r="F60" s="194">
        <v>0.91</v>
      </c>
      <c r="G60" s="194">
        <v>7.0000000000000007E-2</v>
      </c>
      <c r="H60" s="194">
        <v>0.98</v>
      </c>
      <c r="I60" s="195">
        <v>0</v>
      </c>
      <c r="J60" s="196">
        <f t="shared" si="19"/>
        <v>0</v>
      </c>
      <c r="K60" s="196">
        <f t="shared" si="20"/>
        <v>0</v>
      </c>
      <c r="L60" s="196">
        <f t="shared" si="21"/>
        <v>0</v>
      </c>
      <c r="N60" s="174" t="s">
        <v>198</v>
      </c>
      <c r="O60" s="189"/>
    </row>
    <row r="61" spans="1:15" x14ac:dyDescent="0.2">
      <c r="A61" s="135">
        <f t="shared" si="1"/>
        <v>52</v>
      </c>
      <c r="B61" s="135"/>
      <c r="C61" s="191"/>
      <c r="D61" s="170"/>
      <c r="E61" s="170"/>
      <c r="F61" s="36"/>
      <c r="G61" s="36"/>
      <c r="H61" s="36"/>
      <c r="I61" s="37"/>
      <c r="J61" s="37"/>
      <c r="K61" s="37"/>
      <c r="L61" s="134"/>
      <c r="N61" s="174"/>
      <c r="O61" s="189"/>
    </row>
    <row r="62" spans="1:15" x14ac:dyDescent="0.2">
      <c r="A62" s="135">
        <f t="shared" si="1"/>
        <v>53</v>
      </c>
      <c r="B62" s="135"/>
      <c r="C62" s="191" t="str">
        <f>+C60</f>
        <v>53E - Company Owned</v>
      </c>
      <c r="D62" s="170" t="s">
        <v>113</v>
      </c>
      <c r="E62" s="170">
        <v>70</v>
      </c>
      <c r="F62" s="194">
        <v>0.47</v>
      </c>
      <c r="G62" s="194">
        <v>0.04</v>
      </c>
      <c r="H62" s="194">
        <v>0.51</v>
      </c>
      <c r="I62" s="195">
        <v>0</v>
      </c>
      <c r="J62" s="196">
        <f t="shared" ref="J62:J66" si="23">ROUND($I62*F62,0)</f>
        <v>0</v>
      </c>
      <c r="K62" s="196">
        <f t="shared" ref="K62:K66" si="24">ROUND($I62*G62,0)</f>
        <v>0</v>
      </c>
      <c r="L62" s="196">
        <f t="shared" ref="L62:L66" si="25">SUM(J62:K62)</f>
        <v>0</v>
      </c>
      <c r="N62" s="174" t="s">
        <v>199</v>
      </c>
      <c r="O62" s="189"/>
    </row>
    <row r="63" spans="1:15" x14ac:dyDescent="0.2">
      <c r="A63" s="135">
        <f t="shared" si="1"/>
        <v>54</v>
      </c>
      <c r="B63" s="135"/>
      <c r="C63" s="191" t="str">
        <f>+C62</f>
        <v>53E - Company Owned</v>
      </c>
      <c r="D63" s="170" t="s">
        <v>113</v>
      </c>
      <c r="E63" s="170">
        <v>100</v>
      </c>
      <c r="F63" s="194">
        <v>0.48</v>
      </c>
      <c r="G63" s="194">
        <v>0.04</v>
      </c>
      <c r="H63" s="194">
        <v>0.52</v>
      </c>
      <c r="I63" s="195">
        <v>0</v>
      </c>
      <c r="J63" s="196">
        <f t="shared" si="23"/>
        <v>0</v>
      </c>
      <c r="K63" s="196">
        <f t="shared" si="24"/>
        <v>0</v>
      </c>
      <c r="L63" s="196">
        <f t="shared" si="25"/>
        <v>0</v>
      </c>
      <c r="N63" s="174" t="s">
        <v>199</v>
      </c>
      <c r="O63" s="189"/>
    </row>
    <row r="64" spans="1:15" x14ac:dyDescent="0.2">
      <c r="A64" s="135">
        <f t="shared" si="1"/>
        <v>55</v>
      </c>
      <c r="B64" s="135"/>
      <c r="C64" s="191" t="str">
        <f>+C63</f>
        <v>53E - Company Owned</v>
      </c>
      <c r="D64" s="170" t="s">
        <v>113</v>
      </c>
      <c r="E64" s="170">
        <v>150</v>
      </c>
      <c r="F64" s="194">
        <v>0.51</v>
      </c>
      <c r="G64" s="194">
        <v>0.04</v>
      </c>
      <c r="H64" s="194">
        <v>0.55000000000000004</v>
      </c>
      <c r="I64" s="195">
        <v>0</v>
      </c>
      <c r="J64" s="196">
        <f t="shared" si="23"/>
        <v>0</v>
      </c>
      <c r="K64" s="196">
        <f t="shared" si="24"/>
        <v>0</v>
      </c>
      <c r="L64" s="196">
        <f t="shared" si="25"/>
        <v>0</v>
      </c>
      <c r="N64" s="174" t="s">
        <v>199</v>
      </c>
      <c r="O64" s="189"/>
    </row>
    <row r="65" spans="1:15" x14ac:dyDescent="0.2">
      <c r="A65" s="135">
        <f t="shared" si="1"/>
        <v>56</v>
      </c>
      <c r="B65" s="135"/>
      <c r="C65" s="191" t="str">
        <f>C64</f>
        <v>53E - Company Owned</v>
      </c>
      <c r="D65" s="170" t="s">
        <v>113</v>
      </c>
      <c r="E65" s="170">
        <v>250</v>
      </c>
      <c r="F65" s="194">
        <v>0.56999999999999995</v>
      </c>
      <c r="G65" s="194">
        <v>0.04</v>
      </c>
      <c r="H65" s="194">
        <v>0.61</v>
      </c>
      <c r="I65" s="195">
        <v>0</v>
      </c>
      <c r="J65" s="196">
        <f t="shared" si="23"/>
        <v>0</v>
      </c>
      <c r="K65" s="196">
        <f t="shared" si="24"/>
        <v>0</v>
      </c>
      <c r="L65" s="196">
        <f t="shared" si="25"/>
        <v>0</v>
      </c>
      <c r="N65" s="174" t="s">
        <v>199</v>
      </c>
      <c r="O65" s="189"/>
    </row>
    <row r="66" spans="1:15" x14ac:dyDescent="0.2">
      <c r="A66" s="135">
        <f t="shared" si="1"/>
        <v>57</v>
      </c>
      <c r="B66" s="135"/>
      <c r="C66" s="191" t="str">
        <f>C65</f>
        <v>53E - Company Owned</v>
      </c>
      <c r="D66" s="170" t="s">
        <v>113</v>
      </c>
      <c r="E66" s="170">
        <v>400</v>
      </c>
      <c r="F66" s="194">
        <v>0.59</v>
      </c>
      <c r="G66" s="194">
        <v>0.05</v>
      </c>
      <c r="H66" s="194">
        <v>0.64</v>
      </c>
      <c r="I66" s="195">
        <v>0</v>
      </c>
      <c r="J66" s="196">
        <f t="shared" si="23"/>
        <v>0</v>
      </c>
      <c r="K66" s="196">
        <f t="shared" si="24"/>
        <v>0</v>
      </c>
      <c r="L66" s="196">
        <f t="shared" si="25"/>
        <v>0</v>
      </c>
      <c r="N66" s="174" t="s">
        <v>199</v>
      </c>
      <c r="O66" s="189"/>
    </row>
    <row r="67" spans="1:15" x14ac:dyDescent="0.2">
      <c r="A67" s="135">
        <f t="shared" ref="A67:A121" si="26">A66+1</f>
        <v>58</v>
      </c>
      <c r="B67" s="135"/>
      <c r="C67" s="191"/>
      <c r="D67" s="170"/>
      <c r="E67" s="170"/>
      <c r="F67" s="36"/>
      <c r="G67" s="36"/>
      <c r="H67" s="36"/>
      <c r="I67" s="37"/>
      <c r="J67" s="37"/>
      <c r="K67" s="37"/>
      <c r="L67" s="134"/>
      <c r="N67" s="174"/>
      <c r="O67" s="189"/>
    </row>
    <row r="68" spans="1:15" x14ac:dyDescent="0.2">
      <c r="A68" s="135">
        <f t="shared" si="26"/>
        <v>59</v>
      </c>
      <c r="B68" s="135"/>
      <c r="C68" s="191" t="str">
        <f>+C65</f>
        <v>53E - Company Owned</v>
      </c>
      <c r="D68" s="170" t="s">
        <v>101</v>
      </c>
      <c r="E68" s="201" t="s">
        <v>260</v>
      </c>
      <c r="F68" s="194">
        <v>0.5</v>
      </c>
      <c r="G68" s="194">
        <v>0.04</v>
      </c>
      <c r="H68" s="194">
        <v>0.54</v>
      </c>
      <c r="I68" s="195">
        <v>0</v>
      </c>
      <c r="J68" s="196">
        <f>ROUND($I68*F68,0)</f>
        <v>0</v>
      </c>
      <c r="K68" s="196">
        <f t="shared" ref="K68" si="27">ROUND($I68*G68,0)</f>
        <v>0</v>
      </c>
      <c r="L68" s="196">
        <f t="shared" ref="L68" si="28">SUM(J68:K68)</f>
        <v>0</v>
      </c>
      <c r="N68" s="174"/>
      <c r="O68" s="189"/>
    </row>
    <row r="69" spans="1:15" x14ac:dyDescent="0.2">
      <c r="A69" s="135">
        <f t="shared" si="26"/>
        <v>60</v>
      </c>
      <c r="B69" s="135"/>
      <c r="C69" s="191" t="str">
        <f>+C66</f>
        <v>53E - Company Owned</v>
      </c>
      <c r="D69" s="170" t="s">
        <v>101</v>
      </c>
      <c r="E69" s="201" t="s">
        <v>102</v>
      </c>
      <c r="F69" s="194">
        <v>0.5</v>
      </c>
      <c r="G69" s="194">
        <v>0.04</v>
      </c>
      <c r="H69" s="194">
        <v>0.54</v>
      </c>
      <c r="I69" s="195">
        <v>274920</v>
      </c>
      <c r="J69" s="196">
        <f t="shared" ref="J69:J77" si="29">ROUND($I69*F69,0)</f>
        <v>137460</v>
      </c>
      <c r="K69" s="196">
        <f t="shared" ref="K69:K77" si="30">ROUND($I69*G69,0)</f>
        <v>10997</v>
      </c>
      <c r="L69" s="196">
        <f t="shared" ref="L69:L77" si="31">SUM(J69:K69)</f>
        <v>148457</v>
      </c>
      <c r="N69" s="174" t="s">
        <v>200</v>
      </c>
      <c r="O69" s="189"/>
    </row>
    <row r="70" spans="1:15" x14ac:dyDescent="0.2">
      <c r="A70" s="135">
        <f t="shared" si="26"/>
        <v>61</v>
      </c>
      <c r="B70" s="135"/>
      <c r="C70" s="191" t="str">
        <f>C69</f>
        <v>53E - Company Owned</v>
      </c>
      <c r="D70" s="170" t="s">
        <v>101</v>
      </c>
      <c r="E70" s="198" t="s">
        <v>103</v>
      </c>
      <c r="F70" s="194">
        <v>0.5</v>
      </c>
      <c r="G70" s="194">
        <v>0.04</v>
      </c>
      <c r="H70" s="194">
        <v>0.54</v>
      </c>
      <c r="I70" s="195">
        <v>8460</v>
      </c>
      <c r="J70" s="196">
        <f t="shared" si="29"/>
        <v>4230</v>
      </c>
      <c r="K70" s="196">
        <f t="shared" si="30"/>
        <v>338</v>
      </c>
      <c r="L70" s="196">
        <f t="shared" si="31"/>
        <v>4568</v>
      </c>
      <c r="N70" s="174" t="s">
        <v>200</v>
      </c>
      <c r="O70" s="189"/>
    </row>
    <row r="71" spans="1:15" x14ac:dyDescent="0.2">
      <c r="A71" s="135">
        <f t="shared" si="26"/>
        <v>62</v>
      </c>
      <c r="B71" s="135"/>
      <c r="C71" s="191" t="str">
        <f t="shared" ref="C71:C77" si="32">C70</f>
        <v>53E - Company Owned</v>
      </c>
      <c r="D71" s="170" t="s">
        <v>101</v>
      </c>
      <c r="E71" s="198" t="s">
        <v>104</v>
      </c>
      <c r="F71" s="194">
        <v>0.54</v>
      </c>
      <c r="G71" s="194">
        <v>0.04</v>
      </c>
      <c r="H71" s="194">
        <v>0.58000000000000007</v>
      </c>
      <c r="I71" s="195">
        <v>32796</v>
      </c>
      <c r="J71" s="196">
        <f t="shared" si="29"/>
        <v>17710</v>
      </c>
      <c r="K71" s="196">
        <f t="shared" si="30"/>
        <v>1312</v>
      </c>
      <c r="L71" s="196">
        <f t="shared" si="31"/>
        <v>19022</v>
      </c>
      <c r="N71" s="174" t="s">
        <v>200</v>
      </c>
      <c r="O71" s="189"/>
    </row>
    <row r="72" spans="1:15" x14ac:dyDescent="0.2">
      <c r="A72" s="135">
        <f t="shared" si="26"/>
        <v>63</v>
      </c>
      <c r="B72" s="135"/>
      <c r="C72" s="191" t="str">
        <f t="shared" si="32"/>
        <v>53E - Company Owned</v>
      </c>
      <c r="D72" s="170" t="s">
        <v>101</v>
      </c>
      <c r="E72" s="198" t="s">
        <v>105</v>
      </c>
      <c r="F72" s="194">
        <v>0.56000000000000005</v>
      </c>
      <c r="G72" s="194">
        <v>0.04</v>
      </c>
      <c r="H72" s="194">
        <v>0.60000000000000009</v>
      </c>
      <c r="I72" s="195">
        <v>22272</v>
      </c>
      <c r="J72" s="196">
        <f t="shared" si="29"/>
        <v>12472</v>
      </c>
      <c r="K72" s="196">
        <f t="shared" si="30"/>
        <v>891</v>
      </c>
      <c r="L72" s="196">
        <f t="shared" si="31"/>
        <v>13363</v>
      </c>
      <c r="N72" s="174" t="s">
        <v>200</v>
      </c>
      <c r="O72" s="189"/>
    </row>
    <row r="73" spans="1:15" x14ac:dyDescent="0.2">
      <c r="A73" s="135">
        <f t="shared" si="26"/>
        <v>64</v>
      </c>
      <c r="B73" s="135"/>
      <c r="C73" s="191" t="str">
        <f t="shared" si="32"/>
        <v>53E - Company Owned</v>
      </c>
      <c r="D73" s="170" t="s">
        <v>101</v>
      </c>
      <c r="E73" s="198" t="s">
        <v>106</v>
      </c>
      <c r="F73" s="194">
        <v>0.55000000000000004</v>
      </c>
      <c r="G73" s="194">
        <v>0.04</v>
      </c>
      <c r="H73" s="194">
        <v>0.59000000000000008</v>
      </c>
      <c r="I73" s="195">
        <v>1464</v>
      </c>
      <c r="J73" s="196">
        <f t="shared" si="29"/>
        <v>805</v>
      </c>
      <c r="K73" s="196">
        <f t="shared" si="30"/>
        <v>59</v>
      </c>
      <c r="L73" s="196">
        <f t="shared" si="31"/>
        <v>864</v>
      </c>
      <c r="N73" s="174" t="s">
        <v>200</v>
      </c>
      <c r="O73" s="189"/>
    </row>
    <row r="74" spans="1:15" x14ac:dyDescent="0.2">
      <c r="A74" s="135">
        <f t="shared" si="26"/>
        <v>65</v>
      </c>
      <c r="B74" s="135"/>
      <c r="C74" s="191" t="str">
        <f t="shared" si="32"/>
        <v>53E - Company Owned</v>
      </c>
      <c r="D74" s="170" t="s">
        <v>101</v>
      </c>
      <c r="E74" s="198" t="s">
        <v>107</v>
      </c>
      <c r="F74" s="194">
        <v>0.56000000000000005</v>
      </c>
      <c r="G74" s="194">
        <v>0.04</v>
      </c>
      <c r="H74" s="194">
        <v>0.60000000000000009</v>
      </c>
      <c r="I74" s="195">
        <v>5088</v>
      </c>
      <c r="J74" s="196">
        <f t="shared" si="29"/>
        <v>2849</v>
      </c>
      <c r="K74" s="196">
        <f t="shared" si="30"/>
        <v>204</v>
      </c>
      <c r="L74" s="196">
        <f t="shared" si="31"/>
        <v>3053</v>
      </c>
      <c r="N74" s="174" t="s">
        <v>201</v>
      </c>
      <c r="O74" s="189"/>
    </row>
    <row r="75" spans="1:15" x14ac:dyDescent="0.2">
      <c r="A75" s="135">
        <f t="shared" si="26"/>
        <v>66</v>
      </c>
      <c r="B75" s="135"/>
      <c r="C75" s="191" t="str">
        <f t="shared" si="32"/>
        <v>53E - Company Owned</v>
      </c>
      <c r="D75" s="170" t="s">
        <v>101</v>
      </c>
      <c r="E75" s="198" t="s">
        <v>108</v>
      </c>
      <c r="F75" s="194">
        <v>0.56999999999999995</v>
      </c>
      <c r="G75" s="194">
        <v>0.04</v>
      </c>
      <c r="H75" s="194">
        <v>0.61</v>
      </c>
      <c r="I75" s="195">
        <v>1092</v>
      </c>
      <c r="J75" s="196">
        <f t="shared" si="29"/>
        <v>622</v>
      </c>
      <c r="K75" s="196">
        <f t="shared" si="30"/>
        <v>44</v>
      </c>
      <c r="L75" s="196">
        <f t="shared" si="31"/>
        <v>666</v>
      </c>
      <c r="N75" s="174" t="s">
        <v>201</v>
      </c>
      <c r="O75" s="189"/>
    </row>
    <row r="76" spans="1:15" x14ac:dyDescent="0.2">
      <c r="A76" s="135">
        <f t="shared" si="26"/>
        <v>67</v>
      </c>
      <c r="B76" s="135"/>
      <c r="C76" s="191" t="str">
        <f t="shared" si="32"/>
        <v>53E - Company Owned</v>
      </c>
      <c r="D76" s="170" t="s">
        <v>101</v>
      </c>
      <c r="E76" s="198" t="s">
        <v>109</v>
      </c>
      <c r="F76" s="194">
        <v>0.56999999999999995</v>
      </c>
      <c r="G76" s="194">
        <v>0.04</v>
      </c>
      <c r="H76" s="194">
        <v>0.61</v>
      </c>
      <c r="I76" s="195">
        <v>288</v>
      </c>
      <c r="J76" s="196">
        <f t="shared" si="29"/>
        <v>164</v>
      </c>
      <c r="K76" s="196">
        <f t="shared" si="30"/>
        <v>12</v>
      </c>
      <c r="L76" s="196">
        <f t="shared" si="31"/>
        <v>176</v>
      </c>
      <c r="N76" s="174" t="s">
        <v>201</v>
      </c>
      <c r="O76" s="189"/>
    </row>
    <row r="77" spans="1:15" x14ac:dyDescent="0.2">
      <c r="A77" s="135">
        <f t="shared" si="26"/>
        <v>68</v>
      </c>
      <c r="B77" s="135"/>
      <c r="C77" s="191" t="str">
        <f t="shared" si="32"/>
        <v>53E - Company Owned</v>
      </c>
      <c r="D77" s="170" t="s">
        <v>101</v>
      </c>
      <c r="E77" s="198" t="s">
        <v>110</v>
      </c>
      <c r="F77" s="194">
        <v>0.57999999999999996</v>
      </c>
      <c r="G77" s="194">
        <v>0.04</v>
      </c>
      <c r="H77" s="194">
        <v>0.62</v>
      </c>
      <c r="I77" s="195">
        <v>1896</v>
      </c>
      <c r="J77" s="196">
        <f t="shared" si="29"/>
        <v>1100</v>
      </c>
      <c r="K77" s="196">
        <f t="shared" si="30"/>
        <v>76</v>
      </c>
      <c r="L77" s="196">
        <f t="shared" si="31"/>
        <v>1176</v>
      </c>
      <c r="N77" s="174" t="s">
        <v>201</v>
      </c>
      <c r="O77" s="189"/>
    </row>
    <row r="78" spans="1:15" x14ac:dyDescent="0.2">
      <c r="A78" s="135">
        <f t="shared" si="26"/>
        <v>69</v>
      </c>
      <c r="B78" s="135"/>
      <c r="C78" s="191"/>
      <c r="D78" s="170"/>
      <c r="E78" s="198"/>
      <c r="F78" s="194"/>
      <c r="G78" s="194"/>
      <c r="H78" s="194"/>
      <c r="I78" s="195"/>
      <c r="J78" s="196"/>
      <c r="K78" s="196"/>
      <c r="L78" s="196"/>
      <c r="N78" s="174"/>
      <c r="O78" s="189"/>
    </row>
    <row r="79" spans="1:15" x14ac:dyDescent="0.2">
      <c r="A79" s="135">
        <f t="shared" si="26"/>
        <v>70</v>
      </c>
      <c r="B79" s="135"/>
      <c r="C79" s="191" t="str">
        <f>C69</f>
        <v>53E - Company Owned</v>
      </c>
      <c r="D79" s="197" t="s">
        <v>210</v>
      </c>
      <c r="E79" s="201" t="s">
        <v>284</v>
      </c>
      <c r="F79" s="202">
        <v>7.986E-3</v>
      </c>
      <c r="G79" s="202">
        <v>6.0099999999999997E-4</v>
      </c>
      <c r="H79" s="202">
        <v>8.5870000000000009E-3</v>
      </c>
      <c r="I79" s="195">
        <v>32052</v>
      </c>
      <c r="J79" s="196">
        <f t="shared" ref="J79" si="33">ROUND($I79*F79,0)</f>
        <v>256</v>
      </c>
      <c r="K79" s="196">
        <f t="shared" ref="K79" si="34">ROUND($I79*G79,0)</f>
        <v>19</v>
      </c>
      <c r="L79" s="196">
        <f t="shared" ref="L79" si="35">SUM(J79:K79)</f>
        <v>275</v>
      </c>
      <c r="N79" s="174"/>
      <c r="O79" s="189"/>
    </row>
    <row r="80" spans="1:15" x14ac:dyDescent="0.2">
      <c r="A80" s="135">
        <f t="shared" si="26"/>
        <v>71</v>
      </c>
      <c r="B80" s="135"/>
      <c r="C80" s="191"/>
      <c r="D80" s="170"/>
      <c r="E80" s="170"/>
      <c r="F80" s="36"/>
      <c r="G80" s="36"/>
      <c r="H80" s="36"/>
      <c r="I80" s="37"/>
      <c r="J80" s="37"/>
      <c r="K80" s="37"/>
      <c r="L80" s="134"/>
      <c r="N80" s="174"/>
      <c r="O80" s="189"/>
    </row>
    <row r="81" spans="1:15" x14ac:dyDescent="0.2">
      <c r="A81" s="135">
        <f t="shared" si="26"/>
        <v>72</v>
      </c>
      <c r="B81" s="135"/>
      <c r="C81" s="191" t="s">
        <v>116</v>
      </c>
      <c r="D81" s="170" t="s">
        <v>70</v>
      </c>
      <c r="E81" s="170">
        <v>50</v>
      </c>
      <c r="F81" s="194">
        <v>0.01</v>
      </c>
      <c r="G81" s="194">
        <v>0</v>
      </c>
      <c r="H81" s="194">
        <v>0.01</v>
      </c>
      <c r="I81" s="195">
        <v>0</v>
      </c>
      <c r="J81" s="196">
        <f t="shared" ref="J81:J89" si="36">ROUND($I81*F81,0)</f>
        <v>0</v>
      </c>
      <c r="K81" s="196">
        <f t="shared" ref="K81:K89" si="37">ROUND($I81*G81,0)</f>
        <v>0</v>
      </c>
      <c r="L81" s="196">
        <f t="shared" ref="L81:L89" si="38">SUM(J81:K81)</f>
        <v>0</v>
      </c>
      <c r="N81" s="174" t="s">
        <v>199</v>
      </c>
      <c r="O81" s="189"/>
    </row>
    <row r="82" spans="1:15" x14ac:dyDescent="0.2">
      <c r="A82" s="135">
        <f t="shared" si="26"/>
        <v>73</v>
      </c>
      <c r="B82" s="135"/>
      <c r="C82" s="191" t="str">
        <f t="shared" ref="C82:C89" si="39">+C81</f>
        <v>53E - Customer Owned</v>
      </c>
      <c r="D82" s="170" t="s">
        <v>70</v>
      </c>
      <c r="E82" s="170">
        <v>70</v>
      </c>
      <c r="F82" s="194">
        <v>0.01</v>
      </c>
      <c r="G82" s="194">
        <v>0</v>
      </c>
      <c r="H82" s="194">
        <v>0.01</v>
      </c>
      <c r="I82" s="195">
        <v>588</v>
      </c>
      <c r="J82" s="196">
        <f t="shared" si="36"/>
        <v>6</v>
      </c>
      <c r="K82" s="196">
        <f t="shared" si="37"/>
        <v>0</v>
      </c>
      <c r="L82" s="196">
        <f t="shared" si="38"/>
        <v>6</v>
      </c>
      <c r="N82" s="174" t="s">
        <v>199</v>
      </c>
      <c r="O82" s="189"/>
    </row>
    <row r="83" spans="1:15" x14ac:dyDescent="0.2">
      <c r="A83" s="135">
        <f t="shared" si="26"/>
        <v>74</v>
      </c>
      <c r="B83" s="135"/>
      <c r="C83" s="191" t="str">
        <f t="shared" si="39"/>
        <v>53E - Customer Owned</v>
      </c>
      <c r="D83" s="170" t="s">
        <v>70</v>
      </c>
      <c r="E83" s="170">
        <v>100</v>
      </c>
      <c r="F83" s="194">
        <v>0.02</v>
      </c>
      <c r="G83" s="194">
        <v>0</v>
      </c>
      <c r="H83" s="194">
        <v>0.02</v>
      </c>
      <c r="I83" s="195">
        <v>2292</v>
      </c>
      <c r="J83" s="196">
        <f t="shared" si="36"/>
        <v>46</v>
      </c>
      <c r="K83" s="196">
        <f t="shared" si="37"/>
        <v>0</v>
      </c>
      <c r="L83" s="196">
        <f t="shared" si="38"/>
        <v>46</v>
      </c>
      <c r="N83" s="174" t="s">
        <v>199</v>
      </c>
      <c r="O83" s="189"/>
    </row>
    <row r="84" spans="1:15" x14ac:dyDescent="0.2">
      <c r="A84" s="135">
        <f t="shared" si="26"/>
        <v>75</v>
      </c>
      <c r="B84" s="135"/>
      <c r="C84" s="191" t="str">
        <f t="shared" si="39"/>
        <v>53E - Customer Owned</v>
      </c>
      <c r="D84" s="170" t="s">
        <v>70</v>
      </c>
      <c r="E84" s="170">
        <v>150</v>
      </c>
      <c r="F84" s="194">
        <v>0.03</v>
      </c>
      <c r="G84" s="194">
        <v>0</v>
      </c>
      <c r="H84" s="194">
        <v>0.03</v>
      </c>
      <c r="I84" s="195">
        <v>1056</v>
      </c>
      <c r="J84" s="196">
        <f t="shared" si="36"/>
        <v>32</v>
      </c>
      <c r="K84" s="196">
        <f t="shared" si="37"/>
        <v>0</v>
      </c>
      <c r="L84" s="196">
        <f t="shared" si="38"/>
        <v>32</v>
      </c>
      <c r="N84" s="174" t="s">
        <v>199</v>
      </c>
      <c r="O84" s="189"/>
    </row>
    <row r="85" spans="1:15" x14ac:dyDescent="0.2">
      <c r="A85" s="135">
        <f t="shared" si="26"/>
        <v>76</v>
      </c>
      <c r="B85" s="135"/>
      <c r="C85" s="191" t="str">
        <f t="shared" si="39"/>
        <v>53E - Customer Owned</v>
      </c>
      <c r="D85" s="170" t="s">
        <v>70</v>
      </c>
      <c r="E85" s="170">
        <v>200</v>
      </c>
      <c r="F85" s="194">
        <v>0.04</v>
      </c>
      <c r="G85" s="194">
        <v>0</v>
      </c>
      <c r="H85" s="194">
        <v>0.04</v>
      </c>
      <c r="I85" s="195">
        <v>4584</v>
      </c>
      <c r="J85" s="196">
        <f t="shared" si="36"/>
        <v>183</v>
      </c>
      <c r="K85" s="196">
        <f t="shared" si="37"/>
        <v>0</v>
      </c>
      <c r="L85" s="196">
        <f t="shared" si="38"/>
        <v>183</v>
      </c>
      <c r="N85" s="174" t="s">
        <v>199</v>
      </c>
      <c r="O85" s="189"/>
    </row>
    <row r="86" spans="1:15" x14ac:dyDescent="0.2">
      <c r="A86" s="135">
        <f t="shared" si="26"/>
        <v>77</v>
      </c>
      <c r="B86" s="135"/>
      <c r="C86" s="191" t="str">
        <f t="shared" si="39"/>
        <v>53E - Customer Owned</v>
      </c>
      <c r="D86" s="170" t="s">
        <v>70</v>
      </c>
      <c r="E86" s="170">
        <v>250</v>
      </c>
      <c r="F86" s="194">
        <v>0.05</v>
      </c>
      <c r="G86" s="194">
        <v>0</v>
      </c>
      <c r="H86" s="194">
        <v>0.05</v>
      </c>
      <c r="I86" s="195">
        <v>2448</v>
      </c>
      <c r="J86" s="196">
        <f t="shared" si="36"/>
        <v>122</v>
      </c>
      <c r="K86" s="196">
        <f t="shared" si="37"/>
        <v>0</v>
      </c>
      <c r="L86" s="196">
        <f t="shared" si="38"/>
        <v>122</v>
      </c>
      <c r="N86" s="174" t="s">
        <v>199</v>
      </c>
      <c r="O86" s="189"/>
    </row>
    <row r="87" spans="1:15" x14ac:dyDescent="0.2">
      <c r="A87" s="135">
        <f t="shared" si="26"/>
        <v>78</v>
      </c>
      <c r="B87" s="135"/>
      <c r="C87" s="191" t="str">
        <f t="shared" si="39"/>
        <v>53E - Customer Owned</v>
      </c>
      <c r="D87" s="170" t="s">
        <v>70</v>
      </c>
      <c r="E87" s="170">
        <v>310</v>
      </c>
      <c r="F87" s="194">
        <v>0.06</v>
      </c>
      <c r="G87" s="194">
        <v>0</v>
      </c>
      <c r="H87" s="194">
        <v>0.06</v>
      </c>
      <c r="I87" s="195">
        <v>48</v>
      </c>
      <c r="J87" s="196">
        <f t="shared" si="36"/>
        <v>3</v>
      </c>
      <c r="K87" s="196">
        <f t="shared" si="37"/>
        <v>0</v>
      </c>
      <c r="L87" s="196">
        <f t="shared" si="38"/>
        <v>3</v>
      </c>
      <c r="N87" s="174" t="s">
        <v>199</v>
      </c>
      <c r="O87" s="189"/>
    </row>
    <row r="88" spans="1:15" x14ac:dyDescent="0.2">
      <c r="A88" s="135">
        <f t="shared" si="26"/>
        <v>79</v>
      </c>
      <c r="B88" s="135"/>
      <c r="C88" s="191" t="str">
        <f t="shared" si="39"/>
        <v>53E - Customer Owned</v>
      </c>
      <c r="D88" s="170" t="s">
        <v>70</v>
      </c>
      <c r="E88" s="170">
        <v>400</v>
      </c>
      <c r="F88" s="194">
        <v>7.0000000000000007E-2</v>
      </c>
      <c r="G88" s="194">
        <v>0.01</v>
      </c>
      <c r="H88" s="194">
        <v>0.08</v>
      </c>
      <c r="I88" s="195">
        <v>3120</v>
      </c>
      <c r="J88" s="196">
        <f t="shared" si="36"/>
        <v>218</v>
      </c>
      <c r="K88" s="196">
        <f t="shared" si="37"/>
        <v>31</v>
      </c>
      <c r="L88" s="196">
        <f t="shared" si="38"/>
        <v>249</v>
      </c>
      <c r="N88" s="174" t="s">
        <v>199</v>
      </c>
      <c r="O88" s="189"/>
    </row>
    <row r="89" spans="1:15" x14ac:dyDescent="0.2">
      <c r="A89" s="135">
        <f t="shared" si="26"/>
        <v>80</v>
      </c>
      <c r="B89" s="135"/>
      <c r="C89" s="191" t="str">
        <f t="shared" si="39"/>
        <v>53E - Customer Owned</v>
      </c>
      <c r="D89" s="170" t="s">
        <v>70</v>
      </c>
      <c r="E89" s="170">
        <v>1000</v>
      </c>
      <c r="F89" s="194">
        <v>0.18</v>
      </c>
      <c r="G89" s="194">
        <v>0.01</v>
      </c>
      <c r="H89" s="194">
        <v>0.19</v>
      </c>
      <c r="I89" s="195">
        <v>0</v>
      </c>
      <c r="J89" s="196">
        <f t="shared" si="36"/>
        <v>0</v>
      </c>
      <c r="K89" s="196">
        <f t="shared" si="37"/>
        <v>0</v>
      </c>
      <c r="L89" s="196">
        <f t="shared" si="38"/>
        <v>0</v>
      </c>
      <c r="N89" s="174" t="s">
        <v>199</v>
      </c>
      <c r="O89" s="189"/>
    </row>
    <row r="90" spans="1:15" x14ac:dyDescent="0.2">
      <c r="A90" s="135">
        <f t="shared" si="26"/>
        <v>81</v>
      </c>
      <c r="B90" s="135"/>
      <c r="C90" s="191"/>
      <c r="D90" s="170"/>
      <c r="E90" s="170"/>
      <c r="F90" s="36"/>
      <c r="G90" s="36"/>
      <c r="H90" s="36"/>
      <c r="I90" s="37"/>
      <c r="J90" s="37"/>
      <c r="K90" s="37"/>
      <c r="L90" s="134"/>
      <c r="N90" s="174"/>
      <c r="O90" s="189"/>
    </row>
    <row r="91" spans="1:15" x14ac:dyDescent="0.2">
      <c r="A91" s="135">
        <f t="shared" si="26"/>
        <v>82</v>
      </c>
      <c r="B91" s="135"/>
      <c r="C91" s="191" t="str">
        <f>+C89</f>
        <v>53E - Customer Owned</v>
      </c>
      <c r="D91" s="170" t="s">
        <v>113</v>
      </c>
      <c r="E91" s="170">
        <v>70</v>
      </c>
      <c r="F91" s="194">
        <v>0.01</v>
      </c>
      <c r="G91" s="194">
        <v>0</v>
      </c>
      <c r="H91" s="194">
        <v>0.01</v>
      </c>
      <c r="I91" s="195">
        <v>0</v>
      </c>
      <c r="J91" s="196">
        <f t="shared" ref="J91:J96" si="40">ROUND($I91*F91,0)</f>
        <v>0</v>
      </c>
      <c r="K91" s="196">
        <f t="shared" ref="K91:K96" si="41">ROUND($I91*G91,0)</f>
        <v>0</v>
      </c>
      <c r="L91" s="196">
        <f t="shared" ref="L91:L96" si="42">SUM(J91:K91)</f>
        <v>0</v>
      </c>
      <c r="N91" s="174" t="s">
        <v>199</v>
      </c>
      <c r="O91" s="189"/>
    </row>
    <row r="92" spans="1:15" x14ac:dyDescent="0.2">
      <c r="A92" s="135">
        <f t="shared" si="26"/>
        <v>83</v>
      </c>
      <c r="B92" s="135"/>
      <c r="C92" s="191" t="str">
        <f>+C91</f>
        <v>53E - Customer Owned</v>
      </c>
      <c r="D92" s="170" t="s">
        <v>113</v>
      </c>
      <c r="E92" s="170">
        <v>100</v>
      </c>
      <c r="F92" s="194">
        <v>0.02</v>
      </c>
      <c r="G92" s="194">
        <v>0</v>
      </c>
      <c r="H92" s="194">
        <v>0.02</v>
      </c>
      <c r="I92" s="195">
        <v>0</v>
      </c>
      <c r="J92" s="196">
        <f t="shared" si="40"/>
        <v>0</v>
      </c>
      <c r="K92" s="196">
        <f t="shared" si="41"/>
        <v>0</v>
      </c>
      <c r="L92" s="196">
        <f t="shared" si="42"/>
        <v>0</v>
      </c>
      <c r="N92" s="174" t="s">
        <v>199</v>
      </c>
      <c r="O92" s="189"/>
    </row>
    <row r="93" spans="1:15" x14ac:dyDescent="0.2">
      <c r="A93" s="135">
        <f t="shared" si="26"/>
        <v>84</v>
      </c>
      <c r="B93" s="135"/>
      <c r="C93" s="191" t="str">
        <f>+C92</f>
        <v>53E - Customer Owned</v>
      </c>
      <c r="D93" s="170" t="s">
        <v>113</v>
      </c>
      <c r="E93" s="170">
        <v>150</v>
      </c>
      <c r="F93" s="194">
        <v>0.03</v>
      </c>
      <c r="G93" s="194">
        <v>0</v>
      </c>
      <c r="H93" s="194">
        <v>0.03</v>
      </c>
      <c r="I93" s="195">
        <v>0</v>
      </c>
      <c r="J93" s="196">
        <f t="shared" si="40"/>
        <v>0</v>
      </c>
      <c r="K93" s="196">
        <f t="shared" si="41"/>
        <v>0</v>
      </c>
      <c r="L93" s="196">
        <f t="shared" si="42"/>
        <v>0</v>
      </c>
      <c r="N93" s="174" t="s">
        <v>199</v>
      </c>
      <c r="O93" s="189"/>
    </row>
    <row r="94" spans="1:15" x14ac:dyDescent="0.2">
      <c r="A94" s="135">
        <f t="shared" si="26"/>
        <v>85</v>
      </c>
      <c r="B94" s="135"/>
      <c r="C94" s="191" t="str">
        <f>+C93</f>
        <v>53E - Customer Owned</v>
      </c>
      <c r="D94" s="170" t="s">
        <v>113</v>
      </c>
      <c r="E94" s="170">
        <v>175</v>
      </c>
      <c r="F94" s="194">
        <v>0.03</v>
      </c>
      <c r="G94" s="194">
        <v>0</v>
      </c>
      <c r="H94" s="194">
        <v>0.03</v>
      </c>
      <c r="I94" s="195">
        <v>48</v>
      </c>
      <c r="J94" s="196">
        <f t="shared" si="40"/>
        <v>1</v>
      </c>
      <c r="K94" s="196">
        <f t="shared" si="41"/>
        <v>0</v>
      </c>
      <c r="L94" s="196">
        <f t="shared" si="42"/>
        <v>1</v>
      </c>
      <c r="N94" s="174" t="s">
        <v>199</v>
      </c>
      <c r="O94" s="189"/>
    </row>
    <row r="95" spans="1:15" x14ac:dyDescent="0.2">
      <c r="A95" s="135">
        <f t="shared" si="26"/>
        <v>86</v>
      </c>
      <c r="B95" s="135"/>
      <c r="C95" s="191" t="str">
        <f>+C94</f>
        <v>53E - Customer Owned</v>
      </c>
      <c r="D95" s="170" t="s">
        <v>113</v>
      </c>
      <c r="E95" s="170">
        <v>250</v>
      </c>
      <c r="F95" s="194">
        <v>0.05</v>
      </c>
      <c r="G95" s="194">
        <v>0</v>
      </c>
      <c r="H95" s="194">
        <v>0.05</v>
      </c>
      <c r="I95" s="195">
        <v>0</v>
      </c>
      <c r="J95" s="196">
        <f t="shared" si="40"/>
        <v>0</v>
      </c>
      <c r="K95" s="196">
        <f t="shared" si="41"/>
        <v>0</v>
      </c>
      <c r="L95" s="196">
        <f t="shared" si="42"/>
        <v>0</v>
      </c>
      <c r="N95" s="174" t="s">
        <v>199</v>
      </c>
      <c r="O95" s="189"/>
    </row>
    <row r="96" spans="1:15" x14ac:dyDescent="0.2">
      <c r="A96" s="135">
        <f t="shared" si="26"/>
        <v>87</v>
      </c>
      <c r="B96" s="135"/>
      <c r="C96" s="191" t="str">
        <f>+C95</f>
        <v>53E - Customer Owned</v>
      </c>
      <c r="D96" s="170" t="s">
        <v>113</v>
      </c>
      <c r="E96" s="170">
        <v>400</v>
      </c>
      <c r="F96" s="194">
        <v>7.0000000000000007E-2</v>
      </c>
      <c r="G96" s="194">
        <v>0.01</v>
      </c>
      <c r="H96" s="194">
        <v>0.08</v>
      </c>
      <c r="I96" s="195">
        <v>0</v>
      </c>
      <c r="J96" s="196">
        <f t="shared" si="40"/>
        <v>0</v>
      </c>
      <c r="K96" s="196">
        <f t="shared" si="41"/>
        <v>0</v>
      </c>
      <c r="L96" s="196">
        <f t="shared" si="42"/>
        <v>0</v>
      </c>
      <c r="N96" s="174" t="s">
        <v>199</v>
      </c>
      <c r="O96" s="189"/>
    </row>
    <row r="97" spans="1:15" x14ac:dyDescent="0.2">
      <c r="A97" s="135">
        <f t="shared" si="26"/>
        <v>88</v>
      </c>
      <c r="B97" s="135"/>
      <c r="C97" s="191"/>
      <c r="D97" s="170"/>
      <c r="E97" s="170"/>
      <c r="F97" s="36"/>
      <c r="G97" s="36"/>
      <c r="H97" s="36"/>
      <c r="I97" s="37"/>
      <c r="J97" s="37"/>
      <c r="K97" s="37"/>
      <c r="L97" s="134"/>
      <c r="N97" s="174"/>
      <c r="O97" s="189"/>
    </row>
    <row r="98" spans="1:15" x14ac:dyDescent="0.2">
      <c r="A98" s="135">
        <f t="shared" si="26"/>
        <v>89</v>
      </c>
      <c r="B98" s="135"/>
      <c r="C98" s="191" t="str">
        <f>+C95</f>
        <v>53E - Customer Owned</v>
      </c>
      <c r="D98" s="170" t="s">
        <v>101</v>
      </c>
      <c r="E98" s="201" t="s">
        <v>260</v>
      </c>
      <c r="F98" s="194">
        <v>0</v>
      </c>
      <c r="G98" s="194">
        <v>0</v>
      </c>
      <c r="H98" s="194">
        <v>0</v>
      </c>
      <c r="I98" s="37">
        <v>0</v>
      </c>
      <c r="J98" s="37"/>
      <c r="K98" s="37"/>
      <c r="L98" s="134"/>
      <c r="N98" s="174"/>
      <c r="O98" s="189"/>
    </row>
    <row r="99" spans="1:15" x14ac:dyDescent="0.2">
      <c r="A99" s="135">
        <f t="shared" si="26"/>
        <v>90</v>
      </c>
      <c r="B99" s="135"/>
      <c r="C99" s="191" t="str">
        <f>+C96</f>
        <v>53E - Customer Owned</v>
      </c>
      <c r="D99" s="170" t="s">
        <v>101</v>
      </c>
      <c r="E99" s="201" t="s">
        <v>102</v>
      </c>
      <c r="F99" s="194">
        <v>0.01</v>
      </c>
      <c r="G99" s="194">
        <v>0</v>
      </c>
      <c r="H99" s="194">
        <v>0.01</v>
      </c>
      <c r="I99" s="195">
        <v>4632</v>
      </c>
      <c r="J99" s="196">
        <f t="shared" ref="J99:J107" si="43">ROUND($I99*F99,0)</f>
        <v>46</v>
      </c>
      <c r="K99" s="196">
        <f t="shared" ref="K99:K107" si="44">ROUND($I99*G99,0)</f>
        <v>0</v>
      </c>
      <c r="L99" s="196">
        <f t="shared" ref="L99:L107" si="45">SUM(J99:K99)</f>
        <v>46</v>
      </c>
      <c r="N99" s="174" t="s">
        <v>199</v>
      </c>
      <c r="O99" s="189"/>
    </row>
    <row r="100" spans="1:15" x14ac:dyDescent="0.2">
      <c r="A100" s="135">
        <f t="shared" si="26"/>
        <v>91</v>
      </c>
      <c r="B100" s="135"/>
      <c r="C100" s="191" t="str">
        <f>C99</f>
        <v>53E - Customer Owned</v>
      </c>
      <c r="D100" s="170" t="s">
        <v>101</v>
      </c>
      <c r="E100" s="198" t="s">
        <v>103</v>
      </c>
      <c r="F100" s="194">
        <v>0.01</v>
      </c>
      <c r="G100" s="194">
        <v>0</v>
      </c>
      <c r="H100" s="194">
        <v>0.01</v>
      </c>
      <c r="I100" s="195">
        <v>1992</v>
      </c>
      <c r="J100" s="196">
        <f t="shared" si="43"/>
        <v>20</v>
      </c>
      <c r="K100" s="196">
        <f t="shared" si="44"/>
        <v>0</v>
      </c>
      <c r="L100" s="196">
        <f t="shared" si="45"/>
        <v>20</v>
      </c>
      <c r="N100" s="174" t="s">
        <v>199</v>
      </c>
      <c r="O100" s="189"/>
    </row>
    <row r="101" spans="1:15" x14ac:dyDescent="0.2">
      <c r="A101" s="135">
        <f t="shared" si="26"/>
        <v>92</v>
      </c>
      <c r="B101" s="135"/>
      <c r="C101" s="191" t="str">
        <f t="shared" ref="C101:C107" si="46">C100</f>
        <v>53E - Customer Owned</v>
      </c>
      <c r="D101" s="170" t="s">
        <v>101</v>
      </c>
      <c r="E101" s="198" t="s">
        <v>104</v>
      </c>
      <c r="F101" s="194">
        <v>0.02</v>
      </c>
      <c r="G101" s="194">
        <v>0</v>
      </c>
      <c r="H101" s="194">
        <v>0.02</v>
      </c>
      <c r="I101" s="195">
        <v>5256</v>
      </c>
      <c r="J101" s="196">
        <f t="shared" si="43"/>
        <v>105</v>
      </c>
      <c r="K101" s="196">
        <f t="shared" si="44"/>
        <v>0</v>
      </c>
      <c r="L101" s="196">
        <f t="shared" si="45"/>
        <v>105</v>
      </c>
      <c r="N101" s="174" t="s">
        <v>199</v>
      </c>
      <c r="O101" s="189"/>
    </row>
    <row r="102" spans="1:15" x14ac:dyDescent="0.2">
      <c r="A102" s="135">
        <f t="shared" si="26"/>
        <v>93</v>
      </c>
      <c r="B102" s="135"/>
      <c r="C102" s="191" t="str">
        <f t="shared" si="46"/>
        <v>53E - Customer Owned</v>
      </c>
      <c r="D102" s="170" t="s">
        <v>101</v>
      </c>
      <c r="E102" s="198" t="s">
        <v>105</v>
      </c>
      <c r="F102" s="194">
        <v>0.03</v>
      </c>
      <c r="G102" s="194">
        <v>0</v>
      </c>
      <c r="H102" s="194">
        <v>0.03</v>
      </c>
      <c r="I102" s="195">
        <v>1176</v>
      </c>
      <c r="J102" s="196">
        <f t="shared" si="43"/>
        <v>35</v>
      </c>
      <c r="K102" s="196">
        <f t="shared" si="44"/>
        <v>0</v>
      </c>
      <c r="L102" s="196">
        <f t="shared" si="45"/>
        <v>35</v>
      </c>
      <c r="N102" s="174" t="s">
        <v>199</v>
      </c>
      <c r="O102" s="189"/>
    </row>
    <row r="103" spans="1:15" x14ac:dyDescent="0.2">
      <c r="A103" s="135">
        <f t="shared" si="26"/>
        <v>94</v>
      </c>
      <c r="B103" s="135"/>
      <c r="C103" s="191" t="str">
        <f t="shared" si="46"/>
        <v>53E - Customer Owned</v>
      </c>
      <c r="D103" s="170" t="s">
        <v>101</v>
      </c>
      <c r="E103" s="198" t="s">
        <v>106</v>
      </c>
      <c r="F103" s="194">
        <v>0.03</v>
      </c>
      <c r="G103" s="194">
        <v>0</v>
      </c>
      <c r="H103" s="194">
        <v>0.03</v>
      </c>
      <c r="I103" s="195">
        <v>3024</v>
      </c>
      <c r="J103" s="196">
        <f t="shared" si="43"/>
        <v>91</v>
      </c>
      <c r="K103" s="196">
        <f t="shared" si="44"/>
        <v>0</v>
      </c>
      <c r="L103" s="196">
        <f t="shared" si="45"/>
        <v>91</v>
      </c>
      <c r="N103" s="174" t="s">
        <v>199</v>
      </c>
      <c r="O103" s="189"/>
    </row>
    <row r="104" spans="1:15" x14ac:dyDescent="0.2">
      <c r="A104" s="135">
        <f t="shared" si="26"/>
        <v>95</v>
      </c>
      <c r="B104" s="135"/>
      <c r="C104" s="191" t="str">
        <f t="shared" si="46"/>
        <v>53E - Customer Owned</v>
      </c>
      <c r="D104" s="170" t="s">
        <v>101</v>
      </c>
      <c r="E104" s="198" t="s">
        <v>107</v>
      </c>
      <c r="F104" s="194">
        <v>0.04</v>
      </c>
      <c r="G104" s="194">
        <v>0</v>
      </c>
      <c r="H104" s="194">
        <v>0.04</v>
      </c>
      <c r="I104" s="195">
        <v>1236</v>
      </c>
      <c r="J104" s="196">
        <f t="shared" si="43"/>
        <v>49</v>
      </c>
      <c r="K104" s="196">
        <f t="shared" si="44"/>
        <v>0</v>
      </c>
      <c r="L104" s="196">
        <f t="shared" si="45"/>
        <v>49</v>
      </c>
      <c r="N104" s="174" t="s">
        <v>199</v>
      </c>
      <c r="O104" s="189"/>
    </row>
    <row r="105" spans="1:15" x14ac:dyDescent="0.2">
      <c r="A105" s="135">
        <f t="shared" si="26"/>
        <v>96</v>
      </c>
      <c r="B105" s="135"/>
      <c r="C105" s="191" t="str">
        <f t="shared" si="46"/>
        <v>53E - Customer Owned</v>
      </c>
      <c r="D105" s="170" t="s">
        <v>101</v>
      </c>
      <c r="E105" s="198" t="s">
        <v>108</v>
      </c>
      <c r="F105" s="194">
        <v>0.04</v>
      </c>
      <c r="G105" s="194">
        <v>0</v>
      </c>
      <c r="H105" s="194">
        <v>0.04</v>
      </c>
      <c r="I105" s="195">
        <v>0</v>
      </c>
      <c r="J105" s="196">
        <f t="shared" si="43"/>
        <v>0</v>
      </c>
      <c r="K105" s="196">
        <f t="shared" si="44"/>
        <v>0</v>
      </c>
      <c r="L105" s="196">
        <f t="shared" si="45"/>
        <v>0</v>
      </c>
      <c r="N105" s="174" t="s">
        <v>199</v>
      </c>
      <c r="O105" s="189"/>
    </row>
    <row r="106" spans="1:15" x14ac:dyDescent="0.2">
      <c r="A106" s="135">
        <f t="shared" si="26"/>
        <v>97</v>
      </c>
      <c r="B106" s="135"/>
      <c r="C106" s="191" t="str">
        <f t="shared" si="46"/>
        <v>53E - Customer Owned</v>
      </c>
      <c r="D106" s="170" t="s">
        <v>101</v>
      </c>
      <c r="E106" s="198" t="s">
        <v>109</v>
      </c>
      <c r="F106" s="194">
        <v>0.05</v>
      </c>
      <c r="G106" s="194">
        <v>0</v>
      </c>
      <c r="H106" s="194">
        <v>0.05</v>
      </c>
      <c r="I106" s="195">
        <v>24</v>
      </c>
      <c r="J106" s="196">
        <f t="shared" si="43"/>
        <v>1</v>
      </c>
      <c r="K106" s="196">
        <f t="shared" si="44"/>
        <v>0</v>
      </c>
      <c r="L106" s="196">
        <f t="shared" si="45"/>
        <v>1</v>
      </c>
      <c r="N106" s="174" t="s">
        <v>199</v>
      </c>
      <c r="O106" s="189"/>
    </row>
    <row r="107" spans="1:15" x14ac:dyDescent="0.2">
      <c r="A107" s="135">
        <f t="shared" si="26"/>
        <v>98</v>
      </c>
      <c r="B107" s="135"/>
      <c r="C107" s="191" t="str">
        <f t="shared" si="46"/>
        <v>53E - Customer Owned</v>
      </c>
      <c r="D107" s="170" t="s">
        <v>101</v>
      </c>
      <c r="E107" s="198" t="s">
        <v>110</v>
      </c>
      <c r="F107" s="194">
        <v>0.05</v>
      </c>
      <c r="G107" s="194">
        <v>0</v>
      </c>
      <c r="H107" s="194">
        <v>0.05</v>
      </c>
      <c r="I107" s="195">
        <v>0</v>
      </c>
      <c r="J107" s="196">
        <f t="shared" si="43"/>
        <v>0</v>
      </c>
      <c r="K107" s="196">
        <f t="shared" si="44"/>
        <v>0</v>
      </c>
      <c r="L107" s="196">
        <f t="shared" si="45"/>
        <v>0</v>
      </c>
      <c r="N107" s="174" t="s">
        <v>199</v>
      </c>
      <c r="O107" s="189"/>
    </row>
    <row r="108" spans="1:15" x14ac:dyDescent="0.2">
      <c r="A108" s="135">
        <f t="shared" si="26"/>
        <v>99</v>
      </c>
      <c r="B108" s="39" t="s">
        <v>117</v>
      </c>
      <c r="D108" s="39"/>
      <c r="E108" s="39"/>
      <c r="F108" s="36"/>
      <c r="G108" s="36"/>
      <c r="H108" s="36"/>
      <c r="I108" s="37"/>
      <c r="J108" s="37"/>
      <c r="K108" s="37"/>
      <c r="L108" s="134"/>
      <c r="N108" s="174"/>
      <c r="O108" s="189"/>
    </row>
    <row r="109" spans="1:15" x14ac:dyDescent="0.2">
      <c r="A109" s="135">
        <f t="shared" si="26"/>
        <v>100</v>
      </c>
      <c r="B109" s="135"/>
      <c r="C109" s="191" t="s">
        <v>118</v>
      </c>
      <c r="D109" s="170" t="s">
        <v>70</v>
      </c>
      <c r="E109" s="170">
        <v>50</v>
      </c>
      <c r="F109" s="194">
        <v>0.01</v>
      </c>
      <c r="G109" s="194">
        <v>0</v>
      </c>
      <c r="H109" s="194">
        <v>0.01</v>
      </c>
      <c r="I109" s="195">
        <v>456</v>
      </c>
      <c r="J109" s="196">
        <f t="shared" ref="J109:J117" si="47">ROUND($I109*F109,0)</f>
        <v>5</v>
      </c>
      <c r="K109" s="196">
        <f t="shared" ref="K109:K117" si="48">ROUND($I109*G109,0)</f>
        <v>0</v>
      </c>
      <c r="L109" s="196">
        <f t="shared" ref="L109:L117" si="49">SUM(J109:K109)</f>
        <v>5</v>
      </c>
      <c r="N109" s="174" t="s">
        <v>202</v>
      </c>
      <c r="O109" s="189"/>
    </row>
    <row r="110" spans="1:15" x14ac:dyDescent="0.2">
      <c r="A110" s="135">
        <f t="shared" si="26"/>
        <v>101</v>
      </c>
      <c r="B110" s="135"/>
      <c r="C110" s="191" t="str">
        <f t="shared" ref="C110:C117" si="50">+C109</f>
        <v>54E</v>
      </c>
      <c r="D110" s="170" t="s">
        <v>70</v>
      </c>
      <c r="E110" s="170">
        <v>70</v>
      </c>
      <c r="F110" s="194">
        <v>0.01</v>
      </c>
      <c r="G110" s="194">
        <v>0</v>
      </c>
      <c r="H110" s="194">
        <v>0.01</v>
      </c>
      <c r="I110" s="195">
        <v>1800</v>
      </c>
      <c r="J110" s="196">
        <f t="shared" si="47"/>
        <v>18</v>
      </c>
      <c r="K110" s="196">
        <f t="shared" si="48"/>
        <v>0</v>
      </c>
      <c r="L110" s="196">
        <f t="shared" si="49"/>
        <v>18</v>
      </c>
      <c r="N110" s="174" t="s">
        <v>202</v>
      </c>
      <c r="O110" s="189"/>
    </row>
    <row r="111" spans="1:15" x14ac:dyDescent="0.2">
      <c r="A111" s="135">
        <f t="shared" si="26"/>
        <v>102</v>
      </c>
      <c r="B111" s="135"/>
      <c r="C111" s="191" t="str">
        <f t="shared" si="50"/>
        <v>54E</v>
      </c>
      <c r="D111" s="170" t="s">
        <v>70</v>
      </c>
      <c r="E111" s="170">
        <v>100</v>
      </c>
      <c r="F111" s="194">
        <v>0.02</v>
      </c>
      <c r="G111" s="194">
        <v>0</v>
      </c>
      <c r="H111" s="194">
        <v>0.02</v>
      </c>
      <c r="I111" s="195">
        <v>11712</v>
      </c>
      <c r="J111" s="196">
        <f t="shared" si="47"/>
        <v>234</v>
      </c>
      <c r="K111" s="196">
        <f t="shared" si="48"/>
        <v>0</v>
      </c>
      <c r="L111" s="196">
        <f t="shared" si="49"/>
        <v>234</v>
      </c>
      <c r="N111" s="174" t="s">
        <v>202</v>
      </c>
      <c r="O111" s="189"/>
    </row>
    <row r="112" spans="1:15" x14ac:dyDescent="0.2">
      <c r="A112" s="135">
        <f t="shared" si="26"/>
        <v>103</v>
      </c>
      <c r="B112" s="135"/>
      <c r="C112" s="191" t="str">
        <f t="shared" si="50"/>
        <v>54E</v>
      </c>
      <c r="D112" s="170" t="s">
        <v>70</v>
      </c>
      <c r="E112" s="170">
        <v>150</v>
      </c>
      <c r="F112" s="194">
        <v>0.03</v>
      </c>
      <c r="G112" s="194">
        <v>0</v>
      </c>
      <c r="H112" s="194">
        <v>0.03</v>
      </c>
      <c r="I112" s="195">
        <v>4212</v>
      </c>
      <c r="J112" s="196">
        <f t="shared" si="47"/>
        <v>126</v>
      </c>
      <c r="K112" s="196">
        <f t="shared" si="48"/>
        <v>0</v>
      </c>
      <c r="L112" s="196">
        <f t="shared" si="49"/>
        <v>126</v>
      </c>
      <c r="N112" s="174" t="s">
        <v>202</v>
      </c>
      <c r="O112" s="189"/>
    </row>
    <row r="113" spans="1:15" x14ac:dyDescent="0.2">
      <c r="A113" s="135">
        <f t="shared" si="26"/>
        <v>104</v>
      </c>
      <c r="B113" s="135"/>
      <c r="C113" s="191" t="str">
        <f t="shared" si="50"/>
        <v>54E</v>
      </c>
      <c r="D113" s="170" t="s">
        <v>70</v>
      </c>
      <c r="E113" s="170">
        <v>200</v>
      </c>
      <c r="F113" s="194">
        <v>0.04</v>
      </c>
      <c r="G113" s="194">
        <v>0</v>
      </c>
      <c r="H113" s="194">
        <v>0.04</v>
      </c>
      <c r="I113" s="195">
        <v>3444</v>
      </c>
      <c r="J113" s="196">
        <f t="shared" si="47"/>
        <v>138</v>
      </c>
      <c r="K113" s="196">
        <f t="shared" si="48"/>
        <v>0</v>
      </c>
      <c r="L113" s="196">
        <f t="shared" si="49"/>
        <v>138</v>
      </c>
      <c r="N113" s="174" t="s">
        <v>202</v>
      </c>
      <c r="O113" s="189"/>
    </row>
    <row r="114" spans="1:15" x14ac:dyDescent="0.2">
      <c r="A114" s="135">
        <f t="shared" si="26"/>
        <v>105</v>
      </c>
      <c r="B114" s="135"/>
      <c r="C114" s="191" t="str">
        <f t="shared" si="50"/>
        <v>54E</v>
      </c>
      <c r="D114" s="170" t="s">
        <v>70</v>
      </c>
      <c r="E114" s="170">
        <v>250</v>
      </c>
      <c r="F114" s="194">
        <v>0.05</v>
      </c>
      <c r="G114" s="194">
        <v>0</v>
      </c>
      <c r="H114" s="194">
        <v>0.05</v>
      </c>
      <c r="I114" s="195">
        <v>3552</v>
      </c>
      <c r="J114" s="196">
        <f t="shared" si="47"/>
        <v>178</v>
      </c>
      <c r="K114" s="196">
        <f t="shared" si="48"/>
        <v>0</v>
      </c>
      <c r="L114" s="196">
        <f t="shared" si="49"/>
        <v>178</v>
      </c>
      <c r="N114" s="174" t="s">
        <v>202</v>
      </c>
      <c r="O114" s="189"/>
    </row>
    <row r="115" spans="1:15" x14ac:dyDescent="0.2">
      <c r="A115" s="135">
        <f t="shared" si="26"/>
        <v>106</v>
      </c>
      <c r="B115" s="135"/>
      <c r="C115" s="191" t="str">
        <f t="shared" si="50"/>
        <v>54E</v>
      </c>
      <c r="D115" s="170" t="s">
        <v>70</v>
      </c>
      <c r="E115" s="170">
        <v>310</v>
      </c>
      <c r="F115" s="194">
        <v>0.06</v>
      </c>
      <c r="G115" s="194">
        <v>0</v>
      </c>
      <c r="H115" s="194">
        <v>0.06</v>
      </c>
      <c r="I115" s="195">
        <v>660</v>
      </c>
      <c r="J115" s="196">
        <f t="shared" si="47"/>
        <v>40</v>
      </c>
      <c r="K115" s="196">
        <f t="shared" si="48"/>
        <v>0</v>
      </c>
      <c r="L115" s="196">
        <f t="shared" si="49"/>
        <v>40</v>
      </c>
      <c r="N115" s="174" t="s">
        <v>202</v>
      </c>
      <c r="O115" s="189"/>
    </row>
    <row r="116" spans="1:15" x14ac:dyDescent="0.2">
      <c r="A116" s="135">
        <f t="shared" si="26"/>
        <v>107</v>
      </c>
      <c r="B116" s="135"/>
      <c r="C116" s="191" t="str">
        <f t="shared" si="50"/>
        <v>54E</v>
      </c>
      <c r="D116" s="170" t="s">
        <v>70</v>
      </c>
      <c r="E116" s="170">
        <v>400</v>
      </c>
      <c r="F116" s="194">
        <v>7.0000000000000007E-2</v>
      </c>
      <c r="G116" s="194">
        <v>0.01</v>
      </c>
      <c r="H116" s="194">
        <v>0.08</v>
      </c>
      <c r="I116" s="195">
        <v>6696</v>
      </c>
      <c r="J116" s="196">
        <f t="shared" si="47"/>
        <v>469</v>
      </c>
      <c r="K116" s="196">
        <f t="shared" si="48"/>
        <v>67</v>
      </c>
      <c r="L116" s="196">
        <f t="shared" si="49"/>
        <v>536</v>
      </c>
      <c r="N116" s="174" t="s">
        <v>202</v>
      </c>
      <c r="O116" s="189"/>
    </row>
    <row r="117" spans="1:15" x14ac:dyDescent="0.2">
      <c r="A117" s="135">
        <f t="shared" si="26"/>
        <v>108</v>
      </c>
      <c r="B117" s="135"/>
      <c r="C117" s="191" t="str">
        <f t="shared" si="50"/>
        <v>54E</v>
      </c>
      <c r="D117" s="170" t="s">
        <v>70</v>
      </c>
      <c r="E117" s="170">
        <v>1000</v>
      </c>
      <c r="F117" s="194">
        <v>0.18</v>
      </c>
      <c r="G117" s="194">
        <v>0.01</v>
      </c>
      <c r="H117" s="194">
        <v>0.19</v>
      </c>
      <c r="I117" s="195">
        <v>0</v>
      </c>
      <c r="J117" s="196">
        <f t="shared" si="47"/>
        <v>0</v>
      </c>
      <c r="K117" s="196">
        <f t="shared" si="48"/>
        <v>0</v>
      </c>
      <c r="L117" s="196">
        <f t="shared" si="49"/>
        <v>0</v>
      </c>
      <c r="N117" s="174" t="s">
        <v>202</v>
      </c>
      <c r="O117" s="189"/>
    </row>
    <row r="118" spans="1:15" x14ac:dyDescent="0.2">
      <c r="A118" s="135">
        <f t="shared" si="26"/>
        <v>109</v>
      </c>
      <c r="B118" s="135"/>
      <c r="C118" s="204"/>
      <c r="D118" s="170"/>
      <c r="E118" s="170"/>
      <c r="F118" s="36"/>
      <c r="G118" s="36"/>
      <c r="H118" s="36"/>
      <c r="I118" s="37"/>
      <c r="J118" s="37"/>
      <c r="K118" s="37"/>
      <c r="L118" s="134"/>
      <c r="N118" s="174"/>
      <c r="O118" s="189"/>
    </row>
    <row r="119" spans="1:15" x14ac:dyDescent="0.2">
      <c r="A119" s="135">
        <f t="shared" si="26"/>
        <v>110</v>
      </c>
      <c r="B119" s="135"/>
      <c r="C119" s="191" t="str">
        <f>+C116</f>
        <v>54E</v>
      </c>
      <c r="D119" s="170" t="s">
        <v>101</v>
      </c>
      <c r="E119" s="201" t="s">
        <v>260</v>
      </c>
      <c r="F119" s="194">
        <v>0</v>
      </c>
      <c r="G119" s="194">
        <v>0</v>
      </c>
      <c r="H119" s="194">
        <v>0</v>
      </c>
      <c r="I119" s="37">
        <v>0</v>
      </c>
      <c r="J119" s="196">
        <f>ROUND($I119*F119,0)</f>
        <v>0</v>
      </c>
      <c r="K119" s="196">
        <f t="shared" ref="K119" si="51">ROUND($I119*G119,0)</f>
        <v>0</v>
      </c>
      <c r="L119" s="196">
        <f t="shared" ref="L119" si="52">SUM(J119:K119)</f>
        <v>0</v>
      </c>
      <c r="N119" s="174"/>
      <c r="O119" s="189"/>
    </row>
    <row r="120" spans="1:15" x14ac:dyDescent="0.2">
      <c r="A120" s="135">
        <f t="shared" si="26"/>
        <v>111</v>
      </c>
      <c r="B120" s="135"/>
      <c r="C120" s="191" t="str">
        <f>+C117</f>
        <v>54E</v>
      </c>
      <c r="D120" s="170" t="s">
        <v>101</v>
      </c>
      <c r="E120" s="198" t="s">
        <v>102</v>
      </c>
      <c r="F120" s="194">
        <v>0.01</v>
      </c>
      <c r="G120" s="194">
        <v>0</v>
      </c>
      <c r="H120" s="194">
        <v>0.01</v>
      </c>
      <c r="I120" s="195">
        <v>35568</v>
      </c>
      <c r="J120" s="196">
        <f t="shared" ref="J120:J128" si="53">ROUND($I120*F120,0)</f>
        <v>356</v>
      </c>
      <c r="K120" s="196">
        <f t="shared" ref="K120:K128" si="54">ROUND($I120*G120,0)</f>
        <v>0</v>
      </c>
      <c r="L120" s="196">
        <f t="shared" ref="L120:L128" si="55">SUM(J120:K120)</f>
        <v>356</v>
      </c>
      <c r="N120" s="174" t="s">
        <v>202</v>
      </c>
      <c r="O120" s="189"/>
    </row>
    <row r="121" spans="1:15" x14ac:dyDescent="0.2">
      <c r="A121" s="135">
        <f t="shared" si="26"/>
        <v>112</v>
      </c>
      <c r="B121" s="135"/>
      <c r="C121" s="191" t="str">
        <f t="shared" ref="C121:C128" si="56">+C120</f>
        <v>54E</v>
      </c>
      <c r="D121" s="170" t="s">
        <v>101</v>
      </c>
      <c r="E121" s="198" t="s">
        <v>103</v>
      </c>
      <c r="F121" s="194">
        <v>0.01</v>
      </c>
      <c r="G121" s="194">
        <v>0</v>
      </c>
      <c r="H121" s="194">
        <v>0.01</v>
      </c>
      <c r="I121" s="195">
        <v>2820</v>
      </c>
      <c r="J121" s="196">
        <f t="shared" si="53"/>
        <v>28</v>
      </c>
      <c r="K121" s="196">
        <f t="shared" si="54"/>
        <v>0</v>
      </c>
      <c r="L121" s="196">
        <f t="shared" si="55"/>
        <v>28</v>
      </c>
      <c r="N121" s="174" t="s">
        <v>202</v>
      </c>
      <c r="O121" s="189"/>
    </row>
    <row r="122" spans="1:15" x14ac:dyDescent="0.2">
      <c r="A122" s="135">
        <f t="shared" ref="A122:A185" si="57">A121+1</f>
        <v>113</v>
      </c>
      <c r="B122" s="135"/>
      <c r="C122" s="191" t="str">
        <f t="shared" si="56"/>
        <v>54E</v>
      </c>
      <c r="D122" s="170" t="s">
        <v>101</v>
      </c>
      <c r="E122" s="198" t="s">
        <v>104</v>
      </c>
      <c r="F122" s="194">
        <v>0.02</v>
      </c>
      <c r="G122" s="194">
        <v>0</v>
      </c>
      <c r="H122" s="194">
        <v>0.02</v>
      </c>
      <c r="I122" s="195">
        <v>36816</v>
      </c>
      <c r="J122" s="196">
        <f t="shared" si="53"/>
        <v>736</v>
      </c>
      <c r="K122" s="196">
        <f t="shared" si="54"/>
        <v>0</v>
      </c>
      <c r="L122" s="196">
        <f t="shared" si="55"/>
        <v>736</v>
      </c>
      <c r="N122" s="174" t="s">
        <v>202</v>
      </c>
      <c r="O122" s="189"/>
    </row>
    <row r="123" spans="1:15" x14ac:dyDescent="0.2">
      <c r="A123" s="135">
        <f t="shared" si="57"/>
        <v>114</v>
      </c>
      <c r="B123" s="135"/>
      <c r="C123" s="191" t="str">
        <f t="shared" si="56"/>
        <v>54E</v>
      </c>
      <c r="D123" s="170" t="s">
        <v>101</v>
      </c>
      <c r="E123" s="198" t="s">
        <v>105</v>
      </c>
      <c r="F123" s="194">
        <v>0.03</v>
      </c>
      <c r="G123" s="194">
        <v>0</v>
      </c>
      <c r="H123" s="194">
        <v>0.03</v>
      </c>
      <c r="I123" s="195">
        <v>13044</v>
      </c>
      <c r="J123" s="196">
        <f t="shared" si="53"/>
        <v>391</v>
      </c>
      <c r="K123" s="196">
        <f t="shared" si="54"/>
        <v>0</v>
      </c>
      <c r="L123" s="196">
        <f t="shared" si="55"/>
        <v>391</v>
      </c>
      <c r="N123" s="174" t="s">
        <v>202</v>
      </c>
      <c r="O123" s="189"/>
    </row>
    <row r="124" spans="1:15" x14ac:dyDescent="0.2">
      <c r="A124" s="135">
        <f t="shared" si="57"/>
        <v>115</v>
      </c>
      <c r="B124" s="135"/>
      <c r="C124" s="191" t="str">
        <f t="shared" si="56"/>
        <v>54E</v>
      </c>
      <c r="D124" s="170" t="s">
        <v>101</v>
      </c>
      <c r="E124" s="198" t="s">
        <v>106</v>
      </c>
      <c r="F124" s="194">
        <v>0.03</v>
      </c>
      <c r="G124" s="194">
        <v>0</v>
      </c>
      <c r="H124" s="194">
        <v>0.03</v>
      </c>
      <c r="I124" s="195">
        <v>5352</v>
      </c>
      <c r="J124" s="196">
        <f t="shared" si="53"/>
        <v>161</v>
      </c>
      <c r="K124" s="196">
        <f t="shared" si="54"/>
        <v>0</v>
      </c>
      <c r="L124" s="196">
        <f t="shared" si="55"/>
        <v>161</v>
      </c>
      <c r="N124" s="174" t="s">
        <v>202</v>
      </c>
      <c r="O124" s="189"/>
    </row>
    <row r="125" spans="1:15" x14ac:dyDescent="0.2">
      <c r="A125" s="135">
        <f t="shared" si="57"/>
        <v>116</v>
      </c>
      <c r="B125" s="135"/>
      <c r="C125" s="191" t="str">
        <f t="shared" si="56"/>
        <v>54E</v>
      </c>
      <c r="D125" s="170" t="s">
        <v>101</v>
      </c>
      <c r="E125" s="198" t="s">
        <v>107</v>
      </c>
      <c r="F125" s="194">
        <v>0.04</v>
      </c>
      <c r="G125" s="194">
        <v>0</v>
      </c>
      <c r="H125" s="194">
        <v>0.04</v>
      </c>
      <c r="I125" s="195">
        <v>2016</v>
      </c>
      <c r="J125" s="196">
        <f t="shared" si="53"/>
        <v>81</v>
      </c>
      <c r="K125" s="196">
        <f t="shared" si="54"/>
        <v>0</v>
      </c>
      <c r="L125" s="196">
        <f t="shared" si="55"/>
        <v>81</v>
      </c>
      <c r="N125" s="174" t="s">
        <v>202</v>
      </c>
      <c r="O125" s="189"/>
    </row>
    <row r="126" spans="1:15" x14ac:dyDescent="0.2">
      <c r="A126" s="135">
        <f t="shared" si="57"/>
        <v>117</v>
      </c>
      <c r="B126" s="135"/>
      <c r="C126" s="191" t="str">
        <f t="shared" si="56"/>
        <v>54E</v>
      </c>
      <c r="D126" s="170" t="s">
        <v>101</v>
      </c>
      <c r="E126" s="198" t="s">
        <v>108</v>
      </c>
      <c r="F126" s="194">
        <v>0.04</v>
      </c>
      <c r="G126" s="194">
        <v>0</v>
      </c>
      <c r="H126" s="194">
        <v>0.04</v>
      </c>
      <c r="I126" s="195">
        <v>468</v>
      </c>
      <c r="J126" s="196">
        <f t="shared" si="53"/>
        <v>19</v>
      </c>
      <c r="K126" s="196">
        <f t="shared" si="54"/>
        <v>0</v>
      </c>
      <c r="L126" s="196">
        <f t="shared" si="55"/>
        <v>19</v>
      </c>
      <c r="N126" s="174" t="s">
        <v>202</v>
      </c>
      <c r="O126" s="189"/>
    </row>
    <row r="127" spans="1:15" x14ac:dyDescent="0.2">
      <c r="A127" s="135">
        <f t="shared" si="57"/>
        <v>118</v>
      </c>
      <c r="B127" s="135"/>
      <c r="C127" s="191" t="str">
        <f t="shared" si="56"/>
        <v>54E</v>
      </c>
      <c r="D127" s="170" t="s">
        <v>101</v>
      </c>
      <c r="E127" s="198" t="s">
        <v>109</v>
      </c>
      <c r="F127" s="194">
        <v>0.05</v>
      </c>
      <c r="G127" s="194">
        <v>0</v>
      </c>
      <c r="H127" s="194">
        <v>0.05</v>
      </c>
      <c r="I127" s="195">
        <v>48</v>
      </c>
      <c r="J127" s="196">
        <f t="shared" si="53"/>
        <v>2</v>
      </c>
      <c r="K127" s="196">
        <f t="shared" si="54"/>
        <v>0</v>
      </c>
      <c r="L127" s="196">
        <f t="shared" si="55"/>
        <v>2</v>
      </c>
      <c r="N127" s="174" t="s">
        <v>202</v>
      </c>
      <c r="O127" s="189"/>
    </row>
    <row r="128" spans="1:15" x14ac:dyDescent="0.2">
      <c r="A128" s="135">
        <f t="shared" si="57"/>
        <v>119</v>
      </c>
      <c r="B128" s="135"/>
      <c r="C128" s="191" t="str">
        <f t="shared" si="56"/>
        <v>54E</v>
      </c>
      <c r="D128" s="170" t="s">
        <v>101</v>
      </c>
      <c r="E128" s="198" t="s">
        <v>110</v>
      </c>
      <c r="F128" s="194">
        <v>0.05</v>
      </c>
      <c r="G128" s="194">
        <v>0</v>
      </c>
      <c r="H128" s="194">
        <v>0.05</v>
      </c>
      <c r="I128" s="195">
        <v>0</v>
      </c>
      <c r="J128" s="196">
        <f t="shared" si="53"/>
        <v>0</v>
      </c>
      <c r="K128" s="196">
        <f t="shared" si="54"/>
        <v>0</v>
      </c>
      <c r="L128" s="196">
        <f t="shared" si="55"/>
        <v>0</v>
      </c>
      <c r="N128" s="174" t="s">
        <v>202</v>
      </c>
      <c r="O128" s="189"/>
    </row>
    <row r="129" spans="1:15" x14ac:dyDescent="0.2">
      <c r="A129" s="135">
        <f t="shared" si="57"/>
        <v>120</v>
      </c>
      <c r="B129" s="39" t="s">
        <v>119</v>
      </c>
      <c r="D129" s="170"/>
      <c r="E129" s="170"/>
      <c r="F129" s="36"/>
      <c r="G129" s="36"/>
      <c r="H129" s="36"/>
      <c r="I129" s="37"/>
      <c r="J129" s="37"/>
      <c r="K129" s="37"/>
      <c r="L129" s="134"/>
      <c r="N129" s="174"/>
      <c r="O129" s="189"/>
    </row>
    <row r="130" spans="1:15" x14ac:dyDescent="0.2">
      <c r="A130" s="135">
        <f t="shared" si="57"/>
        <v>121</v>
      </c>
      <c r="B130" s="135"/>
      <c r="C130" s="191" t="s">
        <v>120</v>
      </c>
      <c r="D130" s="170" t="s">
        <v>70</v>
      </c>
      <c r="E130" s="170">
        <v>70</v>
      </c>
      <c r="F130" s="194">
        <v>0.53</v>
      </c>
      <c r="G130" s="194">
        <v>0.04</v>
      </c>
      <c r="H130" s="194">
        <v>0.57000000000000006</v>
      </c>
      <c r="I130" s="195">
        <v>180</v>
      </c>
      <c r="J130" s="196">
        <f t="shared" ref="J130:J135" si="58">ROUND($I130*F130,0)</f>
        <v>95</v>
      </c>
      <c r="K130" s="196">
        <f t="shared" ref="K130:K135" si="59">ROUND($I130*G130,0)</f>
        <v>7</v>
      </c>
      <c r="L130" s="196">
        <f t="shared" ref="L130:L135" si="60">SUM(J130:K130)</f>
        <v>102</v>
      </c>
      <c r="N130" s="174" t="s">
        <v>202</v>
      </c>
      <c r="O130" s="189"/>
    </row>
    <row r="131" spans="1:15" x14ac:dyDescent="0.2">
      <c r="A131" s="135">
        <f t="shared" si="57"/>
        <v>122</v>
      </c>
      <c r="B131" s="135"/>
      <c r="C131" s="204" t="str">
        <f>+C130</f>
        <v>55E &amp; 56E</v>
      </c>
      <c r="D131" s="170" t="s">
        <v>70</v>
      </c>
      <c r="E131" s="170">
        <v>100</v>
      </c>
      <c r="F131" s="194">
        <v>0.51</v>
      </c>
      <c r="G131" s="194">
        <v>0.04</v>
      </c>
      <c r="H131" s="194">
        <v>0.55000000000000004</v>
      </c>
      <c r="I131" s="195">
        <v>41544</v>
      </c>
      <c r="J131" s="196">
        <f t="shared" si="58"/>
        <v>21187</v>
      </c>
      <c r="K131" s="196">
        <f t="shared" si="59"/>
        <v>1662</v>
      </c>
      <c r="L131" s="196">
        <f t="shared" si="60"/>
        <v>22849</v>
      </c>
      <c r="N131" s="174" t="s">
        <v>202</v>
      </c>
      <c r="O131" s="189"/>
    </row>
    <row r="132" spans="1:15" x14ac:dyDescent="0.2">
      <c r="A132" s="135">
        <f t="shared" si="57"/>
        <v>123</v>
      </c>
      <c r="B132" s="135"/>
      <c r="C132" s="204" t="str">
        <f>+C131</f>
        <v>55E &amp; 56E</v>
      </c>
      <c r="D132" s="170" t="s">
        <v>70</v>
      </c>
      <c r="E132" s="170">
        <v>150</v>
      </c>
      <c r="F132" s="194">
        <v>0.52</v>
      </c>
      <c r="G132" s="194">
        <v>0.04</v>
      </c>
      <c r="H132" s="194">
        <v>0.56000000000000005</v>
      </c>
      <c r="I132" s="195">
        <v>5616</v>
      </c>
      <c r="J132" s="196">
        <f t="shared" si="58"/>
        <v>2920</v>
      </c>
      <c r="K132" s="196">
        <f t="shared" si="59"/>
        <v>225</v>
      </c>
      <c r="L132" s="196">
        <f t="shared" si="60"/>
        <v>3145</v>
      </c>
      <c r="N132" s="174" t="s">
        <v>202</v>
      </c>
      <c r="O132" s="189"/>
    </row>
    <row r="133" spans="1:15" x14ac:dyDescent="0.2">
      <c r="A133" s="135">
        <f t="shared" si="57"/>
        <v>124</v>
      </c>
      <c r="B133" s="135"/>
      <c r="C133" s="204" t="str">
        <f>+C132</f>
        <v>55E &amp; 56E</v>
      </c>
      <c r="D133" s="170" t="s">
        <v>70</v>
      </c>
      <c r="E133" s="170">
        <v>200</v>
      </c>
      <c r="F133" s="194">
        <v>0.56000000000000005</v>
      </c>
      <c r="G133" s="194">
        <v>0.04</v>
      </c>
      <c r="H133" s="194">
        <v>0.60000000000000009</v>
      </c>
      <c r="I133" s="195">
        <v>11580</v>
      </c>
      <c r="J133" s="196">
        <f t="shared" si="58"/>
        <v>6485</v>
      </c>
      <c r="K133" s="196">
        <f t="shared" si="59"/>
        <v>463</v>
      </c>
      <c r="L133" s="196">
        <f t="shared" si="60"/>
        <v>6948</v>
      </c>
      <c r="N133" s="174" t="s">
        <v>202</v>
      </c>
      <c r="O133" s="189"/>
    </row>
    <row r="134" spans="1:15" x14ac:dyDescent="0.2">
      <c r="A134" s="135">
        <f t="shared" si="57"/>
        <v>125</v>
      </c>
      <c r="B134" s="135"/>
      <c r="C134" s="204" t="str">
        <f>+C133</f>
        <v>55E &amp; 56E</v>
      </c>
      <c r="D134" s="170" t="s">
        <v>70</v>
      </c>
      <c r="E134" s="170">
        <v>250</v>
      </c>
      <c r="F134" s="194">
        <v>0.57999999999999996</v>
      </c>
      <c r="G134" s="194">
        <v>0.04</v>
      </c>
      <c r="H134" s="194">
        <v>0.62</v>
      </c>
      <c r="I134" s="195">
        <v>1260</v>
      </c>
      <c r="J134" s="196">
        <f t="shared" si="58"/>
        <v>731</v>
      </c>
      <c r="K134" s="196">
        <f t="shared" si="59"/>
        <v>50</v>
      </c>
      <c r="L134" s="196">
        <f t="shared" si="60"/>
        <v>781</v>
      </c>
      <c r="N134" s="174" t="s">
        <v>202</v>
      </c>
      <c r="O134" s="189"/>
    </row>
    <row r="135" spans="1:15" x14ac:dyDescent="0.2">
      <c r="A135" s="135">
        <f t="shared" si="57"/>
        <v>126</v>
      </c>
      <c r="B135" s="135"/>
      <c r="C135" s="204" t="str">
        <f>+C134</f>
        <v>55E &amp; 56E</v>
      </c>
      <c r="D135" s="170" t="s">
        <v>70</v>
      </c>
      <c r="E135" s="170">
        <v>400</v>
      </c>
      <c r="F135" s="194">
        <v>0.66</v>
      </c>
      <c r="G135" s="194">
        <v>0.05</v>
      </c>
      <c r="H135" s="194">
        <v>0.71000000000000008</v>
      </c>
      <c r="I135" s="195">
        <v>468</v>
      </c>
      <c r="J135" s="196">
        <f t="shared" si="58"/>
        <v>309</v>
      </c>
      <c r="K135" s="196">
        <f t="shared" si="59"/>
        <v>23</v>
      </c>
      <c r="L135" s="196">
        <f t="shared" si="60"/>
        <v>332</v>
      </c>
      <c r="N135" s="174" t="s">
        <v>202</v>
      </c>
      <c r="O135" s="189"/>
    </row>
    <row r="136" spans="1:15" x14ac:dyDescent="0.2">
      <c r="A136" s="135">
        <f t="shared" si="57"/>
        <v>127</v>
      </c>
      <c r="B136" s="135"/>
      <c r="C136" s="204"/>
      <c r="D136" s="170"/>
      <c r="E136" s="170"/>
      <c r="F136" s="36"/>
      <c r="G136" s="36"/>
      <c r="H136" s="36"/>
      <c r="I136" s="37"/>
      <c r="J136" s="37"/>
      <c r="K136" s="37"/>
      <c r="L136" s="134"/>
      <c r="N136" s="188"/>
      <c r="O136" s="189"/>
    </row>
    <row r="137" spans="1:15" x14ac:dyDescent="0.2">
      <c r="A137" s="135">
        <f t="shared" si="57"/>
        <v>128</v>
      </c>
      <c r="B137" s="135"/>
      <c r="C137" s="204" t="str">
        <f>+C135</f>
        <v>55E &amp; 56E</v>
      </c>
      <c r="D137" s="170" t="s">
        <v>113</v>
      </c>
      <c r="E137" s="170">
        <v>250</v>
      </c>
      <c r="F137" s="194">
        <v>0.56999999999999995</v>
      </c>
      <c r="G137" s="194">
        <v>0.04</v>
      </c>
      <c r="H137" s="194">
        <v>0.61</v>
      </c>
      <c r="I137" s="195">
        <v>84</v>
      </c>
      <c r="J137" s="196">
        <f>ROUND($I137*F137,0)</f>
        <v>48</v>
      </c>
      <c r="K137" s="196">
        <f>ROUND($I137*G137,0)</f>
        <v>3</v>
      </c>
      <c r="L137" s="196">
        <f t="shared" ref="L137" si="61">SUM(J137:K137)</f>
        <v>51</v>
      </c>
      <c r="N137" s="174" t="s">
        <v>203</v>
      </c>
      <c r="O137" s="189"/>
    </row>
    <row r="138" spans="1:15" x14ac:dyDescent="0.2">
      <c r="A138" s="135">
        <f t="shared" si="57"/>
        <v>129</v>
      </c>
      <c r="B138" s="135"/>
      <c r="C138" s="204"/>
      <c r="D138" s="170"/>
      <c r="E138" s="170"/>
      <c r="F138" s="36"/>
      <c r="G138" s="36"/>
      <c r="H138" s="36"/>
      <c r="I138" s="37"/>
      <c r="J138" s="37"/>
      <c r="K138" s="37"/>
      <c r="L138" s="134"/>
      <c r="N138" s="188"/>
      <c r="O138" s="189"/>
    </row>
    <row r="139" spans="1:15" x14ac:dyDescent="0.2">
      <c r="A139" s="135">
        <f t="shared" si="57"/>
        <v>130</v>
      </c>
      <c r="B139" s="135"/>
      <c r="C139" s="204" t="s">
        <v>120</v>
      </c>
      <c r="D139" s="170" t="s">
        <v>101</v>
      </c>
      <c r="E139" s="201" t="s">
        <v>260</v>
      </c>
      <c r="F139" s="194">
        <v>0.4</v>
      </c>
      <c r="G139" s="194">
        <v>0.03</v>
      </c>
      <c r="H139" s="194">
        <v>0.43000000000000005</v>
      </c>
      <c r="I139" s="195">
        <v>0</v>
      </c>
      <c r="J139" s="196">
        <f>ROUND($I139*F139,0)</f>
        <v>0</v>
      </c>
      <c r="K139" s="196">
        <f t="shared" ref="K139" si="62">ROUND($I139*G139,0)</f>
        <v>0</v>
      </c>
      <c r="L139" s="196">
        <f t="shared" ref="L139" si="63">SUM(J139:K139)</f>
        <v>0</v>
      </c>
      <c r="N139" s="188"/>
      <c r="O139" s="189"/>
    </row>
    <row r="140" spans="1:15" x14ac:dyDescent="0.2">
      <c r="A140" s="135">
        <f t="shared" si="57"/>
        <v>131</v>
      </c>
      <c r="B140" s="135"/>
      <c r="C140" s="204" t="s">
        <v>120</v>
      </c>
      <c r="D140" s="170" t="s">
        <v>101</v>
      </c>
      <c r="E140" s="201" t="s">
        <v>102</v>
      </c>
      <c r="F140" s="194">
        <v>0.46</v>
      </c>
      <c r="G140" s="194">
        <v>0.04</v>
      </c>
      <c r="H140" s="194">
        <v>0.5</v>
      </c>
      <c r="I140" s="195">
        <v>9576</v>
      </c>
      <c r="J140" s="196">
        <f t="shared" ref="J140:J148" si="64">ROUND($I140*F140,0)</f>
        <v>4405</v>
      </c>
      <c r="K140" s="196">
        <f t="shared" ref="K140:K148" si="65">ROUND($I140*G140,0)</f>
        <v>383</v>
      </c>
      <c r="L140" s="196">
        <f t="shared" ref="L140:L148" si="66">SUM(J140:K140)</f>
        <v>4788</v>
      </c>
      <c r="N140" s="174" t="s">
        <v>203</v>
      </c>
      <c r="O140" s="189"/>
    </row>
    <row r="141" spans="1:15" x14ac:dyDescent="0.2">
      <c r="A141" s="135">
        <f t="shared" si="57"/>
        <v>132</v>
      </c>
      <c r="B141" s="135"/>
      <c r="C141" s="204" t="s">
        <v>120</v>
      </c>
      <c r="D141" s="170" t="s">
        <v>101</v>
      </c>
      <c r="E141" s="198" t="s">
        <v>103</v>
      </c>
      <c r="F141" s="194">
        <v>0.62</v>
      </c>
      <c r="G141" s="194">
        <v>0.05</v>
      </c>
      <c r="H141" s="194">
        <v>0.67</v>
      </c>
      <c r="I141" s="195">
        <v>324</v>
      </c>
      <c r="J141" s="196">
        <f t="shared" si="64"/>
        <v>201</v>
      </c>
      <c r="K141" s="196">
        <f t="shared" si="65"/>
        <v>16</v>
      </c>
      <c r="L141" s="196">
        <f t="shared" si="66"/>
        <v>217</v>
      </c>
      <c r="N141" s="174" t="s">
        <v>203</v>
      </c>
      <c r="O141" s="189"/>
    </row>
    <row r="142" spans="1:15" x14ac:dyDescent="0.2">
      <c r="A142" s="135">
        <f t="shared" si="57"/>
        <v>133</v>
      </c>
      <c r="B142" s="135"/>
      <c r="C142" s="204" t="s">
        <v>120</v>
      </c>
      <c r="D142" s="170" t="s">
        <v>101</v>
      </c>
      <c r="E142" s="198" t="s">
        <v>104</v>
      </c>
      <c r="F142" s="194">
        <v>0.64</v>
      </c>
      <c r="G142" s="194">
        <v>0.05</v>
      </c>
      <c r="H142" s="194">
        <v>0.69000000000000006</v>
      </c>
      <c r="I142" s="195">
        <v>1992</v>
      </c>
      <c r="J142" s="196">
        <f t="shared" si="64"/>
        <v>1275</v>
      </c>
      <c r="K142" s="196">
        <f t="shared" si="65"/>
        <v>100</v>
      </c>
      <c r="L142" s="196">
        <f t="shared" si="66"/>
        <v>1375</v>
      </c>
      <c r="N142" s="174" t="s">
        <v>203</v>
      </c>
      <c r="O142" s="189"/>
    </row>
    <row r="143" spans="1:15" x14ac:dyDescent="0.2">
      <c r="A143" s="135">
        <f t="shared" si="57"/>
        <v>134</v>
      </c>
      <c r="B143" s="135"/>
      <c r="C143" s="204" t="s">
        <v>120</v>
      </c>
      <c r="D143" s="170" t="s">
        <v>101</v>
      </c>
      <c r="E143" s="198" t="s">
        <v>105</v>
      </c>
      <c r="F143" s="194">
        <v>0.75</v>
      </c>
      <c r="G143" s="194">
        <v>0.06</v>
      </c>
      <c r="H143" s="194">
        <v>0.81</v>
      </c>
      <c r="I143" s="195">
        <v>0</v>
      </c>
      <c r="J143" s="196">
        <f t="shared" si="64"/>
        <v>0</v>
      </c>
      <c r="K143" s="196">
        <f t="shared" si="65"/>
        <v>0</v>
      </c>
      <c r="L143" s="196">
        <f t="shared" si="66"/>
        <v>0</v>
      </c>
      <c r="N143" s="174" t="s">
        <v>203</v>
      </c>
      <c r="O143" s="189"/>
    </row>
    <row r="144" spans="1:15" x14ac:dyDescent="0.2">
      <c r="A144" s="135">
        <f t="shared" si="57"/>
        <v>135</v>
      </c>
      <c r="B144" s="135"/>
      <c r="C144" s="204" t="s">
        <v>120</v>
      </c>
      <c r="D144" s="170" t="s">
        <v>101</v>
      </c>
      <c r="E144" s="198" t="s">
        <v>106</v>
      </c>
      <c r="F144" s="194">
        <v>0.85</v>
      </c>
      <c r="G144" s="194">
        <v>0.06</v>
      </c>
      <c r="H144" s="194">
        <v>0.90999999999999992</v>
      </c>
      <c r="I144" s="195">
        <v>0</v>
      </c>
      <c r="J144" s="196">
        <f t="shared" si="64"/>
        <v>0</v>
      </c>
      <c r="K144" s="196">
        <f t="shared" si="65"/>
        <v>0</v>
      </c>
      <c r="L144" s="196">
        <f t="shared" si="66"/>
        <v>0</v>
      </c>
      <c r="N144" s="174" t="s">
        <v>203</v>
      </c>
      <c r="O144" s="189"/>
    </row>
    <row r="145" spans="1:15" x14ac:dyDescent="0.2">
      <c r="A145" s="135">
        <f t="shared" si="57"/>
        <v>136</v>
      </c>
      <c r="B145" s="135"/>
      <c r="C145" s="204" t="s">
        <v>120</v>
      </c>
      <c r="D145" s="170" t="s">
        <v>101</v>
      </c>
      <c r="E145" s="198" t="s">
        <v>107</v>
      </c>
      <c r="F145" s="194">
        <v>0.94</v>
      </c>
      <c r="G145" s="194">
        <v>7.0000000000000007E-2</v>
      </c>
      <c r="H145" s="194">
        <v>1.01</v>
      </c>
      <c r="I145" s="195">
        <v>0</v>
      </c>
      <c r="J145" s="196">
        <f t="shared" si="64"/>
        <v>0</v>
      </c>
      <c r="K145" s="196">
        <f t="shared" si="65"/>
        <v>0</v>
      </c>
      <c r="L145" s="196">
        <f t="shared" si="66"/>
        <v>0</v>
      </c>
      <c r="N145" s="174" t="s">
        <v>203</v>
      </c>
      <c r="O145" s="189"/>
    </row>
    <row r="146" spans="1:15" x14ac:dyDescent="0.2">
      <c r="A146" s="135">
        <f t="shared" si="57"/>
        <v>137</v>
      </c>
      <c r="B146" s="135"/>
      <c r="C146" s="204" t="s">
        <v>120</v>
      </c>
      <c r="D146" s="170" t="s">
        <v>101</v>
      </c>
      <c r="E146" s="198" t="s">
        <v>108</v>
      </c>
      <c r="F146" s="194">
        <v>1.02</v>
      </c>
      <c r="G146" s="194">
        <v>0.08</v>
      </c>
      <c r="H146" s="194">
        <v>1.1000000000000001</v>
      </c>
      <c r="I146" s="195">
        <v>0</v>
      </c>
      <c r="J146" s="196">
        <f t="shared" si="64"/>
        <v>0</v>
      </c>
      <c r="K146" s="196">
        <f t="shared" si="65"/>
        <v>0</v>
      </c>
      <c r="L146" s="196">
        <f t="shared" si="66"/>
        <v>0</v>
      </c>
      <c r="N146" s="174" t="s">
        <v>203</v>
      </c>
      <c r="O146" s="189"/>
    </row>
    <row r="147" spans="1:15" x14ac:dyDescent="0.2">
      <c r="A147" s="135">
        <f t="shared" si="57"/>
        <v>138</v>
      </c>
      <c r="B147" s="135"/>
      <c r="C147" s="204" t="s">
        <v>120</v>
      </c>
      <c r="D147" s="170" t="s">
        <v>101</v>
      </c>
      <c r="E147" s="198" t="s">
        <v>109</v>
      </c>
      <c r="F147" s="194">
        <v>1.1200000000000001</v>
      </c>
      <c r="G147" s="194">
        <v>0.08</v>
      </c>
      <c r="H147" s="194">
        <v>1.2000000000000002</v>
      </c>
      <c r="I147" s="195">
        <v>0</v>
      </c>
      <c r="J147" s="196">
        <f t="shared" si="64"/>
        <v>0</v>
      </c>
      <c r="K147" s="196">
        <f t="shared" si="65"/>
        <v>0</v>
      </c>
      <c r="L147" s="196">
        <f t="shared" si="66"/>
        <v>0</v>
      </c>
      <c r="N147" s="174" t="s">
        <v>203</v>
      </c>
      <c r="O147" s="189"/>
    </row>
    <row r="148" spans="1:15" x14ac:dyDescent="0.2">
      <c r="A148" s="135">
        <f t="shared" si="57"/>
        <v>139</v>
      </c>
      <c r="B148" s="135"/>
      <c r="C148" s="204" t="s">
        <v>120</v>
      </c>
      <c r="D148" s="170" t="s">
        <v>101</v>
      </c>
      <c r="E148" s="198" t="s">
        <v>110</v>
      </c>
      <c r="F148" s="194">
        <v>1.21</v>
      </c>
      <c r="G148" s="194">
        <v>0.09</v>
      </c>
      <c r="H148" s="194">
        <v>1.3</v>
      </c>
      <c r="I148" s="195">
        <v>0</v>
      </c>
      <c r="J148" s="196">
        <f t="shared" si="64"/>
        <v>0</v>
      </c>
      <c r="K148" s="196">
        <f t="shared" si="65"/>
        <v>0</v>
      </c>
      <c r="L148" s="196">
        <f t="shared" si="66"/>
        <v>0</v>
      </c>
      <c r="N148" s="174" t="s">
        <v>203</v>
      </c>
      <c r="O148" s="189"/>
    </row>
    <row r="149" spans="1:15" x14ac:dyDescent="0.2">
      <c r="A149" s="135">
        <f t="shared" si="57"/>
        <v>140</v>
      </c>
      <c r="B149" s="39" t="s">
        <v>121</v>
      </c>
      <c r="D149" s="170"/>
      <c r="E149" s="170"/>
      <c r="F149" s="36"/>
      <c r="G149" s="36"/>
      <c r="H149" s="36"/>
      <c r="I149" s="37"/>
      <c r="J149" s="37"/>
      <c r="K149" s="37"/>
      <c r="L149" s="134"/>
      <c r="N149" s="174"/>
      <c r="O149" s="189"/>
    </row>
    <row r="150" spans="1:15" x14ac:dyDescent="0.2">
      <c r="A150" s="135">
        <f t="shared" si="57"/>
        <v>141</v>
      </c>
      <c r="B150" s="135"/>
      <c r="C150" s="191" t="s">
        <v>122</v>
      </c>
      <c r="D150" s="170" t="s">
        <v>70</v>
      </c>
      <c r="E150" s="170">
        <v>70</v>
      </c>
      <c r="F150" s="194">
        <v>0.53</v>
      </c>
      <c r="G150" s="194">
        <v>0.04</v>
      </c>
      <c r="H150" s="194">
        <v>0.57000000000000006</v>
      </c>
      <c r="I150" s="195">
        <v>744</v>
      </c>
      <c r="J150" s="196">
        <f t="shared" ref="J150:J155" si="67">ROUND($I150*F150,0)</f>
        <v>394</v>
      </c>
      <c r="K150" s="196">
        <f t="shared" ref="K150:K155" si="68">ROUND($I150*G150,0)</f>
        <v>30</v>
      </c>
      <c r="L150" s="196">
        <f t="shared" ref="L150:L155" si="69">SUM(J150:K150)</f>
        <v>424</v>
      </c>
      <c r="N150" s="174" t="s">
        <v>204</v>
      </c>
      <c r="O150" s="189"/>
    </row>
    <row r="151" spans="1:15" x14ac:dyDescent="0.2">
      <c r="A151" s="135">
        <f t="shared" si="57"/>
        <v>142</v>
      </c>
      <c r="B151" s="135"/>
      <c r="C151" s="204" t="str">
        <f t="shared" ref="C151:C155" si="70">+C150</f>
        <v>58E &amp; 59E - Directional</v>
      </c>
      <c r="D151" s="170" t="s">
        <v>70</v>
      </c>
      <c r="E151" s="170">
        <v>100</v>
      </c>
      <c r="F151" s="194">
        <v>0.51</v>
      </c>
      <c r="G151" s="194">
        <v>0.04</v>
      </c>
      <c r="H151" s="194">
        <v>0.55000000000000004</v>
      </c>
      <c r="I151" s="195">
        <v>120</v>
      </c>
      <c r="J151" s="196">
        <f t="shared" si="67"/>
        <v>61</v>
      </c>
      <c r="K151" s="196">
        <f t="shared" si="68"/>
        <v>5</v>
      </c>
      <c r="L151" s="196">
        <f t="shared" si="69"/>
        <v>66</v>
      </c>
      <c r="N151" s="174" t="s">
        <v>204</v>
      </c>
      <c r="O151" s="189"/>
    </row>
    <row r="152" spans="1:15" x14ac:dyDescent="0.2">
      <c r="A152" s="135">
        <f t="shared" si="57"/>
        <v>143</v>
      </c>
      <c r="B152" s="135"/>
      <c r="C152" s="204" t="str">
        <f t="shared" si="70"/>
        <v>58E &amp; 59E - Directional</v>
      </c>
      <c r="D152" s="170" t="s">
        <v>70</v>
      </c>
      <c r="E152" s="170">
        <v>150</v>
      </c>
      <c r="F152" s="194">
        <v>0.52</v>
      </c>
      <c r="G152" s="194">
        <v>0.04</v>
      </c>
      <c r="H152" s="194">
        <v>0.56000000000000005</v>
      </c>
      <c r="I152" s="195">
        <v>1788</v>
      </c>
      <c r="J152" s="196">
        <f t="shared" si="67"/>
        <v>930</v>
      </c>
      <c r="K152" s="196">
        <f t="shared" si="68"/>
        <v>72</v>
      </c>
      <c r="L152" s="196">
        <f t="shared" si="69"/>
        <v>1002</v>
      </c>
      <c r="N152" s="174" t="s">
        <v>204</v>
      </c>
      <c r="O152" s="189"/>
    </row>
    <row r="153" spans="1:15" x14ac:dyDescent="0.2">
      <c r="A153" s="135">
        <f t="shared" si="57"/>
        <v>144</v>
      </c>
      <c r="B153" s="135"/>
      <c r="C153" s="204" t="str">
        <f t="shared" si="70"/>
        <v>58E &amp; 59E - Directional</v>
      </c>
      <c r="D153" s="170" t="s">
        <v>70</v>
      </c>
      <c r="E153" s="170">
        <v>200</v>
      </c>
      <c r="F153" s="194">
        <v>0.56000000000000005</v>
      </c>
      <c r="G153" s="194">
        <v>0.04</v>
      </c>
      <c r="H153" s="194">
        <v>0.60000000000000009</v>
      </c>
      <c r="I153" s="195">
        <v>3048</v>
      </c>
      <c r="J153" s="196">
        <f t="shared" si="67"/>
        <v>1707</v>
      </c>
      <c r="K153" s="196">
        <f t="shared" si="68"/>
        <v>122</v>
      </c>
      <c r="L153" s="196">
        <f t="shared" si="69"/>
        <v>1829</v>
      </c>
      <c r="N153" s="174" t="s">
        <v>204</v>
      </c>
      <c r="O153" s="189"/>
    </row>
    <row r="154" spans="1:15" x14ac:dyDescent="0.2">
      <c r="A154" s="135">
        <f t="shared" si="57"/>
        <v>145</v>
      </c>
      <c r="B154" s="135"/>
      <c r="C154" s="204" t="str">
        <f t="shared" si="70"/>
        <v>58E &amp; 59E - Directional</v>
      </c>
      <c r="D154" s="170" t="s">
        <v>70</v>
      </c>
      <c r="E154" s="170">
        <v>250</v>
      </c>
      <c r="F154" s="194">
        <v>0.57999999999999996</v>
      </c>
      <c r="G154" s="194">
        <v>0.04</v>
      </c>
      <c r="H154" s="194">
        <v>0.62</v>
      </c>
      <c r="I154" s="195">
        <v>444</v>
      </c>
      <c r="J154" s="196">
        <f t="shared" si="67"/>
        <v>258</v>
      </c>
      <c r="K154" s="196">
        <f t="shared" si="68"/>
        <v>18</v>
      </c>
      <c r="L154" s="196">
        <f t="shared" si="69"/>
        <v>276</v>
      </c>
      <c r="N154" s="174" t="s">
        <v>204</v>
      </c>
      <c r="O154" s="189"/>
    </row>
    <row r="155" spans="1:15" x14ac:dyDescent="0.2">
      <c r="A155" s="135">
        <f t="shared" si="57"/>
        <v>146</v>
      </c>
      <c r="B155" s="135"/>
      <c r="C155" s="204" t="str">
        <f t="shared" si="70"/>
        <v>58E &amp; 59E - Directional</v>
      </c>
      <c r="D155" s="170" t="s">
        <v>70</v>
      </c>
      <c r="E155" s="170">
        <v>400</v>
      </c>
      <c r="F155" s="194">
        <v>0.66</v>
      </c>
      <c r="G155" s="194">
        <v>0.05</v>
      </c>
      <c r="H155" s="194">
        <v>0.71000000000000008</v>
      </c>
      <c r="I155" s="195">
        <v>3996</v>
      </c>
      <c r="J155" s="196">
        <f t="shared" si="67"/>
        <v>2637</v>
      </c>
      <c r="K155" s="196">
        <f t="shared" si="68"/>
        <v>200</v>
      </c>
      <c r="L155" s="196">
        <f t="shared" si="69"/>
        <v>2837</v>
      </c>
      <c r="N155" s="174" t="s">
        <v>204</v>
      </c>
      <c r="O155" s="189"/>
    </row>
    <row r="156" spans="1:15" x14ac:dyDescent="0.2">
      <c r="A156" s="135">
        <f t="shared" si="57"/>
        <v>147</v>
      </c>
      <c r="B156" s="135"/>
      <c r="C156" s="204"/>
      <c r="D156" s="170"/>
      <c r="E156" s="170"/>
      <c r="F156" s="36"/>
      <c r="G156" s="36"/>
      <c r="H156" s="36"/>
      <c r="I156" s="37"/>
      <c r="J156" s="37"/>
      <c r="K156" s="37"/>
      <c r="L156" s="134"/>
      <c r="N156" s="174"/>
      <c r="O156" s="189"/>
    </row>
    <row r="157" spans="1:15" x14ac:dyDescent="0.2">
      <c r="A157" s="135">
        <f t="shared" si="57"/>
        <v>148</v>
      </c>
      <c r="B157" s="135"/>
      <c r="C157" s="191" t="s">
        <v>123</v>
      </c>
      <c r="D157" s="170" t="s">
        <v>70</v>
      </c>
      <c r="E157" s="170">
        <v>100</v>
      </c>
      <c r="F157" s="194">
        <v>0.51</v>
      </c>
      <c r="G157" s="194">
        <v>0.04</v>
      </c>
      <c r="H157" s="194">
        <v>0.55000000000000004</v>
      </c>
      <c r="I157" s="195">
        <v>0</v>
      </c>
      <c r="J157" s="196">
        <f t="shared" ref="J157:J161" si="71">ROUND($I157*F157,0)</f>
        <v>0</v>
      </c>
      <c r="K157" s="196">
        <f t="shared" ref="K157:K161" si="72">ROUND($I157*G157,0)</f>
        <v>0</v>
      </c>
      <c r="L157" s="196">
        <f t="shared" ref="L157:L161" si="73">SUM(J157:K157)</f>
        <v>0</v>
      </c>
      <c r="N157" s="174" t="s">
        <v>205</v>
      </c>
      <c r="O157" s="189"/>
    </row>
    <row r="158" spans="1:15" x14ac:dyDescent="0.2">
      <c r="A158" s="135">
        <f t="shared" si="57"/>
        <v>149</v>
      </c>
      <c r="B158" s="135"/>
      <c r="C158" s="204" t="str">
        <f>C157</f>
        <v>58E &amp; 59E - Horizontal</v>
      </c>
      <c r="D158" s="170" t="s">
        <v>70</v>
      </c>
      <c r="E158" s="170">
        <v>150</v>
      </c>
      <c r="F158" s="194">
        <v>0.52</v>
      </c>
      <c r="G158" s="194">
        <v>0.04</v>
      </c>
      <c r="H158" s="194">
        <v>0.56000000000000005</v>
      </c>
      <c r="I158" s="195">
        <v>144</v>
      </c>
      <c r="J158" s="196">
        <f t="shared" si="71"/>
        <v>75</v>
      </c>
      <c r="K158" s="196">
        <f t="shared" si="72"/>
        <v>6</v>
      </c>
      <c r="L158" s="196">
        <f t="shared" si="73"/>
        <v>81</v>
      </c>
      <c r="N158" s="174" t="s">
        <v>205</v>
      </c>
      <c r="O158" s="189"/>
    </row>
    <row r="159" spans="1:15" x14ac:dyDescent="0.2">
      <c r="A159" s="135">
        <f t="shared" si="57"/>
        <v>150</v>
      </c>
      <c r="B159" s="135"/>
      <c r="C159" s="204" t="str">
        <f t="shared" ref="C159:C161" si="74">C158</f>
        <v>58E &amp; 59E - Horizontal</v>
      </c>
      <c r="D159" s="170" t="s">
        <v>70</v>
      </c>
      <c r="E159" s="170">
        <v>200</v>
      </c>
      <c r="F159" s="194">
        <v>0.56000000000000005</v>
      </c>
      <c r="G159" s="194">
        <v>0.04</v>
      </c>
      <c r="H159" s="194">
        <v>0.60000000000000009</v>
      </c>
      <c r="I159" s="195">
        <v>108</v>
      </c>
      <c r="J159" s="196">
        <f t="shared" si="71"/>
        <v>60</v>
      </c>
      <c r="K159" s="196">
        <f t="shared" si="72"/>
        <v>4</v>
      </c>
      <c r="L159" s="196">
        <f t="shared" si="73"/>
        <v>64</v>
      </c>
      <c r="N159" s="174" t="s">
        <v>205</v>
      </c>
      <c r="O159" s="189"/>
    </row>
    <row r="160" spans="1:15" x14ac:dyDescent="0.2">
      <c r="A160" s="135">
        <f t="shared" si="57"/>
        <v>151</v>
      </c>
      <c r="B160" s="135"/>
      <c r="C160" s="204" t="str">
        <f t="shared" si="74"/>
        <v>58E &amp; 59E - Horizontal</v>
      </c>
      <c r="D160" s="170" t="s">
        <v>70</v>
      </c>
      <c r="E160" s="170">
        <v>250</v>
      </c>
      <c r="F160" s="194">
        <v>0.57999999999999996</v>
      </c>
      <c r="G160" s="194">
        <v>0.04</v>
      </c>
      <c r="H160" s="194">
        <v>0.62</v>
      </c>
      <c r="I160" s="195">
        <v>360</v>
      </c>
      <c r="J160" s="196">
        <f t="shared" si="71"/>
        <v>209</v>
      </c>
      <c r="K160" s="196">
        <f t="shared" si="72"/>
        <v>14</v>
      </c>
      <c r="L160" s="196">
        <f t="shared" si="73"/>
        <v>223</v>
      </c>
      <c r="N160" s="174" t="s">
        <v>205</v>
      </c>
      <c r="O160" s="189"/>
    </row>
    <row r="161" spans="1:15" x14ac:dyDescent="0.2">
      <c r="A161" s="135">
        <f t="shared" si="57"/>
        <v>152</v>
      </c>
      <c r="B161" s="135"/>
      <c r="C161" s="204" t="str">
        <f t="shared" si="74"/>
        <v>58E &amp; 59E - Horizontal</v>
      </c>
      <c r="D161" s="170" t="s">
        <v>70</v>
      </c>
      <c r="E161" s="170">
        <v>400</v>
      </c>
      <c r="F161" s="194">
        <v>0.66</v>
      </c>
      <c r="G161" s="194">
        <v>0.05</v>
      </c>
      <c r="H161" s="194">
        <v>0.71000000000000008</v>
      </c>
      <c r="I161" s="195">
        <v>588</v>
      </c>
      <c r="J161" s="196">
        <f t="shared" si="71"/>
        <v>388</v>
      </c>
      <c r="K161" s="196">
        <f t="shared" si="72"/>
        <v>29</v>
      </c>
      <c r="L161" s="196">
        <f t="shared" si="73"/>
        <v>417</v>
      </c>
      <c r="N161" s="174" t="s">
        <v>205</v>
      </c>
      <c r="O161" s="189"/>
    </row>
    <row r="162" spans="1:15" x14ac:dyDescent="0.2">
      <c r="A162" s="135">
        <f t="shared" si="57"/>
        <v>153</v>
      </c>
      <c r="B162" s="135"/>
      <c r="C162" s="204"/>
      <c r="D162" s="170"/>
      <c r="E162" s="170"/>
      <c r="F162" s="194"/>
      <c r="G162" s="194"/>
      <c r="H162" s="194"/>
      <c r="I162" s="195"/>
      <c r="J162" s="37"/>
      <c r="K162" s="37"/>
      <c r="L162" s="134"/>
      <c r="N162" s="174"/>
      <c r="O162" s="189"/>
    </row>
    <row r="163" spans="1:15" x14ac:dyDescent="0.2">
      <c r="A163" s="135">
        <f t="shared" si="57"/>
        <v>154</v>
      </c>
      <c r="B163" s="135"/>
      <c r="C163" s="204" t="str">
        <f>C151</f>
        <v>58E &amp; 59E - Directional</v>
      </c>
      <c r="D163" s="170" t="s">
        <v>113</v>
      </c>
      <c r="E163" s="170">
        <v>175</v>
      </c>
      <c r="F163" s="194">
        <v>0.52</v>
      </c>
      <c r="G163" s="194">
        <v>0.04</v>
      </c>
      <c r="H163" s="194">
        <v>0.56000000000000005</v>
      </c>
      <c r="I163" s="195">
        <v>36</v>
      </c>
      <c r="J163" s="196">
        <f t="shared" ref="J163:J166" si="75">ROUND($I163*F163,0)</f>
        <v>19</v>
      </c>
      <c r="K163" s="196">
        <f t="shared" ref="K163:K166" si="76">ROUND($I163*G163,0)</f>
        <v>1</v>
      </c>
      <c r="L163" s="196">
        <f t="shared" ref="L163:L166" si="77">SUM(J163:K163)</f>
        <v>20</v>
      </c>
      <c r="N163" s="174" t="s">
        <v>204</v>
      </c>
      <c r="O163" s="189"/>
    </row>
    <row r="164" spans="1:15" x14ac:dyDescent="0.2">
      <c r="A164" s="135">
        <f t="shared" si="57"/>
        <v>155</v>
      </c>
      <c r="B164" s="135"/>
      <c r="C164" s="204" t="str">
        <f>C163</f>
        <v>58E &amp; 59E - Directional</v>
      </c>
      <c r="D164" s="170" t="s">
        <v>113</v>
      </c>
      <c r="E164" s="170">
        <v>250</v>
      </c>
      <c r="F164" s="194">
        <v>0.56999999999999995</v>
      </c>
      <c r="G164" s="194">
        <v>0.04</v>
      </c>
      <c r="H164" s="194">
        <v>0.61</v>
      </c>
      <c r="I164" s="195">
        <v>204</v>
      </c>
      <c r="J164" s="196">
        <f t="shared" si="75"/>
        <v>116</v>
      </c>
      <c r="K164" s="196">
        <f t="shared" si="76"/>
        <v>8</v>
      </c>
      <c r="L164" s="196">
        <f t="shared" si="77"/>
        <v>124</v>
      </c>
      <c r="N164" s="174" t="s">
        <v>204</v>
      </c>
      <c r="O164" s="189"/>
    </row>
    <row r="165" spans="1:15" x14ac:dyDescent="0.2">
      <c r="A165" s="135">
        <f t="shared" si="57"/>
        <v>156</v>
      </c>
      <c r="B165" s="135"/>
      <c r="C165" s="204" t="str">
        <f t="shared" ref="C165:C166" si="78">C164</f>
        <v>58E &amp; 59E - Directional</v>
      </c>
      <c r="D165" s="170" t="s">
        <v>113</v>
      </c>
      <c r="E165" s="170">
        <v>400</v>
      </c>
      <c r="F165" s="194">
        <v>0.59</v>
      </c>
      <c r="G165" s="194">
        <v>0.05</v>
      </c>
      <c r="H165" s="194">
        <v>0.64</v>
      </c>
      <c r="I165" s="195">
        <v>936</v>
      </c>
      <c r="J165" s="196">
        <f t="shared" si="75"/>
        <v>552</v>
      </c>
      <c r="K165" s="196">
        <f t="shared" si="76"/>
        <v>47</v>
      </c>
      <c r="L165" s="196">
        <f t="shared" si="77"/>
        <v>599</v>
      </c>
      <c r="N165" s="174" t="s">
        <v>204</v>
      </c>
      <c r="O165" s="189"/>
    </row>
    <row r="166" spans="1:15" x14ac:dyDescent="0.2">
      <c r="A166" s="135">
        <f t="shared" si="57"/>
        <v>157</v>
      </c>
      <c r="B166" s="135"/>
      <c r="C166" s="204" t="str">
        <f t="shared" si="78"/>
        <v>58E &amp; 59E - Directional</v>
      </c>
      <c r="D166" s="170" t="s">
        <v>113</v>
      </c>
      <c r="E166" s="170">
        <v>1000</v>
      </c>
      <c r="F166" s="194">
        <v>0.89</v>
      </c>
      <c r="G166" s="194">
        <v>7.0000000000000007E-2</v>
      </c>
      <c r="H166" s="194">
        <v>0.96</v>
      </c>
      <c r="I166" s="195">
        <v>1380</v>
      </c>
      <c r="J166" s="196">
        <f t="shared" si="75"/>
        <v>1228</v>
      </c>
      <c r="K166" s="196">
        <f t="shared" si="76"/>
        <v>97</v>
      </c>
      <c r="L166" s="196">
        <f t="shared" si="77"/>
        <v>1325</v>
      </c>
      <c r="N166" s="174" t="s">
        <v>204</v>
      </c>
      <c r="O166" s="189"/>
    </row>
    <row r="167" spans="1:15" x14ac:dyDescent="0.2">
      <c r="A167" s="135">
        <f t="shared" si="57"/>
        <v>158</v>
      </c>
      <c r="B167" s="135"/>
      <c r="C167" s="204"/>
      <c r="D167" s="170"/>
      <c r="E167" s="170"/>
      <c r="F167" s="36"/>
      <c r="G167" s="36"/>
      <c r="H167" s="36"/>
      <c r="I167" s="37"/>
      <c r="J167" s="37"/>
      <c r="K167" s="37"/>
      <c r="L167" s="134"/>
      <c r="N167" s="174"/>
      <c r="O167" s="189"/>
    </row>
    <row r="168" spans="1:15" x14ac:dyDescent="0.2">
      <c r="A168" s="135">
        <f t="shared" si="57"/>
        <v>159</v>
      </c>
      <c r="B168" s="135"/>
      <c r="C168" s="204" t="str">
        <f>C157</f>
        <v>58E &amp; 59E - Horizontal</v>
      </c>
      <c r="D168" s="170" t="s">
        <v>113</v>
      </c>
      <c r="E168" s="170">
        <v>250</v>
      </c>
      <c r="F168" s="194">
        <v>0.56999999999999995</v>
      </c>
      <c r="G168" s="194">
        <v>0.04</v>
      </c>
      <c r="H168" s="194">
        <v>0.61</v>
      </c>
      <c r="I168" s="195">
        <v>108</v>
      </c>
      <c r="J168" s="196">
        <f t="shared" ref="J168:J169" si="79">ROUND($I168*F168,0)</f>
        <v>62</v>
      </c>
      <c r="K168" s="196">
        <f t="shared" ref="K168:K169" si="80">ROUND($I168*G168,0)</f>
        <v>4</v>
      </c>
      <c r="L168" s="196">
        <f t="shared" ref="L168:L169" si="81">SUM(J168:K168)</f>
        <v>66</v>
      </c>
      <c r="N168" s="174" t="s">
        <v>207</v>
      </c>
      <c r="O168" s="189"/>
    </row>
    <row r="169" spans="1:15" x14ac:dyDescent="0.2">
      <c r="A169" s="135">
        <f t="shared" si="57"/>
        <v>160</v>
      </c>
      <c r="B169" s="135"/>
      <c r="C169" s="204" t="str">
        <f>C168</f>
        <v>58E &amp; 59E - Horizontal</v>
      </c>
      <c r="D169" s="170" t="s">
        <v>113</v>
      </c>
      <c r="E169" s="170">
        <v>400</v>
      </c>
      <c r="F169" s="194">
        <v>0.59</v>
      </c>
      <c r="G169" s="194">
        <v>0.05</v>
      </c>
      <c r="H169" s="194">
        <v>0.64</v>
      </c>
      <c r="I169" s="195">
        <v>468</v>
      </c>
      <c r="J169" s="196">
        <f t="shared" si="79"/>
        <v>276</v>
      </c>
      <c r="K169" s="196">
        <f t="shared" si="80"/>
        <v>23</v>
      </c>
      <c r="L169" s="196">
        <f t="shared" si="81"/>
        <v>299</v>
      </c>
      <c r="N169" s="174" t="s">
        <v>207</v>
      </c>
      <c r="O169" s="189"/>
    </row>
    <row r="170" spans="1:15" x14ac:dyDescent="0.2">
      <c r="A170" s="135">
        <f t="shared" si="57"/>
        <v>161</v>
      </c>
      <c r="B170" s="135"/>
      <c r="C170" s="204"/>
      <c r="D170" s="170"/>
      <c r="E170" s="170"/>
      <c r="F170" s="36"/>
      <c r="G170" s="36"/>
      <c r="H170" s="36"/>
      <c r="I170" s="37"/>
      <c r="J170" s="37"/>
      <c r="K170" s="37"/>
      <c r="L170" s="134"/>
      <c r="N170" s="174"/>
      <c r="O170" s="189"/>
    </row>
    <row r="171" spans="1:15" x14ac:dyDescent="0.2">
      <c r="A171" s="135">
        <f t="shared" si="57"/>
        <v>162</v>
      </c>
      <c r="B171" s="135"/>
      <c r="C171" s="204" t="s">
        <v>124</v>
      </c>
      <c r="D171" s="170" t="s">
        <v>101</v>
      </c>
      <c r="E171" s="201" t="s">
        <v>260</v>
      </c>
      <c r="F171" s="194">
        <v>0.44</v>
      </c>
      <c r="G171" s="194">
        <v>0.03</v>
      </c>
      <c r="H171" s="194">
        <v>0.47</v>
      </c>
      <c r="I171" s="37">
        <v>0</v>
      </c>
      <c r="J171" s="196">
        <f>ROUND($I171*F171,0)</f>
        <v>0</v>
      </c>
      <c r="K171" s="196">
        <f t="shared" ref="K171" si="82">ROUND($I171*G171,0)</f>
        <v>0</v>
      </c>
      <c r="L171" s="196">
        <f t="shared" ref="L171" si="83">SUM(J171:K171)</f>
        <v>0</v>
      </c>
      <c r="N171" s="174"/>
      <c r="O171" s="189"/>
    </row>
    <row r="172" spans="1:15" x14ac:dyDescent="0.2">
      <c r="A172" s="135">
        <f t="shared" si="57"/>
        <v>163</v>
      </c>
      <c r="B172" s="135"/>
      <c r="C172" s="204" t="s">
        <v>124</v>
      </c>
      <c r="D172" s="170" t="s">
        <v>101</v>
      </c>
      <c r="E172" s="201" t="s">
        <v>102</v>
      </c>
      <c r="F172" s="194">
        <v>0.53</v>
      </c>
      <c r="G172" s="194">
        <v>0.04</v>
      </c>
      <c r="H172" s="194">
        <v>0.57000000000000006</v>
      </c>
      <c r="I172" s="195">
        <v>36</v>
      </c>
      <c r="J172" s="196">
        <f t="shared" ref="J172:J186" si="84">ROUND($I172*F172,0)</f>
        <v>19</v>
      </c>
      <c r="K172" s="196">
        <f t="shared" ref="K172:K186" si="85">ROUND($I172*G172,0)</f>
        <v>1</v>
      </c>
      <c r="L172" s="196">
        <f t="shared" ref="L172:L186" si="86">SUM(J172:K172)</f>
        <v>20</v>
      </c>
      <c r="N172" s="174" t="s">
        <v>205</v>
      </c>
      <c r="O172" s="189"/>
    </row>
    <row r="173" spans="1:15" x14ac:dyDescent="0.2">
      <c r="A173" s="135">
        <f t="shared" si="57"/>
        <v>164</v>
      </c>
      <c r="B173" s="135"/>
      <c r="C173" s="204" t="str">
        <f>C172</f>
        <v>58E &amp; 59E</v>
      </c>
      <c r="D173" s="170" t="s">
        <v>101</v>
      </c>
      <c r="E173" s="198" t="s">
        <v>103</v>
      </c>
      <c r="F173" s="194">
        <v>0.62</v>
      </c>
      <c r="G173" s="194">
        <v>0.05</v>
      </c>
      <c r="H173" s="194">
        <v>0.67</v>
      </c>
      <c r="I173" s="195">
        <v>792</v>
      </c>
      <c r="J173" s="196">
        <f>ROUND($I173*F173,0)</f>
        <v>491</v>
      </c>
      <c r="K173" s="196">
        <f t="shared" si="85"/>
        <v>40</v>
      </c>
      <c r="L173" s="196">
        <f>SUM(J173:K173)</f>
        <v>531</v>
      </c>
      <c r="N173" s="174" t="s">
        <v>205</v>
      </c>
      <c r="O173" s="189"/>
    </row>
    <row r="174" spans="1:15" x14ac:dyDescent="0.2">
      <c r="A174" s="135">
        <f t="shared" si="57"/>
        <v>165</v>
      </c>
      <c r="B174" s="135"/>
      <c r="C174" s="204" t="str">
        <f t="shared" ref="C174:C186" si="87">C173</f>
        <v>58E &amp; 59E</v>
      </c>
      <c r="D174" s="170" t="s">
        <v>101</v>
      </c>
      <c r="E174" s="198" t="s">
        <v>104</v>
      </c>
      <c r="F174" s="194">
        <v>0.73</v>
      </c>
      <c r="G174" s="194">
        <v>0.05</v>
      </c>
      <c r="H174" s="194">
        <v>0.78</v>
      </c>
      <c r="I174" s="195">
        <v>180</v>
      </c>
      <c r="J174" s="196">
        <f t="shared" si="84"/>
        <v>131</v>
      </c>
      <c r="K174" s="196">
        <f t="shared" si="85"/>
        <v>9</v>
      </c>
      <c r="L174" s="196">
        <f t="shared" si="86"/>
        <v>140</v>
      </c>
      <c r="N174" s="174" t="s">
        <v>205</v>
      </c>
      <c r="O174" s="189"/>
    </row>
    <row r="175" spans="1:15" x14ac:dyDescent="0.2">
      <c r="A175" s="135">
        <f t="shared" si="57"/>
        <v>166</v>
      </c>
      <c r="B175" s="135"/>
      <c r="C175" s="204" t="str">
        <f t="shared" si="87"/>
        <v>58E &amp; 59E</v>
      </c>
      <c r="D175" s="170" t="s">
        <v>101</v>
      </c>
      <c r="E175" s="198" t="s">
        <v>105</v>
      </c>
      <c r="F175" s="194">
        <v>0.82</v>
      </c>
      <c r="G175" s="194">
        <v>0.06</v>
      </c>
      <c r="H175" s="194">
        <v>0.87999999999999989</v>
      </c>
      <c r="I175" s="195">
        <v>1632</v>
      </c>
      <c r="J175" s="196">
        <f t="shared" si="84"/>
        <v>1338</v>
      </c>
      <c r="K175" s="196">
        <f t="shared" si="85"/>
        <v>98</v>
      </c>
      <c r="L175" s="196">
        <f t="shared" si="86"/>
        <v>1436</v>
      </c>
      <c r="N175" s="174" t="s">
        <v>205</v>
      </c>
      <c r="O175" s="189"/>
    </row>
    <row r="176" spans="1:15" x14ac:dyDescent="0.2">
      <c r="A176" s="135">
        <f t="shared" si="57"/>
        <v>167</v>
      </c>
      <c r="B176" s="135"/>
      <c r="C176" s="204" t="str">
        <f t="shared" si="87"/>
        <v>58E &amp; 59E</v>
      </c>
      <c r="D176" s="170" t="s">
        <v>101</v>
      </c>
      <c r="E176" s="198" t="s">
        <v>106</v>
      </c>
      <c r="F176" s="194">
        <v>0.91</v>
      </c>
      <c r="G176" s="194">
        <v>7.0000000000000007E-2</v>
      </c>
      <c r="H176" s="194">
        <v>0.98</v>
      </c>
      <c r="I176" s="195">
        <v>216</v>
      </c>
      <c r="J176" s="196">
        <f t="shared" si="84"/>
        <v>197</v>
      </c>
      <c r="K176" s="196">
        <f t="shared" si="85"/>
        <v>15</v>
      </c>
      <c r="L176" s="196">
        <f t="shared" si="86"/>
        <v>212</v>
      </c>
      <c r="N176" s="174" t="s">
        <v>205</v>
      </c>
      <c r="O176" s="189"/>
    </row>
    <row r="177" spans="1:15" x14ac:dyDescent="0.2">
      <c r="A177" s="135">
        <f t="shared" si="57"/>
        <v>168</v>
      </c>
      <c r="B177" s="135"/>
      <c r="C177" s="204" t="str">
        <f t="shared" si="87"/>
        <v>58E &amp; 59E</v>
      </c>
      <c r="D177" s="170" t="s">
        <v>101</v>
      </c>
      <c r="E177" s="198" t="s">
        <v>107</v>
      </c>
      <c r="F177" s="194">
        <v>1</v>
      </c>
      <c r="G177" s="194">
        <v>0.08</v>
      </c>
      <c r="H177" s="194">
        <v>1.08</v>
      </c>
      <c r="I177" s="195">
        <v>0</v>
      </c>
      <c r="J177" s="196">
        <f t="shared" si="84"/>
        <v>0</v>
      </c>
      <c r="K177" s="196">
        <f t="shared" si="85"/>
        <v>0</v>
      </c>
      <c r="L177" s="196">
        <f t="shared" si="86"/>
        <v>0</v>
      </c>
      <c r="N177" s="174" t="s">
        <v>205</v>
      </c>
      <c r="O177" s="189"/>
    </row>
    <row r="178" spans="1:15" x14ac:dyDescent="0.2">
      <c r="A178" s="135">
        <f t="shared" si="57"/>
        <v>169</v>
      </c>
      <c r="B178" s="135"/>
      <c r="C178" s="204" t="str">
        <f t="shared" si="87"/>
        <v>58E &amp; 59E</v>
      </c>
      <c r="D178" s="170" t="s">
        <v>101</v>
      </c>
      <c r="E178" s="198" t="s">
        <v>108</v>
      </c>
      <c r="F178" s="194">
        <v>1.1000000000000001</v>
      </c>
      <c r="G178" s="194">
        <v>0.08</v>
      </c>
      <c r="H178" s="194">
        <v>1.1800000000000002</v>
      </c>
      <c r="I178" s="195">
        <v>180</v>
      </c>
      <c r="J178" s="196">
        <f t="shared" si="84"/>
        <v>198</v>
      </c>
      <c r="K178" s="196">
        <f t="shared" si="85"/>
        <v>14</v>
      </c>
      <c r="L178" s="196">
        <f t="shared" si="86"/>
        <v>212</v>
      </c>
      <c r="N178" s="174" t="s">
        <v>205</v>
      </c>
      <c r="O178" s="189"/>
    </row>
    <row r="179" spans="1:15" x14ac:dyDescent="0.2">
      <c r="A179" s="135">
        <f t="shared" si="57"/>
        <v>170</v>
      </c>
      <c r="B179" s="135"/>
      <c r="C179" s="204" t="str">
        <f t="shared" si="87"/>
        <v>58E &amp; 59E</v>
      </c>
      <c r="D179" s="170" t="s">
        <v>101</v>
      </c>
      <c r="E179" s="198" t="s">
        <v>109</v>
      </c>
      <c r="F179" s="194">
        <v>1.19</v>
      </c>
      <c r="G179" s="194">
        <v>0.09</v>
      </c>
      <c r="H179" s="194">
        <v>1.28</v>
      </c>
      <c r="I179" s="195">
        <v>264</v>
      </c>
      <c r="J179" s="196">
        <f t="shared" si="84"/>
        <v>314</v>
      </c>
      <c r="K179" s="196">
        <f t="shared" si="85"/>
        <v>24</v>
      </c>
      <c r="L179" s="196">
        <f t="shared" si="86"/>
        <v>338</v>
      </c>
      <c r="N179" s="174" t="s">
        <v>205</v>
      </c>
      <c r="O179" s="189"/>
    </row>
    <row r="180" spans="1:15" x14ac:dyDescent="0.2">
      <c r="A180" s="135">
        <f t="shared" si="57"/>
        <v>171</v>
      </c>
      <c r="B180" s="135"/>
      <c r="C180" s="204" t="str">
        <f t="shared" si="87"/>
        <v>58E &amp; 59E</v>
      </c>
      <c r="D180" s="170" t="s">
        <v>101</v>
      </c>
      <c r="E180" s="198" t="s">
        <v>110</v>
      </c>
      <c r="F180" s="194">
        <v>1.28</v>
      </c>
      <c r="G180" s="194">
        <v>0.1</v>
      </c>
      <c r="H180" s="194">
        <v>1.3800000000000001</v>
      </c>
      <c r="I180" s="195">
        <v>0</v>
      </c>
      <c r="J180" s="196">
        <f t="shared" si="84"/>
        <v>0</v>
      </c>
      <c r="K180" s="196">
        <f t="shared" si="85"/>
        <v>0</v>
      </c>
      <c r="L180" s="196">
        <f t="shared" si="86"/>
        <v>0</v>
      </c>
      <c r="N180" s="174" t="s">
        <v>206</v>
      </c>
      <c r="O180" s="189"/>
    </row>
    <row r="181" spans="1:15" x14ac:dyDescent="0.2">
      <c r="A181" s="135">
        <f t="shared" si="57"/>
        <v>172</v>
      </c>
      <c r="B181" s="135"/>
      <c r="C181" s="204" t="str">
        <f t="shared" si="87"/>
        <v>58E &amp; 59E</v>
      </c>
      <c r="D181" s="170" t="s">
        <v>101</v>
      </c>
      <c r="E181" s="198" t="s">
        <v>125</v>
      </c>
      <c r="F181" s="194">
        <v>1.49</v>
      </c>
      <c r="G181" s="194">
        <v>0.11</v>
      </c>
      <c r="H181" s="194">
        <v>1.6</v>
      </c>
      <c r="I181" s="195">
        <v>0</v>
      </c>
      <c r="J181" s="196">
        <f t="shared" si="84"/>
        <v>0</v>
      </c>
      <c r="K181" s="196">
        <f t="shared" si="85"/>
        <v>0</v>
      </c>
      <c r="L181" s="196">
        <f t="shared" si="86"/>
        <v>0</v>
      </c>
      <c r="N181" s="174" t="s">
        <v>206</v>
      </c>
      <c r="O181" s="189"/>
    </row>
    <row r="182" spans="1:15" x14ac:dyDescent="0.2">
      <c r="A182" s="135">
        <f t="shared" si="57"/>
        <v>173</v>
      </c>
      <c r="B182" s="135"/>
      <c r="C182" s="204" t="str">
        <f t="shared" si="87"/>
        <v>58E &amp; 59E</v>
      </c>
      <c r="D182" s="170" t="s">
        <v>101</v>
      </c>
      <c r="E182" s="198" t="s">
        <v>126</v>
      </c>
      <c r="F182" s="194">
        <v>1.79</v>
      </c>
      <c r="G182" s="194">
        <v>0.14000000000000001</v>
      </c>
      <c r="H182" s="194">
        <v>1.9300000000000002</v>
      </c>
      <c r="I182" s="195">
        <v>0</v>
      </c>
      <c r="J182" s="196">
        <f t="shared" si="84"/>
        <v>0</v>
      </c>
      <c r="K182" s="196">
        <f t="shared" si="85"/>
        <v>0</v>
      </c>
      <c r="L182" s="196">
        <f t="shared" si="86"/>
        <v>0</v>
      </c>
      <c r="N182" s="174" t="s">
        <v>206</v>
      </c>
      <c r="O182" s="189"/>
    </row>
    <row r="183" spans="1:15" x14ac:dyDescent="0.2">
      <c r="A183" s="135">
        <f t="shared" si="57"/>
        <v>174</v>
      </c>
      <c r="B183" s="135"/>
      <c r="C183" s="204" t="str">
        <f t="shared" si="87"/>
        <v>58E &amp; 59E</v>
      </c>
      <c r="D183" s="170" t="s">
        <v>101</v>
      </c>
      <c r="E183" s="198" t="s">
        <v>127</v>
      </c>
      <c r="F183" s="194">
        <v>2.11</v>
      </c>
      <c r="G183" s="194">
        <v>0.16</v>
      </c>
      <c r="H183" s="194">
        <v>2.27</v>
      </c>
      <c r="I183" s="195">
        <v>0</v>
      </c>
      <c r="J183" s="196">
        <f t="shared" si="84"/>
        <v>0</v>
      </c>
      <c r="K183" s="196">
        <f t="shared" si="85"/>
        <v>0</v>
      </c>
      <c r="L183" s="196">
        <f t="shared" si="86"/>
        <v>0</v>
      </c>
      <c r="N183" s="174" t="s">
        <v>206</v>
      </c>
      <c r="O183" s="189"/>
    </row>
    <row r="184" spans="1:15" x14ac:dyDescent="0.2">
      <c r="A184" s="135">
        <f t="shared" si="57"/>
        <v>175</v>
      </c>
      <c r="B184" s="135"/>
      <c r="C184" s="204" t="str">
        <f t="shared" si="87"/>
        <v>58E &amp; 59E</v>
      </c>
      <c r="D184" s="170" t="s">
        <v>101</v>
      </c>
      <c r="E184" s="198" t="s">
        <v>128</v>
      </c>
      <c r="F184" s="194">
        <v>2.42</v>
      </c>
      <c r="G184" s="194">
        <v>0.18</v>
      </c>
      <c r="H184" s="194">
        <v>2.6</v>
      </c>
      <c r="I184" s="195">
        <v>0</v>
      </c>
      <c r="J184" s="196">
        <f t="shared" si="84"/>
        <v>0</v>
      </c>
      <c r="K184" s="196">
        <f t="shared" si="85"/>
        <v>0</v>
      </c>
      <c r="L184" s="196">
        <f t="shared" si="86"/>
        <v>0</v>
      </c>
      <c r="N184" s="174" t="s">
        <v>206</v>
      </c>
      <c r="O184" s="189"/>
    </row>
    <row r="185" spans="1:15" x14ac:dyDescent="0.2">
      <c r="A185" s="135">
        <f t="shared" si="57"/>
        <v>176</v>
      </c>
      <c r="B185" s="135"/>
      <c r="C185" s="204" t="str">
        <f t="shared" si="87"/>
        <v>58E &amp; 59E</v>
      </c>
      <c r="D185" s="170" t="s">
        <v>101</v>
      </c>
      <c r="E185" s="198" t="s">
        <v>129</v>
      </c>
      <c r="F185" s="194">
        <v>2.73</v>
      </c>
      <c r="G185" s="194">
        <v>0.21</v>
      </c>
      <c r="H185" s="194">
        <v>2.94</v>
      </c>
      <c r="I185" s="195">
        <v>0</v>
      </c>
      <c r="J185" s="196">
        <f t="shared" si="84"/>
        <v>0</v>
      </c>
      <c r="K185" s="196">
        <f t="shared" si="85"/>
        <v>0</v>
      </c>
      <c r="L185" s="196">
        <f t="shared" si="86"/>
        <v>0</v>
      </c>
      <c r="N185" s="174" t="s">
        <v>206</v>
      </c>
      <c r="O185" s="189"/>
    </row>
    <row r="186" spans="1:15" x14ac:dyDescent="0.2">
      <c r="A186" s="135">
        <f t="shared" ref="A186:A198" si="88">A185+1</f>
        <v>177</v>
      </c>
      <c r="B186" s="135"/>
      <c r="C186" s="204" t="str">
        <f t="shared" si="87"/>
        <v>58E &amp; 59E</v>
      </c>
      <c r="D186" s="170" t="s">
        <v>101</v>
      </c>
      <c r="E186" s="198" t="s">
        <v>130</v>
      </c>
      <c r="F186" s="194">
        <v>3.04</v>
      </c>
      <c r="G186" s="194">
        <v>0.23</v>
      </c>
      <c r="H186" s="194">
        <v>3.27</v>
      </c>
      <c r="I186" s="195">
        <v>0</v>
      </c>
      <c r="J186" s="196">
        <f t="shared" si="84"/>
        <v>0</v>
      </c>
      <c r="K186" s="196">
        <f t="shared" si="85"/>
        <v>0</v>
      </c>
      <c r="L186" s="196">
        <f t="shared" si="86"/>
        <v>0</v>
      </c>
      <c r="N186" s="174" t="s">
        <v>206</v>
      </c>
      <c r="O186" s="189"/>
    </row>
    <row r="187" spans="1:15" x14ac:dyDescent="0.2">
      <c r="A187" s="135">
        <f t="shared" si="88"/>
        <v>178</v>
      </c>
      <c r="B187" s="39" t="s">
        <v>131</v>
      </c>
      <c r="D187" s="170"/>
      <c r="E187" s="170"/>
      <c r="F187" s="36"/>
      <c r="G187" s="36"/>
      <c r="H187" s="36"/>
      <c r="I187" s="37"/>
      <c r="J187" s="37"/>
      <c r="K187" s="37"/>
      <c r="L187" s="134"/>
      <c r="N187" s="174"/>
      <c r="O187" s="189"/>
    </row>
    <row r="188" spans="1:15" x14ac:dyDescent="0.2">
      <c r="A188" s="135">
        <f t="shared" si="88"/>
        <v>179</v>
      </c>
      <c r="B188" s="135"/>
      <c r="C188" s="204" t="s">
        <v>132</v>
      </c>
      <c r="D188" s="170" t="s">
        <v>133</v>
      </c>
      <c r="E188" s="170"/>
      <c r="F188" s="205">
        <v>1.9000000000000001E-4</v>
      </c>
      <c r="G188" s="205">
        <v>1.0000000000000001E-5</v>
      </c>
      <c r="H188" s="205">
        <v>2.0000000000000001E-4</v>
      </c>
      <c r="I188" s="195">
        <v>7852896</v>
      </c>
      <c r="J188" s="196">
        <f>ROUND($I188*F188,0)</f>
        <v>1492</v>
      </c>
      <c r="K188" s="196">
        <f>ROUND($I188*G188,0)</f>
        <v>79</v>
      </c>
      <c r="L188" s="196">
        <f t="shared" ref="L188" si="89">SUM(J188:K188)</f>
        <v>1571</v>
      </c>
      <c r="N188" s="174" t="s">
        <v>204</v>
      </c>
      <c r="O188" s="189"/>
    </row>
    <row r="189" spans="1:15" x14ac:dyDescent="0.2">
      <c r="A189" s="135">
        <f t="shared" si="88"/>
        <v>180</v>
      </c>
      <c r="B189" s="135"/>
      <c r="C189" s="39"/>
      <c r="D189" s="39"/>
      <c r="E189" s="39"/>
      <c r="F189" s="36"/>
      <c r="G189" s="36"/>
      <c r="H189" s="36"/>
      <c r="I189" s="37"/>
      <c r="J189" s="37"/>
      <c r="K189" s="37"/>
      <c r="L189" s="134"/>
      <c r="N189" s="174"/>
      <c r="O189" s="189"/>
    </row>
    <row r="190" spans="1:15" x14ac:dyDescent="0.2">
      <c r="A190" s="135">
        <f t="shared" si="88"/>
        <v>181</v>
      </c>
      <c r="B190" s="39" t="s">
        <v>134</v>
      </c>
      <c r="D190" s="170"/>
      <c r="E190" s="170"/>
      <c r="F190" s="36"/>
      <c r="G190" s="36"/>
      <c r="H190" s="36"/>
      <c r="I190" s="37"/>
      <c r="J190" s="37"/>
      <c r="K190" s="37"/>
      <c r="L190" s="134"/>
      <c r="N190" s="174"/>
      <c r="O190" s="189"/>
    </row>
    <row r="191" spans="1:15" x14ac:dyDescent="0.2">
      <c r="A191" s="135">
        <f t="shared" si="88"/>
        <v>182</v>
      </c>
      <c r="B191" s="135"/>
      <c r="C191" s="191" t="s">
        <v>135</v>
      </c>
      <c r="D191" s="170" t="s">
        <v>136</v>
      </c>
      <c r="E191" s="170">
        <v>0</v>
      </c>
      <c r="F191" s="194">
        <v>0.55000000000000004</v>
      </c>
      <c r="G191" s="194">
        <v>0.04</v>
      </c>
      <c r="H191" s="194">
        <v>0.59000000000000008</v>
      </c>
      <c r="I191" s="195">
        <v>6960</v>
      </c>
      <c r="J191" s="196">
        <f t="shared" ref="J191:J192" si="90">ROUND($I191*F191,0)</f>
        <v>3828</v>
      </c>
      <c r="K191" s="196">
        <f t="shared" ref="K191:K192" si="91">ROUND($I191*G191,0)</f>
        <v>278</v>
      </c>
      <c r="L191" s="196">
        <f t="shared" ref="L191" si="92">SUM(J191:K191)</f>
        <v>4106</v>
      </c>
      <c r="N191" s="174" t="s">
        <v>203</v>
      </c>
      <c r="O191" s="189"/>
    </row>
    <row r="192" spans="1:15" x14ac:dyDescent="0.2">
      <c r="A192" s="135">
        <f t="shared" si="88"/>
        <v>183</v>
      </c>
      <c r="B192" s="135"/>
      <c r="C192" s="191" t="s">
        <v>137</v>
      </c>
      <c r="D192" s="170" t="s">
        <v>136</v>
      </c>
      <c r="E192" s="170">
        <v>0</v>
      </c>
      <c r="F192" s="194">
        <v>1.1000000000000001</v>
      </c>
      <c r="G192" s="194">
        <v>0.08</v>
      </c>
      <c r="H192" s="194">
        <v>1.1800000000000002</v>
      </c>
      <c r="I192" s="195">
        <v>4080</v>
      </c>
      <c r="J192" s="196">
        <f t="shared" si="90"/>
        <v>4488</v>
      </c>
      <c r="K192" s="196">
        <f t="shared" si="91"/>
        <v>326</v>
      </c>
      <c r="L192" s="196">
        <f>SUM(J192:K192)</f>
        <v>4814</v>
      </c>
      <c r="N192" s="174" t="s">
        <v>203</v>
      </c>
      <c r="O192" s="189"/>
    </row>
    <row r="193" spans="1:15" x14ac:dyDescent="0.2">
      <c r="A193" s="135">
        <f t="shared" si="88"/>
        <v>184</v>
      </c>
      <c r="B193" s="135"/>
      <c r="C193" s="191"/>
      <c r="D193" s="39"/>
      <c r="E193" s="39"/>
      <c r="F193" s="36"/>
      <c r="G193" s="36"/>
      <c r="H193" s="36"/>
      <c r="I193" s="37"/>
      <c r="J193" s="37"/>
      <c r="K193" s="37"/>
      <c r="L193" s="134"/>
      <c r="N193" s="174"/>
      <c r="O193" s="189"/>
    </row>
    <row r="194" spans="1:15" ht="10.8" thickBot="1" x14ac:dyDescent="0.25">
      <c r="A194" s="135">
        <f t="shared" si="88"/>
        <v>185</v>
      </c>
      <c r="B194" s="135"/>
      <c r="C194" s="191" t="s">
        <v>138</v>
      </c>
      <c r="D194" s="170" t="s">
        <v>136</v>
      </c>
      <c r="E194" s="170">
        <v>0</v>
      </c>
      <c r="F194" s="194">
        <v>1.1000000000000001</v>
      </c>
      <c r="G194" s="194">
        <v>0.08</v>
      </c>
      <c r="H194" s="194">
        <v>1.1800000000000002</v>
      </c>
      <c r="I194" s="195">
        <v>1812</v>
      </c>
      <c r="J194" s="196">
        <f>ROUND($I194*F194,0)</f>
        <v>1993</v>
      </c>
      <c r="K194" s="196">
        <f>ROUND($I194*G194,0)</f>
        <v>145</v>
      </c>
      <c r="L194" s="196">
        <f>SUM(J194:K194)</f>
        <v>2138</v>
      </c>
      <c r="N194" s="206" t="s">
        <v>207</v>
      </c>
      <c r="O194" s="207"/>
    </row>
    <row r="195" spans="1:15" x14ac:dyDescent="0.2">
      <c r="A195" s="135">
        <f t="shared" si="88"/>
        <v>186</v>
      </c>
      <c r="B195" s="135"/>
      <c r="C195" s="39"/>
      <c r="D195" s="39"/>
      <c r="E195" s="39"/>
      <c r="F195" s="39"/>
      <c r="G195" s="39"/>
      <c r="H195" s="134"/>
      <c r="I195" s="134"/>
      <c r="J195" s="134"/>
      <c r="K195" s="134"/>
      <c r="L195" s="134"/>
      <c r="N195" s="35"/>
    </row>
    <row r="196" spans="1:15" x14ac:dyDescent="0.2">
      <c r="A196" s="135">
        <f t="shared" si="88"/>
        <v>187</v>
      </c>
      <c r="B196" s="135"/>
      <c r="C196" s="137" t="s">
        <v>139</v>
      </c>
      <c r="D196" s="39"/>
      <c r="E196" s="39"/>
      <c r="F196" s="39"/>
      <c r="G196" s="39"/>
      <c r="H196" s="134"/>
      <c r="I196" s="38">
        <f>SUM(I11:I194)</f>
        <v>9321612</v>
      </c>
      <c r="J196" s="196">
        <f>SUM(J11:J194)</f>
        <v>494768</v>
      </c>
      <c r="K196" s="196">
        <f>SUM(K11:K194)</f>
        <v>37539</v>
      </c>
      <c r="L196" s="196">
        <f>SUM(L11:L194)</f>
        <v>532307</v>
      </c>
    </row>
    <row r="197" spans="1:15" x14ac:dyDescent="0.2">
      <c r="A197" s="135">
        <f t="shared" si="88"/>
        <v>188</v>
      </c>
      <c r="B197" s="135"/>
      <c r="C197" s="136" t="s">
        <v>140</v>
      </c>
      <c r="D197" s="39"/>
      <c r="E197" s="39"/>
      <c r="F197" s="39"/>
      <c r="G197" s="39"/>
      <c r="H197" s="134"/>
      <c r="I197" s="38">
        <v>9321612</v>
      </c>
      <c r="J197" s="38">
        <f>+'Rate Design'!G28</f>
        <v>492521.23338956141</v>
      </c>
      <c r="K197" s="38">
        <f>+'Rate Design'!H28</f>
        <v>39327.269667207394</v>
      </c>
      <c r="L197" s="196">
        <f>+'Rate Design'!I28</f>
        <v>531848.50305676879</v>
      </c>
    </row>
    <row r="198" spans="1:15" x14ac:dyDescent="0.2">
      <c r="A198" s="135">
        <f t="shared" si="88"/>
        <v>189</v>
      </c>
      <c r="B198" s="135"/>
      <c r="C198" s="39" t="s">
        <v>73</v>
      </c>
      <c r="D198" s="39"/>
      <c r="E198" s="39"/>
      <c r="F198" s="39"/>
      <c r="G198" s="39"/>
      <c r="H198" s="134"/>
      <c r="I198" s="38">
        <f>+I196-I197</f>
        <v>0</v>
      </c>
      <c r="J198" s="196">
        <f t="shared" ref="J198:K198" si="93">+J196-J197</f>
        <v>2246.7666104385862</v>
      </c>
      <c r="K198" s="196">
        <f t="shared" si="93"/>
        <v>-1788.2696672073944</v>
      </c>
      <c r="L198" s="196">
        <f>+L196-L197</f>
        <v>458.49694323120639</v>
      </c>
    </row>
    <row r="199" spans="1:15" x14ac:dyDescent="0.2">
      <c r="A199" s="135"/>
      <c r="B199" s="135"/>
      <c r="C199" s="39"/>
      <c r="D199" s="39"/>
      <c r="E199" s="39"/>
      <c r="F199" s="39"/>
      <c r="G199" s="39"/>
      <c r="H199" s="134"/>
      <c r="I199" s="134"/>
      <c r="J199" s="134"/>
      <c r="K199" s="134"/>
      <c r="L199" s="134"/>
    </row>
    <row r="200" spans="1:15" x14ac:dyDescent="0.2">
      <c r="A200" s="135"/>
      <c r="B200" s="135"/>
      <c r="C200" s="137"/>
      <c r="D200" s="39"/>
      <c r="E200" s="39"/>
      <c r="F200" s="39"/>
      <c r="G200" s="39"/>
      <c r="H200" s="134"/>
      <c r="I200" s="134"/>
      <c r="J200" s="134"/>
      <c r="K200" s="134"/>
      <c r="L200" s="196"/>
    </row>
    <row r="201" spans="1:15" x14ac:dyDescent="0.2">
      <c r="A201" s="135"/>
      <c r="B201" s="135"/>
      <c r="C201" s="137"/>
      <c r="D201" s="39"/>
      <c r="E201" s="39"/>
      <c r="F201" s="39"/>
      <c r="G201" s="39"/>
      <c r="H201" s="134"/>
      <c r="I201" s="134"/>
      <c r="J201" s="134"/>
      <c r="K201" s="134"/>
      <c r="L201" s="134"/>
    </row>
    <row r="202" spans="1:15" x14ac:dyDescent="0.2">
      <c r="A202" s="135"/>
      <c r="B202" s="135"/>
      <c r="C202" s="39"/>
      <c r="D202" s="39"/>
      <c r="E202" s="39"/>
      <c r="F202" s="39"/>
      <c r="G202" s="39"/>
      <c r="H202" s="134"/>
      <c r="I202" s="134"/>
      <c r="J202" s="134"/>
      <c r="K202" s="134"/>
      <c r="L202" s="134"/>
    </row>
    <row r="203" spans="1:15" x14ac:dyDescent="0.2">
      <c r="A203" s="135"/>
      <c r="B203" s="135"/>
      <c r="C203" s="192"/>
      <c r="D203" s="39"/>
      <c r="E203" s="39"/>
      <c r="F203" s="39"/>
      <c r="G203" s="39"/>
      <c r="H203" s="134"/>
      <c r="I203" s="208"/>
      <c r="J203" s="208"/>
      <c r="K203" s="208"/>
      <c r="L203" s="196"/>
    </row>
    <row r="204" spans="1:15" x14ac:dyDescent="0.2">
      <c r="A204" s="135"/>
      <c r="B204" s="135"/>
      <c r="C204" s="39"/>
      <c r="D204" s="39"/>
      <c r="E204" s="39"/>
      <c r="F204" s="39"/>
      <c r="G204" s="39"/>
      <c r="H204" s="134"/>
      <c r="I204" s="208"/>
      <c r="J204" s="208"/>
      <c r="K204" s="208"/>
      <c r="L204" s="196"/>
    </row>
  </sheetData>
  <mergeCells count="6">
    <mergeCell ref="A1:L1"/>
    <mergeCell ref="A2:L2"/>
    <mergeCell ref="A3:L3"/>
    <mergeCell ref="A4:L4"/>
    <mergeCell ref="C6:H6"/>
    <mergeCell ref="A5:L5"/>
  </mergeCells>
  <printOptions horizontalCentered="1"/>
  <pageMargins left="0.7" right="0.7" top="0.75" bottom="0.75" header="0.3" footer="0.3"/>
  <pageSetup scale="66" fitToHeight="0" orientation="landscape" r:id="rId1"/>
  <headerFooter alignWithMargins="0">
    <oddFooter>&amp;L&amp;F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zoomScaleNormal="100" workbookViewId="0">
      <pane xSplit="4" ySplit="7" topLeftCell="N8" activePane="bottomRight" state="frozen"/>
      <selection activeCell="E44" sqref="E44"/>
      <selection pane="topRight" activeCell="E44" sqref="E44"/>
      <selection pane="bottomLeft" activeCell="E44" sqref="E44"/>
      <selection pane="bottomRight" activeCell="Y45" sqref="Y45"/>
    </sheetView>
  </sheetViews>
  <sheetFormatPr defaultColWidth="6.33203125" defaultRowHeight="10.199999999999999" x14ac:dyDescent="0.2"/>
  <cols>
    <col min="1" max="1" width="3.6640625" style="6" bestFit="1" customWidth="1"/>
    <col min="2" max="2" width="17.44140625" style="6" bestFit="1" customWidth="1"/>
    <col min="3" max="3" width="14.6640625" style="6" customWidth="1"/>
    <col min="4" max="4" width="13.6640625" style="6" bestFit="1" customWidth="1"/>
    <col min="5" max="5" width="12" style="6" bestFit="1" customWidth="1"/>
    <col min="6" max="6" width="9.33203125" style="6" customWidth="1"/>
    <col min="7" max="7" width="10.109375" style="6" customWidth="1"/>
    <col min="8" max="8" width="12" style="6" bestFit="1" customWidth="1"/>
    <col min="9" max="10" width="11.5546875" style="6" bestFit="1" customWidth="1"/>
    <col min="11" max="11" width="12.6640625" style="6" customWidth="1"/>
    <col min="12" max="12" width="11.88671875" style="6" bestFit="1" customWidth="1"/>
    <col min="13" max="13" width="11.5546875" style="6" bestFit="1" customWidth="1"/>
    <col min="14" max="16" width="12" style="6" customWidth="1"/>
    <col min="17" max="17" width="12.33203125" style="6" customWidth="1"/>
    <col min="18" max="20" width="12" style="6" customWidth="1"/>
    <col min="21" max="21" width="14" style="6" customWidth="1"/>
    <col min="22" max="22" width="12.109375" style="6" bestFit="1" customWidth="1"/>
    <col min="23" max="23" width="13.5546875" style="6" bestFit="1" customWidth="1"/>
    <col min="24" max="24" width="0.88671875" style="6" customWidth="1"/>
    <col min="25" max="25" width="13.33203125" style="6" customWidth="1"/>
    <col min="26" max="26" width="17.6640625" style="6" customWidth="1"/>
    <col min="27" max="27" width="1.109375" style="6" customWidth="1"/>
    <col min="28" max="16384" width="6.33203125" style="6"/>
  </cols>
  <sheetData>
    <row r="1" spans="1:28" x14ac:dyDescent="0.2">
      <c r="A1" s="93" t="s">
        <v>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5"/>
    </row>
    <row r="2" spans="1:28" x14ac:dyDescent="0.2">
      <c r="A2" s="93" t="s">
        <v>296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4"/>
      <c r="AA2" s="5"/>
    </row>
    <row r="3" spans="1:28" x14ac:dyDescent="0.2">
      <c r="A3" s="93" t="s">
        <v>297</v>
      </c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/>
      <c r="Z3" s="4"/>
      <c r="AA3" s="5"/>
    </row>
    <row r="4" spans="1:28" x14ac:dyDescent="0.2">
      <c r="A4" s="93" t="s">
        <v>298</v>
      </c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5"/>
      <c r="Z4" s="4"/>
      <c r="AA4" s="5"/>
    </row>
    <row r="5" spans="1:28" ht="10.8" thickBo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8" ht="13.5" customHeight="1" thickBo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10" t="s">
        <v>216</v>
      </c>
      <c r="Z6" s="9"/>
      <c r="AA6" s="9"/>
    </row>
    <row r="7" spans="1:28" s="15" customFormat="1" ht="64.5" customHeight="1" x14ac:dyDescent="0.2">
      <c r="A7" s="11" t="s">
        <v>1</v>
      </c>
      <c r="B7" s="11" t="s">
        <v>33</v>
      </c>
      <c r="C7" s="12" t="s">
        <v>299</v>
      </c>
      <c r="D7" s="13" t="s">
        <v>300</v>
      </c>
      <c r="E7" s="13" t="s">
        <v>301</v>
      </c>
      <c r="F7" s="13" t="s">
        <v>302</v>
      </c>
      <c r="G7" s="13" t="s">
        <v>303</v>
      </c>
      <c r="H7" s="13" t="s">
        <v>304</v>
      </c>
      <c r="I7" s="13" t="s">
        <v>305</v>
      </c>
      <c r="J7" s="13" t="s">
        <v>306</v>
      </c>
      <c r="K7" s="13" t="s">
        <v>307</v>
      </c>
      <c r="L7" s="13" t="s">
        <v>308</v>
      </c>
      <c r="M7" s="13" t="s">
        <v>309</v>
      </c>
      <c r="N7" s="13" t="s">
        <v>310</v>
      </c>
      <c r="O7" s="13" t="s">
        <v>311</v>
      </c>
      <c r="P7" s="13" t="s">
        <v>312</v>
      </c>
      <c r="Q7" s="13" t="s">
        <v>313</v>
      </c>
      <c r="R7" s="13" t="s">
        <v>314</v>
      </c>
      <c r="S7" s="12" t="s">
        <v>315</v>
      </c>
      <c r="T7" s="12" t="s">
        <v>316</v>
      </c>
      <c r="U7" s="12" t="s">
        <v>317</v>
      </c>
      <c r="V7" s="12" t="s">
        <v>318</v>
      </c>
      <c r="W7" s="12" t="s">
        <v>319</v>
      </c>
      <c r="X7" s="12"/>
      <c r="Y7" s="97" t="s">
        <v>308</v>
      </c>
      <c r="Z7" s="12" t="s">
        <v>245</v>
      </c>
      <c r="AA7" s="14"/>
    </row>
    <row r="8" spans="1:28" x14ac:dyDescent="0.2">
      <c r="A8" s="8">
        <v>1</v>
      </c>
      <c r="B8" s="8">
        <v>7</v>
      </c>
      <c r="C8" s="94">
        <v>10819933224.296162</v>
      </c>
      <c r="D8" s="95">
        <v>1150419000</v>
      </c>
      <c r="E8" s="95">
        <v>23096514.283298802</v>
      </c>
      <c r="F8" s="95">
        <v>0</v>
      </c>
      <c r="G8" s="17">
        <v>551816.5944391042</v>
      </c>
      <c r="H8" s="95">
        <v>53266531.263210006</v>
      </c>
      <c r="I8" s="95">
        <v>29073160.573683787</v>
      </c>
      <c r="J8" s="95">
        <v>0</v>
      </c>
      <c r="K8" s="95">
        <v>0</v>
      </c>
      <c r="L8" s="95">
        <v>30274173.161580663</v>
      </c>
      <c r="M8" s="95">
        <v>19778837.934013382</v>
      </c>
      <c r="N8" s="95">
        <v>28878401.775646456</v>
      </c>
      <c r="O8" s="95">
        <v>108275071.77553169</v>
      </c>
      <c r="P8" s="95">
        <v>54413444.184985392</v>
      </c>
      <c r="Q8" s="95">
        <v>3451558.6985504758</v>
      </c>
      <c r="R8" s="95">
        <v>-9564820.9702778067</v>
      </c>
      <c r="S8" s="95">
        <v>-33357854.130505063</v>
      </c>
      <c r="T8" s="95">
        <v>0</v>
      </c>
      <c r="U8" s="95">
        <v>-72376004.848235533</v>
      </c>
      <c r="V8" s="17">
        <f>SUM(E8:U8)</f>
        <v>235760830.29592133</v>
      </c>
      <c r="W8" s="18">
        <f>SUM(V8,D8)</f>
        <v>1386179830.2959213</v>
      </c>
      <c r="X8" s="18"/>
      <c r="Y8" s="19">
        <f>-L8</f>
        <v>-30274173.161580663</v>
      </c>
      <c r="Z8" s="18">
        <f>SUM(W8,Y8)</f>
        <v>1355905657.1343408</v>
      </c>
      <c r="AB8" s="20"/>
    </row>
    <row r="9" spans="1:28" x14ac:dyDescent="0.2">
      <c r="A9" s="8">
        <f t="shared" ref="A9:A32" si="0">+A8+1</f>
        <v>2</v>
      </c>
      <c r="B9" s="8" t="s">
        <v>7</v>
      </c>
      <c r="C9" s="21">
        <f t="shared" ref="C9:Z9" si="1">SUM(C8:C8)</f>
        <v>10819933224.296162</v>
      </c>
      <c r="D9" s="22">
        <f t="shared" si="1"/>
        <v>1150419000</v>
      </c>
      <c r="E9" s="22">
        <f t="shared" si="1"/>
        <v>23096514.283298802</v>
      </c>
      <c r="F9" s="22"/>
      <c r="G9" s="22">
        <f t="shared" si="1"/>
        <v>551816.5944391042</v>
      </c>
      <c r="H9" s="22">
        <f t="shared" si="1"/>
        <v>53266531.263210006</v>
      </c>
      <c r="I9" s="22">
        <f t="shared" si="1"/>
        <v>29073160.573683787</v>
      </c>
      <c r="J9" s="22">
        <f t="shared" si="1"/>
        <v>0</v>
      </c>
      <c r="K9" s="22">
        <f t="shared" si="1"/>
        <v>0</v>
      </c>
      <c r="L9" s="22">
        <f t="shared" si="1"/>
        <v>30274173.161580663</v>
      </c>
      <c r="M9" s="22">
        <f t="shared" si="1"/>
        <v>19778837.934013382</v>
      </c>
      <c r="N9" s="22">
        <f t="shared" si="1"/>
        <v>28878401.775646456</v>
      </c>
      <c r="O9" s="22">
        <f t="shared" si="1"/>
        <v>108275071.77553169</v>
      </c>
      <c r="P9" s="22">
        <f t="shared" si="1"/>
        <v>54413444.184985392</v>
      </c>
      <c r="Q9" s="22">
        <f t="shared" si="1"/>
        <v>3451558.6985504758</v>
      </c>
      <c r="R9" s="22">
        <f t="shared" si="1"/>
        <v>-9564820.9702778067</v>
      </c>
      <c r="S9" s="22">
        <f t="shared" si="1"/>
        <v>-33357854.130505063</v>
      </c>
      <c r="T9" s="22">
        <f t="shared" si="1"/>
        <v>0</v>
      </c>
      <c r="U9" s="22">
        <f t="shared" si="1"/>
        <v>-72376004.848235533</v>
      </c>
      <c r="V9" s="22">
        <f t="shared" si="1"/>
        <v>235760830.29592133</v>
      </c>
      <c r="W9" s="23">
        <f t="shared" si="1"/>
        <v>1386179830.2959213</v>
      </c>
      <c r="X9" s="23"/>
      <c r="Y9" s="24">
        <f t="shared" si="1"/>
        <v>-30274173.161580663</v>
      </c>
      <c r="Z9" s="23">
        <f t="shared" si="1"/>
        <v>1355905657.1343408</v>
      </c>
      <c r="AB9" s="20"/>
    </row>
    <row r="10" spans="1:28" x14ac:dyDescent="0.2">
      <c r="A10" s="8">
        <f t="shared" si="0"/>
        <v>3</v>
      </c>
      <c r="B10" s="8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8"/>
      <c r="X10" s="18"/>
      <c r="Y10" s="19"/>
      <c r="Z10" s="18"/>
    </row>
    <row r="11" spans="1:28" x14ac:dyDescent="0.2">
      <c r="A11" s="8">
        <f t="shared" si="0"/>
        <v>4</v>
      </c>
      <c r="B11" s="7" t="s">
        <v>217</v>
      </c>
      <c r="C11" s="94">
        <v>2760629037.5469441</v>
      </c>
      <c r="D11" s="95">
        <v>276478000</v>
      </c>
      <c r="E11" s="95">
        <v>5948663.538344969</v>
      </c>
      <c r="F11" s="95">
        <v>0</v>
      </c>
      <c r="G11" s="95">
        <v>140792.08091489415</v>
      </c>
      <c r="H11" s="95">
        <v>13325556.364239099</v>
      </c>
      <c r="I11" s="95">
        <v>7285300.0300863851</v>
      </c>
      <c r="J11" s="95">
        <v>-153669.61779083172</v>
      </c>
      <c r="K11" s="95">
        <v>-177663.167065938</v>
      </c>
      <c r="L11" s="95">
        <v>6490238.867272865</v>
      </c>
      <c r="M11" s="95">
        <v>4825579.5576320579</v>
      </c>
      <c r="N11" s="95">
        <v>6476435.7220851313</v>
      </c>
      <c r="O11" s="95">
        <v>21541188.379978806</v>
      </c>
      <c r="P11" s="95">
        <v>10827187.085259115</v>
      </c>
      <c r="Q11" s="95">
        <v>764694.24340050353</v>
      </c>
      <c r="R11" s="95">
        <v>-1968328.503770971</v>
      </c>
      <c r="S11" s="95">
        <v>5419114.8007046506</v>
      </c>
      <c r="T11" s="95">
        <v>0</v>
      </c>
      <c r="U11" s="95">
        <v>-1677066.1396007703</v>
      </c>
      <c r="V11" s="17">
        <f t="shared" ref="V11:V14" si="2">SUM(E11:U11)</f>
        <v>79068023.241689965</v>
      </c>
      <c r="W11" s="18">
        <f t="shared" ref="W11:W14" si="3">SUM(V11,D11)</f>
        <v>355546023.24168998</v>
      </c>
      <c r="X11" s="18"/>
      <c r="Y11" s="19">
        <f>-L11</f>
        <v>-6490238.867272865</v>
      </c>
      <c r="Z11" s="18">
        <f t="shared" ref="Z11:Z14" si="4">SUM(W11,Y11)</f>
        <v>349055784.37441713</v>
      </c>
      <c r="AB11" s="20"/>
    </row>
    <row r="12" spans="1:28" x14ac:dyDescent="0.2">
      <c r="A12" s="8">
        <f t="shared" si="0"/>
        <v>5</v>
      </c>
      <c r="B12" s="7" t="s">
        <v>218</v>
      </c>
      <c r="C12" s="94">
        <v>2918334800.0424857</v>
      </c>
      <c r="D12" s="95">
        <v>266850000</v>
      </c>
      <c r="E12" s="95">
        <v>6488923.1675482793</v>
      </c>
      <c r="F12" s="95">
        <v>0</v>
      </c>
      <c r="G12" s="95">
        <v>151753.40960220923</v>
      </c>
      <c r="H12" s="95">
        <v>14556653.982611919</v>
      </c>
      <c r="I12" s="95">
        <v>6995248.5157018378</v>
      </c>
      <c r="J12" s="95">
        <v>743341.87149714772</v>
      </c>
      <c r="K12" s="95">
        <v>-273140.04027007206</v>
      </c>
      <c r="L12" s="95">
        <v>6312358.1724918969</v>
      </c>
      <c r="M12" s="95">
        <v>5083739.2216740102</v>
      </c>
      <c r="N12" s="95">
        <v>6761587.9516198402</v>
      </c>
      <c r="O12" s="95">
        <v>23597774.045493111</v>
      </c>
      <c r="P12" s="95">
        <v>11875370.906547341</v>
      </c>
      <c r="Q12" s="95">
        <v>837562.08761219331</v>
      </c>
      <c r="R12" s="95">
        <v>-1952365.9812284228</v>
      </c>
      <c r="S12" s="95">
        <v>17831025.628259588</v>
      </c>
      <c r="T12" s="95">
        <v>0</v>
      </c>
      <c r="U12" s="95">
        <v>-875388.4997388164</v>
      </c>
      <c r="V12" s="17">
        <f t="shared" si="2"/>
        <v>98134444.439422056</v>
      </c>
      <c r="W12" s="18">
        <f t="shared" si="3"/>
        <v>364984444.43942207</v>
      </c>
      <c r="X12" s="18"/>
      <c r="Y12" s="19">
        <f>-L12</f>
        <v>-6312358.1724918969</v>
      </c>
      <c r="Z12" s="18">
        <f t="shared" si="4"/>
        <v>358672086.26693016</v>
      </c>
      <c r="AB12" s="20"/>
    </row>
    <row r="13" spans="1:28" x14ac:dyDescent="0.2">
      <c r="A13" s="8">
        <f t="shared" si="0"/>
        <v>6</v>
      </c>
      <c r="B13" s="7" t="s">
        <v>219</v>
      </c>
      <c r="C13" s="94">
        <v>1841150784.7064102</v>
      </c>
      <c r="D13" s="95">
        <v>155081000</v>
      </c>
      <c r="E13" s="95">
        <v>4283896.5188092962</v>
      </c>
      <c r="F13" s="95">
        <v>0</v>
      </c>
      <c r="G13" s="95">
        <v>93898.690020026916</v>
      </c>
      <c r="H13" s="95">
        <v>8997703.8848602269</v>
      </c>
      <c r="I13" s="95">
        <v>4083672.4404788176</v>
      </c>
      <c r="J13" s="95">
        <v>1280556.035166746</v>
      </c>
      <c r="K13" s="95">
        <v>-455534.03108758503</v>
      </c>
      <c r="L13" s="95">
        <v>3529486.0542821879</v>
      </c>
      <c r="M13" s="95">
        <v>3166779.3496950255</v>
      </c>
      <c r="N13" s="95">
        <v>4032393.9114463311</v>
      </c>
      <c r="O13" s="95">
        <v>13173124.797096055</v>
      </c>
      <c r="P13" s="95">
        <v>6610497.3587492118</v>
      </c>
      <c r="Q13" s="95">
        <v>447399.64068365766</v>
      </c>
      <c r="R13" s="95">
        <v>-1062344.0027755988</v>
      </c>
      <c r="S13" s="95">
        <v>9345462.4065421373</v>
      </c>
      <c r="T13" s="95">
        <v>0</v>
      </c>
      <c r="U13" s="95">
        <v>-103243.48094806516</v>
      </c>
      <c r="V13" s="17">
        <f t="shared" si="2"/>
        <v>57423749.573018469</v>
      </c>
      <c r="W13" s="18">
        <f t="shared" si="3"/>
        <v>212504749.57301846</v>
      </c>
      <c r="X13" s="18"/>
      <c r="Y13" s="19">
        <f>-L13</f>
        <v>-3529486.0542821879</v>
      </c>
      <c r="Z13" s="18">
        <f t="shared" si="4"/>
        <v>208975263.51873627</v>
      </c>
      <c r="AB13" s="20"/>
    </row>
    <row r="14" spans="1:28" x14ac:dyDescent="0.2">
      <c r="A14" s="8">
        <f t="shared" si="0"/>
        <v>7</v>
      </c>
      <c r="B14" s="8">
        <v>29</v>
      </c>
      <c r="C14" s="94">
        <v>15025074.984411309</v>
      </c>
      <c r="D14" s="95">
        <v>1283000</v>
      </c>
      <c r="E14" s="95">
        <v>27833.753028179908</v>
      </c>
      <c r="F14" s="95">
        <v>0</v>
      </c>
      <c r="G14" s="95">
        <v>646.07822432968624</v>
      </c>
      <c r="H14" s="95">
        <v>60881.60383683462</v>
      </c>
      <c r="I14" s="95">
        <v>31657.832992154625</v>
      </c>
      <c r="J14" s="95">
        <v>0</v>
      </c>
      <c r="K14" s="95">
        <v>0</v>
      </c>
      <c r="L14" s="95">
        <v>32499.23719128166</v>
      </c>
      <c r="M14" s="95">
        <v>26173.680622844502</v>
      </c>
      <c r="N14" s="95">
        <v>34128.291217470658</v>
      </c>
      <c r="O14" s="95">
        <v>121248.65115314319</v>
      </c>
      <c r="P14" s="95">
        <v>60932.339613752032</v>
      </c>
      <c r="Q14" s="95">
        <v>5559.277744232184</v>
      </c>
      <c r="R14" s="95">
        <v>-10051.775164571165</v>
      </c>
      <c r="S14" s="95">
        <v>91803.208154753098</v>
      </c>
      <c r="T14" s="95">
        <v>0</v>
      </c>
      <c r="U14" s="95">
        <v>-100504.76998092512</v>
      </c>
      <c r="V14" s="17">
        <f t="shared" si="2"/>
        <v>382807.40863347985</v>
      </c>
      <c r="W14" s="18">
        <f t="shared" si="3"/>
        <v>1665807.4086334798</v>
      </c>
      <c r="X14" s="18"/>
      <c r="Y14" s="19">
        <f>-L14</f>
        <v>-32499.23719128166</v>
      </c>
      <c r="Z14" s="18">
        <f t="shared" si="4"/>
        <v>1633308.1714421981</v>
      </c>
      <c r="AB14" s="20"/>
    </row>
    <row r="15" spans="1:28" x14ac:dyDescent="0.2">
      <c r="A15" s="8">
        <f t="shared" si="0"/>
        <v>8</v>
      </c>
      <c r="B15" s="7" t="s">
        <v>220</v>
      </c>
      <c r="C15" s="21">
        <f t="shared" ref="C15:Z15" si="5">SUM(C11:C14)</f>
        <v>7535139697.2802515</v>
      </c>
      <c r="D15" s="22">
        <f t="shared" si="5"/>
        <v>699692000</v>
      </c>
      <c r="E15" s="22">
        <f t="shared" si="5"/>
        <v>16749316.977730725</v>
      </c>
      <c r="F15" s="22"/>
      <c r="G15" s="22">
        <f t="shared" si="5"/>
        <v>387090.25876145996</v>
      </c>
      <c r="H15" s="22">
        <f t="shared" si="5"/>
        <v>36940795.835548081</v>
      </c>
      <c r="I15" s="22">
        <f t="shared" si="5"/>
        <v>18395878.819259197</v>
      </c>
      <c r="J15" s="22">
        <f t="shared" si="5"/>
        <v>1870228.288873062</v>
      </c>
      <c r="K15" s="22">
        <f t="shared" si="5"/>
        <v>-906337.23842359509</v>
      </c>
      <c r="L15" s="22">
        <f t="shared" si="5"/>
        <v>16364582.331238233</v>
      </c>
      <c r="M15" s="22">
        <f t="shared" si="5"/>
        <v>13102271.809623938</v>
      </c>
      <c r="N15" s="22">
        <f t="shared" si="5"/>
        <v>17304545.876368772</v>
      </c>
      <c r="O15" s="22">
        <f t="shared" si="5"/>
        <v>58433335.873721115</v>
      </c>
      <c r="P15" s="22">
        <f t="shared" si="5"/>
        <v>29373987.690169416</v>
      </c>
      <c r="Q15" s="22">
        <f t="shared" si="5"/>
        <v>2055215.2494405869</v>
      </c>
      <c r="R15" s="22">
        <f t="shared" si="5"/>
        <v>-4993090.262939564</v>
      </c>
      <c r="S15" s="22">
        <f t="shared" si="5"/>
        <v>32687406.043661129</v>
      </c>
      <c r="T15" s="22">
        <f t="shared" si="5"/>
        <v>0</v>
      </c>
      <c r="U15" s="22">
        <f t="shared" si="5"/>
        <v>-2756202.8902685768</v>
      </c>
      <c r="V15" s="22">
        <f t="shared" si="5"/>
        <v>235009024.66276395</v>
      </c>
      <c r="W15" s="23">
        <f t="shared" si="5"/>
        <v>934701024.66276395</v>
      </c>
      <c r="X15" s="23"/>
      <c r="Y15" s="24">
        <f t="shared" si="5"/>
        <v>-16364582.331238233</v>
      </c>
      <c r="Z15" s="23">
        <f t="shared" si="5"/>
        <v>918336442.33152568</v>
      </c>
      <c r="AB15" s="20"/>
    </row>
    <row r="16" spans="1:28" x14ac:dyDescent="0.2">
      <c r="A16" s="8">
        <f t="shared" si="0"/>
        <v>9</v>
      </c>
      <c r="B16" s="8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8"/>
      <c r="X16" s="18"/>
      <c r="Y16" s="19"/>
      <c r="Z16" s="18"/>
    </row>
    <row r="17" spans="1:28" x14ac:dyDescent="0.2">
      <c r="A17" s="8">
        <f t="shared" si="0"/>
        <v>10</v>
      </c>
      <c r="B17" s="8" t="s">
        <v>221</v>
      </c>
      <c r="C17" s="94">
        <v>1333658303.3084397</v>
      </c>
      <c r="D17" s="94">
        <v>110812000</v>
      </c>
      <c r="E17" s="94">
        <v>2839769.8133387505</v>
      </c>
      <c r="F17" s="94">
        <v>0</v>
      </c>
      <c r="G17" s="94">
        <v>65349.256862113543</v>
      </c>
      <c r="H17" s="94">
        <v>6244188.1760901157</v>
      </c>
      <c r="I17" s="94">
        <v>2922045.3425487913</v>
      </c>
      <c r="J17" s="94">
        <v>557156.35249099927</v>
      </c>
      <c r="K17" s="94">
        <v>-201374.64947077501</v>
      </c>
      <c r="L17" s="94">
        <v>2581962.4752051393</v>
      </c>
      <c r="M17" s="94">
        <v>2216540.1000986272</v>
      </c>
      <c r="N17" s="94">
        <v>2803915.9778172649</v>
      </c>
      <c r="O17" s="94">
        <v>9229673.613804182</v>
      </c>
      <c r="P17" s="94">
        <v>4647664.9509959277</v>
      </c>
      <c r="Q17" s="94">
        <v>336081.89243372681</v>
      </c>
      <c r="R17" s="94">
        <v>-786858.39895197959</v>
      </c>
      <c r="S17" s="94">
        <v>6668934.113474451</v>
      </c>
      <c r="T17" s="94">
        <v>0</v>
      </c>
      <c r="U17" s="94">
        <v>-156554.66031662968</v>
      </c>
      <c r="V17" s="17">
        <f t="shared" ref="V17:V19" si="6">SUM(E17:U17)</f>
        <v>39968494.356420696</v>
      </c>
      <c r="W17" s="18">
        <f t="shared" ref="W17:W19" si="7">SUM(V17,D17)</f>
        <v>150780494.3564207</v>
      </c>
      <c r="X17" s="18"/>
      <c r="Y17" s="19">
        <f>-L17</f>
        <v>-2581962.4752051393</v>
      </c>
      <c r="Z17" s="18">
        <f t="shared" ref="Z17:Z19" si="8">SUM(W17,Y17)</f>
        <v>148198531.88121554</v>
      </c>
      <c r="AB17" s="20"/>
    </row>
    <row r="18" spans="1:28" x14ac:dyDescent="0.2">
      <c r="A18" s="8">
        <f t="shared" si="0"/>
        <v>11</v>
      </c>
      <c r="B18" s="8">
        <v>35</v>
      </c>
      <c r="C18" s="94">
        <v>4706241.1306298776</v>
      </c>
      <c r="D18" s="94">
        <v>296000</v>
      </c>
      <c r="E18" s="94">
        <v>7477.4935490649395</v>
      </c>
      <c r="F18" s="94">
        <v>0</v>
      </c>
      <c r="G18" s="94">
        <v>164.7184395720457</v>
      </c>
      <c r="H18" s="94">
        <v>15455.295872988518</v>
      </c>
      <c r="I18" s="94">
        <v>7807.654035714967</v>
      </c>
      <c r="J18" s="94">
        <v>0</v>
      </c>
      <c r="K18" s="94">
        <v>0</v>
      </c>
      <c r="L18" s="94">
        <v>9111.2828288994424</v>
      </c>
      <c r="M18" s="94">
        <v>7482.9233977015056</v>
      </c>
      <c r="N18" s="94">
        <v>6541.1062399682551</v>
      </c>
      <c r="O18" s="94">
        <v>45467.811312110651</v>
      </c>
      <c r="P18" s="94">
        <v>22837.44296092918</v>
      </c>
      <c r="Q18" s="94">
        <v>2786.0947493328872</v>
      </c>
      <c r="R18" s="94">
        <v>-4602.7038257560198</v>
      </c>
      <c r="S18" s="94">
        <v>28755.13330814855</v>
      </c>
      <c r="T18" s="94">
        <v>0</v>
      </c>
      <c r="U18" s="94">
        <v>-31480.686971577015</v>
      </c>
      <c r="V18" s="17">
        <f t="shared" si="6"/>
        <v>117803.56589709791</v>
      </c>
      <c r="W18" s="18">
        <f t="shared" si="7"/>
        <v>413803.56589709793</v>
      </c>
      <c r="X18" s="18"/>
      <c r="Y18" s="19">
        <f>-L18</f>
        <v>-9111.2828288994424</v>
      </c>
      <c r="Z18" s="18">
        <f t="shared" si="8"/>
        <v>404692.28306819848</v>
      </c>
      <c r="AB18" s="20"/>
    </row>
    <row r="19" spans="1:28" x14ac:dyDescent="0.2">
      <c r="A19" s="8">
        <f t="shared" si="0"/>
        <v>12</v>
      </c>
      <c r="B19" s="8">
        <v>43</v>
      </c>
      <c r="C19" s="94">
        <v>121401391.0505466</v>
      </c>
      <c r="D19" s="94">
        <v>10771000</v>
      </c>
      <c r="E19" s="94">
        <v>206418.5790394659</v>
      </c>
      <c r="F19" s="94">
        <v>0</v>
      </c>
      <c r="G19" s="94">
        <v>4613.2528599207708</v>
      </c>
      <c r="H19" s="94">
        <v>434495.57856990624</v>
      </c>
      <c r="I19" s="94">
        <v>280680.0161088637</v>
      </c>
      <c r="J19" s="94">
        <v>43677.179999999993</v>
      </c>
      <c r="K19" s="94">
        <v>-14924.789999999999</v>
      </c>
      <c r="L19" s="94">
        <v>309330.74439679272</v>
      </c>
      <c r="M19" s="94">
        <v>194120.824289824</v>
      </c>
      <c r="N19" s="94">
        <v>51528.532412448105</v>
      </c>
      <c r="O19" s="94">
        <v>745213.93820995698</v>
      </c>
      <c r="P19" s="94">
        <v>373942.38440653449</v>
      </c>
      <c r="Q19" s="94">
        <v>52202.598151735037</v>
      </c>
      <c r="R19" s="94">
        <v>-98699.330924094393</v>
      </c>
      <c r="S19" s="94">
        <v>741762.49931883975</v>
      </c>
      <c r="T19" s="94">
        <v>0</v>
      </c>
      <c r="U19" s="94">
        <v>0</v>
      </c>
      <c r="V19" s="17">
        <f t="shared" si="6"/>
        <v>3324362.0068401936</v>
      </c>
      <c r="W19" s="18">
        <f t="shared" si="7"/>
        <v>14095362.006840194</v>
      </c>
      <c r="X19" s="18"/>
      <c r="Y19" s="19">
        <f>-L19</f>
        <v>-309330.74439679272</v>
      </c>
      <c r="Z19" s="18">
        <f t="shared" si="8"/>
        <v>13786031.262443401</v>
      </c>
      <c r="AB19" s="20"/>
    </row>
    <row r="20" spans="1:28" x14ac:dyDescent="0.2">
      <c r="A20" s="8">
        <f t="shared" si="0"/>
        <v>13</v>
      </c>
      <c r="B20" s="7" t="s">
        <v>222</v>
      </c>
      <c r="C20" s="21">
        <f t="shared" ref="C20:Z20" si="9">SUM(C17:C19)</f>
        <v>1459765935.4896162</v>
      </c>
      <c r="D20" s="22">
        <f t="shared" si="9"/>
        <v>121879000</v>
      </c>
      <c r="E20" s="22">
        <f t="shared" si="9"/>
        <v>3053665.8859272813</v>
      </c>
      <c r="F20" s="22"/>
      <c r="G20" s="22">
        <f t="shared" si="9"/>
        <v>70127.228161606356</v>
      </c>
      <c r="H20" s="22">
        <f t="shared" si="9"/>
        <v>6694139.0505330097</v>
      </c>
      <c r="I20" s="22">
        <f t="shared" si="9"/>
        <v>3210533.0126933698</v>
      </c>
      <c r="J20" s="22">
        <f t="shared" si="9"/>
        <v>600833.53249099921</v>
      </c>
      <c r="K20" s="22">
        <f t="shared" si="9"/>
        <v>-216299.43947077502</v>
      </c>
      <c r="L20" s="22">
        <f t="shared" si="9"/>
        <v>2900404.5024308315</v>
      </c>
      <c r="M20" s="22">
        <f t="shared" si="9"/>
        <v>2418143.8477861527</v>
      </c>
      <c r="N20" s="22">
        <f t="shared" si="9"/>
        <v>2861985.6164696813</v>
      </c>
      <c r="O20" s="22">
        <f t="shared" si="9"/>
        <v>10020355.36332625</v>
      </c>
      <c r="P20" s="22">
        <f t="shared" si="9"/>
        <v>5044444.7783633918</v>
      </c>
      <c r="Q20" s="22">
        <f t="shared" si="9"/>
        <v>391070.58533479471</v>
      </c>
      <c r="R20" s="22">
        <f t="shared" si="9"/>
        <v>-890160.43370182998</v>
      </c>
      <c r="S20" s="22">
        <f t="shared" si="9"/>
        <v>7439451.7461014399</v>
      </c>
      <c r="T20" s="22">
        <f t="shared" si="9"/>
        <v>0</v>
      </c>
      <c r="U20" s="22">
        <f t="shared" si="9"/>
        <v>-188035.34728820669</v>
      </c>
      <c r="V20" s="22">
        <f t="shared" si="9"/>
        <v>43410659.929157987</v>
      </c>
      <c r="W20" s="23">
        <f t="shared" si="9"/>
        <v>165289659.929158</v>
      </c>
      <c r="X20" s="23"/>
      <c r="Y20" s="24">
        <f t="shared" si="9"/>
        <v>-2900404.5024308315</v>
      </c>
      <c r="Z20" s="23">
        <f t="shared" si="9"/>
        <v>162389255.42672715</v>
      </c>
      <c r="AB20" s="20"/>
    </row>
    <row r="21" spans="1:28" x14ac:dyDescent="0.2">
      <c r="A21" s="8">
        <f t="shared" si="0"/>
        <v>14</v>
      </c>
      <c r="B21" s="8"/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8"/>
      <c r="X21" s="18"/>
      <c r="Y21" s="19"/>
      <c r="Z21" s="18"/>
    </row>
    <row r="22" spans="1:28" x14ac:dyDescent="0.2">
      <c r="A22" s="8">
        <f t="shared" si="0"/>
        <v>15</v>
      </c>
      <c r="B22" s="8">
        <v>46</v>
      </c>
      <c r="C22" s="94">
        <v>89534657.209352404</v>
      </c>
      <c r="D22" s="94">
        <v>5728000</v>
      </c>
      <c r="E22" s="94">
        <v>162732.39169092302</v>
      </c>
      <c r="F22" s="94">
        <v>0</v>
      </c>
      <c r="G22" s="94">
        <v>2775.5743734899247</v>
      </c>
      <c r="H22" s="94">
        <v>267260.95176991692</v>
      </c>
      <c r="I22" s="94">
        <v>153104.2638279926</v>
      </c>
      <c r="J22" s="94">
        <v>66112.663426560059</v>
      </c>
      <c r="K22" s="94">
        <v>-26126.360827200006</v>
      </c>
      <c r="L22" s="94">
        <v>129735.71829635165</v>
      </c>
      <c r="M22" s="94">
        <v>155253.09560101706</v>
      </c>
      <c r="N22" s="94">
        <v>43323.618699911123</v>
      </c>
      <c r="O22" s="94">
        <v>328715.36770891049</v>
      </c>
      <c r="P22" s="94">
        <v>165073.96111213005</v>
      </c>
      <c r="Q22" s="94">
        <v>28472.020992574064</v>
      </c>
      <c r="R22" s="94">
        <v>-40290.595744208578</v>
      </c>
      <c r="S22" s="94">
        <v>0</v>
      </c>
      <c r="T22" s="94">
        <v>0</v>
      </c>
      <c r="U22" s="94">
        <v>0</v>
      </c>
      <c r="V22" s="17">
        <f t="shared" ref="V22:V23" si="10">SUM(E22:U22)</f>
        <v>1436142.6709283683</v>
      </c>
      <c r="W22" s="18">
        <f t="shared" ref="W22:W23" si="11">SUM(V22,D22)</f>
        <v>7164142.6709283683</v>
      </c>
      <c r="X22" s="18"/>
      <c r="Y22" s="19">
        <f>-L22</f>
        <v>-129735.71829635165</v>
      </c>
      <c r="Z22" s="18">
        <f t="shared" ref="Z22:Z23" si="12">SUM(W22,Y22)</f>
        <v>7034406.9526320165</v>
      </c>
      <c r="AB22" s="20"/>
    </row>
    <row r="23" spans="1:28" x14ac:dyDescent="0.2">
      <c r="A23" s="8">
        <f t="shared" si="0"/>
        <v>16</v>
      </c>
      <c r="B23" s="8">
        <v>49</v>
      </c>
      <c r="C23" s="94">
        <v>507432186.97467959</v>
      </c>
      <c r="D23" s="94">
        <v>32932000</v>
      </c>
      <c r="E23" s="94">
        <v>998100.82152975071</v>
      </c>
      <c r="F23" s="94">
        <v>0</v>
      </c>
      <c r="G23" s="94">
        <v>24356.744974784622</v>
      </c>
      <c r="H23" s="94">
        <v>2281415.1126381597</v>
      </c>
      <c r="I23" s="94">
        <v>853500.93849141104</v>
      </c>
      <c r="J23" s="94">
        <v>726532.59202114865</v>
      </c>
      <c r="K23" s="94">
        <v>-268768.30364225997</v>
      </c>
      <c r="L23" s="94">
        <v>735269.23892631079</v>
      </c>
      <c r="M23" s="94">
        <v>879887.41221409442</v>
      </c>
      <c r="N23" s="94">
        <v>969066.55241623288</v>
      </c>
      <c r="O23" s="94">
        <v>1896827.4751587601</v>
      </c>
      <c r="P23" s="94">
        <v>946229.54513471003</v>
      </c>
      <c r="Q23" s="94">
        <v>111635.08113442951</v>
      </c>
      <c r="R23" s="94">
        <v>-228344.4841386058</v>
      </c>
      <c r="S23" s="94">
        <v>0</v>
      </c>
      <c r="T23" s="94">
        <v>0</v>
      </c>
      <c r="U23" s="94">
        <v>0</v>
      </c>
      <c r="V23" s="17">
        <f t="shared" si="10"/>
        <v>9925708.7268589269</v>
      </c>
      <c r="W23" s="18">
        <f t="shared" si="11"/>
        <v>42857708.726858929</v>
      </c>
      <c r="X23" s="18"/>
      <c r="Y23" s="19">
        <f>-L23</f>
        <v>-735269.23892631079</v>
      </c>
      <c r="Z23" s="18">
        <f t="shared" si="12"/>
        <v>42122439.487932615</v>
      </c>
      <c r="AB23" s="20"/>
    </row>
    <row r="24" spans="1:28" x14ac:dyDescent="0.2">
      <c r="A24" s="8">
        <f t="shared" si="0"/>
        <v>17</v>
      </c>
      <c r="B24" s="8" t="s">
        <v>16</v>
      </c>
      <c r="C24" s="21">
        <f t="shared" ref="C24:Z24" si="13">SUM(C22:C23)</f>
        <v>596966844.18403196</v>
      </c>
      <c r="D24" s="22">
        <f t="shared" si="13"/>
        <v>38660000</v>
      </c>
      <c r="E24" s="22">
        <f t="shared" si="13"/>
        <v>1160833.2132206736</v>
      </c>
      <c r="F24" s="22"/>
      <c r="G24" s="22">
        <f t="shared" si="13"/>
        <v>27132.319348274548</v>
      </c>
      <c r="H24" s="22">
        <f t="shared" si="13"/>
        <v>2548676.0644080765</v>
      </c>
      <c r="I24" s="22">
        <f t="shared" si="13"/>
        <v>1006605.2023194036</v>
      </c>
      <c r="J24" s="22">
        <f t="shared" si="13"/>
        <v>792645.25544770877</v>
      </c>
      <c r="K24" s="22">
        <f t="shared" si="13"/>
        <v>-294894.66446945997</v>
      </c>
      <c r="L24" s="22">
        <f t="shared" si="13"/>
        <v>865004.9572226624</v>
      </c>
      <c r="M24" s="22">
        <f t="shared" si="13"/>
        <v>1035140.5078151114</v>
      </c>
      <c r="N24" s="22">
        <f t="shared" si="13"/>
        <v>1012390.171116144</v>
      </c>
      <c r="O24" s="22">
        <f t="shared" si="13"/>
        <v>2225542.8428676706</v>
      </c>
      <c r="P24" s="22">
        <f t="shared" si="13"/>
        <v>1111303.5062468401</v>
      </c>
      <c r="Q24" s="22">
        <f t="shared" si="13"/>
        <v>140107.10212700357</v>
      </c>
      <c r="R24" s="22">
        <f t="shared" si="13"/>
        <v>-268635.07988281437</v>
      </c>
      <c r="S24" s="22">
        <f t="shared" si="13"/>
        <v>0</v>
      </c>
      <c r="T24" s="22">
        <f t="shared" si="13"/>
        <v>0</v>
      </c>
      <c r="U24" s="22">
        <f t="shared" si="13"/>
        <v>0</v>
      </c>
      <c r="V24" s="22">
        <f t="shared" si="13"/>
        <v>11361851.397787295</v>
      </c>
      <c r="W24" s="23">
        <f t="shared" si="13"/>
        <v>50021851.397787295</v>
      </c>
      <c r="X24" s="23"/>
      <c r="Y24" s="24">
        <f t="shared" si="13"/>
        <v>-865004.9572226624</v>
      </c>
      <c r="Z24" s="23">
        <f t="shared" si="13"/>
        <v>49156846.440564632</v>
      </c>
      <c r="AB24" s="20"/>
    </row>
    <row r="25" spans="1:28" x14ac:dyDescent="0.2">
      <c r="A25" s="8">
        <f t="shared" si="0"/>
        <v>18</v>
      </c>
      <c r="B25" s="8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8"/>
      <c r="X25" s="18"/>
      <c r="Y25" s="19"/>
      <c r="Z25" s="18"/>
    </row>
    <row r="26" spans="1:28" x14ac:dyDescent="0.2">
      <c r="A26" s="8">
        <f t="shared" si="0"/>
        <v>19</v>
      </c>
      <c r="B26" s="8" t="s">
        <v>18</v>
      </c>
      <c r="C26" s="94">
        <v>61936299.716516443</v>
      </c>
      <c r="D26" s="94">
        <v>15456000</v>
      </c>
      <c r="E26" s="94">
        <v>131951.71619285311</v>
      </c>
      <c r="F26" s="94">
        <v>0</v>
      </c>
      <c r="G26" s="94">
        <v>3220.6875852588546</v>
      </c>
      <c r="H26" s="94">
        <v>298656.83723304229</v>
      </c>
      <c r="I26" s="94">
        <v>366353.21282319474</v>
      </c>
      <c r="J26" s="94">
        <v>0</v>
      </c>
      <c r="K26" s="94">
        <v>0</v>
      </c>
      <c r="L26" s="94">
        <v>513328.0520504883</v>
      </c>
      <c r="M26" s="94">
        <v>122633.87343870256</v>
      </c>
      <c r="N26" s="94">
        <v>75748.094553299597</v>
      </c>
      <c r="O26" s="94">
        <v>2178857.087727332</v>
      </c>
      <c r="P26" s="94">
        <v>1095095.7152877271</v>
      </c>
      <c r="Q26" s="94">
        <v>0</v>
      </c>
      <c r="R26" s="94">
        <v>-155026.55819044064</v>
      </c>
      <c r="S26" s="94">
        <v>0</v>
      </c>
      <c r="T26" s="94">
        <v>0</v>
      </c>
      <c r="U26" s="94">
        <v>-11778.210400209855</v>
      </c>
      <c r="V26" s="17">
        <f t="shared" ref="V26:V28" si="14">SUM(E26:U26)</f>
        <v>4619040.5083012478</v>
      </c>
      <c r="W26" s="18">
        <f t="shared" ref="W26:W28" si="15">SUM(V26,D26)</f>
        <v>20075040.508301247</v>
      </c>
      <c r="X26" s="18"/>
      <c r="Y26" s="19">
        <f>-L26</f>
        <v>-513328.0520504883</v>
      </c>
      <c r="Z26" s="18">
        <f t="shared" ref="Z26:Z28" si="16">SUM(W26,Y26)</f>
        <v>19561712.456250757</v>
      </c>
      <c r="AB26" s="20"/>
    </row>
    <row r="27" spans="1:28" x14ac:dyDescent="0.2">
      <c r="A27" s="8">
        <f t="shared" si="0"/>
        <v>20</v>
      </c>
      <c r="B27" s="8" t="s">
        <v>223</v>
      </c>
      <c r="C27" s="94">
        <v>1954952937.6518955</v>
      </c>
      <c r="D27" s="94">
        <v>9459000</v>
      </c>
      <c r="E27" s="94">
        <v>0</v>
      </c>
      <c r="F27" s="94">
        <v>0</v>
      </c>
      <c r="G27" s="94">
        <v>0</v>
      </c>
      <c r="H27" s="94">
        <v>2641141.4187677107</v>
      </c>
      <c r="I27" s="94">
        <v>230684.44664292366</v>
      </c>
      <c r="J27" s="94">
        <v>0</v>
      </c>
      <c r="K27" s="94">
        <v>0</v>
      </c>
      <c r="L27" s="94">
        <v>37144.105815386014</v>
      </c>
      <c r="M27" s="94">
        <v>0</v>
      </c>
      <c r="N27" s="94">
        <v>0</v>
      </c>
      <c r="O27" s="94">
        <v>116160</v>
      </c>
      <c r="P27" s="94">
        <v>58320</v>
      </c>
      <c r="Q27" s="94">
        <v>0</v>
      </c>
      <c r="R27" s="94">
        <v>0</v>
      </c>
      <c r="S27" s="94">
        <v>0</v>
      </c>
      <c r="T27" s="94">
        <v>0</v>
      </c>
      <c r="U27" s="94">
        <v>0</v>
      </c>
      <c r="V27" s="17">
        <f t="shared" si="14"/>
        <v>3083449.9712260203</v>
      </c>
      <c r="W27" s="18">
        <f t="shared" si="15"/>
        <v>12542449.97122602</v>
      </c>
      <c r="X27" s="18"/>
      <c r="Y27" s="19">
        <f>-L27</f>
        <v>-37144.105815386014</v>
      </c>
      <c r="Z27" s="18">
        <f t="shared" si="16"/>
        <v>12505305.865410633</v>
      </c>
      <c r="AB27" s="18"/>
    </row>
    <row r="28" spans="1:28" x14ac:dyDescent="0.2">
      <c r="A28" s="8">
        <f t="shared" si="0"/>
        <v>21</v>
      </c>
      <c r="B28" s="7" t="s">
        <v>174</v>
      </c>
      <c r="C28" s="94">
        <v>289426597.44700003</v>
      </c>
      <c r="D28" s="94">
        <v>3138000</v>
      </c>
      <c r="E28" s="94">
        <v>0</v>
      </c>
      <c r="F28" s="94">
        <v>0</v>
      </c>
      <c r="G28" s="94">
        <v>0</v>
      </c>
      <c r="H28" s="94">
        <v>1518910.7834018562</v>
      </c>
      <c r="I28" s="94">
        <v>177707.93083245802</v>
      </c>
      <c r="J28" s="94">
        <v>0</v>
      </c>
      <c r="K28" s="94">
        <v>0</v>
      </c>
      <c r="L28" s="94">
        <v>211281.41613631003</v>
      </c>
      <c r="M28" s="94">
        <v>0</v>
      </c>
      <c r="N28" s="94">
        <v>0</v>
      </c>
      <c r="O28" s="94">
        <v>521836.15519694105</v>
      </c>
      <c r="P28" s="94">
        <v>262220.49728698202</v>
      </c>
      <c r="Q28" s="94">
        <v>0</v>
      </c>
      <c r="R28" s="94">
        <v>-81328.873882607004</v>
      </c>
      <c r="S28" s="94">
        <v>1096637.3777266832</v>
      </c>
      <c r="T28" s="94">
        <v>0</v>
      </c>
      <c r="U28" s="94">
        <v>0</v>
      </c>
      <c r="V28" s="17">
        <f t="shared" si="14"/>
        <v>3707265.2866986236</v>
      </c>
      <c r="W28" s="18">
        <f t="shared" si="15"/>
        <v>6845265.2866986236</v>
      </c>
      <c r="X28" s="18"/>
      <c r="Y28" s="19">
        <f>-L28</f>
        <v>-211281.41613631003</v>
      </c>
      <c r="Z28" s="18">
        <f t="shared" si="16"/>
        <v>6633983.8705623131</v>
      </c>
      <c r="AB28" s="18"/>
    </row>
    <row r="29" spans="1:28" x14ac:dyDescent="0.2">
      <c r="A29" s="8">
        <f t="shared" si="0"/>
        <v>22</v>
      </c>
      <c r="B29" s="8"/>
      <c r="C29" s="25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7"/>
      <c r="X29" s="27"/>
      <c r="Y29" s="19"/>
      <c r="Z29" s="27"/>
      <c r="AB29" s="18"/>
    </row>
    <row r="30" spans="1:28" ht="10.8" thickBot="1" x14ac:dyDescent="0.25">
      <c r="A30" s="8">
        <f t="shared" si="0"/>
        <v>23</v>
      </c>
      <c r="B30" s="8" t="s">
        <v>224</v>
      </c>
      <c r="C30" s="28">
        <f t="shared" ref="C30:Z30" si="17">SUM(C9,C15,C20,C24,C26:C28)</f>
        <v>22718121536.065468</v>
      </c>
      <c r="D30" s="29">
        <f t="shared" si="17"/>
        <v>2038703000</v>
      </c>
      <c r="E30" s="29">
        <f t="shared" si="17"/>
        <v>44192282.076370336</v>
      </c>
      <c r="F30" s="29"/>
      <c r="G30" s="29">
        <f t="shared" si="17"/>
        <v>1039387.0882957039</v>
      </c>
      <c r="H30" s="29">
        <f t="shared" si="17"/>
        <v>103908851.25310178</v>
      </c>
      <c r="I30" s="29">
        <f t="shared" si="17"/>
        <v>52460923.198254332</v>
      </c>
      <c r="J30" s="29">
        <f t="shared" si="17"/>
        <v>3263707.07681177</v>
      </c>
      <c r="K30" s="29">
        <f t="shared" si="17"/>
        <v>-1417531.3423638302</v>
      </c>
      <c r="L30" s="29">
        <f t="shared" si="17"/>
        <v>51165918.526474573</v>
      </c>
      <c r="M30" s="29">
        <f t="shared" si="17"/>
        <v>36457027.97267729</v>
      </c>
      <c r="N30" s="29">
        <f t="shared" si="17"/>
        <v>50133071.534154348</v>
      </c>
      <c r="O30" s="29">
        <f t="shared" si="17"/>
        <v>181771159.098371</v>
      </c>
      <c r="P30" s="29">
        <f t="shared" si="17"/>
        <v>91358816.37233974</v>
      </c>
      <c r="Q30" s="29">
        <f t="shared" si="17"/>
        <v>6037951.635452861</v>
      </c>
      <c r="R30" s="29">
        <f t="shared" si="17"/>
        <v>-15953062.178875061</v>
      </c>
      <c r="S30" s="29">
        <f t="shared" si="17"/>
        <v>7865641.0369841894</v>
      </c>
      <c r="T30" s="29">
        <f t="shared" si="17"/>
        <v>0</v>
      </c>
      <c r="U30" s="29">
        <f t="shared" si="17"/>
        <v>-75332021.296192527</v>
      </c>
      <c r="V30" s="29">
        <f t="shared" si="17"/>
        <v>536952122.0518564</v>
      </c>
      <c r="W30" s="29">
        <f t="shared" si="17"/>
        <v>2575655122.051857</v>
      </c>
      <c r="X30" s="29"/>
      <c r="Y30" s="30">
        <f t="shared" si="17"/>
        <v>-51165918.526474573</v>
      </c>
      <c r="Z30" s="29">
        <f t="shared" si="17"/>
        <v>2524489203.525382</v>
      </c>
      <c r="AB30" s="18"/>
    </row>
    <row r="31" spans="1:28" ht="10.8" thickTop="1" x14ac:dyDescent="0.2">
      <c r="A31" s="8">
        <f t="shared" si="0"/>
        <v>24</v>
      </c>
      <c r="B31" s="8"/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7"/>
      <c r="X31" s="27"/>
      <c r="Y31" s="19"/>
      <c r="Z31" s="27"/>
      <c r="AB31" s="18"/>
    </row>
    <row r="32" spans="1:28" ht="10.8" thickBot="1" x14ac:dyDescent="0.25">
      <c r="A32" s="8">
        <f t="shared" si="0"/>
        <v>25</v>
      </c>
      <c r="B32" s="8" t="s">
        <v>160</v>
      </c>
      <c r="C32" s="96">
        <v>7096018.3476012228</v>
      </c>
      <c r="X32" s="33"/>
      <c r="Y32" s="32"/>
    </row>
    <row r="33" spans="2:27" x14ac:dyDescent="0.2">
      <c r="W33" s="33">
        <v>0</v>
      </c>
      <c r="X33" s="31"/>
      <c r="Y33" s="33">
        <v>0</v>
      </c>
      <c r="Z33" s="33"/>
    </row>
    <row r="34" spans="2:27" x14ac:dyDescent="0.2">
      <c r="W34" s="31" t="s">
        <v>225</v>
      </c>
      <c r="Y34" s="31" t="s">
        <v>225</v>
      </c>
    </row>
    <row r="35" spans="2:27" x14ac:dyDescent="0.2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</sheetData>
  <printOptions horizontalCentered="1"/>
  <pageMargins left="0.25" right="0.25" top="0.75" bottom="0.75" header="0.3" footer="0.3"/>
  <pageSetup scale="60" fitToWidth="0" orientation="landscape" r:id="rId1"/>
  <headerFooter>
    <oddFooter>&amp;L&amp;"Times New Roman,Regular"&amp;F
&amp;A&amp;R&amp;"Times New Roman,Regular"Page &amp;P of &amp;N</oddFooter>
  </headerFooter>
  <colBreaks count="1" manualBreakCount="1">
    <brk id="26" max="3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showGridLines="0" zoomScaleNormal="100" workbookViewId="0">
      <pane xSplit="3" ySplit="6" topLeftCell="D7" activePane="bottomRight" state="frozen"/>
      <selection activeCell="D6" sqref="D6"/>
      <selection pane="topRight" activeCell="D6" sqref="D6"/>
      <selection pane="bottomLeft" activeCell="D6" sqref="D6"/>
      <selection pane="bottomRight" activeCell="K48" sqref="K48"/>
    </sheetView>
  </sheetViews>
  <sheetFormatPr defaultColWidth="4.5546875" defaultRowHeight="10.199999999999999" x14ac:dyDescent="0.2"/>
  <cols>
    <col min="1" max="1" width="4.44140625" style="139" bestFit="1" customWidth="1"/>
    <col min="2" max="2" width="5.6640625" style="139" bestFit="1" customWidth="1"/>
    <col min="3" max="3" width="56.44140625" style="139" bestFit="1" customWidth="1"/>
    <col min="4" max="6" width="12.88671875" style="140" bestFit="1" customWidth="1"/>
    <col min="7" max="7" width="14" style="140" bestFit="1" customWidth="1"/>
    <col min="8" max="9" width="11.5546875" style="140" bestFit="1" customWidth="1"/>
    <col min="10" max="10" width="9.88671875" style="140" bestFit="1" customWidth="1"/>
    <col min="11" max="11" width="10.6640625" style="140" bestFit="1" customWidth="1"/>
    <col min="12" max="12" width="13.88671875" style="140" bestFit="1" customWidth="1"/>
    <col min="13" max="13" width="11.5546875" style="140" bestFit="1" customWidth="1"/>
    <col min="14" max="14" width="13.109375" style="140" bestFit="1" customWidth="1"/>
    <col min="15" max="15" width="10.6640625" style="140" bestFit="1" customWidth="1"/>
    <col min="16" max="16" width="10.33203125" style="140" bestFit="1" customWidth="1"/>
    <col min="17" max="20" width="4.5546875" style="102"/>
    <col min="21" max="16384" width="4.5546875" style="138"/>
  </cols>
  <sheetData>
    <row r="1" spans="1:20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</row>
    <row r="2" spans="1:20" x14ac:dyDescent="0.2">
      <c r="A2" s="313" t="s">
        <v>285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</row>
    <row r="3" spans="1:20" x14ac:dyDescent="0.2">
      <c r="A3" s="312" t="s">
        <v>241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</row>
    <row r="4" spans="1:20" s="139" customFormat="1" x14ac:dyDescent="0.2"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</row>
    <row r="5" spans="1:20" s="143" customFormat="1" ht="30.6" x14ac:dyDescent="0.2">
      <c r="A5" s="141" t="s">
        <v>1</v>
      </c>
      <c r="B5" s="141" t="s">
        <v>240</v>
      </c>
      <c r="C5" s="142" t="s">
        <v>143</v>
      </c>
      <c r="D5" s="141" t="s">
        <v>35</v>
      </c>
      <c r="E5" s="141" t="s">
        <v>153</v>
      </c>
      <c r="F5" s="141" t="s">
        <v>154</v>
      </c>
      <c r="G5" s="141" t="s">
        <v>155</v>
      </c>
      <c r="H5" s="141" t="s">
        <v>156</v>
      </c>
      <c r="I5" s="141" t="s">
        <v>226</v>
      </c>
      <c r="J5" s="141" t="s">
        <v>227</v>
      </c>
      <c r="K5" s="141" t="s">
        <v>228</v>
      </c>
      <c r="L5" s="141" t="s">
        <v>174</v>
      </c>
      <c r="M5" s="141" t="s">
        <v>157</v>
      </c>
      <c r="N5" s="141" t="s">
        <v>158</v>
      </c>
      <c r="O5" s="141" t="s">
        <v>159</v>
      </c>
      <c r="P5" s="141" t="s">
        <v>160</v>
      </c>
    </row>
    <row r="6" spans="1:20" s="143" customFormat="1" x14ac:dyDescent="0.3"/>
    <row r="7" spans="1:20" x14ac:dyDescent="0.2">
      <c r="C7" s="144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</row>
    <row r="8" spans="1:20" x14ac:dyDescent="0.2"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</row>
    <row r="9" spans="1:20" x14ac:dyDescent="0.2">
      <c r="C9" s="144" t="s">
        <v>144</v>
      </c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</row>
    <row r="10" spans="1:20" s="139" customFormat="1" x14ac:dyDescent="0.2">
      <c r="C10" s="144" t="s">
        <v>145</v>
      </c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</row>
    <row r="11" spans="1:20" s="144" customFormat="1" x14ac:dyDescent="0.2">
      <c r="A11" s="145"/>
      <c r="B11" s="146"/>
      <c r="C11" s="145" t="s">
        <v>148</v>
      </c>
      <c r="D11" s="147"/>
      <c r="E11" s="147"/>
      <c r="F11" s="147"/>
      <c r="G11" s="147"/>
      <c r="H11" s="147"/>
      <c r="I11" s="147"/>
      <c r="J11" s="147"/>
      <c r="K11" s="147"/>
      <c r="L11" s="255">
        <v>2088521.6944946884</v>
      </c>
      <c r="M11" s="147"/>
      <c r="N11" s="255">
        <v>2146412.4596017553</v>
      </c>
      <c r="O11" s="147"/>
      <c r="P11" s="147"/>
      <c r="Q11" s="148"/>
      <c r="R11" s="148"/>
      <c r="S11" s="148"/>
      <c r="T11" s="148"/>
    </row>
    <row r="12" spans="1:20" s="139" customFormat="1" x14ac:dyDescent="0.2">
      <c r="B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40"/>
      <c r="R12" s="140"/>
      <c r="S12" s="140"/>
      <c r="T12" s="140"/>
    </row>
    <row r="13" spans="1:20" s="139" customFormat="1" x14ac:dyDescent="0.2">
      <c r="B13" s="149"/>
      <c r="C13" s="144" t="s">
        <v>146</v>
      </c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40"/>
      <c r="R13" s="140"/>
      <c r="S13" s="140"/>
      <c r="T13" s="140"/>
    </row>
    <row r="14" spans="1:20" s="139" customFormat="1" x14ac:dyDescent="0.2">
      <c r="A14" s="145"/>
      <c r="B14" s="146"/>
      <c r="C14" s="145" t="s">
        <v>148</v>
      </c>
      <c r="D14" s="147"/>
      <c r="E14" s="147"/>
      <c r="F14" s="147"/>
      <c r="G14" s="147"/>
      <c r="H14" s="147"/>
      <c r="I14" s="147"/>
      <c r="J14" s="147"/>
      <c r="K14" s="147"/>
      <c r="L14" s="255">
        <v>0</v>
      </c>
      <c r="M14" s="147"/>
      <c r="N14" s="255">
        <v>0</v>
      </c>
      <c r="O14" s="147"/>
      <c r="P14" s="147"/>
      <c r="Q14" s="140"/>
      <c r="R14" s="140"/>
      <c r="S14" s="140"/>
      <c r="T14" s="140"/>
    </row>
    <row r="15" spans="1:20" s="139" customFormat="1" x14ac:dyDescent="0.2">
      <c r="B15" s="149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40"/>
      <c r="R15" s="140"/>
      <c r="S15" s="140"/>
      <c r="T15" s="140"/>
    </row>
    <row r="16" spans="1:20" s="139" customFormat="1" ht="12" x14ac:dyDescent="0.25">
      <c r="B16" s="149"/>
      <c r="C16" s="258" t="s">
        <v>287</v>
      </c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40"/>
      <c r="R16" s="140"/>
      <c r="S16" s="140"/>
      <c r="T16" s="140"/>
    </row>
    <row r="17" spans="1:20" s="139" customFormat="1" x14ac:dyDescent="0.2">
      <c r="A17" s="151">
        <v>40</v>
      </c>
      <c r="B17" s="152">
        <v>350</v>
      </c>
      <c r="C17" s="153" t="s">
        <v>250</v>
      </c>
      <c r="D17" s="154"/>
      <c r="E17" s="154"/>
      <c r="F17" s="154"/>
      <c r="G17" s="154"/>
      <c r="H17" s="154"/>
      <c r="I17" s="154"/>
      <c r="J17" s="154"/>
      <c r="K17" s="154"/>
      <c r="L17" s="256">
        <v>727108.33277555543</v>
      </c>
      <c r="M17" s="154"/>
      <c r="N17" s="256">
        <v>3742084.9800852239</v>
      </c>
      <c r="O17" s="154"/>
      <c r="P17" s="154"/>
      <c r="Q17" s="140"/>
      <c r="R17" s="140"/>
      <c r="S17" s="140"/>
      <c r="T17" s="140"/>
    </row>
    <row r="18" spans="1:20" s="139" customFormat="1" x14ac:dyDescent="0.2">
      <c r="A18" s="155">
        <v>43</v>
      </c>
      <c r="B18" s="149">
        <v>352</v>
      </c>
      <c r="C18" s="156" t="s">
        <v>251</v>
      </c>
      <c r="D18" s="157"/>
      <c r="E18" s="157"/>
      <c r="F18" s="157"/>
      <c r="G18" s="157"/>
      <c r="H18" s="157"/>
      <c r="I18" s="157"/>
      <c r="J18" s="157"/>
      <c r="K18" s="157"/>
      <c r="L18" s="257">
        <v>97873.181604047204</v>
      </c>
      <c r="M18" s="157"/>
      <c r="N18" s="257">
        <v>503707.28311638371</v>
      </c>
      <c r="O18" s="157"/>
      <c r="P18" s="157"/>
      <c r="Q18" s="140"/>
      <c r="R18" s="140"/>
      <c r="S18" s="140"/>
      <c r="T18" s="140"/>
    </row>
    <row r="19" spans="1:20" s="139" customFormat="1" x14ac:dyDescent="0.2">
      <c r="A19" s="155">
        <v>46</v>
      </c>
      <c r="B19" s="149">
        <v>353</v>
      </c>
      <c r="C19" s="156" t="s">
        <v>252</v>
      </c>
      <c r="D19" s="157"/>
      <c r="E19" s="157"/>
      <c r="F19" s="157"/>
      <c r="G19" s="157"/>
      <c r="H19" s="157"/>
      <c r="I19" s="157"/>
      <c r="J19" s="157"/>
      <c r="K19" s="157"/>
      <c r="L19" s="257">
        <v>6000332.9390573706</v>
      </c>
      <c r="M19" s="157"/>
      <c r="N19" s="257">
        <v>30880894.571852278</v>
      </c>
      <c r="O19" s="157"/>
      <c r="P19" s="157"/>
      <c r="Q19" s="140"/>
      <c r="R19" s="140"/>
      <c r="S19" s="140"/>
      <c r="T19" s="140"/>
    </row>
    <row r="20" spans="1:20" s="139" customFormat="1" x14ac:dyDescent="0.2">
      <c r="A20" s="155">
        <v>49</v>
      </c>
      <c r="B20" s="149">
        <v>353.03</v>
      </c>
      <c r="C20" s="156" t="s">
        <v>286</v>
      </c>
      <c r="D20" s="157"/>
      <c r="E20" s="157"/>
      <c r="F20" s="157"/>
      <c r="G20" s="157"/>
      <c r="H20" s="157"/>
      <c r="I20" s="157"/>
      <c r="J20" s="157"/>
      <c r="K20" s="157"/>
      <c r="L20" s="257">
        <v>0</v>
      </c>
      <c r="M20" s="157"/>
      <c r="N20" s="257">
        <v>405246.35999999993</v>
      </c>
      <c r="O20" s="157"/>
      <c r="P20" s="157"/>
      <c r="Q20" s="140"/>
      <c r="R20" s="140"/>
      <c r="S20" s="140"/>
      <c r="T20" s="140"/>
    </row>
    <row r="21" spans="1:20" s="139" customFormat="1" x14ac:dyDescent="0.2">
      <c r="A21" s="155">
        <v>50</v>
      </c>
      <c r="B21" s="149">
        <v>354</v>
      </c>
      <c r="C21" s="156" t="s">
        <v>253</v>
      </c>
      <c r="D21" s="157"/>
      <c r="E21" s="157"/>
      <c r="F21" s="157"/>
      <c r="G21" s="157"/>
      <c r="H21" s="157"/>
      <c r="I21" s="157"/>
      <c r="J21" s="157"/>
      <c r="K21" s="157"/>
      <c r="L21" s="257">
        <v>338894.41650345991</v>
      </c>
      <c r="M21" s="157"/>
      <c r="N21" s="257">
        <v>1744130.342986736</v>
      </c>
      <c r="O21" s="157"/>
      <c r="P21" s="157"/>
      <c r="Q21" s="140"/>
      <c r="R21" s="140"/>
      <c r="S21" s="140"/>
      <c r="T21" s="140"/>
    </row>
    <row r="22" spans="1:20" s="139" customFormat="1" x14ac:dyDescent="0.2">
      <c r="A22" s="155">
        <v>53</v>
      </c>
      <c r="B22" s="149">
        <v>355</v>
      </c>
      <c r="C22" s="156" t="s">
        <v>254</v>
      </c>
      <c r="D22" s="157"/>
      <c r="E22" s="157"/>
      <c r="F22" s="157"/>
      <c r="G22" s="157"/>
      <c r="H22" s="157"/>
      <c r="I22" s="157"/>
      <c r="J22" s="157"/>
      <c r="K22" s="157"/>
      <c r="L22" s="257">
        <v>4879486.0514717316</v>
      </c>
      <c r="M22" s="157"/>
      <c r="N22" s="257">
        <v>25112422.235689145</v>
      </c>
      <c r="O22" s="157"/>
      <c r="P22" s="157"/>
      <c r="Q22" s="140"/>
      <c r="R22" s="140"/>
      <c r="S22" s="140"/>
      <c r="T22" s="140"/>
    </row>
    <row r="23" spans="1:20" s="139" customFormat="1" x14ac:dyDescent="0.2">
      <c r="A23" s="155">
        <v>56</v>
      </c>
      <c r="B23" s="149">
        <v>356</v>
      </c>
      <c r="C23" s="156" t="s">
        <v>255</v>
      </c>
      <c r="D23" s="157"/>
      <c r="E23" s="157"/>
      <c r="F23" s="157"/>
      <c r="G23" s="157"/>
      <c r="H23" s="157"/>
      <c r="I23" s="157"/>
      <c r="J23" s="157"/>
      <c r="K23" s="157"/>
      <c r="L23" s="257">
        <v>2981397.6929537742</v>
      </c>
      <c r="M23" s="157"/>
      <c r="N23" s="257">
        <v>15343853.210807448</v>
      </c>
      <c r="O23" s="157"/>
      <c r="P23" s="157"/>
      <c r="Q23" s="140"/>
      <c r="R23" s="140"/>
      <c r="S23" s="140"/>
      <c r="T23" s="140"/>
    </row>
    <row r="24" spans="1:20" s="139" customFormat="1" x14ac:dyDescent="0.2">
      <c r="A24" s="155">
        <v>59</v>
      </c>
      <c r="B24" s="149">
        <v>357</v>
      </c>
      <c r="C24" s="156" t="s">
        <v>256</v>
      </c>
      <c r="D24" s="157"/>
      <c r="E24" s="157"/>
      <c r="F24" s="157"/>
      <c r="G24" s="157"/>
      <c r="H24" s="157"/>
      <c r="I24" s="157"/>
      <c r="J24" s="157"/>
      <c r="K24" s="157"/>
      <c r="L24" s="257">
        <v>8340.4170403873395</v>
      </c>
      <c r="M24" s="157"/>
      <c r="N24" s="257">
        <v>42924.208027353779</v>
      </c>
      <c r="O24" s="157"/>
      <c r="P24" s="157"/>
      <c r="Q24" s="140"/>
      <c r="R24" s="140"/>
      <c r="S24" s="140"/>
      <c r="T24" s="140"/>
    </row>
    <row r="25" spans="1:20" s="139" customFormat="1" x14ac:dyDescent="0.2">
      <c r="A25" s="155">
        <v>62</v>
      </c>
      <c r="B25" s="149">
        <v>358</v>
      </c>
      <c r="C25" s="156" t="s">
        <v>257</v>
      </c>
      <c r="D25" s="157"/>
      <c r="E25" s="157"/>
      <c r="F25" s="157"/>
      <c r="G25" s="157"/>
      <c r="H25" s="157"/>
      <c r="I25" s="157"/>
      <c r="J25" s="157"/>
      <c r="K25" s="157"/>
      <c r="L25" s="257">
        <v>34916.160797522607</v>
      </c>
      <c r="M25" s="157"/>
      <c r="N25" s="257">
        <v>179697.0753778748</v>
      </c>
      <c r="O25" s="157"/>
      <c r="P25" s="157"/>
      <c r="Q25" s="140"/>
      <c r="R25" s="140"/>
      <c r="S25" s="140"/>
      <c r="T25" s="140"/>
    </row>
    <row r="26" spans="1:20" s="139" customFormat="1" x14ac:dyDescent="0.2">
      <c r="A26" s="155">
        <v>65</v>
      </c>
      <c r="B26" s="149">
        <v>359</v>
      </c>
      <c r="C26" s="156" t="s">
        <v>258</v>
      </c>
      <c r="D26" s="157"/>
      <c r="E26" s="157"/>
      <c r="F26" s="157"/>
      <c r="G26" s="157"/>
      <c r="H26" s="157"/>
      <c r="I26" s="157"/>
      <c r="J26" s="157"/>
      <c r="K26" s="157"/>
      <c r="L26" s="257">
        <v>16774.219508937505</v>
      </c>
      <c r="M26" s="157"/>
      <c r="N26" s="257">
        <v>86329.026979290109</v>
      </c>
      <c r="O26" s="157"/>
      <c r="P26" s="157"/>
      <c r="Q26" s="140"/>
      <c r="R26" s="140"/>
      <c r="S26" s="140"/>
      <c r="T26" s="140"/>
    </row>
    <row r="27" spans="1:20" s="139" customFormat="1" x14ac:dyDescent="0.2">
      <c r="A27" s="155">
        <v>68</v>
      </c>
      <c r="B27" s="149">
        <v>359.1</v>
      </c>
      <c r="C27" s="156" t="s">
        <v>259</v>
      </c>
      <c r="D27" s="157"/>
      <c r="E27" s="157"/>
      <c r="F27" s="157"/>
      <c r="G27" s="157"/>
      <c r="H27" s="157"/>
      <c r="I27" s="157"/>
      <c r="J27" s="157"/>
      <c r="K27" s="157"/>
      <c r="L27" s="257">
        <v>23465.939751286813</v>
      </c>
      <c r="M27" s="157"/>
      <c r="N27" s="257">
        <v>120768.16717486434</v>
      </c>
      <c r="O27" s="157"/>
      <c r="P27" s="157"/>
      <c r="Q27" s="140"/>
      <c r="R27" s="140"/>
      <c r="S27" s="140"/>
      <c r="T27" s="140"/>
    </row>
    <row r="28" spans="1:20" s="139" customFormat="1" x14ac:dyDescent="0.2">
      <c r="A28" s="145"/>
      <c r="B28" s="146"/>
      <c r="C28" s="145" t="s">
        <v>148</v>
      </c>
      <c r="D28" s="147"/>
      <c r="E28" s="147"/>
      <c r="F28" s="147"/>
      <c r="G28" s="147"/>
      <c r="H28" s="147"/>
      <c r="I28" s="147"/>
      <c r="J28" s="147"/>
      <c r="K28" s="281"/>
      <c r="L28" s="281">
        <f>SUM(L17:L27)</f>
        <v>15108589.351464074</v>
      </c>
      <c r="M28" s="281"/>
      <c r="N28" s="281">
        <f>SUM(N17:N27)</f>
        <v>78162057.462096587</v>
      </c>
      <c r="O28" s="147"/>
      <c r="P28" s="147"/>
      <c r="Q28" s="140"/>
      <c r="R28" s="140"/>
      <c r="S28" s="140"/>
      <c r="T28" s="140"/>
    </row>
    <row r="29" spans="1:20" s="139" customFormat="1" x14ac:dyDescent="0.2">
      <c r="B29" s="149"/>
      <c r="D29" s="150"/>
      <c r="E29" s="150"/>
      <c r="F29" s="150"/>
      <c r="G29" s="150"/>
      <c r="H29" s="150"/>
      <c r="I29" s="150"/>
      <c r="J29" s="150"/>
      <c r="K29" s="282" t="s">
        <v>289</v>
      </c>
      <c r="L29" s="283">
        <v>0</v>
      </c>
      <c r="M29" s="284"/>
      <c r="N29" s="285">
        <v>0</v>
      </c>
      <c r="O29" s="150"/>
      <c r="P29" s="150"/>
      <c r="Q29" s="140"/>
      <c r="R29" s="140"/>
      <c r="S29" s="140"/>
      <c r="T29" s="140"/>
    </row>
    <row r="30" spans="1:20" s="139" customFormat="1" x14ac:dyDescent="0.2">
      <c r="B30" s="149"/>
      <c r="C30" s="144" t="s">
        <v>149</v>
      </c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40"/>
      <c r="R30" s="140"/>
      <c r="S30" s="140"/>
      <c r="T30" s="140"/>
    </row>
    <row r="31" spans="1:20" s="139" customFormat="1" x14ac:dyDescent="0.2">
      <c r="A31" s="145"/>
      <c r="B31" s="146"/>
      <c r="C31" s="145" t="s">
        <v>148</v>
      </c>
      <c r="D31" s="147"/>
      <c r="E31" s="147"/>
      <c r="F31" s="147"/>
      <c r="G31" s="147"/>
      <c r="H31" s="147"/>
      <c r="I31" s="147"/>
      <c r="J31" s="147"/>
      <c r="K31" s="147"/>
      <c r="L31" s="255">
        <v>30156638.506692875</v>
      </c>
      <c r="M31" s="147"/>
      <c r="N31" s="255">
        <v>6657125.1563254716</v>
      </c>
      <c r="O31" s="147"/>
      <c r="P31" s="147"/>
      <c r="Q31" s="140"/>
      <c r="R31" s="140"/>
      <c r="S31" s="140"/>
      <c r="T31" s="140"/>
    </row>
    <row r="32" spans="1:20" s="139" customFormat="1" x14ac:dyDescent="0.2">
      <c r="B32" s="149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40"/>
      <c r="R32" s="140"/>
      <c r="S32" s="140"/>
      <c r="T32" s="140"/>
    </row>
    <row r="33" spans="1:20" s="139" customFormat="1" x14ac:dyDescent="0.2">
      <c r="B33" s="149"/>
      <c r="C33" s="144" t="s">
        <v>147</v>
      </c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40"/>
      <c r="R33" s="140"/>
      <c r="S33" s="140"/>
      <c r="T33" s="140"/>
    </row>
    <row r="34" spans="1:20" s="139" customFormat="1" x14ac:dyDescent="0.2">
      <c r="A34" s="145"/>
      <c r="B34" s="146"/>
      <c r="C34" s="145" t="s">
        <v>148</v>
      </c>
      <c r="D34" s="147"/>
      <c r="E34" s="147"/>
      <c r="F34" s="147"/>
      <c r="G34" s="147"/>
      <c r="H34" s="147"/>
      <c r="I34" s="147"/>
      <c r="J34" s="147"/>
      <c r="K34" s="147"/>
      <c r="L34" s="255">
        <v>2079185.7250598422</v>
      </c>
      <c r="M34" s="147"/>
      <c r="N34" s="255">
        <v>4661140.466515854</v>
      </c>
      <c r="O34" s="147"/>
      <c r="P34" s="147"/>
      <c r="Q34" s="140"/>
      <c r="R34" s="140"/>
      <c r="S34" s="140"/>
      <c r="T34" s="140"/>
    </row>
    <row r="35" spans="1:20" s="139" customFormat="1" x14ac:dyDescent="0.2">
      <c r="B35" s="149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40"/>
      <c r="R35" s="140"/>
      <c r="S35" s="140"/>
      <c r="T35" s="140"/>
    </row>
    <row r="36" spans="1:20" s="139" customFormat="1" x14ac:dyDescent="0.2">
      <c r="A36" s="145"/>
      <c r="B36" s="146"/>
      <c r="C36" s="145" t="s">
        <v>150</v>
      </c>
      <c r="D36" s="255">
        <v>10439578787.393402</v>
      </c>
      <c r="E36" s="255">
        <v>6244370841.5606461</v>
      </c>
      <c r="F36" s="255">
        <v>1276438830.6252151</v>
      </c>
      <c r="G36" s="255">
        <v>1283557035.4489176</v>
      </c>
      <c r="H36" s="255">
        <v>697432814.32802212</v>
      </c>
      <c r="I36" s="255">
        <v>508004591.31084597</v>
      </c>
      <c r="J36" s="255">
        <v>2336669.4426292256</v>
      </c>
      <c r="K36" s="255">
        <v>41021239.176387154</v>
      </c>
      <c r="L36" s="147">
        <f>SUM(L11,L14,L28,L31,L34)</f>
        <v>49432935.277711481</v>
      </c>
      <c r="M36" s="255">
        <v>125253803.07043906</v>
      </c>
      <c r="N36" s="147">
        <f>SUM(N11,N14,N28,N31,N34)</f>
        <v>91626735.544539675</v>
      </c>
      <c r="O36" s="255">
        <v>117495893.47476549</v>
      </c>
      <c r="P36" s="255">
        <v>2607398.1332773012</v>
      </c>
      <c r="Q36" s="140"/>
      <c r="R36" s="140"/>
      <c r="S36" s="140"/>
      <c r="T36" s="140"/>
    </row>
    <row r="38" spans="1:20" s="139" customFormat="1" x14ac:dyDescent="0.2">
      <c r="B38" s="149"/>
      <c r="C38" s="139" t="s">
        <v>151</v>
      </c>
      <c r="D38" s="150"/>
      <c r="E38" s="150"/>
      <c r="F38" s="150"/>
      <c r="G38" s="150"/>
      <c r="H38" s="150"/>
      <c r="I38" s="150"/>
      <c r="J38" s="150"/>
      <c r="K38" s="150"/>
      <c r="L38" s="150">
        <f>-L28</f>
        <v>-15108589.351464074</v>
      </c>
      <c r="M38" s="150"/>
      <c r="N38" s="150">
        <f>-SUM(N17:N19,N21:N27)</f>
        <v>-77756811.102096587</v>
      </c>
      <c r="O38" s="150"/>
      <c r="P38" s="150"/>
      <c r="Q38" s="140"/>
      <c r="R38" s="140"/>
      <c r="S38" s="140"/>
      <c r="T38" s="140"/>
    </row>
    <row r="39" spans="1:20" s="139" customFormat="1" x14ac:dyDescent="0.2">
      <c r="B39" s="149"/>
      <c r="C39" s="139" t="s">
        <v>152</v>
      </c>
      <c r="D39" s="150"/>
      <c r="E39" s="150"/>
      <c r="F39" s="150"/>
      <c r="G39" s="150"/>
      <c r="H39" s="150"/>
      <c r="I39" s="150"/>
      <c r="J39" s="150"/>
      <c r="K39" s="150"/>
      <c r="L39" s="150">
        <f>+L38/SUM(L28,L31)*SUM(L11,L34)</f>
        <v>-1391093.8466148097</v>
      </c>
      <c r="M39" s="150"/>
      <c r="N39" s="150">
        <f>+N38/SUM(N28,N31)*SUM(N11,N34)</f>
        <v>-6240729.8750446197</v>
      </c>
      <c r="O39" s="150"/>
      <c r="P39" s="150"/>
      <c r="Q39" s="140"/>
      <c r="R39" s="140"/>
      <c r="S39" s="140"/>
      <c r="T39" s="140"/>
    </row>
    <row r="40" spans="1:20" s="139" customFormat="1" x14ac:dyDescent="0.2">
      <c r="A40" s="145"/>
      <c r="B40" s="146"/>
      <c r="C40" s="145" t="s">
        <v>288</v>
      </c>
      <c r="D40" s="147">
        <f t="shared" ref="D40:P40" si="0">SUM(D36,D38:D39)</f>
        <v>10439578787.393402</v>
      </c>
      <c r="E40" s="147">
        <f t="shared" si="0"/>
        <v>6244370841.5606461</v>
      </c>
      <c r="F40" s="147">
        <f t="shared" si="0"/>
        <v>1276438830.6252151</v>
      </c>
      <c r="G40" s="147">
        <f t="shared" si="0"/>
        <v>1283557035.4489176</v>
      </c>
      <c r="H40" s="147">
        <f t="shared" si="0"/>
        <v>697432814.32802212</v>
      </c>
      <c r="I40" s="147">
        <f t="shared" si="0"/>
        <v>508004591.31084597</v>
      </c>
      <c r="J40" s="147">
        <f t="shared" si="0"/>
        <v>2336669.4426292256</v>
      </c>
      <c r="K40" s="147">
        <f t="shared" si="0"/>
        <v>41021239.176387154</v>
      </c>
      <c r="L40" s="147">
        <f t="shared" si="0"/>
        <v>32933252.079632595</v>
      </c>
      <c r="M40" s="147">
        <f>SUM(M36,M38:M39)</f>
        <v>125253803.07043906</v>
      </c>
      <c r="N40" s="147">
        <f>SUM(N36,N38:N39)</f>
        <v>7629194.567398468</v>
      </c>
      <c r="O40" s="147">
        <f t="shared" si="0"/>
        <v>117495893.47476549</v>
      </c>
      <c r="P40" s="147">
        <f t="shared" si="0"/>
        <v>2607398.1332773012</v>
      </c>
      <c r="Q40" s="140"/>
      <c r="R40" s="140"/>
      <c r="S40" s="140"/>
      <c r="T40" s="140"/>
    </row>
    <row r="42" spans="1:20" x14ac:dyDescent="0.2">
      <c r="K42" s="277" t="s">
        <v>289</v>
      </c>
      <c r="L42" s="278">
        <v>0</v>
      </c>
      <c r="M42" s="279"/>
      <c r="N42" s="280">
        <v>0</v>
      </c>
    </row>
    <row r="43" spans="1:20" x14ac:dyDescent="0.2">
      <c r="N43" s="138"/>
    </row>
  </sheetData>
  <mergeCells count="3">
    <mergeCell ref="A1:P1"/>
    <mergeCell ref="A2:P2"/>
    <mergeCell ref="A3:P3"/>
  </mergeCells>
  <printOptions horizontalCentered="1"/>
  <pageMargins left="0.25" right="0.25" top="0.53" bottom="0.79" header="0.22" footer="0.46"/>
  <pageSetup scale="55" fitToHeight="0" pageOrder="overThenDown" orientation="landscape" r:id="rId1"/>
  <headerFooter alignWithMargins="0">
    <oddHeader>&amp;RDocket No. UE-19xxxx
ECOS Model
Page &amp;P of &amp;N</oddHeader>
    <oddFooter>&amp;L&amp;F
&amp;A&amp;RExhibit No.___BDJ-4
Pages 12 to 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workbookViewId="0">
      <pane xSplit="3" ySplit="7" topLeftCell="D8" activePane="bottomRight" state="frozen"/>
      <selection activeCell="D6" sqref="D6"/>
      <selection pane="topRight" activeCell="D6" sqref="D6"/>
      <selection pane="bottomLeft" activeCell="D6" sqref="D6"/>
      <selection pane="bottomRight" activeCell="B50" sqref="B50:B51"/>
    </sheetView>
  </sheetViews>
  <sheetFormatPr defaultColWidth="9.109375" defaultRowHeight="10.199999999999999" x14ac:dyDescent="0.2"/>
  <cols>
    <col min="1" max="1" width="3.88671875" style="101" bestFit="1" customWidth="1"/>
    <col min="2" max="2" width="26" style="101" bestFit="1" customWidth="1"/>
    <col min="3" max="3" width="12.109375" style="101" bestFit="1" customWidth="1"/>
    <col min="4" max="4" width="13.88671875" style="101" bestFit="1" customWidth="1"/>
    <col min="5" max="5" width="8.109375" style="101" bestFit="1" customWidth="1"/>
    <col min="6" max="6" width="0.88671875" style="101" customWidth="1"/>
    <col min="7" max="9" width="10.88671875" style="101" bestFit="1" customWidth="1"/>
    <col min="10" max="10" width="0.88671875" style="101" customWidth="1"/>
    <col min="11" max="11" width="12.88671875" style="101" bestFit="1" customWidth="1"/>
    <col min="12" max="12" width="0.88671875" style="101" customWidth="1"/>
    <col min="13" max="15" width="12.109375" style="101" bestFit="1" customWidth="1"/>
    <col min="16" max="16" width="0.88671875" style="101" customWidth="1"/>
    <col min="17" max="17" width="8.33203125" style="101" bestFit="1" customWidth="1"/>
    <col min="18" max="18" width="1.33203125" style="101" customWidth="1"/>
    <col min="19" max="19" width="1.109375" style="101" customWidth="1"/>
    <col min="20" max="20" width="18.88671875" style="101" bestFit="1" customWidth="1"/>
    <col min="21" max="21" width="34.44140625" style="101" bestFit="1" customWidth="1"/>
    <col min="22" max="16384" width="9.109375" style="101"/>
  </cols>
  <sheetData>
    <row r="1" spans="1:21" s="237" customFormat="1" ht="12.75" customHeight="1" x14ac:dyDescent="0.2">
      <c r="A1" s="303" t="s">
        <v>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</row>
    <row r="2" spans="1:21" s="237" customFormat="1" x14ac:dyDescent="0.2">
      <c r="A2" s="303" t="s">
        <v>175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</row>
    <row r="3" spans="1:21" s="237" customFormat="1" x14ac:dyDescent="0.2">
      <c r="A3" s="303" t="s">
        <v>321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</row>
    <row r="4" spans="1:21" s="237" customFormat="1" x14ac:dyDescent="0.2">
      <c r="B4" s="238"/>
      <c r="C4" s="238"/>
      <c r="D4" s="238"/>
    </row>
    <row r="5" spans="1:21" s="239" customFormat="1" ht="10.8" thickBot="1" x14ac:dyDescent="0.25">
      <c r="B5" s="240"/>
      <c r="C5" s="240"/>
    </row>
    <row r="6" spans="1:21" s="243" customFormat="1" ht="61.2" x14ac:dyDescent="0.2">
      <c r="A6" s="241" t="s">
        <v>1</v>
      </c>
      <c r="B6" s="241" t="s">
        <v>2</v>
      </c>
      <c r="C6" s="241" t="s">
        <v>3</v>
      </c>
      <c r="D6" s="242" t="s">
        <v>322</v>
      </c>
      <c r="E6" s="241" t="s">
        <v>4</v>
      </c>
      <c r="F6" s="241"/>
      <c r="G6" s="241" t="s">
        <v>63</v>
      </c>
      <c r="H6" s="242" t="s">
        <v>84</v>
      </c>
      <c r="I6" s="241" t="s">
        <v>71</v>
      </c>
      <c r="J6" s="241"/>
      <c r="K6" s="241" t="s">
        <v>323</v>
      </c>
      <c r="L6" s="241"/>
      <c r="M6" s="242" t="s">
        <v>324</v>
      </c>
      <c r="N6" s="242" t="s">
        <v>325</v>
      </c>
      <c r="O6" s="242" t="s">
        <v>326</v>
      </c>
      <c r="P6" s="241"/>
      <c r="Q6" s="241" t="s">
        <v>72</v>
      </c>
      <c r="T6" s="244" t="s">
        <v>190</v>
      </c>
      <c r="U6" s="245" t="s">
        <v>189</v>
      </c>
    </row>
    <row r="7" spans="1:21" s="103" customFormat="1" ht="20.399999999999999" x14ac:dyDescent="0.2">
      <c r="A7" s="110"/>
      <c r="B7" s="110"/>
      <c r="C7" s="111"/>
      <c r="D7" s="111" t="s">
        <v>30</v>
      </c>
      <c r="E7" s="111" t="s">
        <v>91</v>
      </c>
      <c r="F7" s="158"/>
      <c r="G7" s="159" t="s">
        <v>161</v>
      </c>
      <c r="H7" s="159" t="s">
        <v>162</v>
      </c>
      <c r="I7" s="111" t="s">
        <v>163</v>
      </c>
      <c r="J7" s="112"/>
      <c r="K7" s="111" t="s">
        <v>27</v>
      </c>
      <c r="L7" s="111"/>
      <c r="M7" s="159" t="s">
        <v>164</v>
      </c>
      <c r="N7" s="159" t="s">
        <v>165</v>
      </c>
      <c r="O7" s="159" t="s">
        <v>166</v>
      </c>
      <c r="P7" s="112"/>
      <c r="Q7" s="159" t="s">
        <v>167</v>
      </c>
      <c r="T7" s="160"/>
      <c r="U7" s="161"/>
    </row>
    <row r="8" spans="1:21" s="103" customFormat="1" x14ac:dyDescent="0.2">
      <c r="A8" s="103">
        <v>1</v>
      </c>
      <c r="B8" s="162" t="s">
        <v>7</v>
      </c>
      <c r="C8" s="109"/>
      <c r="D8" s="101"/>
      <c r="F8" s="101"/>
      <c r="K8" s="109"/>
      <c r="L8" s="109"/>
      <c r="T8" s="105"/>
      <c r="U8" s="163"/>
    </row>
    <row r="9" spans="1:21" x14ac:dyDescent="0.2">
      <c r="A9" s="103">
        <f t="shared" ref="A9:A37" si="0">+A8+1</f>
        <v>2</v>
      </c>
      <c r="B9" s="113" t="s">
        <v>7</v>
      </c>
      <c r="C9" s="108">
        <v>7</v>
      </c>
      <c r="D9" s="116">
        <v>6327012747.6898909</v>
      </c>
      <c r="E9" s="164">
        <v>0.59251379477431076</v>
      </c>
      <c r="G9" s="116">
        <v>22185064.930862535</v>
      </c>
      <c r="H9" s="116">
        <v>7962847.1054150034</v>
      </c>
      <c r="I9" s="116">
        <v>30147912.03627754</v>
      </c>
      <c r="J9" s="116"/>
      <c r="K9" s="165">
        <v>10772500000</v>
      </c>
      <c r="L9" s="165"/>
      <c r="M9" s="100">
        <v>2.0590000000000001E-3</v>
      </c>
      <c r="N9" s="100">
        <v>7.3899999999999997E-4</v>
      </c>
      <c r="O9" s="100">
        <v>2.7980000000000001E-3</v>
      </c>
      <c r="Q9" s="116">
        <v>-6457.0362775400281</v>
      </c>
      <c r="R9" s="166"/>
      <c r="S9" s="167"/>
      <c r="T9" s="105" t="s">
        <v>191</v>
      </c>
      <c r="U9" s="163"/>
    </row>
    <row r="10" spans="1:21" x14ac:dyDescent="0.2">
      <c r="A10" s="103">
        <f t="shared" si="0"/>
        <v>3</v>
      </c>
      <c r="B10" s="117" t="s">
        <v>26</v>
      </c>
      <c r="D10" s="119">
        <f>SUM(D9:D9)</f>
        <v>6327012747.6898909</v>
      </c>
      <c r="E10" s="168">
        <f>+D10/$D$35</f>
        <v>0.59251379477431076</v>
      </c>
      <c r="G10" s="119">
        <f>SUM(G9:G9)</f>
        <v>22185064.930862535</v>
      </c>
      <c r="H10" s="119">
        <f>SUM(H9:H9)</f>
        <v>7962847.1054150034</v>
      </c>
      <c r="I10" s="119">
        <f>SUM(I9:I9)</f>
        <v>30147912.03627754</v>
      </c>
      <c r="J10" s="119"/>
      <c r="K10" s="169">
        <f>SUM(K9:K9)</f>
        <v>10772500000</v>
      </c>
      <c r="L10" s="170"/>
      <c r="M10" s="120">
        <f>ROUND(G10/$K10,6)</f>
        <v>2.0590000000000001E-3</v>
      </c>
      <c r="N10" s="120">
        <f>ROUND((H10)/$K10,6)</f>
        <v>7.3899999999999997E-4</v>
      </c>
      <c r="O10" s="120">
        <f>SUM(M10:N10)</f>
        <v>2.7980000000000001E-3</v>
      </c>
      <c r="Q10" s="119">
        <f>SUM(Q9:Q9)</f>
        <v>-6457.0362775400281</v>
      </c>
      <c r="S10" s="40"/>
      <c r="T10" s="105"/>
      <c r="U10" s="163"/>
    </row>
    <row r="11" spans="1:21" x14ac:dyDescent="0.2">
      <c r="A11" s="103">
        <f t="shared" si="0"/>
        <v>4</v>
      </c>
      <c r="D11" s="122"/>
      <c r="E11" s="171"/>
      <c r="G11" s="122"/>
      <c r="H11" s="122"/>
      <c r="I11" s="122"/>
      <c r="J11" s="122"/>
      <c r="K11" s="170"/>
      <c r="L11" s="170"/>
      <c r="M11" s="123"/>
      <c r="N11" s="123"/>
      <c r="O11" s="123"/>
      <c r="Q11" s="122"/>
      <c r="S11" s="40"/>
      <c r="T11" s="105"/>
      <c r="U11" s="163"/>
    </row>
    <row r="12" spans="1:21" x14ac:dyDescent="0.2">
      <c r="A12" s="103">
        <f t="shared" si="0"/>
        <v>5</v>
      </c>
      <c r="B12" s="101" t="s">
        <v>8</v>
      </c>
      <c r="D12" s="122"/>
      <c r="E12" s="171"/>
      <c r="G12" s="122"/>
      <c r="H12" s="122"/>
      <c r="I12" s="122"/>
      <c r="J12" s="122"/>
      <c r="K12" s="170"/>
      <c r="L12" s="170"/>
      <c r="M12" s="123"/>
      <c r="N12" s="123"/>
      <c r="O12" s="123"/>
      <c r="Q12" s="122"/>
      <c r="S12" s="40"/>
      <c r="T12" s="105"/>
      <c r="U12" s="163"/>
    </row>
    <row r="13" spans="1:21" x14ac:dyDescent="0.2">
      <c r="A13" s="103">
        <f t="shared" si="0"/>
        <v>6</v>
      </c>
      <c r="B13" s="124" t="s">
        <v>9</v>
      </c>
      <c r="C13" s="108" t="s">
        <v>74</v>
      </c>
      <c r="D13" s="116">
        <v>1342620656.7711043</v>
      </c>
      <c r="E13" s="164">
        <v>0.12573410106946345</v>
      </c>
      <c r="G13" s="116">
        <v>4707770.8921733582</v>
      </c>
      <c r="H13" s="116">
        <v>1689752.0894585978</v>
      </c>
      <c r="I13" s="116">
        <v>6397522.9816319561</v>
      </c>
      <c r="J13" s="116"/>
      <c r="K13" s="165">
        <v>2721620000</v>
      </c>
      <c r="L13" s="165"/>
      <c r="M13" s="100">
        <v>1.73E-3</v>
      </c>
      <c r="N13" s="100">
        <v>6.2100000000000002E-4</v>
      </c>
      <c r="O13" s="100">
        <v>2.3509999999999998E-3</v>
      </c>
      <c r="Q13" s="116">
        <v>1005.6383680431172</v>
      </c>
      <c r="R13" s="166"/>
      <c r="S13" s="40"/>
      <c r="T13" s="105" t="s">
        <v>191</v>
      </c>
      <c r="U13" s="163"/>
    </row>
    <row r="14" spans="1:21" x14ac:dyDescent="0.2">
      <c r="A14" s="103">
        <f t="shared" si="0"/>
        <v>7</v>
      </c>
      <c r="B14" s="124" t="s">
        <v>10</v>
      </c>
      <c r="C14" s="107" t="s">
        <v>80</v>
      </c>
      <c r="D14" s="116">
        <v>1318719087.6980696</v>
      </c>
      <c r="E14" s="164">
        <v>0.12349576048801056</v>
      </c>
      <c r="G14" s="116">
        <v>4623962.3267443767</v>
      </c>
      <c r="H14" s="116">
        <v>1659670.8255671065</v>
      </c>
      <c r="I14" s="116">
        <v>6283633.1523114834</v>
      </c>
      <c r="J14" s="116"/>
      <c r="K14" s="165">
        <v>2904653000</v>
      </c>
      <c r="L14" s="165"/>
      <c r="M14" s="100">
        <v>1.5920000000000001E-3</v>
      </c>
      <c r="N14" s="100">
        <v>5.71E-4</v>
      </c>
      <c r="O14" s="100">
        <v>2.163E-3</v>
      </c>
      <c r="Q14" s="116">
        <v>-868.71331148315221</v>
      </c>
      <c r="R14" s="166"/>
      <c r="S14" s="40"/>
      <c r="T14" s="105" t="s">
        <v>191</v>
      </c>
      <c r="U14" s="163"/>
    </row>
    <row r="15" spans="1:21" x14ac:dyDescent="0.2">
      <c r="A15" s="103">
        <f t="shared" si="0"/>
        <v>8</v>
      </c>
      <c r="B15" s="124" t="s">
        <v>11</v>
      </c>
      <c r="C15" s="107" t="s">
        <v>92</v>
      </c>
      <c r="D15" s="122">
        <v>733876904.98253739</v>
      </c>
      <c r="E15" s="171">
        <v>6.8726302160082547E-2</v>
      </c>
      <c r="G15" s="122">
        <v>2573269.1615395532</v>
      </c>
      <c r="H15" s="122">
        <v>923619.06346795021</v>
      </c>
      <c r="I15" s="122">
        <v>3496888.2250075033</v>
      </c>
      <c r="J15" s="122"/>
      <c r="K15" s="170">
        <v>1824302000</v>
      </c>
      <c r="L15" s="170"/>
      <c r="M15" s="123">
        <v>1.4109999999999999E-3</v>
      </c>
      <c r="N15" s="100">
        <v>5.0600000000000005E-4</v>
      </c>
      <c r="O15" s="123">
        <v>1.9169999999999999E-3</v>
      </c>
      <c r="Q15" s="122">
        <v>298.70899249659851</v>
      </c>
      <c r="R15" s="166"/>
      <c r="S15" s="40"/>
      <c r="T15" s="105" t="s">
        <v>191</v>
      </c>
      <c r="U15" s="163"/>
    </row>
    <row r="16" spans="1:21" x14ac:dyDescent="0.2">
      <c r="A16" s="103">
        <f t="shared" si="0"/>
        <v>9</v>
      </c>
      <c r="B16" s="125" t="s">
        <v>12</v>
      </c>
      <c r="D16" s="119">
        <f>SUM(D13:D15)</f>
        <v>3395216649.4517112</v>
      </c>
      <c r="E16" s="168">
        <f>+D16/$D$35</f>
        <v>0.31795616371755653</v>
      </c>
      <c r="G16" s="119">
        <f>SUM(G13:G15)</f>
        <v>11905002.380457288</v>
      </c>
      <c r="H16" s="119">
        <f>SUM(H13:H15)</f>
        <v>4273041.9784936551</v>
      </c>
      <c r="I16" s="119">
        <f>SUM(I13:I15)</f>
        <v>16178044.358950943</v>
      </c>
      <c r="J16" s="119"/>
      <c r="K16" s="169">
        <f>SUM(K13:K15)</f>
        <v>7450575000</v>
      </c>
      <c r="L16" s="170"/>
      <c r="M16" s="120">
        <f>ROUND(G16/$K16,6)</f>
        <v>1.598E-3</v>
      </c>
      <c r="N16" s="120">
        <f>ROUND((H16)/$K16,6)</f>
        <v>5.7399999999999997E-4</v>
      </c>
      <c r="O16" s="120">
        <f>SUM(M16:N16)</f>
        <v>2.1719999999999999E-3</v>
      </c>
      <c r="Q16" s="119">
        <f>SUM(Q13:Q15)</f>
        <v>435.63404905656353</v>
      </c>
      <c r="S16" s="40"/>
      <c r="T16" s="105"/>
      <c r="U16" s="163"/>
    </row>
    <row r="17" spans="1:21" x14ac:dyDescent="0.2">
      <c r="A17" s="103">
        <f t="shared" si="0"/>
        <v>10</v>
      </c>
      <c r="D17" s="122"/>
      <c r="E17" s="171"/>
      <c r="G17" s="122"/>
      <c r="H17" s="122"/>
      <c r="I17" s="122"/>
      <c r="J17" s="122"/>
      <c r="K17" s="170"/>
      <c r="L17" s="170"/>
      <c r="M17" s="123"/>
      <c r="N17" s="123"/>
      <c r="O17" s="123"/>
      <c r="Q17" s="122"/>
      <c r="S17" s="40"/>
      <c r="T17" s="105"/>
      <c r="U17" s="163"/>
    </row>
    <row r="18" spans="1:21" x14ac:dyDescent="0.2">
      <c r="A18" s="103">
        <f t="shared" si="0"/>
        <v>11</v>
      </c>
      <c r="B18" s="101" t="s">
        <v>13</v>
      </c>
      <c r="D18" s="122"/>
      <c r="E18" s="171"/>
      <c r="G18" s="122"/>
      <c r="H18" s="122"/>
      <c r="I18" s="122"/>
      <c r="J18" s="122"/>
      <c r="K18" s="170"/>
      <c r="L18" s="170"/>
      <c r="M18" s="123"/>
      <c r="N18" s="123"/>
      <c r="O18" s="123"/>
      <c r="Q18" s="122"/>
      <c r="S18" s="40"/>
      <c r="T18" s="105"/>
      <c r="U18" s="163"/>
    </row>
    <row r="19" spans="1:21" x14ac:dyDescent="0.2">
      <c r="A19" s="103">
        <f t="shared" si="0"/>
        <v>12</v>
      </c>
      <c r="B19" s="124" t="s">
        <v>22</v>
      </c>
      <c r="C19" s="107" t="s">
        <v>81</v>
      </c>
      <c r="D19" s="116">
        <v>542139448.18333435</v>
      </c>
      <c r="E19" s="164">
        <v>5.0770421137090876E-2</v>
      </c>
      <c r="G19" s="116">
        <v>1900960.1116926284</v>
      </c>
      <c r="H19" s="116">
        <v>682308.33536318666</v>
      </c>
      <c r="I19" s="116">
        <v>2583268.4470558148</v>
      </c>
      <c r="J19" s="116"/>
      <c r="K19" s="165">
        <v>1333989000</v>
      </c>
      <c r="L19" s="165"/>
      <c r="M19" s="100">
        <v>1.4250000000000001E-3</v>
      </c>
      <c r="N19" s="100">
        <v>5.1099999999999995E-4</v>
      </c>
      <c r="O19" s="100">
        <v>1.936E-3</v>
      </c>
      <c r="Q19" s="116">
        <v>-665.74305581487715</v>
      </c>
      <c r="R19" s="166"/>
      <c r="S19" s="40"/>
      <c r="T19" s="105" t="s">
        <v>191</v>
      </c>
      <c r="U19" s="163"/>
    </row>
    <row r="20" spans="1:21" x14ac:dyDescent="0.2">
      <c r="A20" s="103">
        <f t="shared" si="0"/>
        <v>13</v>
      </c>
      <c r="B20" s="113" t="s">
        <v>14</v>
      </c>
      <c r="C20" s="108">
        <v>43</v>
      </c>
      <c r="D20" s="116">
        <v>63939436.447782241</v>
      </c>
      <c r="E20" s="164">
        <v>5.9878175746111532E-3</v>
      </c>
      <c r="G20" s="116">
        <v>224197.51718608884</v>
      </c>
      <c r="H20" s="116">
        <v>80470.828295072701</v>
      </c>
      <c r="I20" s="116">
        <v>304668.34548116155</v>
      </c>
      <c r="J20" s="116"/>
      <c r="K20" s="165">
        <v>119574000</v>
      </c>
      <c r="L20" s="165"/>
      <c r="M20" s="100">
        <v>1.8749999999999999E-3</v>
      </c>
      <c r="N20" s="100">
        <v>6.7299999999999999E-4</v>
      </c>
      <c r="O20" s="100">
        <v>2.5479999999999999E-3</v>
      </c>
      <c r="Q20" s="116">
        <v>6.2065188384149224</v>
      </c>
      <c r="R20" s="166"/>
      <c r="S20" s="40"/>
      <c r="T20" s="105" t="s">
        <v>194</v>
      </c>
      <c r="U20" s="163"/>
    </row>
    <row r="21" spans="1:21" x14ac:dyDescent="0.2">
      <c r="A21" s="103">
        <f t="shared" si="0"/>
        <v>14</v>
      </c>
      <c r="B21" s="117" t="s">
        <v>15</v>
      </c>
      <c r="D21" s="119">
        <f>SUM(D19:D20)</f>
        <v>606078884.63111663</v>
      </c>
      <c r="E21" s="168">
        <f>+D21/$D$35</f>
        <v>5.6758238711702033E-2</v>
      </c>
      <c r="G21" s="119">
        <f>SUM(G19:G20)</f>
        <v>2125157.6288787173</v>
      </c>
      <c r="H21" s="119">
        <f>SUM(H19:H20)</f>
        <v>762779.16365825932</v>
      </c>
      <c r="I21" s="119">
        <f>SUM(I19:I20)</f>
        <v>2887936.7925369763</v>
      </c>
      <c r="J21" s="119"/>
      <c r="K21" s="169">
        <f>SUM(K19:K20)</f>
        <v>1453563000</v>
      </c>
      <c r="L21" s="170"/>
      <c r="M21" s="120">
        <f>ROUND(G21/$K21,6)</f>
        <v>1.462E-3</v>
      </c>
      <c r="N21" s="120">
        <f>ROUND((H21)/$K21,6)</f>
        <v>5.2499999999999997E-4</v>
      </c>
      <c r="O21" s="120">
        <f>SUM(M21:N21)</f>
        <v>1.9870000000000001E-3</v>
      </c>
      <c r="Q21" s="119">
        <f>SUM(Q19:Q20)</f>
        <v>-659.53653697646223</v>
      </c>
      <c r="S21" s="40"/>
      <c r="T21" s="105"/>
      <c r="U21" s="163"/>
    </row>
    <row r="22" spans="1:21" x14ac:dyDescent="0.2">
      <c r="A22" s="103">
        <f t="shared" si="0"/>
        <v>15</v>
      </c>
      <c r="D22" s="126"/>
      <c r="E22" s="172"/>
      <c r="G22" s="126"/>
      <c r="H22" s="126"/>
      <c r="I22" s="126"/>
      <c r="J22" s="126"/>
      <c r="K22" s="173"/>
      <c r="L22" s="173"/>
      <c r="M22" s="127"/>
      <c r="N22" s="127"/>
      <c r="O22" s="127"/>
      <c r="Q22" s="126"/>
      <c r="S22" s="40"/>
      <c r="T22" s="105"/>
      <c r="U22" s="163"/>
    </row>
    <row r="23" spans="1:21" x14ac:dyDescent="0.2">
      <c r="A23" s="103">
        <f t="shared" si="0"/>
        <v>16</v>
      </c>
      <c r="B23" s="125" t="s">
        <v>174</v>
      </c>
      <c r="C23" s="108" t="s">
        <v>178</v>
      </c>
      <c r="D23" s="119">
        <v>44346799.411662243</v>
      </c>
      <c r="E23" s="168">
        <v>4.1530010217053935E-3</v>
      </c>
      <c r="G23" s="119">
        <v>155497.80973380845</v>
      </c>
      <c r="H23" s="119">
        <v>55812.560747330172</v>
      </c>
      <c r="I23" s="119">
        <v>211310.37048113861</v>
      </c>
      <c r="J23" s="119"/>
      <c r="K23" s="169">
        <v>289426000</v>
      </c>
      <c r="L23" s="170"/>
      <c r="M23" s="120">
        <v>5.3700000000000004E-4</v>
      </c>
      <c r="N23" s="120">
        <v>1.93E-4</v>
      </c>
      <c r="O23" s="120">
        <v>7.3000000000000007E-4</v>
      </c>
      <c r="Q23" s="119">
        <v>-29.390481138601899</v>
      </c>
      <c r="R23" s="166"/>
      <c r="S23" s="40"/>
      <c r="T23" s="105" t="s">
        <v>191</v>
      </c>
      <c r="U23" s="163" t="s">
        <v>193</v>
      </c>
    </row>
    <row r="24" spans="1:21" x14ac:dyDescent="0.2">
      <c r="A24" s="103">
        <f t="shared" si="0"/>
        <v>17</v>
      </c>
      <c r="D24" s="126"/>
      <c r="E24" s="172"/>
      <c r="G24" s="126"/>
      <c r="H24" s="126"/>
      <c r="I24" s="126"/>
      <c r="J24" s="126"/>
      <c r="K24" s="173"/>
      <c r="L24" s="173"/>
      <c r="M24" s="127"/>
      <c r="N24" s="127"/>
      <c r="O24" s="127"/>
      <c r="Q24" s="126"/>
      <c r="S24" s="40"/>
      <c r="T24" s="105"/>
      <c r="U24" s="163"/>
    </row>
    <row r="25" spans="1:21" x14ac:dyDescent="0.2">
      <c r="A25" s="103">
        <f t="shared" si="0"/>
        <v>18</v>
      </c>
      <c r="B25" s="101" t="s">
        <v>24</v>
      </c>
      <c r="C25" s="107" t="s">
        <v>64</v>
      </c>
      <c r="D25" s="119">
        <v>183018784.99283093</v>
      </c>
      <c r="E25" s="168">
        <v>1.7139392496194953E-2</v>
      </c>
      <c r="G25" s="119">
        <v>641737.86122305633</v>
      </c>
      <c r="H25" s="119">
        <v>230337.86408109262</v>
      </c>
      <c r="I25" s="119">
        <v>872075.72530414897</v>
      </c>
      <c r="J25" s="119"/>
      <c r="K25" s="169">
        <v>602098000</v>
      </c>
      <c r="L25" s="170"/>
      <c r="M25" s="120">
        <v>1.0660000000000001E-3</v>
      </c>
      <c r="N25" s="120">
        <v>3.8299999999999999E-4</v>
      </c>
      <c r="O25" s="120">
        <v>1.4490000000000002E-3</v>
      </c>
      <c r="Q25" s="119">
        <v>364.27669585112017</v>
      </c>
      <c r="R25" s="166"/>
      <c r="S25" s="40"/>
      <c r="T25" s="105" t="s">
        <v>194</v>
      </c>
      <c r="U25" s="163"/>
    </row>
    <row r="26" spans="1:21" x14ac:dyDescent="0.2">
      <c r="A26" s="103">
        <f t="shared" si="0"/>
        <v>19</v>
      </c>
      <c r="D26" s="126"/>
      <c r="E26" s="172"/>
      <c r="G26" s="126"/>
      <c r="H26" s="126"/>
      <c r="I26" s="126"/>
      <c r="J26" s="126"/>
      <c r="K26" s="173"/>
      <c r="L26" s="173"/>
      <c r="M26" s="127"/>
      <c r="N26" s="127"/>
      <c r="O26" s="127"/>
      <c r="Q26" s="126"/>
      <c r="S26" s="40"/>
      <c r="T26" s="174"/>
      <c r="U26" s="163"/>
    </row>
    <row r="27" spans="1:21" x14ac:dyDescent="0.2">
      <c r="A27" s="103">
        <f t="shared" si="0"/>
        <v>20</v>
      </c>
      <c r="B27" s="101" t="s">
        <v>17</v>
      </c>
      <c r="C27" s="108" t="s">
        <v>18</v>
      </c>
      <c r="D27" s="119">
        <v>110970702.81193693</v>
      </c>
      <c r="E27" s="168">
        <v>1.0392214280883215E-2</v>
      </c>
      <c r="G27" s="119">
        <v>389108.15348130174</v>
      </c>
      <c r="H27" s="119">
        <v>139661.91865103084</v>
      </c>
      <c r="I27" s="119">
        <v>528770.0721323326</v>
      </c>
      <c r="J27" s="119"/>
      <c r="K27" s="169">
        <v>63800000</v>
      </c>
      <c r="L27" s="170"/>
      <c r="M27" s="120">
        <v>6.0990000000000003E-3</v>
      </c>
      <c r="N27" s="120">
        <v>2.189E-3</v>
      </c>
      <c r="O27" s="120">
        <v>8.2880000000000002E-3</v>
      </c>
      <c r="Q27" s="119">
        <v>4.3278676674235612</v>
      </c>
      <c r="R27" s="166"/>
      <c r="S27" s="40"/>
      <c r="T27" s="314" t="s">
        <v>192</v>
      </c>
      <c r="U27" s="315"/>
    </row>
    <row r="28" spans="1:21" x14ac:dyDescent="0.2">
      <c r="A28" s="103">
        <f t="shared" si="0"/>
        <v>21</v>
      </c>
      <c r="C28" s="108"/>
      <c r="D28" s="126"/>
      <c r="E28" s="172"/>
      <c r="G28" s="126"/>
      <c r="H28" s="126"/>
      <c r="I28" s="126"/>
      <c r="J28" s="126"/>
      <c r="K28" s="173"/>
      <c r="L28" s="173"/>
      <c r="M28" s="127"/>
      <c r="N28" s="127"/>
      <c r="O28" s="127"/>
      <c r="Q28" s="126"/>
      <c r="S28" s="40"/>
      <c r="T28" s="174"/>
      <c r="U28" s="163"/>
    </row>
    <row r="29" spans="1:21" x14ac:dyDescent="0.2">
      <c r="A29" s="103">
        <f t="shared" si="0"/>
        <v>22</v>
      </c>
      <c r="B29" s="117" t="s">
        <v>21</v>
      </c>
      <c r="C29" s="107" t="s">
        <v>65</v>
      </c>
      <c r="D29" s="119">
        <v>8095585.6017976543</v>
      </c>
      <c r="E29" s="168">
        <v>7.5813758200388973E-4</v>
      </c>
      <c r="G29" s="119">
        <v>28386.396454600552</v>
      </c>
      <c r="H29" s="119">
        <v>10188.680337249327</v>
      </c>
      <c r="I29" s="119">
        <v>38575.076791849875</v>
      </c>
      <c r="J29" s="119"/>
      <c r="K29" s="169">
        <v>1959816000</v>
      </c>
      <c r="L29" s="170"/>
      <c r="M29" s="120">
        <v>1.4E-5</v>
      </c>
      <c r="N29" s="120">
        <v>5.0000000000000004E-6</v>
      </c>
      <c r="O29" s="120">
        <v>1.9000000000000001E-5</v>
      </c>
      <c r="Q29" s="119">
        <v>-1338.5727918498742</v>
      </c>
      <c r="R29" s="166"/>
      <c r="S29" s="40"/>
      <c r="T29" s="314" t="s">
        <v>195</v>
      </c>
      <c r="U29" s="315"/>
    </row>
    <row r="30" spans="1:21" x14ac:dyDescent="0.2">
      <c r="A30" s="103">
        <f t="shared" si="0"/>
        <v>23</v>
      </c>
      <c r="D30" s="126"/>
      <c r="E30" s="172"/>
      <c r="G30" s="126"/>
      <c r="H30" s="126"/>
      <c r="I30" s="126"/>
      <c r="J30" s="126"/>
      <c r="K30" s="173"/>
      <c r="L30" s="173"/>
      <c r="M30" s="127"/>
      <c r="N30" s="127"/>
      <c r="O30" s="127"/>
      <c r="Q30" s="126"/>
      <c r="S30" s="40"/>
      <c r="T30" s="174"/>
      <c r="U30" s="163"/>
    </row>
    <row r="31" spans="1:21" ht="10.8" thickBot="1" x14ac:dyDescent="0.25">
      <c r="A31" s="103">
        <f t="shared" si="0"/>
        <v>24</v>
      </c>
      <c r="B31" s="125" t="s">
        <v>19</v>
      </c>
      <c r="D31" s="129">
        <f>SUM(D10,D16,D21,D23,D25,D27,D29)</f>
        <v>10674740154.590946</v>
      </c>
      <c r="E31" s="175">
        <f>+D31/$D$35</f>
        <v>0.99967094258435674</v>
      </c>
      <c r="G31" s="129">
        <f>SUM(G10,G16,G21,G23,G25,G27,G29)</f>
        <v>37429955.161091313</v>
      </c>
      <c r="H31" s="129">
        <f>SUM(H10,H16,H21,H23,H25,H27,H29)</f>
        <v>13434669.271383623</v>
      </c>
      <c r="I31" s="129">
        <f>SUM(I10,I16,I21,I23,I25,I27,I29)</f>
        <v>50864624.432474934</v>
      </c>
      <c r="J31" s="129"/>
      <c r="K31" s="176">
        <f>SUM(K10,K16,K21,K23,K25,K27,K29)</f>
        <v>22591778000</v>
      </c>
      <c r="L31" s="170"/>
      <c r="M31" s="130">
        <f>ROUND(G31/$K31,6)</f>
        <v>1.6570000000000001E-3</v>
      </c>
      <c r="N31" s="130">
        <f>ROUND((H31)/$K31,6)</f>
        <v>5.9500000000000004E-4</v>
      </c>
      <c r="O31" s="130">
        <f>SUM(M31:N31)</f>
        <v>2.2520000000000001E-3</v>
      </c>
      <c r="Q31" s="129">
        <f>SUM(Q10,Q16,Q21,Q23,Q25,Q27,Q29)</f>
        <v>-7680.2974749298592</v>
      </c>
      <c r="S31" s="40"/>
      <c r="T31" s="174"/>
      <c r="U31" s="163"/>
    </row>
    <row r="32" spans="1:21" ht="10.8" thickTop="1" x14ac:dyDescent="0.2">
      <c r="A32" s="103">
        <f t="shared" si="0"/>
        <v>25</v>
      </c>
      <c r="D32" s="177"/>
      <c r="E32" s="178"/>
      <c r="G32" s="177"/>
      <c r="H32" s="177"/>
      <c r="I32" s="177"/>
      <c r="J32" s="177"/>
      <c r="K32" s="179"/>
      <c r="L32" s="170"/>
      <c r="M32" s="180"/>
      <c r="N32" s="180"/>
      <c r="O32" s="180"/>
      <c r="Q32" s="177"/>
      <c r="S32" s="40"/>
      <c r="T32" s="174"/>
      <c r="U32" s="163"/>
    </row>
    <row r="33" spans="1:21" x14ac:dyDescent="0.2">
      <c r="A33" s="103">
        <f t="shared" si="0"/>
        <v>26</v>
      </c>
      <c r="B33" s="125" t="s">
        <v>208</v>
      </c>
      <c r="D33" s="119">
        <v>3513758.6362680881</v>
      </c>
      <c r="E33" s="168">
        <v>3.2905741564316757E-4</v>
      </c>
      <c r="G33" s="119">
        <v>12320.658516998974</v>
      </c>
      <c r="H33" s="119">
        <v>4422.2327189320358</v>
      </c>
      <c r="I33" s="119">
        <v>16742.891235931009</v>
      </c>
      <c r="J33" s="119"/>
      <c r="K33" s="169">
        <v>7101000</v>
      </c>
      <c r="L33" s="170"/>
      <c r="M33" s="120"/>
      <c r="N33" s="120"/>
      <c r="O33" s="120"/>
      <c r="Q33" s="119"/>
      <c r="R33" s="166"/>
      <c r="S33" s="40"/>
      <c r="T33" s="174"/>
      <c r="U33" s="163"/>
    </row>
    <row r="34" spans="1:21" x14ac:dyDescent="0.2">
      <c r="A34" s="103">
        <f t="shared" si="0"/>
        <v>27</v>
      </c>
      <c r="D34" s="126"/>
      <c r="E34" s="172"/>
      <c r="G34" s="126"/>
      <c r="H34" s="126"/>
      <c r="I34" s="126"/>
      <c r="J34" s="126"/>
      <c r="K34" s="173"/>
      <c r="L34" s="173"/>
      <c r="M34" s="127"/>
      <c r="N34" s="127"/>
      <c r="O34" s="127"/>
      <c r="Q34" s="126"/>
      <c r="S34" s="40"/>
      <c r="T34" s="105"/>
      <c r="U34" s="163"/>
    </row>
    <row r="35" spans="1:21" ht="10.8" thickBot="1" x14ac:dyDescent="0.25">
      <c r="A35" s="103">
        <f t="shared" si="0"/>
        <v>28</v>
      </c>
      <c r="B35" s="125" t="s">
        <v>20</v>
      </c>
      <c r="D35" s="129">
        <f>SUM(D31,D33)</f>
        <v>10678253913.227215</v>
      </c>
      <c r="E35" s="175">
        <f>SUM(E31,E33)</f>
        <v>0.99999999999999989</v>
      </c>
      <c r="G35" s="129">
        <f>SUM(G31,G33)</f>
        <v>37442275.819608308</v>
      </c>
      <c r="H35" s="129">
        <f>SUM(H31,H33)</f>
        <v>13439091.504102554</v>
      </c>
      <c r="I35" s="129">
        <f>SUM(I31,I33)</f>
        <v>50881367.323710866</v>
      </c>
      <c r="J35" s="129"/>
      <c r="K35" s="176">
        <f>SUM(K31,K33)</f>
        <v>22598879000</v>
      </c>
      <c r="L35" s="170"/>
      <c r="M35" s="130">
        <f>ROUND(G35/$K35,6)</f>
        <v>1.6570000000000001E-3</v>
      </c>
      <c r="N35" s="130">
        <f>ROUND((H35)/$K35,6)</f>
        <v>5.9500000000000004E-4</v>
      </c>
      <c r="O35" s="130">
        <f>SUM(M35:N35)</f>
        <v>2.2520000000000001E-3</v>
      </c>
      <c r="P35" s="166"/>
      <c r="Q35" s="129">
        <f>SUM(Q31,Q33)</f>
        <v>-7680.2974749298592</v>
      </c>
      <c r="R35" s="166"/>
      <c r="S35" s="40"/>
      <c r="T35" s="181"/>
      <c r="U35" s="182"/>
    </row>
    <row r="36" spans="1:21" ht="10.8" thickTop="1" x14ac:dyDescent="0.2">
      <c r="A36" s="103">
        <f t="shared" si="0"/>
        <v>29</v>
      </c>
      <c r="P36" s="183"/>
      <c r="R36" s="166"/>
      <c r="T36" s="40"/>
      <c r="U36" s="40"/>
    </row>
    <row r="37" spans="1:21" ht="10.8" thickBot="1" x14ac:dyDescent="0.25">
      <c r="A37" s="103">
        <f t="shared" si="0"/>
        <v>30</v>
      </c>
      <c r="B37" s="101" t="s">
        <v>66</v>
      </c>
      <c r="D37" s="126"/>
      <c r="G37" s="184">
        <v>37442275.819608308</v>
      </c>
      <c r="H37" s="184">
        <v>13439091.504102552</v>
      </c>
      <c r="I37" s="184">
        <v>50881367.323710859</v>
      </c>
      <c r="T37" s="40"/>
      <c r="U37" s="40"/>
    </row>
    <row r="38" spans="1:21" ht="10.8" thickTop="1" x14ac:dyDescent="0.2">
      <c r="G38" s="114" t="s">
        <v>5</v>
      </c>
      <c r="H38" s="114" t="s">
        <v>6</v>
      </c>
      <c r="T38" s="40"/>
      <c r="U38" s="40"/>
    </row>
  </sheetData>
  <mergeCells count="5">
    <mergeCell ref="A1:Q1"/>
    <mergeCell ref="A2:Q2"/>
    <mergeCell ref="A3:Q3"/>
    <mergeCell ref="T27:U27"/>
    <mergeCell ref="T29:U29"/>
  </mergeCells>
  <printOptions horizontalCentered="1"/>
  <pageMargins left="0.7" right="0.7" top="0.75" bottom="0.75" header="0.3" footer="0.3"/>
  <pageSetup scale="57" fitToHeight="0" orientation="landscape" r:id="rId1"/>
  <headerFooter alignWithMargins="0">
    <oddFooter xml:space="preserve">&amp;L&amp;F
&amp;A&amp;RPage &amp;P of &amp;N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6E9E77519CFD240AC15C1F07276AA5E" ma:contentTypeVersion="24" ma:contentTypeDescription="" ma:contentTypeScope="" ma:versionID="eee9e8bd988d9cda705db7b55ff21e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2023-03-31T07:00:00+00:00</OpenedDate>
    <SignificantOrder xmlns="dc463f71-b30c-4ab2-9473-d307f9d35888">false</SignificantOrder>
    <Date1 xmlns="dc463f71-b30c-4ab2-9473-d307f9d35888">2023-03-31T07:00:00+00:00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47F16A8-8706-4048-8BD3-633DD2023F7E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C6382C81-91AA-4D13-8482-FDF550D8676A}"/>
</file>

<file path=customXml/itemProps3.xml><?xml version="1.0" encoding="utf-8"?>
<ds:datastoreItem xmlns:ds="http://schemas.openxmlformats.org/officeDocument/2006/customXml" ds:itemID="{2D3311EF-B989-46BC-8B51-E5FBA0008CA5}"/>
</file>

<file path=customXml/itemProps4.xml><?xml version="1.0" encoding="utf-8"?>
<ds:datastoreItem xmlns:ds="http://schemas.openxmlformats.org/officeDocument/2006/customXml" ds:itemID="{702F4D62-76BE-4493-A542-C4B7FFD8641A}"/>
</file>

<file path=customXml/itemProps5.xml><?xml version="1.0" encoding="utf-8"?>
<ds:datastoreItem xmlns:ds="http://schemas.openxmlformats.org/officeDocument/2006/customXml" ds:itemID="{8A211EE5-EB54-43F5-8302-AD31132CE3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Rate Impacts</vt:lpstr>
      <vt:lpstr>Typical Residential Notice</vt:lpstr>
      <vt:lpstr>Rate Design</vt:lpstr>
      <vt:lpstr>Retail Wheeling Rate Design</vt:lpstr>
      <vt:lpstr>Lighting Rates</vt:lpstr>
      <vt:lpstr>Projected TY Revenues</vt:lpstr>
      <vt:lpstr>Plant-In-Service Trans Adj</vt:lpstr>
      <vt:lpstr>Prior TY Rate Design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Regan, Jared</cp:lastModifiedBy>
  <cp:lastPrinted>2021-03-15T17:22:18Z</cp:lastPrinted>
  <dcterms:created xsi:type="dcterms:W3CDTF">2014-04-04T17:25:38Z</dcterms:created>
  <dcterms:modified xsi:type="dcterms:W3CDTF">2023-03-31T18:55:07Z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0x0101006E56B4D1795A2E4DB2F0B01679ED314A00F6E9E77519CFD240AC15C1F07276AA5E</vt:lpwstr>
  </property>
  <property fmtid="{D5CDD505-2E9C-101B-9397-08002B2CF9AE}" pid="3" name="_docset_NoMedatataSyncRequired">
    <vt:lpwstr>False</vt:lpwstr>
  </property>
</Properties>
</file>