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04-WALLA-Tariff 14/Rate Increase Filings/2023/Submitted Files/"/>
    </mc:Choice>
  </mc:AlternateContent>
  <xr:revisionPtr revIDLastSave="243" documentId="11_57E4D1AABF80D28D06D99D2590EF62A8E065447C" xr6:coauthVersionLast="47" xr6:coauthVersionMax="47" xr10:uidLastSave="{2D7A3713-C912-4863-8257-6022CFDDC095}"/>
  <bookViews>
    <workbookView xWindow="-120" yWindow="-120" windowWidth="29040" windowHeight="15840" activeTab="1" xr2:uid="{00000000-000D-0000-FFFF-FFFF00000000}"/>
  </bookViews>
  <sheets>
    <sheet name="References" sheetId="4" r:id="rId1"/>
    <sheet name="Disposal Increase Calculations" sheetId="7" r:id="rId2"/>
    <sheet name="SourceNotes" sheetId="8" r:id="rId3"/>
  </sheets>
  <definedNames>
    <definedName name="_xlnm._FilterDatabase" localSheetId="1" hidden="1">'Disposal Increase Calculations'!$A$4:$Q$115</definedName>
    <definedName name="_xlnm.Print_Area" localSheetId="1">'Disposal Increase Calculations'!$A$1:$Q$122</definedName>
    <definedName name="_xlnm.Print_Titles" localSheetId="1">'Disposal Increase Calculations'!$4:$4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O49" i="7" l="1"/>
  <c r="G48" i="7"/>
  <c r="G48" i="4" l="1"/>
  <c r="O56" i="7" l="1"/>
  <c r="H56" i="7"/>
  <c r="G6" i="7" l="1"/>
  <c r="G7" i="7"/>
  <c r="G8" i="7"/>
  <c r="G9" i="7"/>
  <c r="G10" i="7"/>
  <c r="G12" i="7"/>
  <c r="G13" i="7"/>
  <c r="G16" i="7"/>
  <c r="H16" i="7" s="1"/>
  <c r="G17" i="7"/>
  <c r="H17" i="7" s="1"/>
  <c r="G18" i="7"/>
  <c r="H18" i="7" s="1"/>
  <c r="G19" i="7"/>
  <c r="H19" i="7" s="1"/>
  <c r="G21" i="7"/>
  <c r="H21" i="7" s="1"/>
  <c r="G22" i="7"/>
  <c r="H22" i="7" s="1"/>
  <c r="G23" i="7"/>
  <c r="H23" i="7" s="1"/>
  <c r="G24" i="7"/>
  <c r="H24" i="7" s="1"/>
  <c r="G26" i="7"/>
  <c r="H26" i="7" s="1"/>
  <c r="G27" i="7"/>
  <c r="H27" i="7" s="1"/>
  <c r="G29" i="7"/>
  <c r="H29" i="7" s="1"/>
  <c r="G30" i="7"/>
  <c r="H30" i="7" s="1"/>
  <c r="G32" i="7"/>
  <c r="H32" i="7" s="1"/>
  <c r="G33" i="7"/>
  <c r="H33" i="7" s="1"/>
  <c r="G34" i="7"/>
  <c r="H34" i="7" s="1"/>
  <c r="G36" i="7"/>
  <c r="H36" i="7" s="1"/>
  <c r="G37" i="7"/>
  <c r="H37" i="7" s="1"/>
  <c r="G38" i="7"/>
  <c r="H38" i="7" s="1"/>
  <c r="G39" i="7"/>
  <c r="H39" i="7" s="1"/>
  <c r="G46" i="7"/>
  <c r="H46" i="7" s="1"/>
  <c r="G47" i="7"/>
  <c r="H47" i="7" s="1"/>
  <c r="H48" i="7"/>
  <c r="G51" i="7"/>
  <c r="H51" i="7" s="1"/>
  <c r="G52" i="7"/>
  <c r="H52" i="7" s="1"/>
  <c r="G53" i="7"/>
  <c r="H53" i="7" s="1"/>
  <c r="G54" i="7"/>
  <c r="H54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N50" i="7"/>
  <c r="N45" i="7"/>
  <c r="N40" i="7"/>
  <c r="N35" i="7"/>
  <c r="N31" i="7"/>
  <c r="N28" i="7"/>
  <c r="N25" i="7"/>
  <c r="N20" i="7"/>
  <c r="H41" i="7"/>
  <c r="H42" i="7"/>
  <c r="H43" i="7"/>
  <c r="H44" i="7"/>
  <c r="H57" i="7"/>
  <c r="H58" i="7"/>
  <c r="D120" i="7"/>
  <c r="C47" i="4"/>
  <c r="C48" i="4"/>
  <c r="G50" i="4"/>
  <c r="G52" i="4" s="1"/>
  <c r="G85" i="7"/>
  <c r="G110" i="7"/>
  <c r="G109" i="7"/>
  <c r="G108" i="7"/>
  <c r="G104" i="7"/>
  <c r="G103" i="7"/>
  <c r="G102" i="7"/>
  <c r="G101" i="7"/>
  <c r="G100" i="7"/>
  <c r="O55" i="7"/>
  <c r="G93" i="7"/>
  <c r="G92" i="7"/>
  <c r="E91" i="7"/>
  <c r="F91" i="7" s="1"/>
  <c r="G91" i="7"/>
  <c r="H99" i="7"/>
  <c r="O40" i="7"/>
  <c r="O31" i="7"/>
  <c r="O28" i="7"/>
  <c r="O25" i="7"/>
  <c r="O20" i="7"/>
  <c r="O50" i="7"/>
  <c r="O35" i="7"/>
  <c r="O45" i="7"/>
  <c r="F75" i="7"/>
  <c r="G80" i="7"/>
  <c r="G81" i="7"/>
  <c r="G82" i="7"/>
  <c r="E83" i="7"/>
  <c r="F83" i="7" s="1"/>
  <c r="G83" i="7"/>
  <c r="G84" i="7"/>
  <c r="G86" i="7"/>
  <c r="G87" i="7"/>
  <c r="G88" i="7"/>
  <c r="G89" i="7"/>
  <c r="G90" i="7"/>
  <c r="D15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8" i="7"/>
  <c r="O57" i="7"/>
  <c r="O52" i="7"/>
  <c r="O53" i="7"/>
  <c r="O54" i="7"/>
  <c r="O6" i="7"/>
  <c r="G107" i="7"/>
  <c r="G106" i="7"/>
  <c r="G105" i="7"/>
  <c r="G98" i="7"/>
  <c r="G97" i="7"/>
  <c r="G96" i="7"/>
  <c r="O44" i="7"/>
  <c r="O46" i="7"/>
  <c r="O47" i="7"/>
  <c r="O48" i="7"/>
  <c r="O51" i="7"/>
  <c r="O7" i="7"/>
  <c r="E75" i="7"/>
  <c r="D75" i="7"/>
  <c r="O19" i="7"/>
  <c r="O18" i="7"/>
  <c r="O21" i="7"/>
  <c r="O22" i="7"/>
  <c r="O17" i="7"/>
  <c r="O23" i="7"/>
  <c r="O24" i="7"/>
  <c r="O26" i="7"/>
  <c r="O27" i="7"/>
  <c r="O29" i="7"/>
  <c r="O30" i="7"/>
  <c r="O32" i="7"/>
  <c r="O33" i="7"/>
  <c r="O34" i="7"/>
  <c r="O36" i="7"/>
  <c r="O37" i="7"/>
  <c r="O38" i="7"/>
  <c r="O39" i="7"/>
  <c r="O41" i="7"/>
  <c r="O42" i="7"/>
  <c r="O43" i="7"/>
  <c r="O16" i="7"/>
  <c r="O9" i="7"/>
  <c r="O10" i="7"/>
  <c r="O12" i="7"/>
  <c r="O13" i="7"/>
  <c r="B54" i="4"/>
  <c r="O8" i="7"/>
  <c r="B3" i="4"/>
  <c r="H3" i="4" s="1"/>
  <c r="B4" i="4"/>
  <c r="C4" i="4" s="1"/>
  <c r="B5" i="4"/>
  <c r="G5" i="4" s="1"/>
  <c r="B6" i="4"/>
  <c r="H6" i="4" s="1"/>
  <c r="H4" i="4"/>
  <c r="C6" i="4"/>
  <c r="E3" i="4"/>
  <c r="F3" i="4"/>
  <c r="D6" i="4"/>
  <c r="B49" i="4"/>
  <c r="B52" i="4" s="1"/>
  <c r="B9" i="4"/>
  <c r="B8" i="4"/>
  <c r="B7" i="4"/>
  <c r="E7" i="7" s="1"/>
  <c r="F7" i="7" s="1"/>
  <c r="F7" i="4"/>
  <c r="E7" i="4"/>
  <c r="F9" i="4"/>
  <c r="E111" i="7" l="1"/>
  <c r="F111" i="7" s="1"/>
  <c r="H111" i="7" s="1"/>
  <c r="E84" i="7"/>
  <c r="F84" i="7" s="1"/>
  <c r="H84" i="7" s="1"/>
  <c r="E85" i="7"/>
  <c r="F85" i="7" s="1"/>
  <c r="H85" i="7" s="1"/>
  <c r="E12" i="7"/>
  <c r="F12" i="7" s="1"/>
  <c r="H12" i="7" s="1"/>
  <c r="C7" i="4"/>
  <c r="E6" i="4"/>
  <c r="D4" i="4"/>
  <c r="H7" i="4"/>
  <c r="F6" i="4"/>
  <c r="C5" i="4"/>
  <c r="E88" i="7"/>
  <c r="F88" i="7" s="1"/>
  <c r="H88" i="7" s="1"/>
  <c r="E98" i="7"/>
  <c r="F98" i="7" s="1"/>
  <c r="H98" i="7" s="1"/>
  <c r="G6" i="4"/>
  <c r="E80" i="7"/>
  <c r="F80" i="7" s="1"/>
  <c r="H80" i="7" s="1"/>
  <c r="E99" i="7"/>
  <c r="C49" i="4"/>
  <c r="P28" i="7"/>
  <c r="Q28" i="7" s="1"/>
  <c r="P31" i="7"/>
  <c r="Q31" i="7" s="1"/>
  <c r="P35" i="7"/>
  <c r="Q35" i="7" s="1"/>
  <c r="P45" i="7"/>
  <c r="Q45" i="7" s="1"/>
  <c r="P50" i="7"/>
  <c r="Q50" i="7" s="1"/>
  <c r="P20" i="7"/>
  <c r="Q20" i="7" s="1"/>
  <c r="P40" i="7"/>
  <c r="Q40" i="7" s="1"/>
  <c r="P25" i="7"/>
  <c r="Q25" i="7" s="1"/>
  <c r="D76" i="7"/>
  <c r="H83" i="7"/>
  <c r="H91" i="7"/>
  <c r="H7" i="7"/>
  <c r="G75" i="7"/>
  <c r="O15" i="7"/>
  <c r="E105" i="7"/>
  <c r="F105" i="7" s="1"/>
  <c r="H105" i="7" s="1"/>
  <c r="D9" i="4"/>
  <c r="E8" i="7"/>
  <c r="F8" i="7" s="1"/>
  <c r="H8" i="7" s="1"/>
  <c r="E13" i="7"/>
  <c r="F13" i="7" s="1"/>
  <c r="H13" i="7" s="1"/>
  <c r="E100" i="7"/>
  <c r="F100" i="7" s="1"/>
  <c r="H100" i="7" s="1"/>
  <c r="E108" i="7"/>
  <c r="F108" i="7" s="1"/>
  <c r="H108" i="7" s="1"/>
  <c r="E103" i="7"/>
  <c r="F103" i="7" s="1"/>
  <c r="H103" i="7" s="1"/>
  <c r="H9" i="4"/>
  <c r="E97" i="7"/>
  <c r="F97" i="7" s="1"/>
  <c r="H97" i="7" s="1"/>
  <c r="G9" i="4"/>
  <c r="E9" i="7"/>
  <c r="F9" i="7" s="1"/>
  <c r="H9" i="7" s="1"/>
  <c r="E104" i="7"/>
  <c r="F104" i="7" s="1"/>
  <c r="H104" i="7" s="1"/>
  <c r="E107" i="7"/>
  <c r="F107" i="7" s="1"/>
  <c r="H107" i="7" s="1"/>
  <c r="E96" i="7"/>
  <c r="F96" i="7" s="1"/>
  <c r="H96" i="7" s="1"/>
  <c r="E9" i="4"/>
  <c r="E109" i="7"/>
  <c r="F109" i="7" s="1"/>
  <c r="H109" i="7" s="1"/>
  <c r="E86" i="7"/>
  <c r="F86" i="7" s="1"/>
  <c r="H86" i="7" s="1"/>
  <c r="C9" i="4"/>
  <c r="E87" i="7" s="1"/>
  <c r="F87" i="7" s="1"/>
  <c r="H87" i="7" s="1"/>
  <c r="E110" i="7"/>
  <c r="F110" i="7" s="1"/>
  <c r="H110" i="7" s="1"/>
  <c r="B53" i="4"/>
  <c r="B55" i="4" s="1"/>
  <c r="E106" i="7"/>
  <c r="F106" i="7" s="1"/>
  <c r="H106" i="7" s="1"/>
  <c r="H75" i="7"/>
  <c r="H8" i="4"/>
  <c r="E8" i="4"/>
  <c r="G8" i="4"/>
  <c r="F8" i="4"/>
  <c r="C8" i="4"/>
  <c r="E92" i="7"/>
  <c r="F92" i="7" s="1"/>
  <c r="H92" i="7" s="1"/>
  <c r="F4" i="4"/>
  <c r="E4" i="4"/>
  <c r="G4" i="4"/>
  <c r="O75" i="7"/>
  <c r="E93" i="7"/>
  <c r="F93" i="7" s="1"/>
  <c r="H93" i="7" s="1"/>
  <c r="E102" i="7"/>
  <c r="F102" i="7" s="1"/>
  <c r="H102" i="7" s="1"/>
  <c r="D8" i="4"/>
  <c r="D5" i="4"/>
  <c r="E5" i="4"/>
  <c r="H5" i="4"/>
  <c r="F5" i="4"/>
  <c r="D3" i="4"/>
  <c r="G3" i="4"/>
  <c r="C3" i="4"/>
  <c r="E101" i="7"/>
  <c r="F101" i="7" s="1"/>
  <c r="H101" i="7" s="1"/>
  <c r="E89" i="7"/>
  <c r="F89" i="7" s="1"/>
  <c r="H89" i="7" s="1"/>
  <c r="E81" i="7"/>
  <c r="F81" i="7" s="1"/>
  <c r="H81" i="7" s="1"/>
  <c r="E90" i="7"/>
  <c r="F90" i="7" s="1"/>
  <c r="H90" i="7" s="1"/>
  <c r="G7" i="4"/>
  <c r="E6" i="7"/>
  <c r="F6" i="7" s="1"/>
  <c r="E10" i="7"/>
  <c r="F10" i="7" s="1"/>
  <c r="H10" i="7" s="1"/>
  <c r="E82" i="7"/>
  <c r="F82" i="7" s="1"/>
  <c r="H82" i="7" s="1"/>
  <c r="D7" i="4"/>
  <c r="O76" i="7" l="1"/>
  <c r="F15" i="7"/>
  <c r="H6" i="7"/>
  <c r="H15" i="7" s="1"/>
  <c r="H76" i="7" s="1"/>
  <c r="D122" i="7" s="1"/>
  <c r="I49" i="7" s="1"/>
  <c r="J49" i="7" s="1"/>
  <c r="K49" i="7" s="1"/>
  <c r="L49" i="7" s="1"/>
  <c r="N49" i="7" s="1"/>
  <c r="P49" i="7" l="1"/>
  <c r="Q49" i="7" s="1"/>
  <c r="I56" i="7"/>
  <c r="J56" i="7" s="1"/>
  <c r="K56" i="7" s="1"/>
  <c r="L56" i="7" s="1"/>
  <c r="N56" i="7" s="1"/>
  <c r="I72" i="7"/>
  <c r="J72" i="7" s="1"/>
  <c r="K72" i="7" s="1"/>
  <c r="L72" i="7" s="1"/>
  <c r="N72" i="7" s="1"/>
  <c r="I64" i="7"/>
  <c r="J64" i="7" s="1"/>
  <c r="K64" i="7" s="1"/>
  <c r="L64" i="7" s="1"/>
  <c r="N64" i="7" s="1"/>
  <c r="I54" i="7"/>
  <c r="J54" i="7" s="1"/>
  <c r="K54" i="7" s="1"/>
  <c r="L54" i="7" s="1"/>
  <c r="N54" i="7" s="1"/>
  <c r="I9" i="7"/>
  <c r="J9" i="7" s="1"/>
  <c r="K9" i="7" s="1"/>
  <c r="L9" i="7" s="1"/>
  <c r="N9" i="7" s="1"/>
  <c r="I73" i="7"/>
  <c r="J73" i="7" s="1"/>
  <c r="K73" i="7" s="1"/>
  <c r="L73" i="7" s="1"/>
  <c r="N73" i="7" s="1"/>
  <c r="I65" i="7"/>
  <c r="J65" i="7" s="1"/>
  <c r="K65" i="7" s="1"/>
  <c r="L65" i="7" s="1"/>
  <c r="N65" i="7" s="1"/>
  <c r="I55" i="7"/>
  <c r="J55" i="7" s="1"/>
  <c r="K55" i="7" s="1"/>
  <c r="L55" i="7" s="1"/>
  <c r="N55" i="7" s="1"/>
  <c r="I67" i="7"/>
  <c r="J67" i="7" s="1"/>
  <c r="K67" i="7" s="1"/>
  <c r="L67" i="7" s="1"/>
  <c r="N67" i="7" s="1"/>
  <c r="I58" i="7"/>
  <c r="J58" i="7" s="1"/>
  <c r="K58" i="7" s="1"/>
  <c r="L58" i="7" s="1"/>
  <c r="N58" i="7" s="1"/>
  <c r="I36" i="7"/>
  <c r="J36" i="7" s="1"/>
  <c r="K36" i="7" s="1"/>
  <c r="L36" i="7" s="1"/>
  <c r="N36" i="7" s="1"/>
  <c r="I32" i="7"/>
  <c r="J32" i="7" s="1"/>
  <c r="K32" i="7" s="1"/>
  <c r="L32" i="7" s="1"/>
  <c r="N32" i="7" s="1"/>
  <c r="I16" i="7"/>
  <c r="I93" i="7"/>
  <c r="J93" i="7" s="1"/>
  <c r="K93" i="7" s="1"/>
  <c r="L93" i="7" s="1"/>
  <c r="N93" i="7" s="1"/>
  <c r="I80" i="7"/>
  <c r="J80" i="7" s="1"/>
  <c r="K80" i="7" s="1"/>
  <c r="L80" i="7" s="1"/>
  <c r="N80" i="7" s="1"/>
  <c r="I47" i="7"/>
  <c r="J47" i="7" s="1"/>
  <c r="K47" i="7" s="1"/>
  <c r="L47" i="7" s="1"/>
  <c r="N47" i="7" s="1"/>
  <c r="I24" i="7"/>
  <c r="J24" i="7" s="1"/>
  <c r="K24" i="7" s="1"/>
  <c r="L24" i="7" s="1"/>
  <c r="N24" i="7" s="1"/>
  <c r="I22" i="7"/>
  <c r="J22" i="7" s="1"/>
  <c r="K22" i="7" s="1"/>
  <c r="L22" i="7" s="1"/>
  <c r="N22" i="7" s="1"/>
  <c r="I18" i="7"/>
  <c r="J18" i="7" s="1"/>
  <c r="K18" i="7" s="1"/>
  <c r="L18" i="7" s="1"/>
  <c r="N18" i="7" s="1"/>
  <c r="I100" i="7"/>
  <c r="J100" i="7" s="1"/>
  <c r="K100" i="7" s="1"/>
  <c r="L100" i="7" s="1"/>
  <c r="N100" i="7" s="1"/>
  <c r="I103" i="7"/>
  <c r="J103" i="7" s="1"/>
  <c r="K103" i="7" s="1"/>
  <c r="L103" i="7" s="1"/>
  <c r="N103" i="7" s="1"/>
  <c r="I83" i="7"/>
  <c r="J83" i="7" s="1"/>
  <c r="K83" i="7" s="1"/>
  <c r="L83" i="7" s="1"/>
  <c r="N83" i="7" s="1"/>
  <c r="I98" i="7"/>
  <c r="J98" i="7" s="1"/>
  <c r="K98" i="7" s="1"/>
  <c r="L98" i="7" s="1"/>
  <c r="N98" i="7" s="1"/>
  <c r="I109" i="7"/>
  <c r="J109" i="7" s="1"/>
  <c r="K109" i="7" s="1"/>
  <c r="L109" i="7" s="1"/>
  <c r="N109" i="7" s="1"/>
  <c r="I104" i="7"/>
  <c r="J104" i="7" s="1"/>
  <c r="K104" i="7" s="1"/>
  <c r="L104" i="7" s="1"/>
  <c r="N104" i="7" s="1"/>
  <c r="I88" i="7"/>
  <c r="J88" i="7" s="1"/>
  <c r="K88" i="7" s="1"/>
  <c r="L88" i="7" s="1"/>
  <c r="N88" i="7" s="1"/>
  <c r="I52" i="7"/>
  <c r="J52" i="7" s="1"/>
  <c r="K52" i="7" s="1"/>
  <c r="L52" i="7" s="1"/>
  <c r="N52" i="7" s="1"/>
  <c r="I30" i="7"/>
  <c r="J30" i="7" s="1"/>
  <c r="K30" i="7" s="1"/>
  <c r="L30" i="7" s="1"/>
  <c r="N30" i="7" s="1"/>
  <c r="I26" i="7"/>
  <c r="J26" i="7" s="1"/>
  <c r="K26" i="7" s="1"/>
  <c r="L26" i="7" s="1"/>
  <c r="N26" i="7" s="1"/>
  <c r="I10" i="7"/>
  <c r="J10" i="7" s="1"/>
  <c r="K10" i="7" s="1"/>
  <c r="L10" i="7" s="1"/>
  <c r="N10" i="7" s="1"/>
  <c r="I7" i="7"/>
  <c r="J7" i="7" s="1"/>
  <c r="K7" i="7" s="1"/>
  <c r="L7" i="7" s="1"/>
  <c r="N7" i="7" s="1"/>
  <c r="I111" i="7"/>
  <c r="J111" i="7" s="1"/>
  <c r="K111" i="7" s="1"/>
  <c r="L111" i="7" s="1"/>
  <c r="N111" i="7" s="1"/>
  <c r="I70" i="7"/>
  <c r="J70" i="7" s="1"/>
  <c r="K70" i="7" s="1"/>
  <c r="L70" i="7" s="1"/>
  <c r="N70" i="7" s="1"/>
  <c r="I68" i="7"/>
  <c r="J68" i="7" s="1"/>
  <c r="K68" i="7" s="1"/>
  <c r="L68" i="7" s="1"/>
  <c r="N68" i="7" s="1"/>
  <c r="I44" i="7"/>
  <c r="J44" i="7" s="1"/>
  <c r="K44" i="7" s="1"/>
  <c r="L44" i="7" s="1"/>
  <c r="N44" i="7" s="1"/>
  <c r="I42" i="7"/>
  <c r="J42" i="7" s="1"/>
  <c r="K42" i="7" s="1"/>
  <c r="L42" i="7" s="1"/>
  <c r="N42" i="7" s="1"/>
  <c r="I38" i="7"/>
  <c r="J38" i="7" s="1"/>
  <c r="K38" i="7" s="1"/>
  <c r="L38" i="7" s="1"/>
  <c r="N38" i="7" s="1"/>
  <c r="I85" i="7"/>
  <c r="J85" i="7" s="1"/>
  <c r="K85" i="7" s="1"/>
  <c r="L85" i="7" s="1"/>
  <c r="N85" i="7" s="1"/>
  <c r="I92" i="7"/>
  <c r="J92" i="7" s="1"/>
  <c r="K92" i="7" s="1"/>
  <c r="L92" i="7" s="1"/>
  <c r="N92" i="7" s="1"/>
  <c r="I81" i="7"/>
  <c r="J81" i="7" s="1"/>
  <c r="K81" i="7" s="1"/>
  <c r="L81" i="7" s="1"/>
  <c r="N81" i="7" s="1"/>
  <c r="I97" i="7"/>
  <c r="J97" i="7" s="1"/>
  <c r="K97" i="7" s="1"/>
  <c r="L97" i="7" s="1"/>
  <c r="N97" i="7" s="1"/>
  <c r="I66" i="7"/>
  <c r="J66" i="7" s="1"/>
  <c r="K66" i="7" s="1"/>
  <c r="L66" i="7" s="1"/>
  <c r="N66" i="7" s="1"/>
  <c r="I48" i="7"/>
  <c r="J48" i="7" s="1"/>
  <c r="K48" i="7" s="1"/>
  <c r="L48" i="7" s="1"/>
  <c r="N48" i="7" s="1"/>
  <c r="I46" i="7"/>
  <c r="J46" i="7" s="1"/>
  <c r="K46" i="7" s="1"/>
  <c r="L46" i="7" s="1"/>
  <c r="N46" i="7" s="1"/>
  <c r="I23" i="7"/>
  <c r="J23" i="7" s="1"/>
  <c r="K23" i="7" s="1"/>
  <c r="L23" i="7" s="1"/>
  <c r="N23" i="7" s="1"/>
  <c r="I21" i="7"/>
  <c r="J21" i="7" s="1"/>
  <c r="K21" i="7" s="1"/>
  <c r="L21" i="7" s="1"/>
  <c r="N21" i="7" s="1"/>
  <c r="I19" i="7"/>
  <c r="J19" i="7" s="1"/>
  <c r="K19" i="7" s="1"/>
  <c r="L19" i="7" s="1"/>
  <c r="N19" i="7" s="1"/>
  <c r="I17" i="7"/>
  <c r="J17" i="7" s="1"/>
  <c r="K17" i="7" s="1"/>
  <c r="L17" i="7" s="1"/>
  <c r="N17" i="7" s="1"/>
  <c r="I8" i="7"/>
  <c r="J8" i="7" s="1"/>
  <c r="K8" i="7" s="1"/>
  <c r="L8" i="7" s="1"/>
  <c r="N8" i="7" s="1"/>
  <c r="I101" i="7"/>
  <c r="J101" i="7" s="1"/>
  <c r="K101" i="7" s="1"/>
  <c r="L101" i="7" s="1"/>
  <c r="N101" i="7" s="1"/>
  <c r="I86" i="7"/>
  <c r="J86" i="7" s="1"/>
  <c r="K86" i="7" s="1"/>
  <c r="L86" i="7" s="1"/>
  <c r="N86" i="7" s="1"/>
  <c r="I106" i="7"/>
  <c r="J106" i="7" s="1"/>
  <c r="K106" i="7" s="1"/>
  <c r="L106" i="7" s="1"/>
  <c r="N106" i="7" s="1"/>
  <c r="I62" i="7"/>
  <c r="J62" i="7" s="1"/>
  <c r="K62" i="7" s="1"/>
  <c r="L62" i="7" s="1"/>
  <c r="N62" i="7" s="1"/>
  <c r="I41" i="7"/>
  <c r="J41" i="7" s="1"/>
  <c r="K41" i="7" s="1"/>
  <c r="L41" i="7" s="1"/>
  <c r="N41" i="7" s="1"/>
  <c r="I34" i="7"/>
  <c r="J34" i="7" s="1"/>
  <c r="K34" i="7" s="1"/>
  <c r="L34" i="7" s="1"/>
  <c r="N34" i="7" s="1"/>
  <c r="I102" i="7"/>
  <c r="J102" i="7" s="1"/>
  <c r="K102" i="7" s="1"/>
  <c r="L102" i="7" s="1"/>
  <c r="N102" i="7" s="1"/>
  <c r="I87" i="7"/>
  <c r="J87" i="7" s="1"/>
  <c r="K87" i="7" s="1"/>
  <c r="L87" i="7" s="1"/>
  <c r="N87" i="7" s="1"/>
  <c r="I60" i="7"/>
  <c r="J60" i="7" s="1"/>
  <c r="K60" i="7" s="1"/>
  <c r="L60" i="7" s="1"/>
  <c r="N60" i="7" s="1"/>
  <c r="I43" i="7"/>
  <c r="J43" i="7" s="1"/>
  <c r="K43" i="7" s="1"/>
  <c r="L43" i="7" s="1"/>
  <c r="N43" i="7" s="1"/>
  <c r="I110" i="7"/>
  <c r="J110" i="7" s="1"/>
  <c r="K110" i="7" s="1"/>
  <c r="L110" i="7" s="1"/>
  <c r="N110" i="7" s="1"/>
  <c r="I27" i="7"/>
  <c r="J27" i="7" s="1"/>
  <c r="K27" i="7" s="1"/>
  <c r="L27" i="7" s="1"/>
  <c r="N27" i="7" s="1"/>
  <c r="I53" i="7"/>
  <c r="J53" i="7" s="1"/>
  <c r="K53" i="7" s="1"/>
  <c r="L53" i="7" s="1"/>
  <c r="N53" i="7" s="1"/>
  <c r="I108" i="7"/>
  <c r="J108" i="7" s="1"/>
  <c r="K108" i="7" s="1"/>
  <c r="L108" i="7" s="1"/>
  <c r="N108" i="7" s="1"/>
  <c r="I69" i="7"/>
  <c r="J69" i="7" s="1"/>
  <c r="K69" i="7" s="1"/>
  <c r="L69" i="7" s="1"/>
  <c r="N69" i="7" s="1"/>
  <c r="I57" i="7"/>
  <c r="J57" i="7" s="1"/>
  <c r="K57" i="7" s="1"/>
  <c r="L57" i="7" s="1"/>
  <c r="N57" i="7" s="1"/>
  <c r="I37" i="7"/>
  <c r="J37" i="7" s="1"/>
  <c r="K37" i="7" s="1"/>
  <c r="L37" i="7" s="1"/>
  <c r="N37" i="7" s="1"/>
  <c r="I29" i="7"/>
  <c r="J29" i="7" s="1"/>
  <c r="K29" i="7" s="1"/>
  <c r="L29" i="7" s="1"/>
  <c r="N29" i="7" s="1"/>
  <c r="I6" i="7"/>
  <c r="I99" i="7"/>
  <c r="J99" i="7" s="1"/>
  <c r="K99" i="7" s="1"/>
  <c r="L99" i="7" s="1"/>
  <c r="N99" i="7" s="1"/>
  <c r="I90" i="7"/>
  <c r="J90" i="7" s="1"/>
  <c r="K90" i="7" s="1"/>
  <c r="L90" i="7" s="1"/>
  <c r="N90" i="7" s="1"/>
  <c r="I84" i="7"/>
  <c r="J84" i="7" s="1"/>
  <c r="K84" i="7" s="1"/>
  <c r="L84" i="7" s="1"/>
  <c r="N84" i="7" s="1"/>
  <c r="I51" i="7"/>
  <c r="J51" i="7" s="1"/>
  <c r="K51" i="7" s="1"/>
  <c r="L51" i="7" s="1"/>
  <c r="N51" i="7" s="1"/>
  <c r="I89" i="7"/>
  <c r="J89" i="7" s="1"/>
  <c r="K89" i="7" s="1"/>
  <c r="L89" i="7" s="1"/>
  <c r="N89" i="7" s="1"/>
  <c r="I71" i="7"/>
  <c r="J71" i="7" s="1"/>
  <c r="K71" i="7" s="1"/>
  <c r="L71" i="7" s="1"/>
  <c r="N71" i="7" s="1"/>
  <c r="I91" i="7"/>
  <c r="J91" i="7" s="1"/>
  <c r="K91" i="7" s="1"/>
  <c r="L91" i="7" s="1"/>
  <c r="N91" i="7" s="1"/>
  <c r="I107" i="7"/>
  <c r="J107" i="7" s="1"/>
  <c r="K107" i="7" s="1"/>
  <c r="L107" i="7" s="1"/>
  <c r="N107" i="7" s="1"/>
  <c r="I61" i="7"/>
  <c r="J61" i="7" s="1"/>
  <c r="K61" i="7" s="1"/>
  <c r="L61" i="7" s="1"/>
  <c r="N61" i="7" s="1"/>
  <c r="I33" i="7"/>
  <c r="J33" i="7" s="1"/>
  <c r="K33" i="7" s="1"/>
  <c r="L33" i="7" s="1"/>
  <c r="N33" i="7" s="1"/>
  <c r="I12" i="7"/>
  <c r="J12" i="7" s="1"/>
  <c r="K12" i="7" s="1"/>
  <c r="L12" i="7" s="1"/>
  <c r="N12" i="7" s="1"/>
  <c r="I105" i="7"/>
  <c r="J105" i="7" s="1"/>
  <c r="K105" i="7" s="1"/>
  <c r="L105" i="7" s="1"/>
  <c r="N105" i="7" s="1"/>
  <c r="I39" i="7"/>
  <c r="J39" i="7" s="1"/>
  <c r="K39" i="7" s="1"/>
  <c r="L39" i="7" s="1"/>
  <c r="N39" i="7" s="1"/>
  <c r="I63" i="7"/>
  <c r="J63" i="7" s="1"/>
  <c r="K63" i="7" s="1"/>
  <c r="L63" i="7" s="1"/>
  <c r="N63" i="7" s="1"/>
  <c r="I96" i="7"/>
  <c r="J96" i="7" s="1"/>
  <c r="K96" i="7" s="1"/>
  <c r="L96" i="7" s="1"/>
  <c r="N96" i="7" s="1"/>
  <c r="I13" i="7"/>
  <c r="J13" i="7" s="1"/>
  <c r="K13" i="7" s="1"/>
  <c r="L13" i="7" s="1"/>
  <c r="N13" i="7" s="1"/>
  <c r="I82" i="7"/>
  <c r="J82" i="7" s="1"/>
  <c r="K82" i="7" s="1"/>
  <c r="L82" i="7" s="1"/>
  <c r="N82" i="7" s="1"/>
  <c r="F76" i="7"/>
  <c r="D121" i="7"/>
  <c r="P62" i="7" l="1"/>
  <c r="Q62" i="7" s="1"/>
  <c r="P64" i="7"/>
  <c r="Q64" i="7" s="1"/>
  <c r="P60" i="7"/>
  <c r="Q60" i="7" s="1"/>
  <c r="P66" i="7"/>
  <c r="Q66" i="7" s="1"/>
  <c r="P68" i="7"/>
  <c r="Q68" i="7" s="1"/>
  <c r="P72" i="7"/>
  <c r="Q72" i="7" s="1"/>
  <c r="P70" i="7"/>
  <c r="Q70" i="7" s="1"/>
  <c r="P42" i="7"/>
  <c r="Q42" i="7" s="1"/>
  <c r="P37" i="7"/>
  <c r="Q37" i="7" s="1"/>
  <c r="P22" i="7"/>
  <c r="Q22" i="7" s="1"/>
  <c r="P33" i="7"/>
  <c r="Q33" i="7" s="1"/>
  <c r="P27" i="7"/>
  <c r="Q27" i="7" s="1"/>
  <c r="P30" i="7"/>
  <c r="Q30" i="7" s="1"/>
  <c r="P52" i="7"/>
  <c r="Q52" i="7" s="1"/>
  <c r="P47" i="7"/>
  <c r="Q47" i="7" s="1"/>
  <c r="P55" i="7"/>
  <c r="Q55" i="7" s="1"/>
  <c r="P56" i="7"/>
  <c r="Q56" i="7" s="1"/>
  <c r="P34" i="7"/>
  <c r="Q34" i="7" s="1"/>
  <c r="P54" i="7"/>
  <c r="Q54" i="7" s="1"/>
  <c r="P58" i="7"/>
  <c r="Q58" i="7" s="1"/>
  <c r="P44" i="7"/>
  <c r="Q44" i="7" s="1"/>
  <c r="P39" i="7"/>
  <c r="Q39" i="7" s="1"/>
  <c r="P61" i="7"/>
  <c r="Q61" i="7" s="1"/>
  <c r="P69" i="7"/>
  <c r="Q69" i="7" s="1"/>
  <c r="P65" i="7"/>
  <c r="Q65" i="7" s="1"/>
  <c r="P73" i="7"/>
  <c r="Q73" i="7" s="1"/>
  <c r="P43" i="7"/>
  <c r="Q43" i="7" s="1"/>
  <c r="P48" i="7"/>
  <c r="Q48" i="7" s="1"/>
  <c r="P53" i="7"/>
  <c r="Q53" i="7" s="1"/>
  <c r="P38" i="7"/>
  <c r="Q38" i="7" s="1"/>
  <c r="P63" i="7"/>
  <c r="Q63" i="7" s="1"/>
  <c r="P71" i="7"/>
  <c r="Q71" i="7" s="1"/>
  <c r="P57" i="7"/>
  <c r="Q57" i="7" s="1"/>
  <c r="P67" i="7"/>
  <c r="Q67" i="7" s="1"/>
  <c r="P24" i="7"/>
  <c r="Q24" i="7" s="1"/>
  <c r="P23" i="7"/>
  <c r="Q23" i="7" s="1"/>
  <c r="P26" i="7"/>
  <c r="Q26" i="7" s="1"/>
  <c r="P13" i="7"/>
  <c r="Q13" i="7" s="1"/>
  <c r="P29" i="7"/>
  <c r="Q29" i="7" s="1"/>
  <c r="P12" i="7"/>
  <c r="Q12" i="7" s="1"/>
  <c r="P19" i="7"/>
  <c r="Q19" i="7" s="1"/>
  <c r="P7" i="7"/>
  <c r="Q7" i="7" s="1"/>
  <c r="P41" i="7"/>
  <c r="Q41" i="7" s="1"/>
  <c r="P21" i="7"/>
  <c r="Q21" i="7" s="1"/>
  <c r="P10" i="7"/>
  <c r="Q10" i="7" s="1"/>
  <c r="P9" i="7"/>
  <c r="Q9" i="7" s="1"/>
  <c r="P18" i="7"/>
  <c r="Q18" i="7" s="1"/>
  <c r="P46" i="7"/>
  <c r="Q46" i="7" s="1"/>
  <c r="P32" i="7"/>
  <c r="Q32" i="7" s="1"/>
  <c r="P36" i="7"/>
  <c r="Q36" i="7" s="1"/>
  <c r="P8" i="7"/>
  <c r="Q8" i="7" s="1"/>
  <c r="P51" i="7"/>
  <c r="Q51" i="7" s="1"/>
  <c r="P17" i="7"/>
  <c r="Q17" i="7" s="1"/>
  <c r="I75" i="7"/>
  <c r="J16" i="7"/>
  <c r="K16" i="7" s="1"/>
  <c r="L16" i="7" s="1"/>
  <c r="N16" i="7" s="1"/>
  <c r="I15" i="7"/>
  <c r="J6" i="7"/>
  <c r="K6" i="7" s="1"/>
  <c r="L6" i="7" s="1"/>
  <c r="N6" i="7" s="1"/>
  <c r="P16" i="7" l="1"/>
  <c r="P75" i="7" s="1"/>
  <c r="P6" i="7"/>
  <c r="Q6" i="7" s="1"/>
  <c r="Q15" i="7" s="1"/>
  <c r="I76" i="7"/>
  <c r="S77" i="7" l="1"/>
  <c r="S75" i="7"/>
  <c r="Q16" i="7"/>
  <c r="Q75" i="7" s="1"/>
  <c r="P15" i="7"/>
  <c r="P76" i="7" l="1"/>
  <c r="S16" i="7"/>
  <c r="S15" i="7"/>
  <c r="Q76" i="7"/>
  <c r="B64" i="4" s="1"/>
  <c r="B65" i="4" s="1"/>
  <c r="S78" i="7" l="1"/>
  <c r="S76" i="7"/>
  <c r="B60" i="4"/>
  <c r="B61" i="4" s="1"/>
  <c r="C65" i="4" s="1"/>
</calcChain>
</file>

<file path=xl/sharedStrings.xml><?xml version="1.0" encoding="utf-8"?>
<sst xmlns="http://schemas.openxmlformats.org/spreadsheetml/2006/main" count="245" uniqueCount="198">
  <si>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</si>
  <si>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</si>
  <si>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</si>
  <si>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</si>
  <si>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</si>
  <si>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</si>
  <si>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</si>
  <si>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</si>
  <si>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</si>
  <si>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</si>
  <si>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</si>
  <si>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</si>
  <si>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</si>
  <si>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</si>
  <si>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</si>
  <si>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</si>
  <si>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</si>
  <si>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</si>
  <si>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</si>
  <si>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</si>
  <si>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</si>
  <si>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</si>
  <si>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</si>
  <si>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</si>
  <si>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</si>
  <si>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</si>
  <si>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</si>
  <si>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</si>
  <si>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</si>
  <si>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</si>
  <si>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</si>
  <si>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</si>
  <si>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</si>
  <si>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</si>
  <si>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</si>
  <si>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</si>
  <si>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</si>
  <si>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</si>
  <si>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</si>
  <si>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</si>
  <si>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</si>
  <si>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</si>
  <si>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</si>
  <si>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</si>
  <si>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</si>
  <si>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</si>
  <si>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</si>
  <si>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</si>
  <si>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</si>
  <si>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</si>
  <si>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</si>
  <si>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</si>
  <si>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</si>
  <si>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</si>
  <si>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</si>
  <si>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</si>
  <si>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</si>
  <si>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</si>
  <si>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</si>
  <si>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</si>
  <si>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</si>
  <si>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</si>
  <si>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</si>
  <si>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</si>
  <si>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</si>
  <si>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</si>
  <si>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</si>
  <si>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</si>
  <si>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</si>
  <si>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</si>
  <si>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</si>
  <si>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</si>
  <si>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</si>
  <si>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</si>
  <si>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</si>
  <si>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</si>
  <si>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</si>
  <si>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</si>
  <si>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</si>
  <si>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</si>
  <si>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</si>
  <si>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</si>
  <si>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</si>
  <si>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</si>
  <si>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</si>
  <si>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</si>
  <si>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</si>
  <si>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</si>
  <si>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</si>
  <si>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</si>
  <si>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</si>
  <si>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</si>
  <si>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</si>
  <si>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</si>
  <si>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35 gallon Can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</si>
  <si>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</si>
  <si>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</si>
  <si>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</si>
  <si>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</si>
  <si>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</si>
  <si>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</si>
  <si>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</si>
  <si>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</si>
  <si>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</si>
  <si>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4 Yard</t>
  </si>
  <si>
    <t>6 Yard</t>
  </si>
  <si>
    <t>8 Yard</t>
  </si>
  <si>
    <t>10 Yard</t>
  </si>
  <si>
    <t>Res_Extra_bag/Box</t>
  </si>
  <si>
    <t>Extra_Yards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</si>
  <si>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</si>
  <si>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</si>
  <si>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</si>
  <si>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</si>
  <si>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</si>
  <si>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</si>
  <si>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</si>
  <si>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</si>
  <si>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</si>
  <si>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</si>
  <si>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</si>
  <si>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</si>
  <si>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</si>
  <si>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</si>
  <si>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</si>
  <si>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</si>
  <si>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</si>
  <si>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</si>
  <si>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</si>
  <si>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</si>
  <si>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</si>
  <si>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</si>
  <si>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</si>
  <si>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</si>
  <si>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</si>
  <si>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</si>
  <si>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</si>
  <si>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3 Yard - 1st Pickup</t>
  </si>
  <si>
    <t>3 Yard - Additional Pickup</t>
  </si>
  <si>
    <t>3 Yard - Special</t>
  </si>
  <si>
    <t xml:space="preserve">3 Yard - Temporary </t>
  </si>
  <si>
    <t>4 Yard - 1st Pickup</t>
  </si>
  <si>
    <t>4 Yard - Additional Pickup</t>
  </si>
  <si>
    <t>4 Yard - Special</t>
  </si>
  <si>
    <t>4 Yard - Temporary</t>
  </si>
  <si>
    <t>5 Yard - 1st Pickup</t>
  </si>
  <si>
    <t>5 Yard - Additional Pickup</t>
  </si>
  <si>
    <t>5 Yard - Special</t>
  </si>
  <si>
    <t>5 Yard - Temporary</t>
  </si>
  <si>
    <t>6 Yard - 1st Pickup</t>
  </si>
  <si>
    <t>6 Yard - Additional Pickup</t>
  </si>
  <si>
    <t>6 Yard - Special</t>
  </si>
  <si>
    <t>8 Yard - 1st Pickup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</si>
  <si>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</si>
  <si>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</si>
  <si>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</si>
  <si>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</si>
  <si>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</si>
  <si>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</si>
  <si>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</si>
  <si>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</si>
  <si>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</si>
  <si>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</si>
  <si>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</si>
  <si>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</si>
  <si>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</si>
  <si>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</si>
  <si>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</si>
  <si>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</si>
  <si>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</si>
  <si>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</si>
  <si>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</si>
  <si>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</si>
  <si>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</si>
  <si>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</si>
  <si>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</si>
  <si>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</si>
  <si>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</si>
  <si>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</si>
  <si>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</si>
  <si>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</si>
  <si>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</si>
  <si>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</si>
  <si>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</si>
  <si>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</si>
  <si>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29, 29A</t>
  </si>
  <si>
    <t>28B</t>
  </si>
  <si>
    <t>28, 28A</t>
  </si>
  <si>
    <t>Company        Calculated Rate</t>
  </si>
  <si>
    <t>Company    Current Tariff</t>
  </si>
  <si>
    <t>Company Calculated Revenue</t>
  </si>
  <si>
    <t>Walla Walla County</t>
  </si>
  <si>
    <t>28A</t>
  </si>
  <si>
    <t>29A</t>
  </si>
  <si>
    <t>6 Yard - Temporary</t>
  </si>
  <si>
    <t>Collector Owned</t>
  </si>
  <si>
    <t>Pct% Increase</t>
  </si>
  <si>
    <t>64 gal cart 1/MG (cust owned)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</si>
</sst>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rgb="FFFFC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  <xf numFmtId="0" fontId="61" fillId="0" borderId="0"/>
  </cellStyleXfs>
  <cellXfs count="174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43" fontId="3" fillId="0" borderId="0" xfId="82" applyNumberFormat="1" applyFont="1" applyBorder="1" applyAlignment="1">
      <alignment horizontal="right"/>
    </xf>
    <xf numFmtId="0" fontId="11" fillId="0" borderId="0" xfId="329" applyFont="1" applyBorder="1"/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7" borderId="0" xfId="200" applyNumberFormat="1" applyFont="1" applyFill="1"/>
    <xf numFmtId="4" fontId="0" fillId="37" borderId="0" xfId="0" applyNumberFormat="1" applyFont="1" applyFill="1" applyBorder="1"/>
    <xf numFmtId="43" fontId="0" fillId="37" borderId="0" xfId="82" applyNumberFormat="1" applyFont="1" applyFill="1" applyBorder="1"/>
    <xf numFmtId="166" fontId="11" fillId="37" borderId="0" xfId="82" applyNumberFormat="1" applyFont="1" applyFill="1"/>
    <xf numFmtId="166" fontId="0" fillId="37" borderId="0" xfId="82" applyNumberFormat="1" applyFont="1" applyFill="1" applyBorder="1"/>
    <xf numFmtId="166" fontId="0" fillId="37" borderId="0" xfId="82" applyNumberFormat="1" applyFont="1" applyFill="1" applyBorder="1" applyAlignment="1">
      <alignment horizontal="center" wrapText="1"/>
    </xf>
    <xf numFmtId="44" fontId="0" fillId="37" borderId="0" xfId="126" applyFont="1" applyFill="1" applyBorder="1"/>
    <xf numFmtId="166" fontId="11" fillId="37" borderId="0" xfId="82" applyNumberFormat="1" applyFont="1" applyFill="1" applyBorder="1"/>
    <xf numFmtId="166" fontId="11" fillId="0" borderId="0" xfId="83" applyNumberFormat="1" applyFont="1"/>
    <xf numFmtId="166" fontId="11" fillId="37" borderId="0" xfId="83" applyNumberFormat="1" applyFont="1" applyFill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8" borderId="0" xfId="126" applyFont="1" applyFill="1" applyBorder="1"/>
    <xf numFmtId="0" fontId="11" fillId="0" borderId="34" xfId="329" applyFont="1" applyBorder="1" applyAlignment="1">
      <alignment horizontal="left"/>
    </xf>
    <xf numFmtId="166" fontId="11" fillId="0" borderId="34" xfId="82" applyNumberFormat="1" applyFont="1" applyFill="1" applyBorder="1"/>
    <xf numFmtId="44" fontId="0" fillId="38" borderId="34" xfId="126" applyFont="1" applyFill="1" applyBorder="1"/>
    <xf numFmtId="44" fontId="0" fillId="38" borderId="0" xfId="126" applyNumberFormat="1" applyFont="1" applyFill="1" applyBorder="1"/>
    <xf numFmtId="44" fontId="11" fillId="39" borderId="0" xfId="129" applyFont="1" applyFill="1"/>
    <xf numFmtId="44" fontId="0" fillId="39" borderId="0" xfId="126" applyFont="1" applyFill="1" applyBorder="1"/>
    <xf numFmtId="44" fontId="0" fillId="39" borderId="34" xfId="126" applyFont="1" applyFill="1" applyBorder="1"/>
    <xf numFmtId="44" fontId="11" fillId="40" borderId="0" xfId="126" applyFont="1" applyFill="1" applyBorder="1"/>
    <xf numFmtId="44" fontId="0" fillId="40" borderId="0" xfId="126" applyFont="1" applyFill="1" applyBorder="1"/>
    <xf numFmtId="44" fontId="0" fillId="40" borderId="0" xfId="126" applyNumberFormat="1" applyFont="1" applyFill="1" applyBorder="1"/>
    <xf numFmtId="43" fontId="0" fillId="0" borderId="0" xfId="82" applyNumberFormat="1" applyFont="1" applyBorder="1"/>
    <xf numFmtId="0" fontId="0" fillId="0" borderId="0" xfId="0" quotePrefix="1" applyFont="1" applyBorder="1"/>
    <xf numFmtId="0" fontId="60" fillId="0" borderId="0" xfId="0" applyFont="1" applyBorder="1"/>
    <xf numFmtId="44" fontId="0" fillId="0" borderId="0" xfId="126" applyNumberFormat="1" applyFont="1" applyBorder="1"/>
    <xf numFmtId="167" fontId="0" fillId="41" borderId="0" xfId="82" applyNumberFormat="1" applyFont="1" applyFill="1"/>
    <xf numFmtId="167" fontId="0" fillId="41" borderId="0" xfId="82" applyNumberFormat="1" applyFont="1" applyFill="1" applyBorder="1"/>
    <xf numFmtId="166" fontId="61" fillId="37" borderId="0" xfId="83" applyNumberFormat="1" applyFont="1" applyFill="1"/>
    <xf numFmtId="166" fontId="61" fillId="0" borderId="0" xfId="83" applyNumberFormat="1" applyFont="1"/>
    <xf numFmtId="172" fontId="0" fillId="0" borderId="0" xfId="338" applyNumberFormat="1" applyFont="1" applyBorder="1"/>
    <xf numFmtId="172" fontId="0" fillId="0" borderId="0" xfId="0" applyNumberFormat="1" applyFont="1" applyBorder="1"/>
    <xf numFmtId="164" fontId="0" fillId="0" borderId="0" xfId="0" applyNumberFormat="1" applyFont="1" applyFill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36" borderId="0" xfId="0" applyFont="1" applyFill="1" applyBorder="1" applyAlignment="1">
      <alignment horizontal="center"/>
    </xf>
  </cellXfs>
  <cellStyles count="391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4 2" xfId="9" xr:uid="{00000000-0005-0000-0000-000008000000}"/>
    <cellStyle name="20% - Accent4 2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40% - Accent1 2" xfId="17" xr:uid="{00000000-0005-0000-0000-000010000000}"/>
    <cellStyle name="40% - Accent1 3" xfId="18" xr:uid="{00000000-0005-0000-0000-000011000000}"/>
    <cellStyle name="40% - Accent1 3 2" xfId="19" xr:uid="{00000000-0005-0000-0000-000012000000}"/>
    <cellStyle name="40% - Accent2 2" xfId="20" xr:uid="{00000000-0005-0000-0000-000013000000}"/>
    <cellStyle name="40% - Accent2 3" xfId="21" xr:uid="{00000000-0005-0000-0000-000014000000}"/>
    <cellStyle name="40% - Accent3 2" xfId="22" xr:uid="{00000000-0005-0000-0000-000015000000}"/>
    <cellStyle name="40% - Accent3 3" xfId="23" xr:uid="{00000000-0005-0000-0000-000016000000}"/>
    <cellStyle name="40% - Accent4 2" xfId="24" xr:uid="{00000000-0005-0000-0000-000017000000}"/>
    <cellStyle name="40% - Accent4 3" xfId="25" xr:uid="{00000000-0005-0000-0000-000018000000}"/>
    <cellStyle name="40% - Accent4 3 2" xfId="26" xr:uid="{00000000-0005-0000-0000-000019000000}"/>
    <cellStyle name="40% - Accent5 2" xfId="27" xr:uid="{00000000-0005-0000-0000-00001A000000}"/>
    <cellStyle name="40% - Accent5 3" xfId="28" xr:uid="{00000000-0005-0000-0000-00001B000000}"/>
    <cellStyle name="40% - Accent6 2" xfId="29" xr:uid="{00000000-0005-0000-0000-00001C000000}"/>
    <cellStyle name="40% - Accent6 3" xfId="30" xr:uid="{00000000-0005-0000-0000-00001D000000}"/>
    <cellStyle name="40% - Accent6 3 2" xfId="31" xr:uid="{00000000-0005-0000-0000-00001E000000}"/>
    <cellStyle name="60% - Accent1 2" xfId="32" xr:uid="{00000000-0005-0000-0000-00001F000000}"/>
    <cellStyle name="60% - Accent1 2 2" xfId="33" xr:uid="{00000000-0005-0000-0000-000020000000}"/>
    <cellStyle name="60% - Accent1 3" xfId="34" xr:uid="{00000000-0005-0000-0000-000021000000}"/>
    <cellStyle name="60% - Accent1 3 2" xfId="35" xr:uid="{00000000-0005-0000-0000-000022000000}"/>
    <cellStyle name="60% - Accent2 2" xfId="36" xr:uid="{00000000-0005-0000-0000-000023000000}"/>
    <cellStyle name="60% - Accent2 3" xfId="37" xr:uid="{00000000-0005-0000-0000-000024000000}"/>
    <cellStyle name="60% - Accent3 2" xfId="38" xr:uid="{00000000-0005-0000-0000-000025000000}"/>
    <cellStyle name="60% - Accent3 3" xfId="39" xr:uid="{00000000-0005-0000-0000-000026000000}"/>
    <cellStyle name="60% - Accent3 3 2" xfId="40" xr:uid="{00000000-0005-0000-0000-000027000000}"/>
    <cellStyle name="60% - Accent4 2" xfId="41" xr:uid="{00000000-0005-0000-0000-000028000000}"/>
    <cellStyle name="60% - Accent4 3" xfId="42" xr:uid="{00000000-0005-0000-0000-000029000000}"/>
    <cellStyle name="60% - Accent4 3 2" xfId="43" xr:uid="{00000000-0005-0000-0000-00002A000000}"/>
    <cellStyle name="60% - Accent5 2" xfId="44" xr:uid="{00000000-0005-0000-0000-00002B000000}"/>
    <cellStyle name="60% - Accent5 2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2 2" xfId="50" xr:uid="{00000000-0005-0000-0000-000031000000}"/>
    <cellStyle name="Accent1 3" xfId="51" xr:uid="{00000000-0005-0000-0000-000032000000}"/>
    <cellStyle name="Accent1 3 2" xfId="52" xr:uid="{00000000-0005-0000-0000-000033000000}"/>
    <cellStyle name="Accent2 2" xfId="53" xr:uid="{00000000-0005-0000-0000-000034000000}"/>
    <cellStyle name="Accent2 3" xfId="54" xr:uid="{00000000-0005-0000-0000-000035000000}"/>
    <cellStyle name="Accent3 2" xfId="55" xr:uid="{00000000-0005-0000-0000-000036000000}"/>
    <cellStyle name="Accent3 2 2" xfId="56" xr:uid="{00000000-0005-0000-0000-000037000000}"/>
    <cellStyle name="Accent3 3" xfId="57" xr:uid="{00000000-0005-0000-0000-000038000000}"/>
    <cellStyle name="Accent4 2" xfId="58" xr:uid="{00000000-0005-0000-0000-000039000000}"/>
    <cellStyle name="Accent4 3" xfId="59" xr:uid="{00000000-0005-0000-0000-00003A000000}"/>
    <cellStyle name="Accent5 2" xfId="60" xr:uid="{00000000-0005-0000-0000-00003B000000}"/>
    <cellStyle name="Accent5 3" xfId="61" xr:uid="{00000000-0005-0000-0000-00003C000000}"/>
    <cellStyle name="Accent6 2" xfId="62" xr:uid="{00000000-0005-0000-0000-00003D000000}"/>
    <cellStyle name="Accent6 2 2" xfId="63" xr:uid="{00000000-0005-0000-0000-00003E000000}"/>
    <cellStyle name="Accent6 3" xfId="64" xr:uid="{00000000-0005-0000-0000-00003F000000}"/>
    <cellStyle name="Accounting" xfId="65" xr:uid="{00000000-0005-0000-0000-000040000000}"/>
    <cellStyle name="Accounting 2" xfId="66" xr:uid="{00000000-0005-0000-0000-000041000000}"/>
    <cellStyle name="Accounting 3" xfId="67" xr:uid="{00000000-0005-0000-0000-000042000000}"/>
    <cellStyle name="Accounting_2011-11" xfId="68" xr:uid="{00000000-0005-0000-0000-000043000000}"/>
    <cellStyle name="Bad 2" xfId="69" xr:uid="{00000000-0005-0000-0000-000044000000}"/>
    <cellStyle name="Bad 3" xfId="70" xr:uid="{00000000-0005-0000-0000-000045000000}"/>
    <cellStyle name="Budget" xfId="71" xr:uid="{00000000-0005-0000-0000-000046000000}"/>
    <cellStyle name="Budget 2" xfId="72" xr:uid="{00000000-0005-0000-0000-000047000000}"/>
    <cellStyle name="Budget 3" xfId="73" xr:uid="{00000000-0005-0000-0000-000048000000}"/>
    <cellStyle name="Budget_2011-11" xfId="74" xr:uid="{00000000-0005-0000-0000-000049000000}"/>
    <cellStyle name="Calculation 2" xfId="75" xr:uid="{00000000-0005-0000-0000-00004A000000}"/>
    <cellStyle name="Calculation 2 2" xfId="76" xr:uid="{00000000-0005-0000-0000-00004B000000}"/>
    <cellStyle name="Calculation 3" xfId="77" xr:uid="{00000000-0005-0000-0000-00004C000000}"/>
    <cellStyle name="Calculation 3 2" xfId="78" xr:uid="{00000000-0005-0000-0000-00004D000000}"/>
    <cellStyle name="Check Cell 2" xfId="79" xr:uid="{00000000-0005-0000-0000-00004E000000}"/>
    <cellStyle name="Check Cell 3" xfId="80" xr:uid="{00000000-0005-0000-0000-00004F000000}"/>
    <cellStyle name="combo" xfId="81" xr:uid="{00000000-0005-0000-0000-000050000000}"/>
    <cellStyle name="Comma" xfId="82" builtinId="3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2 2" xfId="86" xr:uid="{00000000-0005-0000-0000-000055000000}"/>
    <cellStyle name="Comma 12 3" xfId="87" xr:uid="{00000000-0005-0000-0000-000056000000}"/>
    <cellStyle name="Comma 13" xfId="88" xr:uid="{00000000-0005-0000-0000-000057000000}"/>
    <cellStyle name="Comma 14" xfId="89" xr:uid="{00000000-0005-0000-0000-000058000000}"/>
    <cellStyle name="Comma 15" xfId="90" xr:uid="{00000000-0005-0000-0000-000059000000}"/>
    <cellStyle name="Comma 16" xfId="91" xr:uid="{00000000-0005-0000-0000-00005A000000}"/>
    <cellStyle name="Comma 17" xfId="92" xr:uid="{00000000-0005-0000-0000-00005B000000}"/>
    <cellStyle name="Comma 18" xfId="93" xr:uid="{00000000-0005-0000-0000-00005C000000}"/>
    <cellStyle name="Comma 19" xfId="94" xr:uid="{00000000-0005-0000-0000-00005D000000}"/>
    <cellStyle name="Comma 2" xfId="95" xr:uid="{00000000-0005-0000-0000-00005E000000}"/>
    <cellStyle name="Comma 2 2" xfId="96" xr:uid="{00000000-0005-0000-0000-00005F000000}"/>
    <cellStyle name="Comma 2 2 2" xfId="97" xr:uid="{00000000-0005-0000-0000-000060000000}"/>
    <cellStyle name="Comma 2 3" xfId="98" xr:uid="{00000000-0005-0000-0000-000061000000}"/>
    <cellStyle name="Comma 2 4" xfId="99" xr:uid="{00000000-0005-0000-0000-000062000000}"/>
    <cellStyle name="Comma 2 6" xfId="100" xr:uid="{00000000-0005-0000-0000-000063000000}"/>
    <cellStyle name="Comma 2 6 2" xfId="101" xr:uid="{00000000-0005-0000-0000-000064000000}"/>
    <cellStyle name="Comma 20" xfId="102" xr:uid="{00000000-0005-0000-0000-000065000000}"/>
    <cellStyle name="Comma 3" xfId="103" xr:uid="{00000000-0005-0000-0000-000066000000}"/>
    <cellStyle name="Comma 3 2" xfId="104" xr:uid="{00000000-0005-0000-0000-000067000000}"/>
    <cellStyle name="Comma 3 2 2" xfId="105" xr:uid="{00000000-0005-0000-0000-000068000000}"/>
    <cellStyle name="Comma 3 3" xfId="106" xr:uid="{00000000-0005-0000-0000-000069000000}"/>
    <cellStyle name="Comma 3 4" xfId="107" xr:uid="{00000000-0005-0000-0000-00006A000000}"/>
    <cellStyle name="Comma 4" xfId="108" xr:uid="{00000000-0005-0000-0000-00006B000000}"/>
    <cellStyle name="Comma 4 2" xfId="109" xr:uid="{00000000-0005-0000-0000-00006C000000}"/>
    <cellStyle name="Comma 4 2 2" xfId="110" xr:uid="{00000000-0005-0000-0000-00006D000000}"/>
    <cellStyle name="Comma 4 3" xfId="111" xr:uid="{00000000-0005-0000-0000-00006E000000}"/>
    <cellStyle name="Comma 4 3 2" xfId="112" xr:uid="{00000000-0005-0000-0000-00006F000000}"/>
    <cellStyle name="Comma 4 4" xfId="113" xr:uid="{00000000-0005-0000-0000-000070000000}"/>
    <cellStyle name="Comma 4 5" xfId="114" xr:uid="{00000000-0005-0000-0000-000071000000}"/>
    <cellStyle name="Comma 4 6" xfId="115" xr:uid="{00000000-0005-0000-0000-000072000000}"/>
    <cellStyle name="Comma 5" xfId="116" xr:uid="{00000000-0005-0000-0000-000073000000}"/>
    <cellStyle name="Comma 6" xfId="117" xr:uid="{00000000-0005-0000-0000-000074000000}"/>
    <cellStyle name="Comma 6 2" xfId="118" xr:uid="{00000000-0005-0000-0000-000075000000}"/>
    <cellStyle name="Comma 7" xfId="119" xr:uid="{00000000-0005-0000-0000-000076000000}"/>
    <cellStyle name="Comma 8" xfId="120" xr:uid="{00000000-0005-0000-0000-000077000000}"/>
    <cellStyle name="Comma 9" xfId="121" xr:uid="{00000000-0005-0000-0000-000078000000}"/>
    <cellStyle name="Comma(2)" xfId="122" xr:uid="{00000000-0005-0000-0000-000079000000}"/>
    <cellStyle name="Comma0 - Style2" xfId="123" xr:uid="{00000000-0005-0000-0000-00007A000000}"/>
    <cellStyle name="Comma1 - Style1" xfId="124" xr:uid="{00000000-0005-0000-0000-00007B000000}"/>
    <cellStyle name="Comments" xfId="125" xr:uid="{00000000-0005-0000-0000-00007C000000}"/>
    <cellStyle name="Currency" xfId="126" builtinId="4"/>
    <cellStyle name="Currency 10" xfId="127" xr:uid="{00000000-0005-0000-0000-00007E000000}"/>
    <cellStyle name="Currency 11" xfId="128" xr:uid="{00000000-0005-0000-0000-00007F000000}"/>
    <cellStyle name="Currency 2" xfId="129" xr:uid="{00000000-0005-0000-0000-000080000000}"/>
    <cellStyle name="Currency 2 2" xfId="130" xr:uid="{00000000-0005-0000-0000-000081000000}"/>
    <cellStyle name="Currency 2 2 2" xfId="131" xr:uid="{00000000-0005-0000-0000-000082000000}"/>
    <cellStyle name="Currency 2 3" xfId="132" xr:uid="{00000000-0005-0000-0000-000083000000}"/>
    <cellStyle name="Currency 2 3 2" xfId="133" xr:uid="{00000000-0005-0000-0000-000084000000}"/>
    <cellStyle name="Currency 2 6" xfId="134" xr:uid="{00000000-0005-0000-0000-000085000000}"/>
    <cellStyle name="Currency 2 6 2" xfId="135" xr:uid="{00000000-0005-0000-0000-000086000000}"/>
    <cellStyle name="Currency 3" xfId="136" xr:uid="{00000000-0005-0000-0000-000087000000}"/>
    <cellStyle name="Currency 3 2" xfId="137" xr:uid="{00000000-0005-0000-0000-000088000000}"/>
    <cellStyle name="Currency 3 3" xfId="138" xr:uid="{00000000-0005-0000-0000-000089000000}"/>
    <cellStyle name="Currency 3 4" xfId="139" xr:uid="{00000000-0005-0000-0000-00008A000000}"/>
    <cellStyle name="Currency 4" xfId="140" xr:uid="{00000000-0005-0000-0000-00008B000000}"/>
    <cellStyle name="Currency 4 2" xfId="141" xr:uid="{00000000-0005-0000-0000-00008C000000}"/>
    <cellStyle name="Currency 5" xfId="142" xr:uid="{00000000-0005-0000-0000-00008D000000}"/>
    <cellStyle name="Currency 5 2" xfId="143" xr:uid="{00000000-0005-0000-0000-00008E000000}"/>
    <cellStyle name="Currency 5 3" xfId="144" xr:uid="{00000000-0005-0000-0000-00008F000000}"/>
    <cellStyle name="Currency 6" xfId="145" xr:uid="{00000000-0005-0000-0000-000090000000}"/>
    <cellStyle name="Currency 7" xfId="146" xr:uid="{00000000-0005-0000-0000-000091000000}"/>
    <cellStyle name="Currency 8" xfId="147" xr:uid="{00000000-0005-0000-0000-000092000000}"/>
    <cellStyle name="Currency 9" xfId="148" xr:uid="{00000000-0005-0000-0000-000093000000}"/>
    <cellStyle name="Data Enter" xfId="149" xr:uid="{00000000-0005-0000-0000-000094000000}"/>
    <cellStyle name="date" xfId="150" xr:uid="{00000000-0005-0000-0000-000095000000}"/>
    <cellStyle name="Explanatory Text 2" xfId="151" xr:uid="{00000000-0005-0000-0000-000096000000}"/>
    <cellStyle name="Explanatory Text 3" xfId="152" xr:uid="{00000000-0005-0000-0000-000097000000}"/>
    <cellStyle name="FactSheet" xfId="153" xr:uid="{00000000-0005-0000-0000-000098000000}"/>
    <cellStyle name="fish" xfId="154" xr:uid="{00000000-0005-0000-0000-000099000000}"/>
    <cellStyle name="Good 2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3" xfId="159" xr:uid="{00000000-0005-0000-0000-00009E000000}"/>
    <cellStyle name="Heading 1 3 2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3" xfId="163" xr:uid="{00000000-0005-0000-0000-0000A2000000}"/>
    <cellStyle name="Heading 2 3 2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3" xfId="167" xr:uid="{00000000-0005-0000-0000-0000A6000000}"/>
    <cellStyle name="Heading 3 3 2" xfId="168" xr:uid="{00000000-0005-0000-0000-0000A7000000}"/>
    <cellStyle name="Heading 4 2" xfId="169" xr:uid="{00000000-0005-0000-0000-0000A8000000}"/>
    <cellStyle name="Heading 4 3" xfId="170" xr:uid="{00000000-0005-0000-0000-0000A9000000}"/>
    <cellStyle name="Hyperlink 2" xfId="171" xr:uid="{00000000-0005-0000-0000-0000AA000000}"/>
    <cellStyle name="Hyperlink 3" xfId="172" xr:uid="{00000000-0005-0000-0000-0000AB000000}"/>
    <cellStyle name="Hyperlink 3 2" xfId="173" xr:uid="{00000000-0005-0000-0000-0000AC000000}"/>
    <cellStyle name="Input 2" xfId="174" xr:uid="{00000000-0005-0000-0000-0000AD000000}"/>
    <cellStyle name="Input 3" xfId="175" xr:uid="{00000000-0005-0000-0000-0000AE000000}"/>
    <cellStyle name="input(0)" xfId="176" xr:uid="{00000000-0005-0000-0000-0000AF000000}"/>
    <cellStyle name="Input(2)" xfId="177" xr:uid="{00000000-0005-0000-0000-0000B0000000}"/>
    <cellStyle name="Linked Cell 2" xfId="178" xr:uid="{00000000-0005-0000-0000-0000B1000000}"/>
    <cellStyle name="Linked Cell 2 2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3" xfId="183" xr:uid="{00000000-0005-0000-0000-0000B6000000}"/>
    <cellStyle name="New_normal" xfId="184" xr:uid="{00000000-0005-0000-0000-0000B7000000}"/>
    <cellStyle name="Normal" xfId="0" builtinId="0"/>
    <cellStyle name="Normal - Style1" xfId="185" xr:uid="{00000000-0005-0000-0000-0000B9000000}"/>
    <cellStyle name="Normal - Style2" xfId="186" xr:uid="{00000000-0005-0000-0000-0000BA000000}"/>
    <cellStyle name="Normal - Style3" xfId="187" xr:uid="{00000000-0005-0000-0000-0000BB000000}"/>
    <cellStyle name="Normal - Style4" xfId="188" xr:uid="{00000000-0005-0000-0000-0000BC000000}"/>
    <cellStyle name="Normal - Style5" xfId="189" xr:uid="{00000000-0005-0000-0000-0000BD000000}"/>
    <cellStyle name="Normal 10" xfId="190" xr:uid="{00000000-0005-0000-0000-0000BE000000}"/>
    <cellStyle name="Normal 10 2" xfId="191" xr:uid="{00000000-0005-0000-0000-0000BF000000}"/>
    <cellStyle name="Normal 10 2 2" xfId="192" xr:uid="{00000000-0005-0000-0000-0000C0000000}"/>
    <cellStyle name="Normal 10 2 3" xfId="193" xr:uid="{00000000-0005-0000-0000-0000C1000000}"/>
    <cellStyle name="Normal 10_2112 DF Schedule" xfId="194" xr:uid="{00000000-0005-0000-0000-0000C2000000}"/>
    <cellStyle name="Normal 100" xfId="195" xr:uid="{00000000-0005-0000-0000-0000C3000000}"/>
    <cellStyle name="Normal 101" xfId="196" xr:uid="{00000000-0005-0000-0000-0000C4000000}"/>
    <cellStyle name="Normal 102" xfId="197" xr:uid="{00000000-0005-0000-0000-0000C5000000}"/>
    <cellStyle name="Normal 103" xfId="198" xr:uid="{00000000-0005-0000-0000-0000C6000000}"/>
    <cellStyle name="Normal 104" xfId="199" xr:uid="{00000000-0005-0000-0000-0000C7000000}"/>
    <cellStyle name="Normal 105" xfId="200" xr:uid="{00000000-0005-0000-0000-0000C8000000}"/>
    <cellStyle name="Normal 106" xfId="201" xr:uid="{00000000-0005-0000-0000-0000C9000000}"/>
    <cellStyle name="Normal 107" xfId="202" xr:uid="{00000000-0005-0000-0000-0000CA000000}"/>
    <cellStyle name="Normal 108" xfId="203" xr:uid="{00000000-0005-0000-0000-0000CB000000}"/>
    <cellStyle name="Normal 109" xfId="390" xr:uid="{00000000-0005-0000-0000-0000CC000000}"/>
    <cellStyle name="Normal 11" xfId="204" xr:uid="{00000000-0005-0000-0000-0000CD000000}"/>
    <cellStyle name="Normal 12" xfId="205" xr:uid="{00000000-0005-0000-0000-0000CE000000}"/>
    <cellStyle name="Normal 12 2" xfId="206" xr:uid="{00000000-0005-0000-0000-0000CF000000}"/>
    <cellStyle name="Normal 13" xfId="207" xr:uid="{00000000-0005-0000-0000-0000D0000000}"/>
    <cellStyle name="Normal 13 2" xfId="208" xr:uid="{00000000-0005-0000-0000-0000D1000000}"/>
    <cellStyle name="Normal 14" xfId="209" xr:uid="{00000000-0005-0000-0000-0000D2000000}"/>
    <cellStyle name="Normal 14 2" xfId="210" xr:uid="{00000000-0005-0000-0000-0000D3000000}"/>
    <cellStyle name="Normal 15" xfId="211" xr:uid="{00000000-0005-0000-0000-0000D4000000}"/>
    <cellStyle name="Normal 15 2" xfId="212" xr:uid="{00000000-0005-0000-0000-0000D5000000}"/>
    <cellStyle name="Normal 16" xfId="213" xr:uid="{00000000-0005-0000-0000-0000D6000000}"/>
    <cellStyle name="Normal 16 2" xfId="214" xr:uid="{00000000-0005-0000-0000-0000D7000000}"/>
    <cellStyle name="Normal 17" xfId="215" xr:uid="{00000000-0005-0000-0000-0000D8000000}"/>
    <cellStyle name="Normal 17 2" xfId="216" xr:uid="{00000000-0005-0000-0000-0000D9000000}"/>
    <cellStyle name="Normal 18" xfId="217" xr:uid="{00000000-0005-0000-0000-0000DA000000}"/>
    <cellStyle name="Normal 18 2" xfId="218" xr:uid="{00000000-0005-0000-0000-0000DB000000}"/>
    <cellStyle name="Normal 19" xfId="219" xr:uid="{00000000-0005-0000-0000-0000DC000000}"/>
    <cellStyle name="Normal 19 2" xfId="220" xr:uid="{00000000-0005-0000-0000-0000DD000000}"/>
    <cellStyle name="Normal 2" xfId="221" xr:uid="{00000000-0005-0000-0000-0000DE000000}"/>
    <cellStyle name="Normal 2 2" xfId="222" xr:uid="{00000000-0005-0000-0000-0000DF000000}"/>
    <cellStyle name="Normal 2 2 2" xfId="223" xr:uid="{00000000-0005-0000-0000-0000E0000000}"/>
    <cellStyle name="Normal 2 2 3" xfId="224" xr:uid="{00000000-0005-0000-0000-0000E1000000}"/>
    <cellStyle name="Normal 2 2_Actual_Fuel" xfId="225" xr:uid="{00000000-0005-0000-0000-0000E2000000}"/>
    <cellStyle name="Normal 2 3" xfId="226" xr:uid="{00000000-0005-0000-0000-0000E3000000}"/>
    <cellStyle name="Normal 2 3 2" xfId="227" xr:uid="{00000000-0005-0000-0000-0000E4000000}"/>
    <cellStyle name="Normal 2 3 3" xfId="228" xr:uid="{00000000-0005-0000-0000-0000E5000000}"/>
    <cellStyle name="Normal 2 4" xfId="229" xr:uid="{00000000-0005-0000-0000-0000E6000000}"/>
    <cellStyle name="Normal 2 5" xfId="230" xr:uid="{00000000-0005-0000-0000-0000E7000000}"/>
    <cellStyle name="Normal 2_2012-10" xfId="231" xr:uid="{00000000-0005-0000-0000-0000E8000000}"/>
    <cellStyle name="Normal 20" xfId="232" xr:uid="{00000000-0005-0000-0000-0000E9000000}"/>
    <cellStyle name="Normal 21" xfId="233" xr:uid="{00000000-0005-0000-0000-0000EA000000}"/>
    <cellStyle name="Normal 22" xfId="234" xr:uid="{00000000-0005-0000-0000-0000EB000000}"/>
    <cellStyle name="Normal 23" xfId="235" xr:uid="{00000000-0005-0000-0000-0000EC000000}"/>
    <cellStyle name="Normal 24" xfId="236" xr:uid="{00000000-0005-0000-0000-0000ED000000}"/>
    <cellStyle name="Normal 25" xfId="237" xr:uid="{00000000-0005-0000-0000-0000EE000000}"/>
    <cellStyle name="Normal 26" xfId="238" xr:uid="{00000000-0005-0000-0000-0000EF000000}"/>
    <cellStyle name="Normal 27" xfId="239" xr:uid="{00000000-0005-0000-0000-0000F0000000}"/>
    <cellStyle name="Normal 28" xfId="240" xr:uid="{00000000-0005-0000-0000-0000F1000000}"/>
    <cellStyle name="Normal 29" xfId="241" xr:uid="{00000000-0005-0000-0000-0000F2000000}"/>
    <cellStyle name="Normal 3" xfId="242" xr:uid="{00000000-0005-0000-0000-0000F3000000}"/>
    <cellStyle name="Normal 3 2" xfId="243" xr:uid="{00000000-0005-0000-0000-0000F4000000}"/>
    <cellStyle name="Normal 3 3" xfId="244" xr:uid="{00000000-0005-0000-0000-0000F5000000}"/>
    <cellStyle name="Normal 3 4" xfId="245" xr:uid="{00000000-0005-0000-0000-0000F6000000}"/>
    <cellStyle name="Normal 3_2012 PR" xfId="246" xr:uid="{00000000-0005-0000-0000-0000F7000000}"/>
    <cellStyle name="Normal 30" xfId="247" xr:uid="{00000000-0005-0000-0000-0000F8000000}"/>
    <cellStyle name="Normal 31" xfId="248" xr:uid="{00000000-0005-0000-0000-0000F9000000}"/>
    <cellStyle name="Normal 32" xfId="249" xr:uid="{00000000-0005-0000-0000-0000FA000000}"/>
    <cellStyle name="Normal 33" xfId="250" xr:uid="{00000000-0005-0000-0000-0000FB000000}"/>
    <cellStyle name="Normal 34" xfId="251" xr:uid="{00000000-0005-0000-0000-0000FC000000}"/>
    <cellStyle name="Normal 35" xfId="252" xr:uid="{00000000-0005-0000-0000-0000FD000000}"/>
    <cellStyle name="Normal 36" xfId="253" xr:uid="{00000000-0005-0000-0000-0000FE000000}"/>
    <cellStyle name="Normal 37" xfId="254" xr:uid="{00000000-0005-0000-0000-0000FF000000}"/>
    <cellStyle name="Normal 38" xfId="255" xr:uid="{00000000-0005-0000-0000-000000010000}"/>
    <cellStyle name="Normal 39" xfId="256" xr:uid="{00000000-0005-0000-0000-000001010000}"/>
    <cellStyle name="Normal 4" xfId="257" xr:uid="{00000000-0005-0000-0000-000002010000}"/>
    <cellStyle name="Normal 4 2" xfId="258" xr:uid="{00000000-0005-0000-0000-000003010000}"/>
    <cellStyle name="Normal 40" xfId="259" xr:uid="{00000000-0005-0000-0000-000004010000}"/>
    <cellStyle name="Normal 41" xfId="260" xr:uid="{00000000-0005-0000-0000-000005010000}"/>
    <cellStyle name="Normal 42" xfId="261" xr:uid="{00000000-0005-0000-0000-000006010000}"/>
    <cellStyle name="Normal 43" xfId="262" xr:uid="{00000000-0005-0000-0000-000007010000}"/>
    <cellStyle name="Normal 44" xfId="263" xr:uid="{00000000-0005-0000-0000-000008010000}"/>
    <cellStyle name="Normal 45" xfId="264" xr:uid="{00000000-0005-0000-0000-000009010000}"/>
    <cellStyle name="Normal 46" xfId="265" xr:uid="{00000000-0005-0000-0000-00000A010000}"/>
    <cellStyle name="Normal 47" xfId="266" xr:uid="{00000000-0005-0000-0000-00000B010000}"/>
    <cellStyle name="Normal 48" xfId="267" xr:uid="{00000000-0005-0000-0000-00000C010000}"/>
    <cellStyle name="Normal 49" xfId="268" xr:uid="{00000000-0005-0000-0000-00000D010000}"/>
    <cellStyle name="Normal 5" xfId="269" xr:uid="{00000000-0005-0000-0000-00000E010000}"/>
    <cellStyle name="Normal 5 2" xfId="270" xr:uid="{00000000-0005-0000-0000-00000F010000}"/>
    <cellStyle name="Normal 5_2112 DF Schedule" xfId="271" xr:uid="{00000000-0005-0000-0000-000010010000}"/>
    <cellStyle name="Normal 50" xfId="272" xr:uid="{00000000-0005-0000-0000-000011010000}"/>
    <cellStyle name="Normal 51" xfId="273" xr:uid="{00000000-0005-0000-0000-000012010000}"/>
    <cellStyle name="Normal 52" xfId="274" xr:uid="{00000000-0005-0000-0000-000013010000}"/>
    <cellStyle name="Normal 53" xfId="275" xr:uid="{00000000-0005-0000-0000-000014010000}"/>
    <cellStyle name="Normal 54" xfId="276" xr:uid="{00000000-0005-0000-0000-000015010000}"/>
    <cellStyle name="Normal 55" xfId="277" xr:uid="{00000000-0005-0000-0000-000016010000}"/>
    <cellStyle name="Normal 56" xfId="278" xr:uid="{00000000-0005-0000-0000-000017010000}"/>
    <cellStyle name="Normal 57" xfId="279" xr:uid="{00000000-0005-0000-0000-000018010000}"/>
    <cellStyle name="Normal 58" xfId="280" xr:uid="{00000000-0005-0000-0000-000019010000}"/>
    <cellStyle name="Normal 59" xfId="281" xr:uid="{00000000-0005-0000-0000-00001A010000}"/>
    <cellStyle name="Normal 6" xfId="282" xr:uid="{00000000-0005-0000-0000-00001B010000}"/>
    <cellStyle name="Normal 6 2" xfId="283" xr:uid="{00000000-0005-0000-0000-00001C010000}"/>
    <cellStyle name="Normal 60" xfId="284" xr:uid="{00000000-0005-0000-0000-00001D010000}"/>
    <cellStyle name="Normal 61" xfId="285" xr:uid="{00000000-0005-0000-0000-00001E010000}"/>
    <cellStyle name="Normal 62" xfId="286" xr:uid="{00000000-0005-0000-0000-00001F010000}"/>
    <cellStyle name="Normal 63" xfId="287" xr:uid="{00000000-0005-0000-0000-000020010000}"/>
    <cellStyle name="Normal 64" xfId="288" xr:uid="{00000000-0005-0000-0000-000021010000}"/>
    <cellStyle name="Normal 65" xfId="289" xr:uid="{00000000-0005-0000-0000-000022010000}"/>
    <cellStyle name="Normal 66" xfId="290" xr:uid="{00000000-0005-0000-0000-000023010000}"/>
    <cellStyle name="Normal 67" xfId="291" xr:uid="{00000000-0005-0000-0000-000024010000}"/>
    <cellStyle name="Normal 68" xfId="292" xr:uid="{00000000-0005-0000-0000-000025010000}"/>
    <cellStyle name="Normal 69" xfId="293" xr:uid="{00000000-0005-0000-0000-000026010000}"/>
    <cellStyle name="Normal 7" xfId="294" xr:uid="{00000000-0005-0000-0000-000027010000}"/>
    <cellStyle name="Normal 70" xfId="295" xr:uid="{00000000-0005-0000-0000-000028010000}"/>
    <cellStyle name="Normal 71" xfId="296" xr:uid="{00000000-0005-0000-0000-000029010000}"/>
    <cellStyle name="Normal 72" xfId="297" xr:uid="{00000000-0005-0000-0000-00002A010000}"/>
    <cellStyle name="Normal 73" xfId="298" xr:uid="{00000000-0005-0000-0000-00002B010000}"/>
    <cellStyle name="Normal 74" xfId="299" xr:uid="{00000000-0005-0000-0000-00002C010000}"/>
    <cellStyle name="Normal 75" xfId="300" xr:uid="{00000000-0005-0000-0000-00002D010000}"/>
    <cellStyle name="Normal 76" xfId="301" xr:uid="{00000000-0005-0000-0000-00002E010000}"/>
    <cellStyle name="Normal 77" xfId="302" xr:uid="{00000000-0005-0000-0000-00002F010000}"/>
    <cellStyle name="Normal 78" xfId="303" xr:uid="{00000000-0005-0000-0000-000030010000}"/>
    <cellStyle name="Normal 79" xfId="304" xr:uid="{00000000-0005-0000-0000-000031010000}"/>
    <cellStyle name="Normal 8" xfId="305" xr:uid="{00000000-0005-0000-0000-000032010000}"/>
    <cellStyle name="Normal 80" xfId="306" xr:uid="{00000000-0005-0000-0000-000033010000}"/>
    <cellStyle name="Normal 81" xfId="307" xr:uid="{00000000-0005-0000-0000-000034010000}"/>
    <cellStyle name="Normal 82" xfId="308" xr:uid="{00000000-0005-0000-0000-000035010000}"/>
    <cellStyle name="Normal 83" xfId="309" xr:uid="{00000000-0005-0000-0000-000036010000}"/>
    <cellStyle name="Normal 84" xfId="310" xr:uid="{00000000-0005-0000-0000-000037010000}"/>
    <cellStyle name="Normal 84 2" xfId="311" xr:uid="{00000000-0005-0000-0000-000038010000}"/>
    <cellStyle name="Normal 84 3" xfId="312" xr:uid="{00000000-0005-0000-0000-000039010000}"/>
    <cellStyle name="Normal 85" xfId="313" xr:uid="{00000000-0005-0000-0000-00003A010000}"/>
    <cellStyle name="Normal 86" xfId="314" xr:uid="{00000000-0005-0000-0000-00003B010000}"/>
    <cellStyle name="Normal 87" xfId="315" xr:uid="{00000000-0005-0000-0000-00003C010000}"/>
    <cellStyle name="Normal 88" xfId="316" xr:uid="{00000000-0005-0000-0000-00003D010000}"/>
    <cellStyle name="Normal 89" xfId="317" xr:uid="{00000000-0005-0000-0000-00003E010000}"/>
    <cellStyle name="Normal 9" xfId="318" xr:uid="{00000000-0005-0000-0000-00003F010000}"/>
    <cellStyle name="Normal 90" xfId="319" xr:uid="{00000000-0005-0000-0000-000040010000}"/>
    <cellStyle name="Normal 91" xfId="320" xr:uid="{00000000-0005-0000-0000-000041010000}"/>
    <cellStyle name="Normal 92" xfId="321" xr:uid="{00000000-0005-0000-0000-000042010000}"/>
    <cellStyle name="Normal 93" xfId="322" xr:uid="{00000000-0005-0000-0000-000043010000}"/>
    <cellStyle name="Normal 94" xfId="323" xr:uid="{00000000-0005-0000-0000-000044010000}"/>
    <cellStyle name="Normal 95" xfId="324" xr:uid="{00000000-0005-0000-0000-000045010000}"/>
    <cellStyle name="Normal 96" xfId="325" xr:uid="{00000000-0005-0000-0000-000046010000}"/>
    <cellStyle name="Normal 97" xfId="326" xr:uid="{00000000-0005-0000-0000-000047010000}"/>
    <cellStyle name="Normal 98" xfId="327" xr:uid="{00000000-0005-0000-0000-000048010000}"/>
    <cellStyle name="Normal 99" xfId="328" xr:uid="{00000000-0005-0000-0000-000049010000}"/>
    <cellStyle name="Normal_Murrey's Jan-Dec 2012" xfId="329" xr:uid="{00000000-0005-0000-0000-00004A010000}"/>
    <cellStyle name="Normal_Price out" xfId="330" xr:uid="{00000000-0005-0000-0000-00004B010000}"/>
    <cellStyle name="Note 2" xfId="331" xr:uid="{00000000-0005-0000-0000-00004C010000}"/>
    <cellStyle name="Note 2 2" xfId="332" xr:uid="{00000000-0005-0000-0000-00004D010000}"/>
    <cellStyle name="Note 3" xfId="333" xr:uid="{00000000-0005-0000-0000-00004E010000}"/>
    <cellStyle name="Note 3 2" xfId="334" xr:uid="{00000000-0005-0000-0000-00004F010000}"/>
    <cellStyle name="Notes" xfId="335" xr:uid="{00000000-0005-0000-0000-000050010000}"/>
    <cellStyle name="Output 2" xfId="336" xr:uid="{00000000-0005-0000-0000-000051010000}"/>
    <cellStyle name="Output 3" xfId="337" xr:uid="{00000000-0005-0000-0000-000052010000}"/>
    <cellStyle name="Percent" xfId="338" builtinId="5"/>
    <cellStyle name="Percent 2" xfId="339" xr:uid="{00000000-0005-0000-0000-000054010000}"/>
    <cellStyle name="Percent 2 2" xfId="340" xr:uid="{00000000-0005-0000-0000-000055010000}"/>
    <cellStyle name="Percent 2 2 2" xfId="341" xr:uid="{00000000-0005-0000-0000-000056010000}"/>
    <cellStyle name="Percent 2 3" xfId="342" xr:uid="{00000000-0005-0000-0000-000057010000}"/>
    <cellStyle name="Percent 2 6" xfId="343" xr:uid="{00000000-0005-0000-0000-000058010000}"/>
    <cellStyle name="Percent 3" xfId="344" xr:uid="{00000000-0005-0000-0000-000059010000}"/>
    <cellStyle name="Percent 3 2" xfId="345" xr:uid="{00000000-0005-0000-0000-00005A010000}"/>
    <cellStyle name="Percent 4" xfId="346" xr:uid="{00000000-0005-0000-0000-00005B010000}"/>
    <cellStyle name="Percent 4 2" xfId="347" xr:uid="{00000000-0005-0000-0000-00005C010000}"/>
    <cellStyle name="Percent 4 3" xfId="348" xr:uid="{00000000-0005-0000-0000-00005D010000}"/>
    <cellStyle name="Percent 5" xfId="349" xr:uid="{00000000-0005-0000-0000-00005E010000}"/>
    <cellStyle name="Percent 6" xfId="350" xr:uid="{00000000-0005-0000-0000-00005F010000}"/>
    <cellStyle name="Percent 7" xfId="351" xr:uid="{00000000-0005-0000-0000-000060010000}"/>
    <cellStyle name="Percent 7 2" xfId="352" xr:uid="{00000000-0005-0000-0000-000061010000}"/>
    <cellStyle name="Percent 7 3" xfId="353" xr:uid="{00000000-0005-0000-0000-000062010000}"/>
    <cellStyle name="Percent 8" xfId="354" xr:uid="{00000000-0005-0000-0000-000063010000}"/>
    <cellStyle name="Percent 9" xfId="355" xr:uid="{00000000-0005-0000-0000-000064010000}"/>
    <cellStyle name="Percent(1)" xfId="356" xr:uid="{00000000-0005-0000-0000-000065010000}"/>
    <cellStyle name="Percent(2)" xfId="357" xr:uid="{00000000-0005-0000-0000-000066010000}"/>
    <cellStyle name="PRM" xfId="358" xr:uid="{00000000-0005-0000-0000-000067010000}"/>
    <cellStyle name="PRM 2" xfId="359" xr:uid="{00000000-0005-0000-0000-000068010000}"/>
    <cellStyle name="PRM 3" xfId="360" xr:uid="{00000000-0005-0000-0000-000069010000}"/>
    <cellStyle name="PRM_2011-11" xfId="361" xr:uid="{00000000-0005-0000-0000-00006A010000}"/>
    <cellStyle name="PS_Comma" xfId="362" xr:uid="{00000000-0005-0000-0000-00006B010000}"/>
    <cellStyle name="PSChar" xfId="363" xr:uid="{00000000-0005-0000-0000-00006C010000}"/>
    <cellStyle name="PSDate" xfId="364" xr:uid="{00000000-0005-0000-0000-00006D010000}"/>
    <cellStyle name="PSDec" xfId="365" xr:uid="{00000000-0005-0000-0000-00006E010000}"/>
    <cellStyle name="PSHeading" xfId="366" xr:uid="{00000000-0005-0000-0000-00006F010000}"/>
    <cellStyle name="PSInt" xfId="367" xr:uid="{00000000-0005-0000-0000-000070010000}"/>
    <cellStyle name="PSSpacer" xfId="368" xr:uid="{00000000-0005-0000-0000-000071010000}"/>
    <cellStyle name="STYL0 - Style1" xfId="369" xr:uid="{00000000-0005-0000-0000-000072010000}"/>
    <cellStyle name="STYL1 - Style2" xfId="370" xr:uid="{00000000-0005-0000-0000-000073010000}"/>
    <cellStyle name="STYL2 - Style3" xfId="371" xr:uid="{00000000-0005-0000-0000-000074010000}"/>
    <cellStyle name="STYL3 - Style4" xfId="372" xr:uid="{00000000-0005-0000-0000-000075010000}"/>
    <cellStyle name="STYL4 - Style5" xfId="373" xr:uid="{00000000-0005-0000-0000-000076010000}"/>
    <cellStyle name="STYL5 - Style6" xfId="374" xr:uid="{00000000-0005-0000-0000-000077010000}"/>
    <cellStyle name="STYL6 - Style7" xfId="375" xr:uid="{00000000-0005-0000-0000-000078010000}"/>
    <cellStyle name="STYL7 - Style8" xfId="376" xr:uid="{00000000-0005-0000-0000-000079010000}"/>
    <cellStyle name="Style 1" xfId="377" xr:uid="{00000000-0005-0000-0000-00007A010000}"/>
    <cellStyle name="Style 1 2" xfId="378" xr:uid="{00000000-0005-0000-0000-00007B010000}"/>
    <cellStyle name="STYLE1" xfId="379" xr:uid="{00000000-0005-0000-0000-00007C010000}"/>
    <cellStyle name="sub heading" xfId="380" xr:uid="{00000000-0005-0000-0000-00007D010000}"/>
    <cellStyle name="Title 2" xfId="381" xr:uid="{00000000-0005-0000-0000-00007E010000}"/>
    <cellStyle name="Title 3" xfId="382" xr:uid="{00000000-0005-0000-0000-00007F010000}"/>
    <cellStyle name="Total 2" xfId="383" xr:uid="{00000000-0005-0000-0000-000080010000}"/>
    <cellStyle name="Total 2 2" xfId="384" xr:uid="{00000000-0005-0000-0000-000081010000}"/>
    <cellStyle name="Total 3" xfId="385" xr:uid="{00000000-0005-0000-0000-000082010000}"/>
    <cellStyle name="Total 3 2" xfId="386" xr:uid="{00000000-0005-0000-0000-000083010000}"/>
    <cellStyle name="Warning Text 2" xfId="387" xr:uid="{00000000-0005-0000-0000-000084010000}"/>
    <cellStyle name="Warning Text 3" xfId="388" xr:uid="{00000000-0005-0000-0000-000085010000}"/>
    <cellStyle name="WM_STANDARD" xfId="389" xr:uid="{00000000-0005-0000-0000-00008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465067</xdr:colOff>
      <xdr:row>25</xdr:row>
      <xdr:rowOff>37500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6667" cy="4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opLeftCell="A37" workbookViewId="0">
      <selection activeCell="D60" sqref="D60"/>
    </sheetView>
  </sheetViews>
  <sheetFormatPr defaultColWidth="9.140625"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68" t="s">
        <v>18</v>
      </c>
      <c r="B1" s="168"/>
      <c r="C1" s="168"/>
      <c r="D1" s="168"/>
      <c r="E1" s="168"/>
      <c r="F1" s="168"/>
      <c r="G1" s="168"/>
      <c r="H1" s="168"/>
    </row>
    <row r="2" spans="1:8">
      <c r="A2" s="3" t="s">
        <v>54</v>
      </c>
      <c r="B2" s="15" t="s">
        <v>40</v>
      </c>
      <c r="C2" s="15" t="s">
        <v>41</v>
      </c>
      <c r="D2" s="15" t="s">
        <v>42</v>
      </c>
      <c r="E2" s="16" t="s">
        <v>45</v>
      </c>
      <c r="F2" s="16" t="s">
        <v>46</v>
      </c>
      <c r="G2" s="16" t="s">
        <v>47</v>
      </c>
      <c r="H2" s="15" t="s">
        <v>50</v>
      </c>
    </row>
    <row r="3" spans="1:8">
      <c r="A3" s="3" t="s">
        <v>51</v>
      </c>
      <c r="B3" s="1">
        <f>52*5/12</f>
        <v>21.666666666666668</v>
      </c>
      <c r="C3" s="17">
        <f>$B$3*2</f>
        <v>43.333333333333336</v>
      </c>
      <c r="D3" s="17">
        <f>$B$3*3</f>
        <v>65</v>
      </c>
      <c r="E3" s="17">
        <f>$B$3*4</f>
        <v>86.666666666666671</v>
      </c>
      <c r="F3" s="17">
        <f>$B$3*5</f>
        <v>108.33333333333334</v>
      </c>
      <c r="G3" s="17">
        <f>$B$3*6</f>
        <v>130</v>
      </c>
      <c r="H3" s="17">
        <f>$B$3*7</f>
        <v>151.66666666666669</v>
      </c>
    </row>
    <row r="4" spans="1:8">
      <c r="A4" s="3" t="s">
        <v>87</v>
      </c>
      <c r="B4" s="1">
        <f>52*4/12</f>
        <v>17.333333333333332</v>
      </c>
      <c r="C4" s="17">
        <f>$B$4*2</f>
        <v>34.666666666666664</v>
      </c>
      <c r="D4" s="17">
        <f>$B$4*3</f>
        <v>52</v>
      </c>
      <c r="E4" s="17">
        <f>$B$4*4</f>
        <v>69.333333333333329</v>
      </c>
      <c r="F4" s="17">
        <f>$B$4*5</f>
        <v>86.666666666666657</v>
      </c>
      <c r="G4" s="17">
        <f>$B$4*6</f>
        <v>104</v>
      </c>
      <c r="H4" s="17">
        <f>$B$4*7</f>
        <v>121.33333333333333</v>
      </c>
    </row>
    <row r="5" spans="1:8">
      <c r="A5" s="3" t="s">
        <v>52</v>
      </c>
      <c r="B5" s="1">
        <f>52*3/12</f>
        <v>13</v>
      </c>
      <c r="C5" s="17">
        <f>$B$5*2</f>
        <v>26</v>
      </c>
      <c r="D5" s="17">
        <f>$B$5*3</f>
        <v>39</v>
      </c>
      <c r="E5" s="17">
        <f>$B$5*4</f>
        <v>52</v>
      </c>
      <c r="F5" s="17">
        <f>$B$5*5</f>
        <v>65</v>
      </c>
      <c r="G5" s="17">
        <f>$B$5*6</f>
        <v>78</v>
      </c>
      <c r="H5" s="17">
        <f>$B$5*7</f>
        <v>91</v>
      </c>
    </row>
    <row r="6" spans="1:8">
      <c r="A6" s="3" t="s">
        <v>53</v>
      </c>
      <c r="B6" s="1">
        <f>52*2/12</f>
        <v>8.6666666666666661</v>
      </c>
      <c r="C6" s="18">
        <f>$B$6*2</f>
        <v>17.333333333333332</v>
      </c>
      <c r="D6" s="18">
        <f>$B$6*3</f>
        <v>26</v>
      </c>
      <c r="E6" s="18">
        <f>$B$6*4</f>
        <v>34.666666666666664</v>
      </c>
      <c r="F6" s="18">
        <f>$B$6*5</f>
        <v>43.333333333333329</v>
      </c>
      <c r="G6" s="18">
        <f>$B$6*6</f>
        <v>52</v>
      </c>
      <c r="H6" s="18">
        <f>$B$6*7</f>
        <v>60.666666666666664</v>
      </c>
    </row>
    <row r="7" spans="1:8">
      <c r="A7" s="3" t="s">
        <v>21</v>
      </c>
      <c r="B7" s="1">
        <f>52/12</f>
        <v>4.333333333333333</v>
      </c>
      <c r="C7" s="18">
        <f>$B$7*2</f>
        <v>8.6666666666666661</v>
      </c>
      <c r="D7" s="18">
        <f>$B$7*3</f>
        <v>13</v>
      </c>
      <c r="E7" s="18">
        <f>$B$7*4</f>
        <v>17.333333333333332</v>
      </c>
      <c r="F7" s="18">
        <f>$B$7*5</f>
        <v>21.666666666666664</v>
      </c>
      <c r="G7" s="18">
        <f>$B$7*6</f>
        <v>26</v>
      </c>
      <c r="H7" s="18">
        <f>$B$7*7</f>
        <v>30.333333333333332</v>
      </c>
    </row>
    <row r="8" spans="1:8">
      <c r="A8" s="3" t="s">
        <v>23</v>
      </c>
      <c r="B8" s="1">
        <f>26/12</f>
        <v>2.1666666666666665</v>
      </c>
      <c r="C8" s="18">
        <f>$B$8*2</f>
        <v>4.333333333333333</v>
      </c>
      <c r="D8" s="18">
        <f>$B$8*3</f>
        <v>6.5</v>
      </c>
      <c r="E8" s="18">
        <f>$B$8*4</f>
        <v>8.6666666666666661</v>
      </c>
      <c r="F8" s="18">
        <f>$B$8*5</f>
        <v>10.833333333333332</v>
      </c>
      <c r="G8" s="18">
        <f>$B$8*6</f>
        <v>13</v>
      </c>
      <c r="H8" s="18">
        <f>$B$8*7</f>
        <v>15.166666666666666</v>
      </c>
    </row>
    <row r="9" spans="1:8">
      <c r="A9" s="3" t="s">
        <v>22</v>
      </c>
      <c r="B9" s="1">
        <f>12/12</f>
        <v>1</v>
      </c>
      <c r="C9" s="18">
        <f>$B$9*2</f>
        <v>2</v>
      </c>
      <c r="D9" s="18">
        <f>$B$9*3</f>
        <v>3</v>
      </c>
      <c r="E9" s="18">
        <f>$B$9*4</f>
        <v>4</v>
      </c>
      <c r="F9" s="18">
        <f>$B$9*5</f>
        <v>5</v>
      </c>
      <c r="G9" s="18">
        <f>$B$9*6</f>
        <v>6</v>
      </c>
      <c r="H9" s="18">
        <f>$B$9*7</f>
        <v>7</v>
      </c>
    </row>
    <row r="10" spans="1:8">
      <c r="B10" s="1"/>
      <c r="C10" s="18"/>
      <c r="D10" s="18"/>
      <c r="E10" s="18"/>
      <c r="F10" s="18"/>
      <c r="G10" s="18"/>
      <c r="H10" s="18"/>
    </row>
    <row r="11" spans="1:8">
      <c r="A11" s="168" t="s">
        <v>10</v>
      </c>
      <c r="B11" s="168"/>
      <c r="C11" s="18"/>
      <c r="D11" s="18"/>
      <c r="E11" s="18"/>
      <c r="F11" s="18"/>
      <c r="G11" s="18"/>
      <c r="H11" s="18"/>
    </row>
    <row r="12" spans="1:8">
      <c r="A12" s="2" t="s">
        <v>49</v>
      </c>
      <c r="B12" s="28" t="s">
        <v>79</v>
      </c>
      <c r="C12" s="18"/>
      <c r="D12" s="18"/>
      <c r="E12" s="18"/>
      <c r="F12" s="18"/>
      <c r="G12" s="18"/>
      <c r="H12" s="18"/>
    </row>
    <row r="13" spans="1:8">
      <c r="A13" s="19" t="s">
        <v>80</v>
      </c>
      <c r="B13" s="11">
        <v>20</v>
      </c>
      <c r="C13" s="18"/>
      <c r="D13" s="18"/>
      <c r="E13" s="18"/>
      <c r="F13" s="18"/>
      <c r="G13" s="18"/>
      <c r="H13" s="18"/>
    </row>
    <row r="14" spans="1:8">
      <c r="A14" s="19" t="s">
        <v>55</v>
      </c>
      <c r="B14" s="11">
        <v>34</v>
      </c>
      <c r="C14" s="18"/>
      <c r="D14" s="18"/>
      <c r="E14" s="18"/>
      <c r="F14" s="18"/>
      <c r="G14" s="18"/>
      <c r="H14" s="18"/>
    </row>
    <row r="15" spans="1:8">
      <c r="A15" s="19" t="s">
        <v>56</v>
      </c>
      <c r="B15" s="11">
        <v>51</v>
      </c>
      <c r="C15" s="18"/>
      <c r="D15" s="18"/>
      <c r="E15" s="18"/>
      <c r="F15" s="18"/>
      <c r="G15" s="18"/>
      <c r="H15" s="18"/>
    </row>
    <row r="16" spans="1:8">
      <c r="A16" s="19" t="s">
        <v>57</v>
      </c>
      <c r="B16" s="11">
        <v>77</v>
      </c>
      <c r="C16" s="18"/>
      <c r="D16" s="18"/>
      <c r="E16" s="18"/>
      <c r="F16" s="3" t="s">
        <v>19</v>
      </c>
      <c r="G16" s="11">
        <v>2000</v>
      </c>
      <c r="H16" s="18"/>
    </row>
    <row r="17" spans="1:8">
      <c r="A17" s="19" t="s">
        <v>58</v>
      </c>
      <c r="B17" s="11">
        <v>97</v>
      </c>
      <c r="C17" s="18"/>
      <c r="D17" s="18"/>
      <c r="E17" s="18"/>
      <c r="F17" s="3" t="s">
        <v>20</v>
      </c>
      <c r="G17" s="20" t="s">
        <v>43</v>
      </c>
      <c r="H17" s="18"/>
    </row>
    <row r="18" spans="1:8">
      <c r="A18" s="19" t="s">
        <v>59</v>
      </c>
      <c r="B18" s="11">
        <v>117</v>
      </c>
      <c r="C18" s="18"/>
      <c r="D18" s="18"/>
      <c r="E18" s="18"/>
      <c r="H18" s="18"/>
    </row>
    <row r="19" spans="1:8">
      <c r="A19" s="19" t="s">
        <v>60</v>
      </c>
      <c r="B19" s="11">
        <v>157</v>
      </c>
      <c r="C19" s="18"/>
      <c r="D19" s="18"/>
      <c r="E19" s="18"/>
      <c r="F19" s="13"/>
      <c r="G19" s="14"/>
      <c r="H19" s="18"/>
    </row>
    <row r="20" spans="1:8">
      <c r="A20" s="19" t="s">
        <v>94</v>
      </c>
      <c r="B20" s="11">
        <v>37</v>
      </c>
      <c r="C20" s="18" t="s">
        <v>81</v>
      </c>
      <c r="D20" s="18"/>
      <c r="E20" s="18"/>
      <c r="F20" s="13"/>
      <c r="G20" s="14"/>
      <c r="H20" s="18"/>
    </row>
    <row r="21" spans="1:8">
      <c r="A21" s="19" t="s">
        <v>61</v>
      </c>
      <c r="B21" s="11">
        <v>47</v>
      </c>
      <c r="C21" s="18"/>
      <c r="D21" s="18"/>
      <c r="E21" s="18"/>
      <c r="F21" s="18"/>
      <c r="G21" s="18"/>
      <c r="H21" s="18"/>
    </row>
    <row r="22" spans="1:8">
      <c r="A22" s="19" t="s">
        <v>62</v>
      </c>
      <c r="B22" s="11">
        <v>68</v>
      </c>
      <c r="C22" s="18"/>
      <c r="D22" s="18"/>
      <c r="E22" s="18"/>
      <c r="F22" s="18"/>
      <c r="G22" s="18"/>
      <c r="H22" s="18"/>
    </row>
    <row r="23" spans="1:8">
      <c r="A23" s="19" t="s">
        <v>63</v>
      </c>
      <c r="B23" s="11">
        <v>34</v>
      </c>
      <c r="C23" s="18"/>
      <c r="D23" s="18"/>
      <c r="E23" s="18"/>
      <c r="F23" s="18"/>
      <c r="G23" s="18"/>
      <c r="H23" s="18"/>
    </row>
    <row r="24" spans="1:8">
      <c r="A24" s="19" t="s">
        <v>31</v>
      </c>
      <c r="B24" s="11">
        <v>34</v>
      </c>
      <c r="C24" s="18"/>
      <c r="D24" s="18"/>
      <c r="E24" s="18"/>
      <c r="F24" s="18"/>
      <c r="G24" s="18"/>
      <c r="H24" s="18"/>
    </row>
    <row r="25" spans="1:8">
      <c r="A25" s="2" t="s">
        <v>64</v>
      </c>
      <c r="B25" s="11"/>
      <c r="C25" s="18"/>
      <c r="D25" s="18"/>
      <c r="E25" s="18"/>
      <c r="F25" s="18"/>
      <c r="G25" s="18"/>
      <c r="H25" s="18"/>
    </row>
    <row r="26" spans="1:8">
      <c r="A26" s="19" t="s">
        <v>65</v>
      </c>
      <c r="B26" s="11">
        <v>29</v>
      </c>
      <c r="C26" s="18"/>
      <c r="D26" s="18"/>
      <c r="E26" s="18"/>
      <c r="F26" s="18"/>
      <c r="G26" s="18"/>
      <c r="H26" s="18"/>
    </row>
    <row r="27" spans="1:8">
      <c r="A27" s="19" t="s">
        <v>66</v>
      </c>
      <c r="B27" s="11">
        <v>175</v>
      </c>
      <c r="C27" s="18"/>
      <c r="D27" s="18"/>
      <c r="E27" s="18"/>
      <c r="F27" s="18"/>
      <c r="G27" s="18"/>
      <c r="H27" s="18"/>
    </row>
    <row r="28" spans="1:8">
      <c r="A28" s="19" t="s">
        <v>67</v>
      </c>
      <c r="B28" s="11">
        <v>250</v>
      </c>
      <c r="C28" s="18"/>
      <c r="D28" s="18"/>
      <c r="E28" s="18"/>
      <c r="F28" s="18"/>
      <c r="G28" s="18"/>
      <c r="H28" s="18"/>
    </row>
    <row r="29" spans="1:8">
      <c r="A29" s="19" t="s">
        <v>68</v>
      </c>
      <c r="B29" s="11">
        <v>324</v>
      </c>
      <c r="C29" s="18"/>
      <c r="D29" s="18"/>
      <c r="E29" s="18"/>
      <c r="F29" s="18"/>
      <c r="G29" s="18"/>
      <c r="H29" s="18"/>
    </row>
    <row r="30" spans="1:8">
      <c r="A30" s="19" t="s">
        <v>69</v>
      </c>
      <c r="B30" s="11">
        <v>473</v>
      </c>
      <c r="C30" s="18"/>
      <c r="D30" s="18"/>
      <c r="E30" s="18"/>
      <c r="F30" s="18"/>
      <c r="G30" s="18"/>
      <c r="H30" s="18"/>
    </row>
    <row r="31" spans="1:8">
      <c r="A31" s="19" t="s">
        <v>70</v>
      </c>
      <c r="B31" s="11">
        <v>613</v>
      </c>
      <c r="C31" s="18"/>
      <c r="D31" s="18"/>
      <c r="E31" s="18"/>
      <c r="F31" s="18"/>
      <c r="G31" s="18"/>
      <c r="H31" s="18"/>
    </row>
    <row r="32" spans="1:8">
      <c r="A32" s="19" t="s">
        <v>71</v>
      </c>
      <c r="B32" s="11">
        <v>840</v>
      </c>
      <c r="C32" s="18"/>
      <c r="D32" s="18"/>
      <c r="E32" s="18"/>
      <c r="F32" s="18"/>
      <c r="G32" s="18"/>
      <c r="H32" s="18"/>
    </row>
    <row r="33" spans="1:8">
      <c r="A33" s="19" t="s">
        <v>72</v>
      </c>
      <c r="B33" s="11">
        <v>980</v>
      </c>
      <c r="C33" s="18"/>
      <c r="D33" s="18"/>
      <c r="E33" s="18"/>
      <c r="F33" s="18"/>
      <c r="G33" s="18"/>
      <c r="H33" s="18"/>
    </row>
    <row r="34" spans="1:8">
      <c r="A34" s="19" t="s">
        <v>88</v>
      </c>
      <c r="B34" s="11">
        <v>482</v>
      </c>
      <c r="C34" s="18" t="s">
        <v>81</v>
      </c>
      <c r="D34" s="18"/>
      <c r="E34" s="18"/>
      <c r="F34" s="18"/>
      <c r="G34" s="18"/>
      <c r="H34" s="18"/>
    </row>
    <row r="35" spans="1:8">
      <c r="A35" s="19" t="s">
        <v>89</v>
      </c>
      <c r="B35" s="11">
        <v>689</v>
      </c>
      <c r="C35" s="18" t="s">
        <v>81</v>
      </c>
      <c r="D35" s="18"/>
      <c r="E35" s="18"/>
      <c r="F35" s="18"/>
      <c r="G35" s="18"/>
      <c r="H35" s="18"/>
    </row>
    <row r="36" spans="1:8">
      <c r="A36" s="19" t="s">
        <v>74</v>
      </c>
      <c r="B36" s="11">
        <v>892</v>
      </c>
      <c r="C36" s="18" t="s">
        <v>81</v>
      </c>
      <c r="D36" s="18"/>
      <c r="E36" s="18"/>
      <c r="F36" s="18"/>
      <c r="G36" s="18"/>
      <c r="H36" s="18"/>
    </row>
    <row r="37" spans="1:8">
      <c r="A37" s="19" t="s">
        <v>73</v>
      </c>
      <c r="B37" s="11">
        <v>1301</v>
      </c>
      <c r="C37" s="18"/>
      <c r="D37" s="18"/>
      <c r="E37" s="18"/>
      <c r="F37" s="18"/>
      <c r="G37" s="18"/>
      <c r="H37" s="18"/>
    </row>
    <row r="38" spans="1:8">
      <c r="A38" s="19" t="s">
        <v>75</v>
      </c>
      <c r="B38" s="11">
        <v>1686</v>
      </c>
      <c r="C38" s="18"/>
      <c r="D38" s="18"/>
      <c r="E38" s="18"/>
      <c r="F38" s="18"/>
      <c r="G38" s="18"/>
      <c r="H38" s="18"/>
    </row>
    <row r="39" spans="1:8">
      <c r="A39" s="19" t="s">
        <v>76</v>
      </c>
      <c r="B39" s="11">
        <v>2046</v>
      </c>
      <c r="C39" s="18"/>
      <c r="D39" s="18"/>
      <c r="E39" s="18"/>
      <c r="F39" s="18"/>
      <c r="G39" s="18"/>
      <c r="H39" s="18"/>
    </row>
    <row r="40" spans="1:8">
      <c r="A40" s="19" t="s">
        <v>77</v>
      </c>
      <c r="B40" s="11">
        <v>2310</v>
      </c>
      <c r="C40" s="18"/>
      <c r="D40" s="18"/>
      <c r="E40" s="18"/>
      <c r="F40" s="18"/>
      <c r="G40" s="18"/>
      <c r="H40" s="18"/>
    </row>
    <row r="41" spans="1:8">
      <c r="A41" s="19" t="s">
        <v>90</v>
      </c>
      <c r="B41" s="11">
        <v>2800</v>
      </c>
      <c r="C41" s="18" t="s">
        <v>81</v>
      </c>
      <c r="D41" s="18"/>
      <c r="E41" s="18"/>
      <c r="F41" s="18"/>
      <c r="G41" s="18"/>
      <c r="H41" s="18"/>
    </row>
    <row r="42" spans="1:8">
      <c r="A42" s="19" t="s">
        <v>78</v>
      </c>
      <c r="B42" s="11">
        <v>125</v>
      </c>
      <c r="C42" s="18"/>
      <c r="D42" s="18"/>
      <c r="E42" s="18"/>
      <c r="F42" s="18"/>
      <c r="G42" s="18"/>
      <c r="H42" s="18"/>
    </row>
    <row r="43" spans="1:8">
      <c r="B43" s="170" t="s">
        <v>92</v>
      </c>
      <c r="C43" s="170"/>
    </row>
    <row r="46" spans="1:8">
      <c r="A46" s="27" t="s">
        <v>191</v>
      </c>
      <c r="B46" s="25" t="s">
        <v>5</v>
      </c>
      <c r="C46" s="25" t="s">
        <v>6</v>
      </c>
      <c r="F46" s="169" t="s">
        <v>26</v>
      </c>
      <c r="G46" s="169"/>
    </row>
    <row r="47" spans="1:8">
      <c r="A47" s="21" t="s">
        <v>7</v>
      </c>
      <c r="B47" s="6">
        <v>99.2</v>
      </c>
      <c r="C47" s="5">
        <f>B47/2000</f>
        <v>4.9599999999999998E-2</v>
      </c>
      <c r="F47" s="3" t="s">
        <v>27</v>
      </c>
      <c r="G47" s="161">
        <f>0.0175</f>
        <v>1.7500000000000002E-2</v>
      </c>
    </row>
    <row r="48" spans="1:8">
      <c r="A48" s="21" t="s">
        <v>8</v>
      </c>
      <c r="B48" s="7">
        <v>102.2</v>
      </c>
      <c r="C48" s="8">
        <f>B48/2000</f>
        <v>5.11E-2</v>
      </c>
      <c r="F48" s="3" t="s">
        <v>28</v>
      </c>
      <c r="G48" s="162">
        <f>0.0051</f>
        <v>5.1000000000000004E-3</v>
      </c>
    </row>
    <row r="49" spans="1:7">
      <c r="A49" s="19" t="s">
        <v>9</v>
      </c>
      <c r="B49" s="6">
        <f>B48-B47</f>
        <v>3</v>
      </c>
      <c r="C49" s="10">
        <f>C48-C47</f>
        <v>1.5000000000000013E-3</v>
      </c>
      <c r="F49" s="3" t="s">
        <v>48</v>
      </c>
      <c r="G49" s="9"/>
    </row>
    <row r="50" spans="1:7">
      <c r="F50" s="3" t="s">
        <v>16</v>
      </c>
      <c r="G50" s="22">
        <f>SUM(G47:G49)</f>
        <v>2.2600000000000002E-2</v>
      </c>
    </row>
    <row r="51" spans="1:7">
      <c r="B51" s="26" t="s">
        <v>93</v>
      </c>
    </row>
    <row r="52" spans="1:7">
      <c r="A52" s="3" t="s">
        <v>3</v>
      </c>
      <c r="B52" s="23">
        <f>B49</f>
        <v>3</v>
      </c>
      <c r="F52" s="3" t="s">
        <v>29</v>
      </c>
      <c r="G52" s="24">
        <f>1-G50</f>
        <v>0.97740000000000005</v>
      </c>
    </row>
    <row r="53" spans="1:7">
      <c r="A53" s="3" t="s">
        <v>25</v>
      </c>
      <c r="B53" s="23">
        <f>B52/$G$52</f>
        <v>3.0693677102516879</v>
      </c>
    </row>
    <row r="54" spans="1:7">
      <c r="A54" s="3" t="s">
        <v>24</v>
      </c>
      <c r="B54" s="12">
        <f>'Disposal Increase Calculations'!D119</f>
        <v>6618.43</v>
      </c>
    </row>
    <row r="55" spans="1:7">
      <c r="A55" s="2" t="s">
        <v>30</v>
      </c>
      <c r="B55" s="4">
        <f>B53*B54</f>
        <v>20314.395334561079</v>
      </c>
    </row>
    <row r="58" spans="1:7" ht="15.75" thickBot="1"/>
    <row r="59" spans="1:7">
      <c r="A59" s="87" t="s">
        <v>84</v>
      </c>
      <c r="B59" s="88" t="s">
        <v>82</v>
      </c>
      <c r="D59" s="23"/>
    </row>
    <row r="60" spans="1:7">
      <c r="A60" s="89" t="s">
        <v>83</v>
      </c>
      <c r="B60" s="90">
        <f>+'Disposal Increase Calculations'!Q76</f>
        <v>20314.39533456105</v>
      </c>
    </row>
    <row r="61" spans="1:7">
      <c r="A61" s="89" t="s">
        <v>12</v>
      </c>
      <c r="B61" s="90">
        <f>B60-B55</f>
        <v>-2.9103830456733704E-11</v>
      </c>
    </row>
    <row r="62" spans="1:7">
      <c r="A62" s="89"/>
      <c r="B62" s="91"/>
    </row>
    <row r="63" spans="1:7">
      <c r="A63" s="92" t="s">
        <v>85</v>
      </c>
      <c r="B63" s="93" t="s">
        <v>82</v>
      </c>
    </row>
    <row r="64" spans="1:7">
      <c r="A64" s="89" t="s">
        <v>44</v>
      </c>
      <c r="B64" s="94">
        <f>'Disposal Increase Calculations'!Q76</f>
        <v>20314.39533456105</v>
      </c>
    </row>
    <row r="65" spans="1:3" ht="15.75" thickBot="1">
      <c r="A65" s="95" t="s">
        <v>12</v>
      </c>
      <c r="B65" s="96">
        <f>B64-B55</f>
        <v>-2.9103830456733704E-11</v>
      </c>
      <c r="C65" s="23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W148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T23" sqref="T23"/>
    </sheetView>
  </sheetViews>
  <sheetFormatPr defaultColWidth="8.85546875" defaultRowHeight="15"/>
  <cols>
    <col min="1" max="1" width="4.5703125" style="57" customWidth="1"/>
    <col min="2" max="2" width="10.85546875" style="61" bestFit="1" customWidth="1"/>
    <col min="3" max="3" width="35.5703125" style="57" bestFit="1" customWidth="1"/>
    <col min="4" max="4" width="18.85546875" style="58" customWidth="1"/>
    <col min="5" max="5" width="10.42578125" style="57" customWidth="1"/>
    <col min="6" max="6" width="18.7109375" style="57" bestFit="1" customWidth="1"/>
    <col min="7" max="7" width="15.140625" style="57" customWidth="1"/>
    <col min="8" max="8" width="21.42578125" style="57" customWidth="1"/>
    <col min="9" max="9" width="16.28515625" style="56" customWidth="1"/>
    <col min="10" max="11" width="12.28515625" style="57" customWidth="1"/>
    <col min="12" max="12" width="10.7109375" style="57" customWidth="1"/>
    <col min="13" max="13" width="16.5703125" style="57" customWidth="1"/>
    <col min="14" max="14" width="15.42578125" style="57" customWidth="1"/>
    <col min="15" max="15" width="21.140625" style="57" bestFit="1" customWidth="1"/>
    <col min="16" max="16" width="23.85546875" style="57" bestFit="1" customWidth="1"/>
    <col min="17" max="17" width="16" style="57" customWidth="1"/>
    <col min="18" max="18" width="8.85546875" style="57"/>
    <col min="19" max="19" width="13.5703125" style="57" customWidth="1"/>
    <col min="20" max="22" width="8.85546875" style="57"/>
    <col min="23" max="23" width="10.7109375" style="57" bestFit="1" customWidth="1"/>
    <col min="24" max="16384" width="8.85546875" style="57"/>
  </cols>
  <sheetData>
    <row r="4" spans="1:20" ht="45">
      <c r="A4" s="27"/>
      <c r="B4" s="81" t="s">
        <v>15</v>
      </c>
      <c r="C4" s="82" t="s">
        <v>17</v>
      </c>
      <c r="D4" s="81" t="s">
        <v>37</v>
      </c>
      <c r="E4" s="81" t="s">
        <v>0</v>
      </c>
      <c r="F4" s="27" t="s">
        <v>1</v>
      </c>
      <c r="G4" s="81" t="s">
        <v>10</v>
      </c>
      <c r="H4" s="81" t="s">
        <v>34</v>
      </c>
      <c r="I4" s="103" t="s">
        <v>35</v>
      </c>
      <c r="J4" s="101" t="s">
        <v>9</v>
      </c>
      <c r="K4" s="81" t="s">
        <v>2</v>
      </c>
      <c r="L4" s="81" t="s">
        <v>38</v>
      </c>
      <c r="M4" s="81" t="s">
        <v>189</v>
      </c>
      <c r="N4" s="81" t="s">
        <v>188</v>
      </c>
      <c r="O4" s="81" t="s">
        <v>36</v>
      </c>
      <c r="P4" s="81" t="s">
        <v>190</v>
      </c>
      <c r="Q4" s="81" t="s">
        <v>39</v>
      </c>
    </row>
    <row r="5" spans="1:20" s="59" customFormat="1" ht="15" customHeight="1">
      <c r="A5" s="171" t="s">
        <v>13</v>
      </c>
      <c r="B5" s="107">
        <v>20</v>
      </c>
      <c r="C5" s="63" t="s">
        <v>195</v>
      </c>
      <c r="D5" s="108"/>
      <c r="E5" s="69"/>
      <c r="F5" s="68"/>
      <c r="G5" s="138"/>
      <c r="H5" s="70"/>
      <c r="I5" s="102"/>
      <c r="J5" s="71"/>
      <c r="K5" s="71"/>
      <c r="L5" s="67"/>
      <c r="M5" s="152"/>
      <c r="N5" s="146"/>
      <c r="O5" s="67"/>
      <c r="P5" s="67"/>
      <c r="Q5" s="67"/>
    </row>
    <row r="6" spans="1:20" s="59" customFormat="1" ht="15" customHeight="1">
      <c r="A6" s="172"/>
      <c r="B6" s="107">
        <v>20</v>
      </c>
      <c r="C6" s="42" t="s">
        <v>95</v>
      </c>
      <c r="D6" s="108">
        <v>1125</v>
      </c>
      <c r="E6" s="69">
        <f>References!$B$7</f>
        <v>4.333333333333333</v>
      </c>
      <c r="F6" s="68">
        <f>D6*E6*12</f>
        <v>58500</v>
      </c>
      <c r="G6" s="138">
        <f>References!B21</f>
        <v>47</v>
      </c>
      <c r="H6" s="70">
        <f>F6*G6</f>
        <v>2749500</v>
      </c>
      <c r="I6" s="102">
        <f>$D$122*H6</f>
        <v>1763516.5056267735</v>
      </c>
      <c r="J6" s="71">
        <f>(References!$C$49*I6)</f>
        <v>2645.2747584401627</v>
      </c>
      <c r="K6" s="71">
        <f>J6/References!$G$52</f>
        <v>2706.4403094333566</v>
      </c>
      <c r="L6" s="67">
        <f>K6/F6*E6</f>
        <v>0.20047705995802639</v>
      </c>
      <c r="M6" s="152">
        <v>21.75</v>
      </c>
      <c r="N6" s="146">
        <f>L6+M6</f>
        <v>21.950477059958025</v>
      </c>
      <c r="O6" s="67">
        <f>D6*M6*12</f>
        <v>293625</v>
      </c>
      <c r="P6" s="67">
        <f>D6*N6*12</f>
        <v>296331.44030943332</v>
      </c>
      <c r="Q6" s="67">
        <f>+P6-O6</f>
        <v>2706.4403094333247</v>
      </c>
      <c r="R6" s="48"/>
    </row>
    <row r="7" spans="1:20" s="59" customFormat="1">
      <c r="A7" s="172"/>
      <c r="B7" s="107">
        <v>20</v>
      </c>
      <c r="C7" s="42" t="s">
        <v>96</v>
      </c>
      <c r="D7" s="108">
        <v>195</v>
      </c>
      <c r="E7" s="69">
        <f>References!$B$7</f>
        <v>4.333333333333333</v>
      </c>
      <c r="F7" s="68">
        <f t="shared" ref="F7:F13" si="0">D7*E7*12</f>
        <v>10139.999999999998</v>
      </c>
      <c r="G7" s="138">
        <f>References!B14</f>
        <v>34</v>
      </c>
      <c r="H7" s="68">
        <f t="shared" ref="H7:H13" si="1">F7*G7</f>
        <v>344759.99999999994</v>
      </c>
      <c r="I7" s="44">
        <f>$D$122*H7</f>
        <v>221127.45971263369</v>
      </c>
      <c r="J7" s="67">
        <f>(References!$C$49*I7)</f>
        <v>331.69118956895085</v>
      </c>
      <c r="K7" s="67">
        <f>J7/References!$G$52</f>
        <v>339.36074234596975</v>
      </c>
      <c r="L7" s="67">
        <f>K7/F7*E7</f>
        <v>0.14502595826750847</v>
      </c>
      <c r="M7" s="152">
        <v>16.43</v>
      </c>
      <c r="N7" s="146">
        <f>L7+M7</f>
        <v>16.57502595826751</v>
      </c>
      <c r="O7" s="67">
        <f>D7*M7*12</f>
        <v>38446.199999999997</v>
      </c>
      <c r="P7" s="67">
        <f>D7*N7*12</f>
        <v>38785.560742345973</v>
      </c>
      <c r="Q7" s="67">
        <f t="shared" ref="Q7:Q13" si="2">+P7-O7</f>
        <v>339.36074234597618</v>
      </c>
      <c r="R7" s="48"/>
    </row>
    <row r="8" spans="1:20" s="59" customFormat="1">
      <c r="A8" s="172"/>
      <c r="B8" s="107">
        <v>20</v>
      </c>
      <c r="C8" s="42" t="s">
        <v>97</v>
      </c>
      <c r="D8" s="108">
        <v>1</v>
      </c>
      <c r="E8" s="69">
        <f>References!$B$9</f>
        <v>1</v>
      </c>
      <c r="F8" s="68">
        <f t="shared" si="0"/>
        <v>12</v>
      </c>
      <c r="G8" s="138">
        <f>References!B21</f>
        <v>47</v>
      </c>
      <c r="H8" s="68">
        <f t="shared" si="1"/>
        <v>564</v>
      </c>
      <c r="I8" s="44">
        <f>$D$122*H8</f>
        <v>361.74697551318428</v>
      </c>
      <c r="J8" s="67">
        <f>(References!$C$49*I8)</f>
        <v>0.54262046326977686</v>
      </c>
      <c r="K8" s="67">
        <f>J8/References!$G$52</f>
        <v>0.55516724296068842</v>
      </c>
      <c r="L8" s="67">
        <f t="shared" ref="L8:L13" si="3">K8/F8*E8</f>
        <v>4.6263936913390702E-2</v>
      </c>
      <c r="M8" s="152">
        <v>6.18</v>
      </c>
      <c r="N8" s="146">
        <f t="shared" ref="N8:N43" si="4">L8+M8</f>
        <v>6.2262639369133908</v>
      </c>
      <c r="O8" s="67">
        <f>D8*M8*12</f>
        <v>74.16</v>
      </c>
      <c r="P8" s="67">
        <f>D8*N8*12</f>
        <v>74.715167242960689</v>
      </c>
      <c r="Q8" s="67">
        <f t="shared" si="2"/>
        <v>0.55516724296069242</v>
      </c>
      <c r="R8" s="48"/>
    </row>
    <row r="9" spans="1:20" s="59" customFormat="1">
      <c r="A9" s="172"/>
      <c r="B9" s="107">
        <v>20</v>
      </c>
      <c r="C9" s="42" t="s">
        <v>98</v>
      </c>
      <c r="D9" s="108">
        <v>1</v>
      </c>
      <c r="E9" s="69">
        <f>References!$B$9</f>
        <v>1</v>
      </c>
      <c r="F9" s="68">
        <f t="shared" si="0"/>
        <v>12</v>
      </c>
      <c r="G9" s="138">
        <f>References!B22</f>
        <v>68</v>
      </c>
      <c r="H9" s="68">
        <f t="shared" si="1"/>
        <v>816</v>
      </c>
      <c r="I9" s="44">
        <f>$D$122*H9</f>
        <v>523.37860287013893</v>
      </c>
      <c r="J9" s="67">
        <f>(References!$C$49*I9)</f>
        <v>0.78506790430520912</v>
      </c>
      <c r="K9" s="67">
        <f>J9/References!$G$52</f>
        <v>0.80322069194312362</v>
      </c>
      <c r="L9" s="67">
        <f>K9/F9*E9</f>
        <v>6.6935057661926964E-2</v>
      </c>
      <c r="M9" s="152">
        <v>6.5</v>
      </c>
      <c r="N9" s="146">
        <f>L9+M9</f>
        <v>6.5669350576619268</v>
      </c>
      <c r="O9" s="67">
        <f>D9*M9*12</f>
        <v>78</v>
      </c>
      <c r="P9" s="67">
        <f>D9*N9*12</f>
        <v>78.803220691943125</v>
      </c>
      <c r="Q9" s="67">
        <f t="shared" si="2"/>
        <v>0.80322069194312462</v>
      </c>
      <c r="R9" s="48"/>
    </row>
    <row r="10" spans="1:20" s="59" customFormat="1">
      <c r="A10" s="172"/>
      <c r="B10" s="107">
        <v>20</v>
      </c>
      <c r="C10" s="42" t="s">
        <v>99</v>
      </c>
      <c r="D10" s="108">
        <v>2086</v>
      </c>
      <c r="E10" s="69">
        <f>References!$B$7</f>
        <v>4.333333333333333</v>
      </c>
      <c r="F10" s="68">
        <f t="shared" si="0"/>
        <v>108471.99999999999</v>
      </c>
      <c r="G10" s="138">
        <f>References!B22</f>
        <v>68</v>
      </c>
      <c r="H10" s="68">
        <f t="shared" si="1"/>
        <v>7376095.9999999991</v>
      </c>
      <c r="I10" s="44">
        <f>$D$122*H10</f>
        <v>4730993.6508774757</v>
      </c>
      <c r="J10" s="67">
        <f>(References!$C$49*I10)</f>
        <v>7096.4904763162203</v>
      </c>
      <c r="K10" s="67">
        <f>J10/References!$G$52</f>
        <v>7260.5795747045422</v>
      </c>
      <c r="L10" s="67">
        <f>K10/F10*E10</f>
        <v>0.29005191653501688</v>
      </c>
      <c r="M10" s="152">
        <v>27.51</v>
      </c>
      <c r="N10" s="146">
        <f t="shared" si="4"/>
        <v>27.800051916535018</v>
      </c>
      <c r="O10" s="67">
        <f>D10*M10*12</f>
        <v>688630.32000000007</v>
      </c>
      <c r="P10" s="67">
        <f>D10*N10*12</f>
        <v>695890.89957470458</v>
      </c>
      <c r="Q10" s="67">
        <f t="shared" si="2"/>
        <v>7260.5795747045195</v>
      </c>
      <c r="R10" s="48"/>
    </row>
    <row r="11" spans="1:20" s="59" customFormat="1">
      <c r="A11" s="172"/>
      <c r="B11" s="107">
        <v>20</v>
      </c>
      <c r="C11" s="63" t="s">
        <v>123</v>
      </c>
      <c r="D11" s="108"/>
      <c r="E11" s="69"/>
      <c r="F11" s="68"/>
      <c r="G11" s="138"/>
      <c r="H11" s="68"/>
      <c r="I11" s="44"/>
      <c r="J11" s="67"/>
      <c r="K11" s="67"/>
      <c r="L11" s="67"/>
      <c r="M11" s="151"/>
      <c r="N11" s="146"/>
      <c r="O11" s="67"/>
      <c r="P11" s="67"/>
      <c r="Q11" s="67"/>
      <c r="R11" s="48"/>
    </row>
    <row r="12" spans="1:20" s="59" customFormat="1">
      <c r="A12" s="172"/>
      <c r="B12" s="107">
        <v>20</v>
      </c>
      <c r="C12" s="42" t="s">
        <v>95</v>
      </c>
      <c r="D12" s="108">
        <v>1</v>
      </c>
      <c r="E12" s="69">
        <f>References!$B$7</f>
        <v>4.333333333333333</v>
      </c>
      <c r="F12" s="68">
        <f t="shared" si="0"/>
        <v>52</v>
      </c>
      <c r="G12" s="138">
        <f>References!B21</f>
        <v>47</v>
      </c>
      <c r="H12" s="68">
        <f t="shared" si="1"/>
        <v>2444</v>
      </c>
      <c r="I12" s="44">
        <f>$D$122*H12</f>
        <v>1567.5702272237986</v>
      </c>
      <c r="J12" s="67">
        <f>(References!$C$49*I12)</f>
        <v>2.3513553408357</v>
      </c>
      <c r="K12" s="67">
        <f>J12/References!$G$52</f>
        <v>2.4057247194963165</v>
      </c>
      <c r="L12" s="67">
        <f t="shared" si="3"/>
        <v>0.20047705995802637</v>
      </c>
      <c r="M12" s="152">
        <v>18.309999999999999</v>
      </c>
      <c r="N12" s="146">
        <f t="shared" si="4"/>
        <v>18.510477059958024</v>
      </c>
      <c r="O12" s="67">
        <f>D12*M12*12</f>
        <v>219.71999999999997</v>
      </c>
      <c r="P12" s="67">
        <f>D12*N12*12</f>
        <v>222.1257247194963</v>
      </c>
      <c r="Q12" s="67">
        <f t="shared" si="2"/>
        <v>2.4057247194963338</v>
      </c>
      <c r="R12" s="48"/>
    </row>
    <row r="13" spans="1:20" s="59" customFormat="1">
      <c r="A13" s="172"/>
      <c r="B13" s="107">
        <v>20</v>
      </c>
      <c r="C13" s="42" t="s">
        <v>97</v>
      </c>
      <c r="D13" s="108">
        <v>1</v>
      </c>
      <c r="E13" s="69">
        <f>References!$B$9</f>
        <v>1</v>
      </c>
      <c r="F13" s="68">
        <f t="shared" si="0"/>
        <v>12</v>
      </c>
      <c r="G13" s="138">
        <f>References!B21</f>
        <v>47</v>
      </c>
      <c r="H13" s="68">
        <f t="shared" si="1"/>
        <v>564</v>
      </c>
      <c r="I13" s="44">
        <f>$D$122*H13</f>
        <v>361.74697551318428</v>
      </c>
      <c r="J13" s="67">
        <f>(References!$C$49*I13)</f>
        <v>0.54262046326977686</v>
      </c>
      <c r="K13" s="67">
        <f>J13/References!$G$52</f>
        <v>0.55516724296068842</v>
      </c>
      <c r="L13" s="67">
        <f t="shared" si="3"/>
        <v>4.6263936913390702E-2</v>
      </c>
      <c r="M13" s="152">
        <v>4.1399999999999997</v>
      </c>
      <c r="N13" s="146">
        <f t="shared" si="4"/>
        <v>4.1862639369133907</v>
      </c>
      <c r="O13" s="67">
        <f>D13*M13*12</f>
        <v>49.679999999999993</v>
      </c>
      <c r="P13" s="67">
        <f>D13*N13*12</f>
        <v>50.235167242960685</v>
      </c>
      <c r="Q13" s="67">
        <f t="shared" si="2"/>
        <v>0.55516724296069242</v>
      </c>
      <c r="R13" s="48"/>
    </row>
    <row r="14" spans="1:20" s="59" customFormat="1">
      <c r="A14" s="172"/>
      <c r="B14" s="45"/>
      <c r="C14" s="111"/>
      <c r="D14" s="112"/>
      <c r="E14" s="106"/>
      <c r="F14" s="68"/>
      <c r="G14" s="110"/>
      <c r="H14" s="68"/>
      <c r="I14" s="44"/>
      <c r="J14" s="67"/>
      <c r="K14" s="67"/>
      <c r="L14" s="67"/>
      <c r="M14" s="151"/>
      <c r="N14" s="146"/>
      <c r="O14" s="67"/>
      <c r="P14" s="67"/>
      <c r="Q14" s="67"/>
      <c r="R14" s="48"/>
    </row>
    <row r="15" spans="1:20" s="59" customFormat="1">
      <c r="A15" s="46"/>
      <c r="B15" s="83"/>
      <c r="C15" s="47" t="s">
        <v>16</v>
      </c>
      <c r="D15" s="49">
        <f>SUM(D6:D14)</f>
        <v>3410</v>
      </c>
      <c r="E15" s="50"/>
      <c r="F15" s="51">
        <f>SUM(F6:F14)</f>
        <v>177200</v>
      </c>
      <c r="G15" s="52"/>
      <c r="H15" s="84">
        <f>SUM(H6:H14)</f>
        <v>10474744</v>
      </c>
      <c r="I15" s="53">
        <f>SUM(I6:I14)</f>
        <v>6718452.0589980027</v>
      </c>
      <c r="J15" s="73"/>
      <c r="K15" s="73"/>
      <c r="L15" s="73"/>
      <c r="M15" s="73"/>
      <c r="N15" s="73"/>
      <c r="O15" s="72">
        <f>SUM(O6:O14)</f>
        <v>1021123.0800000001</v>
      </c>
      <c r="P15" s="72">
        <f>SUM(P6:P14)</f>
        <v>1031433.7799063812</v>
      </c>
      <c r="Q15" s="72">
        <f>SUM(Q6:Q14)</f>
        <v>10310.69990638118</v>
      </c>
      <c r="R15" s="48"/>
      <c r="S15" s="165">
        <f>P15/O15-1</f>
        <v>1.0097411475981088E-2</v>
      </c>
      <c r="T15" s="59" t="s">
        <v>196</v>
      </c>
    </row>
    <row r="16" spans="1:20" s="59" customFormat="1" ht="15" customHeight="1">
      <c r="A16" s="171" t="s">
        <v>14</v>
      </c>
      <c r="B16" s="45" t="s">
        <v>192</v>
      </c>
      <c r="C16" s="113" t="s">
        <v>101</v>
      </c>
      <c r="D16" s="56"/>
      <c r="E16" s="69"/>
      <c r="F16" s="114">
        <v>1872</v>
      </c>
      <c r="G16" s="138">
        <f>References!B26</f>
        <v>29</v>
      </c>
      <c r="H16" s="68">
        <f t="shared" ref="H16:H37" si="5">F16*G16</f>
        <v>54288</v>
      </c>
      <c r="I16" s="44">
        <f>$D$122*H16</f>
        <v>34820.07057918395</v>
      </c>
      <c r="J16" s="67">
        <f>(References!$C$49*I16)</f>
        <v>52.230105868775972</v>
      </c>
      <c r="K16" s="67">
        <f>J16/References!$G$52</f>
        <v>53.437800152216049</v>
      </c>
      <c r="L16" s="67">
        <f>K16/F16</f>
        <v>2.8545833414645325E-2</v>
      </c>
      <c r="M16" s="152">
        <v>3.39</v>
      </c>
      <c r="N16" s="146">
        <f t="shared" si="4"/>
        <v>3.4185458334146452</v>
      </c>
      <c r="O16" s="67">
        <f>F16*M16</f>
        <v>6346.08</v>
      </c>
      <c r="P16" s="67">
        <f>F16*N16</f>
        <v>6399.5178001522163</v>
      </c>
      <c r="Q16" s="67">
        <f t="shared" ref="Q16:Q58" si="6">+P16-O16</f>
        <v>53.437800152216369</v>
      </c>
      <c r="R16" s="48"/>
      <c r="S16" s="167">
        <f>P15-O15</f>
        <v>10310.69990638108</v>
      </c>
    </row>
    <row r="17" spans="1:18" s="59" customFormat="1">
      <c r="A17" s="172"/>
      <c r="B17" s="45" t="s">
        <v>192</v>
      </c>
      <c r="C17" s="113" t="s">
        <v>102</v>
      </c>
      <c r="D17" s="56"/>
      <c r="E17" s="69"/>
      <c r="F17" s="115">
        <v>23036</v>
      </c>
      <c r="G17" s="138">
        <f>References!B21</f>
        <v>47</v>
      </c>
      <c r="H17" s="99">
        <f t="shared" si="5"/>
        <v>1082692</v>
      </c>
      <c r="I17" s="44">
        <f>$D$122*H17</f>
        <v>694433.61066014285</v>
      </c>
      <c r="J17" s="67">
        <f>(References!$C$49*I17)</f>
        <v>1041.6504159902152</v>
      </c>
      <c r="K17" s="67">
        <f>J17/References!$G$52</f>
        <v>1065.7360507368683</v>
      </c>
      <c r="L17" s="67">
        <f t="shared" ref="L17:L43" si="7">K17/F17</f>
        <v>4.6263936913390702E-2</v>
      </c>
      <c r="M17" s="152">
        <v>4.7</v>
      </c>
      <c r="N17" s="146">
        <f t="shared" si="4"/>
        <v>4.7462639369133912</v>
      </c>
      <c r="O17" s="67">
        <f t="shared" ref="O17:O43" si="8">F17*M17</f>
        <v>108269.2</v>
      </c>
      <c r="P17" s="67">
        <f t="shared" ref="P17:P43" si="9">F17*N17</f>
        <v>109334.93605073688</v>
      </c>
      <c r="Q17" s="67">
        <f t="shared" si="6"/>
        <v>1065.7360507368867</v>
      </c>
      <c r="R17" s="48"/>
    </row>
    <row r="18" spans="1:18" s="59" customFormat="1">
      <c r="A18" s="172"/>
      <c r="B18" s="45" t="s">
        <v>192</v>
      </c>
      <c r="C18" s="113" t="s">
        <v>103</v>
      </c>
      <c r="D18" s="109"/>
      <c r="E18" s="69"/>
      <c r="F18" s="115">
        <v>33592</v>
      </c>
      <c r="G18" s="138">
        <f>References!B22</f>
        <v>68</v>
      </c>
      <c r="H18" s="99">
        <f t="shared" si="5"/>
        <v>2284256</v>
      </c>
      <c r="I18" s="44">
        <f>$D$122*H18</f>
        <v>1465111.1689678091</v>
      </c>
      <c r="J18" s="67">
        <f>(References!$C$49*I18)</f>
        <v>2197.6667534517155</v>
      </c>
      <c r="K18" s="67">
        <f>J18/References!$G$52</f>
        <v>2248.4824569794509</v>
      </c>
      <c r="L18" s="67">
        <f t="shared" si="7"/>
        <v>6.6935057661926978E-2</v>
      </c>
      <c r="M18" s="152">
        <v>5.99</v>
      </c>
      <c r="N18" s="146">
        <f t="shared" si="4"/>
        <v>6.056935057661927</v>
      </c>
      <c r="O18" s="67">
        <f t="shared" si="8"/>
        <v>201216.08000000002</v>
      </c>
      <c r="P18" s="67">
        <f t="shared" si="9"/>
        <v>203464.56245697945</v>
      </c>
      <c r="Q18" s="67">
        <f t="shared" si="6"/>
        <v>2248.4824569794291</v>
      </c>
      <c r="R18" s="48"/>
    </row>
    <row r="19" spans="1:18" s="59" customFormat="1">
      <c r="A19" s="172"/>
      <c r="B19" s="45" t="s">
        <v>186</v>
      </c>
      <c r="C19" s="113" t="s">
        <v>124</v>
      </c>
      <c r="D19" s="109"/>
      <c r="E19" s="69"/>
      <c r="F19" s="114">
        <v>1296</v>
      </c>
      <c r="G19" s="140">
        <f>References!B28</f>
        <v>250</v>
      </c>
      <c r="H19" s="68">
        <f>F19*G19</f>
        <v>324000</v>
      </c>
      <c r="I19" s="44">
        <f>$D$122*H19</f>
        <v>207812.0923160846</v>
      </c>
      <c r="J19" s="67">
        <f>(References!$C$49*I19)</f>
        <v>311.71813847412716</v>
      </c>
      <c r="K19" s="67">
        <f>J19/References!$G$52</f>
        <v>318.92586297741678</v>
      </c>
      <c r="L19" s="67">
        <f>K19/F19</f>
        <v>0.24608477081590802</v>
      </c>
      <c r="M19" s="152">
        <v>43.61</v>
      </c>
      <c r="N19" s="146">
        <f>L19+M19</f>
        <v>43.856084770815905</v>
      </c>
      <c r="O19" s="67">
        <f>F19*M19</f>
        <v>56518.559999999998</v>
      </c>
      <c r="P19" s="67">
        <f>F19*N19</f>
        <v>56837.48586297741</v>
      </c>
      <c r="Q19" s="67">
        <f t="shared" si="6"/>
        <v>318.92586297741218</v>
      </c>
      <c r="R19" s="48"/>
    </row>
    <row r="20" spans="1:18" s="59" customFormat="1">
      <c r="A20" s="172"/>
      <c r="B20" s="45">
        <v>28</v>
      </c>
      <c r="C20" s="130" t="s">
        <v>180</v>
      </c>
      <c r="D20" s="131"/>
      <c r="E20" s="132"/>
      <c r="F20" s="133">
        <v>120</v>
      </c>
      <c r="G20" s="139"/>
      <c r="H20" s="134"/>
      <c r="I20" s="135"/>
      <c r="J20" s="136"/>
      <c r="K20" s="136"/>
      <c r="L20" s="136"/>
      <c r="M20" s="154">
        <v>11.38</v>
      </c>
      <c r="N20" s="155">
        <f>L20+M20</f>
        <v>11.38</v>
      </c>
      <c r="O20" s="136">
        <f>F20*M20</f>
        <v>1365.6000000000001</v>
      </c>
      <c r="P20" s="136">
        <f>F20*N20</f>
        <v>1365.6000000000001</v>
      </c>
      <c r="Q20" s="67">
        <f t="shared" si="6"/>
        <v>0</v>
      </c>
      <c r="R20" s="48"/>
    </row>
    <row r="21" spans="1:18" s="59" customFormat="1">
      <c r="A21" s="172"/>
      <c r="B21" s="45">
        <v>28</v>
      </c>
      <c r="C21" s="130" t="s">
        <v>125</v>
      </c>
      <c r="D21" s="131"/>
      <c r="E21" s="132"/>
      <c r="F21" s="133">
        <v>120</v>
      </c>
      <c r="G21" s="139">
        <f>References!B27</f>
        <v>175</v>
      </c>
      <c r="H21" s="134">
        <f>F21*G21</f>
        <v>21000</v>
      </c>
      <c r="I21" s="135">
        <f>$D$122*H21</f>
        <v>13469.302279746224</v>
      </c>
      <c r="J21" s="136">
        <f>(References!$C$49*I21)</f>
        <v>20.203953419619353</v>
      </c>
      <c r="K21" s="136">
        <f>J21/References!$G$52</f>
        <v>20.671120748536271</v>
      </c>
      <c r="L21" s="136">
        <f>K21/F21</f>
        <v>0.17225933957113559</v>
      </c>
      <c r="M21" s="154">
        <v>15.17</v>
      </c>
      <c r="N21" s="155">
        <f>L21+M21</f>
        <v>15.342259339571136</v>
      </c>
      <c r="O21" s="136">
        <f>F21*M21</f>
        <v>1820.4</v>
      </c>
      <c r="P21" s="136">
        <f>F21*N21</f>
        <v>1841.0711207485363</v>
      </c>
      <c r="Q21" s="67">
        <f t="shared" si="6"/>
        <v>20.671120748536168</v>
      </c>
      <c r="R21" s="48"/>
    </row>
    <row r="22" spans="1:18" s="59" customFormat="1">
      <c r="A22" s="172"/>
      <c r="B22" s="45">
        <v>28</v>
      </c>
      <c r="C22" s="113" t="s">
        <v>126</v>
      </c>
      <c r="D22" s="109"/>
      <c r="E22" s="69"/>
      <c r="F22" s="114">
        <v>1478.52</v>
      </c>
      <c r="G22" s="140">
        <f>References!B27</f>
        <v>175</v>
      </c>
      <c r="H22" s="68">
        <f>F22*G22</f>
        <v>258741</v>
      </c>
      <c r="I22" s="44">
        <f>$D$122*H22</f>
        <v>165955.27338875324</v>
      </c>
      <c r="J22" s="67">
        <f>(References!$C$49*I22)</f>
        <v>248.93291008313008</v>
      </c>
      <c r="K22" s="67">
        <f>J22/References!$G$52</f>
        <v>254.68887874271545</v>
      </c>
      <c r="L22" s="67">
        <f>K22/F22</f>
        <v>0.17225933957113562</v>
      </c>
      <c r="M22" s="152">
        <v>15.17</v>
      </c>
      <c r="N22" s="146">
        <f>L22+M22</f>
        <v>15.342259339571136</v>
      </c>
      <c r="O22" s="67">
        <f>F22*M22</f>
        <v>22429.148399999998</v>
      </c>
      <c r="P22" s="67">
        <f>F22*N22</f>
        <v>22683.837278742714</v>
      </c>
      <c r="Q22" s="67">
        <f t="shared" si="6"/>
        <v>254.68887874271604</v>
      </c>
      <c r="R22" s="48"/>
    </row>
    <row r="23" spans="1:18" s="59" customFormat="1">
      <c r="A23" s="172"/>
      <c r="B23" s="45">
        <v>28</v>
      </c>
      <c r="C23" s="113" t="s">
        <v>127</v>
      </c>
      <c r="D23" s="56"/>
      <c r="E23" s="69"/>
      <c r="F23" s="115">
        <v>24</v>
      </c>
      <c r="G23" s="140">
        <f>References!B27</f>
        <v>175</v>
      </c>
      <c r="H23" s="68">
        <f t="shared" si="5"/>
        <v>4200</v>
      </c>
      <c r="I23" s="44">
        <f>$D$122*H23</f>
        <v>2693.8604559492446</v>
      </c>
      <c r="J23" s="67">
        <f>(References!$C$49*I23)</f>
        <v>4.0407906839238708</v>
      </c>
      <c r="K23" s="67">
        <f>J23/References!$G$52</f>
        <v>4.1342241497072543</v>
      </c>
      <c r="L23" s="67">
        <f t="shared" si="7"/>
        <v>0.17225933957113559</v>
      </c>
      <c r="M23" s="152">
        <v>18.559999999999999</v>
      </c>
      <c r="N23" s="146">
        <f t="shared" si="4"/>
        <v>18.732259339571133</v>
      </c>
      <c r="O23" s="67">
        <f t="shared" si="8"/>
        <v>445.43999999999994</v>
      </c>
      <c r="P23" s="67">
        <f t="shared" si="9"/>
        <v>449.57422414970722</v>
      </c>
      <c r="Q23" s="67">
        <f t="shared" si="6"/>
        <v>4.1342241497072791</v>
      </c>
      <c r="R23" s="48"/>
    </row>
    <row r="24" spans="1:18" s="59" customFormat="1">
      <c r="A24" s="172"/>
      <c r="B24" s="45">
        <v>28</v>
      </c>
      <c r="C24" s="113" t="s">
        <v>128</v>
      </c>
      <c r="D24" s="56"/>
      <c r="E24" s="69"/>
      <c r="F24" s="114">
        <v>120</v>
      </c>
      <c r="G24" s="138">
        <f>References!B27</f>
        <v>175</v>
      </c>
      <c r="H24" s="68">
        <f t="shared" si="5"/>
        <v>21000</v>
      </c>
      <c r="I24" s="44">
        <f>$D$122*H24</f>
        <v>13469.302279746224</v>
      </c>
      <c r="J24" s="67">
        <f>(References!$C$49*I24)</f>
        <v>20.203953419619353</v>
      </c>
      <c r="K24" s="67">
        <f>J24/References!$G$52</f>
        <v>20.671120748536271</v>
      </c>
      <c r="L24" s="67">
        <f t="shared" si="7"/>
        <v>0.17225933957113559</v>
      </c>
      <c r="M24" s="152">
        <v>16.579999999999998</v>
      </c>
      <c r="N24" s="146">
        <f t="shared" si="4"/>
        <v>16.752259339571133</v>
      </c>
      <c r="O24" s="67">
        <f t="shared" si="8"/>
        <v>1989.6</v>
      </c>
      <c r="P24" s="67">
        <f t="shared" si="9"/>
        <v>2010.2711207485358</v>
      </c>
      <c r="Q24" s="67">
        <f t="shared" si="6"/>
        <v>20.671120748535941</v>
      </c>
      <c r="R24" s="48"/>
    </row>
    <row r="25" spans="1:18" s="59" customFormat="1">
      <c r="A25" s="172"/>
      <c r="B25" s="45">
        <v>28</v>
      </c>
      <c r="C25" s="130" t="s">
        <v>172</v>
      </c>
      <c r="D25" s="134"/>
      <c r="E25" s="132"/>
      <c r="F25" s="133">
        <v>1644</v>
      </c>
      <c r="G25" s="139"/>
      <c r="H25" s="134"/>
      <c r="I25" s="135"/>
      <c r="J25" s="136"/>
      <c r="K25" s="136"/>
      <c r="L25" s="136"/>
      <c r="M25" s="154">
        <v>11.93</v>
      </c>
      <c r="N25" s="155">
        <f>L25+M25</f>
        <v>11.93</v>
      </c>
      <c r="O25" s="136">
        <f>F25*M25</f>
        <v>19612.919999999998</v>
      </c>
      <c r="P25" s="136">
        <f>F25*N25</f>
        <v>19612.919999999998</v>
      </c>
      <c r="Q25" s="67">
        <f t="shared" si="6"/>
        <v>0</v>
      </c>
      <c r="R25" s="48"/>
    </row>
    <row r="26" spans="1:18" s="59" customFormat="1">
      <c r="A26" s="172"/>
      <c r="B26" s="45">
        <v>28</v>
      </c>
      <c r="C26" s="130" t="s">
        <v>129</v>
      </c>
      <c r="D26" s="134"/>
      <c r="E26" s="132"/>
      <c r="F26" s="133">
        <v>1644</v>
      </c>
      <c r="G26" s="139">
        <f>References!$B$28</f>
        <v>250</v>
      </c>
      <c r="H26" s="134">
        <f t="shared" si="5"/>
        <v>411000</v>
      </c>
      <c r="I26" s="135">
        <f>$D$122*H26</f>
        <v>263613.48747503321</v>
      </c>
      <c r="J26" s="136">
        <f>(References!$C$49*I26)</f>
        <v>395.42023121255016</v>
      </c>
      <c r="K26" s="136">
        <f>J26/References!$G$52</f>
        <v>404.56336322135269</v>
      </c>
      <c r="L26" s="136">
        <f t="shared" si="7"/>
        <v>0.24608477081590796</v>
      </c>
      <c r="M26" s="154">
        <v>23.58</v>
      </c>
      <c r="N26" s="155">
        <f t="shared" si="4"/>
        <v>23.826084770815907</v>
      </c>
      <c r="O26" s="136">
        <f t="shared" si="8"/>
        <v>38765.519999999997</v>
      </c>
      <c r="P26" s="136">
        <f t="shared" si="9"/>
        <v>39170.083363221354</v>
      </c>
      <c r="Q26" s="67">
        <f t="shared" si="6"/>
        <v>404.56336322135758</v>
      </c>
      <c r="R26" s="48"/>
    </row>
    <row r="27" spans="1:18" s="59" customFormat="1">
      <c r="A27" s="172"/>
      <c r="B27" s="45">
        <v>28</v>
      </c>
      <c r="C27" s="113" t="s">
        <v>130</v>
      </c>
      <c r="D27" s="56"/>
      <c r="E27" s="69"/>
      <c r="F27" s="114">
        <v>16263.72</v>
      </c>
      <c r="G27" s="138">
        <f>References!$B$28</f>
        <v>250</v>
      </c>
      <c r="H27" s="68">
        <f t="shared" si="5"/>
        <v>4065930</v>
      </c>
      <c r="I27" s="44">
        <f>$D$122*H27</f>
        <v>2607868.5818232652</v>
      </c>
      <c r="J27" s="67">
        <f>(References!$C$49*I27)</f>
        <v>3911.802872734901</v>
      </c>
      <c r="K27" s="67">
        <f>J27/References!$G$52</f>
        <v>4002.2538088140996</v>
      </c>
      <c r="L27" s="67">
        <f t="shared" si="7"/>
        <v>0.24608477081590802</v>
      </c>
      <c r="M27" s="152">
        <v>23.58</v>
      </c>
      <c r="N27" s="146">
        <f t="shared" si="4"/>
        <v>23.826084770815907</v>
      </c>
      <c r="O27" s="67">
        <f t="shared" si="8"/>
        <v>383498.51759999996</v>
      </c>
      <c r="P27" s="67">
        <f t="shared" si="9"/>
        <v>387500.77140881406</v>
      </c>
      <c r="Q27" s="67">
        <f t="shared" si="6"/>
        <v>4002.2538088141009</v>
      </c>
      <c r="R27" s="48"/>
    </row>
    <row r="28" spans="1:18" s="59" customFormat="1">
      <c r="A28" s="172"/>
      <c r="B28" s="45">
        <v>28</v>
      </c>
      <c r="C28" s="130" t="s">
        <v>173</v>
      </c>
      <c r="D28" s="134"/>
      <c r="E28" s="132"/>
      <c r="F28" s="133">
        <v>204</v>
      </c>
      <c r="G28" s="139"/>
      <c r="H28" s="134"/>
      <c r="I28" s="135"/>
      <c r="J28" s="136"/>
      <c r="K28" s="136"/>
      <c r="L28" s="136"/>
      <c r="M28" s="154">
        <v>14.91</v>
      </c>
      <c r="N28" s="155">
        <f>L28+M28</f>
        <v>14.91</v>
      </c>
      <c r="O28" s="136">
        <f>F28*M28</f>
        <v>3041.64</v>
      </c>
      <c r="P28" s="136">
        <f>F28*N28</f>
        <v>3041.64</v>
      </c>
      <c r="Q28" s="67">
        <f t="shared" si="6"/>
        <v>0</v>
      </c>
      <c r="R28" s="48"/>
    </row>
    <row r="29" spans="1:18" s="59" customFormat="1">
      <c r="A29" s="172"/>
      <c r="B29" s="45">
        <v>28</v>
      </c>
      <c r="C29" s="130" t="s">
        <v>133</v>
      </c>
      <c r="D29" s="134"/>
      <c r="E29" s="132"/>
      <c r="F29" s="133">
        <v>204</v>
      </c>
      <c r="G29" s="139">
        <f>References!$B$29</f>
        <v>324</v>
      </c>
      <c r="H29" s="134">
        <f t="shared" si="5"/>
        <v>66096</v>
      </c>
      <c r="I29" s="135">
        <f>$D$122*H29</f>
        <v>42393.666832481256</v>
      </c>
      <c r="J29" s="136">
        <f>(References!$C$49*I29)</f>
        <v>63.590500248721938</v>
      </c>
      <c r="K29" s="136">
        <f>J29/References!$G$52</f>
        <v>65.060876047393023</v>
      </c>
      <c r="L29" s="136">
        <f t="shared" si="7"/>
        <v>0.31892586297741676</v>
      </c>
      <c r="M29" s="154">
        <v>27.49</v>
      </c>
      <c r="N29" s="155">
        <f t="shared" si="4"/>
        <v>27.808925862977414</v>
      </c>
      <c r="O29" s="136">
        <f t="shared" si="8"/>
        <v>5607.96</v>
      </c>
      <c r="P29" s="136">
        <f t="shared" si="9"/>
        <v>5673.0208760473924</v>
      </c>
      <c r="Q29" s="67">
        <f t="shared" si="6"/>
        <v>65.060876047392412</v>
      </c>
      <c r="R29" s="48"/>
    </row>
    <row r="30" spans="1:18" s="59" customFormat="1">
      <c r="A30" s="172"/>
      <c r="B30" s="45">
        <v>28</v>
      </c>
      <c r="C30" s="113" t="s">
        <v>134</v>
      </c>
      <c r="D30" s="56"/>
      <c r="E30" s="69"/>
      <c r="F30" s="114">
        <v>2917.08</v>
      </c>
      <c r="G30" s="138">
        <f>References!$B$29</f>
        <v>324</v>
      </c>
      <c r="H30" s="68">
        <f t="shared" si="5"/>
        <v>945133.91999999993</v>
      </c>
      <c r="I30" s="44">
        <f>$D$122*H30</f>
        <v>606204.49825340405</v>
      </c>
      <c r="J30" s="67">
        <f>(References!$C$49*I30)</f>
        <v>909.30674738010691</v>
      </c>
      <c r="K30" s="67">
        <f>J30/References!$G$52</f>
        <v>930.33225637416297</v>
      </c>
      <c r="L30" s="67">
        <f t="shared" si="7"/>
        <v>0.31892586297741682</v>
      </c>
      <c r="M30" s="152">
        <v>27.49</v>
      </c>
      <c r="N30" s="146">
        <f t="shared" si="4"/>
        <v>27.808925862977414</v>
      </c>
      <c r="O30" s="67">
        <f t="shared" si="8"/>
        <v>80190.52919999999</v>
      </c>
      <c r="P30" s="67">
        <f t="shared" si="9"/>
        <v>81120.861456374158</v>
      </c>
      <c r="Q30" s="67">
        <f t="shared" si="6"/>
        <v>930.33225637416763</v>
      </c>
      <c r="R30" s="48"/>
    </row>
    <row r="31" spans="1:18" s="59" customFormat="1">
      <c r="A31" s="172"/>
      <c r="B31" s="45">
        <v>28</v>
      </c>
      <c r="C31" s="130" t="s">
        <v>174</v>
      </c>
      <c r="D31" s="134"/>
      <c r="E31" s="132"/>
      <c r="F31" s="133">
        <v>36</v>
      </c>
      <c r="G31" s="139"/>
      <c r="H31" s="134"/>
      <c r="I31" s="135"/>
      <c r="J31" s="136"/>
      <c r="K31" s="136"/>
      <c r="L31" s="136"/>
      <c r="M31" s="154">
        <v>16.96</v>
      </c>
      <c r="N31" s="155">
        <f>L31+M31</f>
        <v>16.96</v>
      </c>
      <c r="O31" s="136">
        <f>F31*M31</f>
        <v>610.56000000000006</v>
      </c>
      <c r="P31" s="136">
        <f>F31*N31</f>
        <v>610.56000000000006</v>
      </c>
      <c r="Q31" s="67">
        <f t="shared" si="6"/>
        <v>0</v>
      </c>
      <c r="R31" s="48"/>
    </row>
    <row r="32" spans="1:18" s="59" customFormat="1">
      <c r="A32" s="172"/>
      <c r="B32" s="45">
        <v>28</v>
      </c>
      <c r="C32" s="130" t="s">
        <v>137</v>
      </c>
      <c r="D32" s="134"/>
      <c r="E32" s="132"/>
      <c r="F32" s="133">
        <v>36</v>
      </c>
      <c r="G32" s="139">
        <f>References!$B$30</f>
        <v>473</v>
      </c>
      <c r="H32" s="134">
        <f t="shared" si="5"/>
        <v>17028</v>
      </c>
      <c r="I32" s="135">
        <f>$D$122*H32</f>
        <v>10921.679962834223</v>
      </c>
      <c r="J32" s="136">
        <f>(References!$C$49*I32)</f>
        <v>16.382519944251349</v>
      </c>
      <c r="K32" s="136">
        <f>J32/References!$G$52</f>
        <v>16.761325909813124</v>
      </c>
      <c r="L32" s="136">
        <f t="shared" si="7"/>
        <v>0.46559238638369788</v>
      </c>
      <c r="M32" s="154">
        <v>40.549999999999997</v>
      </c>
      <c r="N32" s="155">
        <f t="shared" si="4"/>
        <v>41.015592386383695</v>
      </c>
      <c r="O32" s="136">
        <f t="shared" si="8"/>
        <v>1459.8</v>
      </c>
      <c r="P32" s="136">
        <f t="shared" si="9"/>
        <v>1476.5613259098129</v>
      </c>
      <c r="Q32" s="67">
        <f t="shared" si="6"/>
        <v>16.761325909812967</v>
      </c>
      <c r="R32" s="48"/>
    </row>
    <row r="33" spans="1:18" s="59" customFormat="1">
      <c r="A33" s="172"/>
      <c r="B33" s="45">
        <v>28</v>
      </c>
      <c r="C33" s="113" t="s">
        <v>138</v>
      </c>
      <c r="D33" s="56"/>
      <c r="E33" s="69"/>
      <c r="F33" s="115">
        <v>399.59999999999997</v>
      </c>
      <c r="G33" s="138">
        <f>References!$B$30</f>
        <v>473</v>
      </c>
      <c r="H33" s="68">
        <f t="shared" si="5"/>
        <v>189010.8</v>
      </c>
      <c r="I33" s="44">
        <f>$D$122*H33</f>
        <v>121230.64758745988</v>
      </c>
      <c r="J33" s="67">
        <f>(References!$C$49*I33)</f>
        <v>181.84597138119</v>
      </c>
      <c r="K33" s="67">
        <f>J33/References!$G$52</f>
        <v>186.0507175989257</v>
      </c>
      <c r="L33" s="67">
        <f t="shared" si="7"/>
        <v>0.46559238638369799</v>
      </c>
      <c r="M33" s="152">
        <v>40.549999999999997</v>
      </c>
      <c r="N33" s="146">
        <f t="shared" si="4"/>
        <v>41.015592386383695</v>
      </c>
      <c r="O33" s="67">
        <f t="shared" si="8"/>
        <v>16203.779999999997</v>
      </c>
      <c r="P33" s="67">
        <f t="shared" si="9"/>
        <v>16389.830717598921</v>
      </c>
      <c r="Q33" s="67">
        <f t="shared" si="6"/>
        <v>186.05071759892417</v>
      </c>
      <c r="R33" s="48"/>
    </row>
    <row r="34" spans="1:18" s="59" customFormat="1">
      <c r="A34" s="172"/>
      <c r="B34" s="45">
        <v>28</v>
      </c>
      <c r="C34" s="113" t="s">
        <v>140</v>
      </c>
      <c r="D34" s="56"/>
      <c r="E34" s="69"/>
      <c r="F34" s="114">
        <v>12</v>
      </c>
      <c r="G34" s="138">
        <f>References!$B$30</f>
        <v>473</v>
      </c>
      <c r="H34" s="68">
        <f t="shared" si="5"/>
        <v>5676</v>
      </c>
      <c r="I34" s="44">
        <f>$D$122*H34</f>
        <v>3640.5599876114079</v>
      </c>
      <c r="J34" s="67">
        <f>(References!$C$49*I34)</f>
        <v>5.4608399814171165</v>
      </c>
      <c r="K34" s="67">
        <f>J34/References!$G$52</f>
        <v>5.5871086366043752</v>
      </c>
      <c r="L34" s="67">
        <f t="shared" si="7"/>
        <v>0.46559238638369793</v>
      </c>
      <c r="M34" s="152">
        <v>43.46</v>
      </c>
      <c r="N34" s="146">
        <f t="shared" si="4"/>
        <v>43.925592386383698</v>
      </c>
      <c r="O34" s="67">
        <f t="shared" si="8"/>
        <v>521.52</v>
      </c>
      <c r="P34" s="67">
        <f t="shared" si="9"/>
        <v>527.10710863660438</v>
      </c>
      <c r="Q34" s="67">
        <f t="shared" si="6"/>
        <v>5.5871086366043983</v>
      </c>
      <c r="R34" s="48"/>
    </row>
    <row r="35" spans="1:18" s="59" customFormat="1">
      <c r="A35" s="172"/>
      <c r="B35" s="45">
        <v>28</v>
      </c>
      <c r="C35" s="130" t="s">
        <v>175</v>
      </c>
      <c r="D35" s="134"/>
      <c r="E35" s="132"/>
      <c r="F35" s="133">
        <v>36</v>
      </c>
      <c r="G35" s="139"/>
      <c r="H35" s="134"/>
      <c r="I35" s="135"/>
      <c r="J35" s="136"/>
      <c r="K35" s="136"/>
      <c r="L35" s="136"/>
      <c r="M35" s="154">
        <v>18.5</v>
      </c>
      <c r="N35" s="155">
        <f>L35+M35</f>
        <v>18.5</v>
      </c>
      <c r="O35" s="136">
        <f>F35*M35</f>
        <v>666</v>
      </c>
      <c r="P35" s="136">
        <f>F35*N35</f>
        <v>666</v>
      </c>
      <c r="Q35" s="67">
        <f t="shared" si="6"/>
        <v>0</v>
      </c>
      <c r="R35" s="48"/>
    </row>
    <row r="36" spans="1:18" s="59" customFormat="1">
      <c r="A36" s="172"/>
      <c r="B36" s="45">
        <v>28</v>
      </c>
      <c r="C36" s="130" t="s">
        <v>141</v>
      </c>
      <c r="D36" s="134"/>
      <c r="E36" s="132"/>
      <c r="F36" s="133">
        <v>36</v>
      </c>
      <c r="G36" s="139">
        <f>References!$B$31</f>
        <v>613</v>
      </c>
      <c r="H36" s="134">
        <f t="shared" si="5"/>
        <v>22068</v>
      </c>
      <c r="I36" s="135">
        <f>$D$122*H36</f>
        <v>14154.312509973317</v>
      </c>
      <c r="J36" s="136">
        <f>(References!$C$49*I36)</f>
        <v>21.231468764959995</v>
      </c>
      <c r="K36" s="136">
        <f>J36/References!$G$52</f>
        <v>21.722394889461832</v>
      </c>
      <c r="L36" s="136">
        <f t="shared" si="7"/>
        <v>0.60339985804060647</v>
      </c>
      <c r="M36" s="154">
        <v>53.51</v>
      </c>
      <c r="N36" s="155">
        <f t="shared" si="4"/>
        <v>54.113399858040601</v>
      </c>
      <c r="O36" s="136">
        <f t="shared" si="8"/>
        <v>1926.36</v>
      </c>
      <c r="P36" s="136">
        <f t="shared" si="9"/>
        <v>1948.0823948894617</v>
      </c>
      <c r="Q36" s="67">
        <f t="shared" si="6"/>
        <v>21.722394889461839</v>
      </c>
      <c r="R36" s="48"/>
    </row>
    <row r="37" spans="1:18" s="59" customFormat="1">
      <c r="A37" s="172"/>
      <c r="B37" s="45">
        <v>28</v>
      </c>
      <c r="C37" s="113" t="s">
        <v>142</v>
      </c>
      <c r="D37" s="56"/>
      <c r="E37" s="69"/>
      <c r="F37" s="115">
        <v>399.59999999999997</v>
      </c>
      <c r="G37" s="140">
        <f>References!$B$31</f>
        <v>613</v>
      </c>
      <c r="H37" s="68">
        <f t="shared" si="5"/>
        <v>244954.8</v>
      </c>
      <c r="I37" s="44">
        <f>$D$122*H37</f>
        <v>157112.86886070381</v>
      </c>
      <c r="J37" s="67">
        <f>(References!$C$49*I37)</f>
        <v>235.66930329105591</v>
      </c>
      <c r="K37" s="67">
        <f>J37/References!$G$52</f>
        <v>241.1185832730263</v>
      </c>
      <c r="L37" s="67">
        <f t="shared" si="7"/>
        <v>0.60339985804060636</v>
      </c>
      <c r="M37" s="152">
        <v>53.51</v>
      </c>
      <c r="N37" s="146">
        <f t="shared" si="4"/>
        <v>54.113399858040601</v>
      </c>
      <c r="O37" s="67">
        <f t="shared" si="8"/>
        <v>21382.595999999998</v>
      </c>
      <c r="P37" s="67">
        <f t="shared" si="9"/>
        <v>21623.714583273024</v>
      </c>
      <c r="Q37" s="67">
        <f t="shared" si="6"/>
        <v>241.11858327302616</v>
      </c>
      <c r="R37" s="48"/>
    </row>
    <row r="38" spans="1:18" s="59" customFormat="1">
      <c r="A38" s="172"/>
      <c r="B38" s="45">
        <v>28</v>
      </c>
      <c r="C38" s="113" t="s">
        <v>143</v>
      </c>
      <c r="D38" s="56"/>
      <c r="E38" s="69"/>
      <c r="F38" s="115">
        <v>1</v>
      </c>
      <c r="G38" s="140">
        <f>References!$B$31</f>
        <v>613</v>
      </c>
      <c r="H38" s="68">
        <f t="shared" ref="H38:H43" si="10">F38*G38</f>
        <v>613</v>
      </c>
      <c r="I38" s="44">
        <f>$D$122*H38</f>
        <v>393.17534749925881</v>
      </c>
      <c r="J38" s="67">
        <f>(References!$C$49*I38)</f>
        <v>0.58976302124888869</v>
      </c>
      <c r="K38" s="67">
        <f>J38/References!$G$52</f>
        <v>0.60339985804060636</v>
      </c>
      <c r="L38" s="67">
        <f t="shared" si="7"/>
        <v>0.60339985804060636</v>
      </c>
      <c r="M38" s="152">
        <v>56.42</v>
      </c>
      <c r="N38" s="146">
        <f t="shared" si="4"/>
        <v>57.023399858040605</v>
      </c>
      <c r="O38" s="67">
        <f t="shared" si="8"/>
        <v>56.42</v>
      </c>
      <c r="P38" s="67">
        <f t="shared" si="9"/>
        <v>57.023399858040605</v>
      </c>
      <c r="Q38" s="67">
        <f t="shared" si="6"/>
        <v>0.60339985804060348</v>
      </c>
      <c r="R38" s="48"/>
    </row>
    <row r="39" spans="1:18" s="59" customFormat="1">
      <c r="A39" s="172"/>
      <c r="B39" s="45">
        <v>28</v>
      </c>
      <c r="C39" s="113" t="s">
        <v>144</v>
      </c>
      <c r="D39" s="56"/>
      <c r="E39" s="69"/>
      <c r="F39" s="114">
        <v>1</v>
      </c>
      <c r="G39" s="140">
        <f>References!$B$31</f>
        <v>613</v>
      </c>
      <c r="H39" s="68">
        <f t="shared" si="10"/>
        <v>613</v>
      </c>
      <c r="I39" s="44">
        <f>$D$122*H39</f>
        <v>393.17534749925881</v>
      </c>
      <c r="J39" s="67">
        <f>(References!$C$49*I39)</f>
        <v>0.58976302124888869</v>
      </c>
      <c r="K39" s="67">
        <f>J39/References!$G$52</f>
        <v>0.60339985804060636</v>
      </c>
      <c r="L39" s="67">
        <f t="shared" si="7"/>
        <v>0.60339985804060636</v>
      </c>
      <c r="M39" s="152">
        <v>57.63</v>
      </c>
      <c r="N39" s="146">
        <f t="shared" si="4"/>
        <v>58.233399858040606</v>
      </c>
      <c r="O39" s="67">
        <f t="shared" si="8"/>
        <v>57.63</v>
      </c>
      <c r="P39" s="67">
        <f t="shared" si="9"/>
        <v>58.233399858040606</v>
      </c>
      <c r="Q39" s="67">
        <f t="shared" si="6"/>
        <v>0.60339985804060348</v>
      </c>
      <c r="R39" s="48"/>
    </row>
    <row r="40" spans="1:18" s="59" customFormat="1">
      <c r="A40" s="172"/>
      <c r="B40" s="45">
        <v>28</v>
      </c>
      <c r="C40" s="130" t="s">
        <v>176</v>
      </c>
      <c r="D40" s="134"/>
      <c r="E40" s="132"/>
      <c r="F40" s="133">
        <v>2</v>
      </c>
      <c r="G40" s="139"/>
      <c r="H40" s="134"/>
      <c r="I40" s="135"/>
      <c r="J40" s="136"/>
      <c r="K40" s="136"/>
      <c r="L40" s="136"/>
      <c r="M40" s="154">
        <v>18.75</v>
      </c>
      <c r="N40" s="155">
        <f>L40+M40</f>
        <v>18.75</v>
      </c>
      <c r="O40" s="136">
        <f>F40*M40</f>
        <v>37.5</v>
      </c>
      <c r="P40" s="136">
        <f>F40*N40</f>
        <v>37.5</v>
      </c>
      <c r="Q40" s="67">
        <f t="shared" si="6"/>
        <v>0</v>
      </c>
      <c r="R40" s="48"/>
    </row>
    <row r="41" spans="1:18" s="59" customFormat="1">
      <c r="A41" s="172"/>
      <c r="B41" s="45">
        <v>28</v>
      </c>
      <c r="C41" s="130" t="s">
        <v>145</v>
      </c>
      <c r="D41" s="134"/>
      <c r="E41" s="132"/>
      <c r="F41" s="133">
        <v>2</v>
      </c>
      <c r="G41" s="139">
        <v>766.25</v>
      </c>
      <c r="H41" s="137">
        <f t="shared" si="10"/>
        <v>1532.5</v>
      </c>
      <c r="I41" s="135">
        <f>$D$122*H41</f>
        <v>982.93836874814701</v>
      </c>
      <c r="J41" s="136">
        <f>(References!$C$49*I41)</f>
        <v>1.4744075531222218</v>
      </c>
      <c r="K41" s="136">
        <f>J41/References!$G$52</f>
        <v>1.508499645101516</v>
      </c>
      <c r="L41" s="136">
        <f t="shared" si="7"/>
        <v>0.75424982255075801</v>
      </c>
      <c r="M41" s="154">
        <v>64.44</v>
      </c>
      <c r="N41" s="155">
        <f t="shared" si="4"/>
        <v>65.194249822550759</v>
      </c>
      <c r="O41" s="136">
        <f t="shared" si="8"/>
        <v>128.88</v>
      </c>
      <c r="P41" s="136">
        <f t="shared" si="9"/>
        <v>130.38849964510152</v>
      </c>
      <c r="Q41" s="67">
        <f t="shared" si="6"/>
        <v>1.5084996451015229</v>
      </c>
      <c r="R41" s="48"/>
    </row>
    <row r="42" spans="1:18" s="59" customFormat="1">
      <c r="A42" s="172"/>
      <c r="B42" s="45">
        <v>28</v>
      </c>
      <c r="C42" s="113" t="s">
        <v>146</v>
      </c>
      <c r="D42" s="56"/>
      <c r="E42" s="69"/>
      <c r="F42" s="114">
        <v>19.98</v>
      </c>
      <c r="G42" s="140">
        <v>766.25</v>
      </c>
      <c r="H42" s="99">
        <f t="shared" si="10"/>
        <v>15309.675000000001</v>
      </c>
      <c r="I42" s="44">
        <f>$D$122*H42</f>
        <v>9819.5543037939897</v>
      </c>
      <c r="J42" s="67">
        <f>(References!$C$49*I42)</f>
        <v>14.729331455690998</v>
      </c>
      <c r="K42" s="67">
        <f>J42/References!$G$52</f>
        <v>15.069911454564147</v>
      </c>
      <c r="L42" s="67">
        <f t="shared" si="7"/>
        <v>0.75424982255075812</v>
      </c>
      <c r="M42" s="152">
        <v>64.44</v>
      </c>
      <c r="N42" s="146">
        <f t="shared" si="4"/>
        <v>65.194249822550759</v>
      </c>
      <c r="O42" s="67">
        <f t="shared" si="8"/>
        <v>1287.5111999999999</v>
      </c>
      <c r="P42" s="67">
        <f t="shared" si="9"/>
        <v>1302.5811114545643</v>
      </c>
      <c r="Q42" s="67">
        <f t="shared" si="6"/>
        <v>15.069911454564362</v>
      </c>
      <c r="R42" s="48"/>
    </row>
    <row r="43" spans="1:18" s="59" customFormat="1">
      <c r="A43" s="172"/>
      <c r="B43" s="45">
        <v>28</v>
      </c>
      <c r="C43" s="113" t="s">
        <v>147</v>
      </c>
      <c r="D43" s="56"/>
      <c r="E43" s="69"/>
      <c r="F43" s="115">
        <v>1</v>
      </c>
      <c r="G43" s="140">
        <v>766.25</v>
      </c>
      <c r="H43" s="99">
        <f t="shared" si="10"/>
        <v>766.25</v>
      </c>
      <c r="I43" s="44">
        <f>$D$122*H43</f>
        <v>491.46918437407351</v>
      </c>
      <c r="J43" s="67">
        <f>(References!$C$49*I43)</f>
        <v>0.73720377656111091</v>
      </c>
      <c r="K43" s="67">
        <f>J43/References!$G$52</f>
        <v>0.75424982255075801</v>
      </c>
      <c r="L43" s="67">
        <f t="shared" si="7"/>
        <v>0.75424982255075801</v>
      </c>
      <c r="M43" s="152">
        <v>71.790000000000006</v>
      </c>
      <c r="N43" s="146">
        <f t="shared" si="4"/>
        <v>72.544249822550768</v>
      </c>
      <c r="O43" s="67">
        <f t="shared" si="8"/>
        <v>71.790000000000006</v>
      </c>
      <c r="P43" s="67">
        <f t="shared" si="9"/>
        <v>72.544249822550768</v>
      </c>
      <c r="Q43" s="67">
        <f t="shared" si="6"/>
        <v>0.75424982255076145</v>
      </c>
      <c r="R43" s="48"/>
    </row>
    <row r="44" spans="1:18" s="59" customFormat="1">
      <c r="A44" s="172"/>
      <c r="B44" s="45">
        <v>28</v>
      </c>
      <c r="C44" s="113" t="s">
        <v>148</v>
      </c>
      <c r="D44" s="56"/>
      <c r="E44" s="69"/>
      <c r="F44" s="115">
        <v>1</v>
      </c>
      <c r="G44" s="140">
        <v>766.25</v>
      </c>
      <c r="H44" s="99">
        <f t="shared" ref="H44:H51" si="11">F44*G44</f>
        <v>766.25</v>
      </c>
      <c r="I44" s="44">
        <f>$D$122*H44</f>
        <v>491.46918437407351</v>
      </c>
      <c r="J44" s="67">
        <f>(References!$C$49*I44)</f>
        <v>0.73720377656111091</v>
      </c>
      <c r="K44" s="67">
        <f>J44/References!$G$52</f>
        <v>0.75424982255075801</v>
      </c>
      <c r="L44" s="67">
        <f t="shared" ref="L44:L51" si="12">K44/F44</f>
        <v>0.75424982255075801</v>
      </c>
      <c r="M44" s="152">
        <v>67.12</v>
      </c>
      <c r="N44" s="146">
        <f t="shared" ref="N44:N51" si="13">L44+M44</f>
        <v>67.874249822550766</v>
      </c>
      <c r="O44" s="67">
        <f t="shared" ref="O44:O51" si="14">F44*M44</f>
        <v>67.12</v>
      </c>
      <c r="P44" s="67">
        <f t="shared" ref="P44:P51" si="15">F44*N44</f>
        <v>67.874249822550766</v>
      </c>
      <c r="Q44" s="67">
        <f t="shared" si="6"/>
        <v>0.75424982255076145</v>
      </c>
      <c r="R44" s="48"/>
    </row>
    <row r="45" spans="1:18" s="59" customFormat="1">
      <c r="A45" s="172"/>
      <c r="B45" s="45" t="s">
        <v>192</v>
      </c>
      <c r="C45" s="130" t="s">
        <v>177</v>
      </c>
      <c r="D45" s="134"/>
      <c r="E45" s="132"/>
      <c r="F45" s="133">
        <v>7</v>
      </c>
      <c r="G45" s="139"/>
      <c r="H45" s="137"/>
      <c r="I45" s="135"/>
      <c r="J45" s="136"/>
      <c r="K45" s="136"/>
      <c r="L45" s="136"/>
      <c r="M45" s="154">
        <v>18.72</v>
      </c>
      <c r="N45" s="155">
        <f>L45+M45</f>
        <v>18.72</v>
      </c>
      <c r="O45" s="136">
        <f>F45*M45</f>
        <v>131.04</v>
      </c>
      <c r="P45" s="136">
        <f>F45*N45</f>
        <v>131.04</v>
      </c>
      <c r="Q45" s="67">
        <f t="shared" si="6"/>
        <v>0</v>
      </c>
      <c r="R45" s="48"/>
    </row>
    <row r="46" spans="1:18" s="59" customFormat="1">
      <c r="A46" s="172"/>
      <c r="B46" s="45" t="s">
        <v>192</v>
      </c>
      <c r="C46" s="130" t="s">
        <v>149</v>
      </c>
      <c r="D46" s="134"/>
      <c r="E46" s="132"/>
      <c r="F46" s="133">
        <v>7</v>
      </c>
      <c r="G46" s="139">
        <f>References!B32</f>
        <v>840</v>
      </c>
      <c r="H46" s="137">
        <f t="shared" si="11"/>
        <v>5880</v>
      </c>
      <c r="I46" s="135">
        <f>$D$122*H46</f>
        <v>3771.4046383289428</v>
      </c>
      <c r="J46" s="136">
        <f>(References!$C$49*I46)</f>
        <v>5.6571069574934194</v>
      </c>
      <c r="K46" s="136">
        <f>J46/References!$G$52</f>
        <v>5.7879138095901563</v>
      </c>
      <c r="L46" s="136">
        <f t="shared" si="12"/>
        <v>0.82684482994145092</v>
      </c>
      <c r="M46" s="154">
        <v>74.319999999999993</v>
      </c>
      <c r="N46" s="155">
        <f t="shared" si="13"/>
        <v>75.146844829941443</v>
      </c>
      <c r="O46" s="136">
        <f t="shared" si="14"/>
        <v>520.24</v>
      </c>
      <c r="P46" s="136">
        <f t="shared" si="15"/>
        <v>526.02791380959013</v>
      </c>
      <c r="Q46" s="67">
        <f t="shared" si="6"/>
        <v>5.7879138095901226</v>
      </c>
      <c r="R46" s="48"/>
    </row>
    <row r="47" spans="1:18" s="59" customFormat="1">
      <c r="A47" s="172"/>
      <c r="B47" s="45" t="s">
        <v>192</v>
      </c>
      <c r="C47" s="113" t="s">
        <v>150</v>
      </c>
      <c r="D47" s="56"/>
      <c r="E47" s="69"/>
      <c r="F47" s="115">
        <v>76.59</v>
      </c>
      <c r="G47" s="138">
        <f>References!B32</f>
        <v>840</v>
      </c>
      <c r="H47" s="99">
        <f t="shared" si="11"/>
        <v>64335.600000000006</v>
      </c>
      <c r="I47" s="44">
        <f>$D$122*H47</f>
        <v>41264.554464230532</v>
      </c>
      <c r="J47" s="67">
        <f>(References!$C$49*I47)</f>
        <v>61.896831696345856</v>
      </c>
      <c r="K47" s="67">
        <f>J47/References!$G$52</f>
        <v>63.328045525215728</v>
      </c>
      <c r="L47" s="67">
        <f t="shared" si="12"/>
        <v>0.82684482994145092</v>
      </c>
      <c r="M47" s="152">
        <v>74.319999999999993</v>
      </c>
      <c r="N47" s="146">
        <f t="shared" si="13"/>
        <v>75.146844829941443</v>
      </c>
      <c r="O47" s="67">
        <f t="shared" si="14"/>
        <v>5692.1687999999995</v>
      </c>
      <c r="P47" s="67">
        <f t="shared" si="15"/>
        <v>5755.4968455252156</v>
      </c>
      <c r="Q47" s="67">
        <f t="shared" si="6"/>
        <v>63.328045525216112</v>
      </c>
      <c r="R47" s="48"/>
    </row>
    <row r="48" spans="1:18" s="59" customFormat="1">
      <c r="A48" s="172"/>
      <c r="B48" s="45" t="s">
        <v>192</v>
      </c>
      <c r="C48" s="113" t="s">
        <v>151</v>
      </c>
      <c r="D48" s="56"/>
      <c r="E48" s="69"/>
      <c r="F48" s="115">
        <v>1</v>
      </c>
      <c r="G48" s="138">
        <f>References!B32</f>
        <v>840</v>
      </c>
      <c r="H48" s="99">
        <f t="shared" si="11"/>
        <v>840</v>
      </c>
      <c r="I48" s="44">
        <f>$D$122*H48</f>
        <v>538.77209118984899</v>
      </c>
      <c r="J48" s="67">
        <f>(References!$C$49*I48)</f>
        <v>0.80815813678477422</v>
      </c>
      <c r="K48" s="67">
        <f>J48/References!$G$52</f>
        <v>0.82684482994145092</v>
      </c>
      <c r="L48" s="67">
        <f t="shared" si="12"/>
        <v>0.82684482994145092</v>
      </c>
      <c r="M48" s="152">
        <v>80.45</v>
      </c>
      <c r="N48" s="146">
        <f t="shared" si="13"/>
        <v>81.276844829941453</v>
      </c>
      <c r="O48" s="67">
        <f t="shared" si="14"/>
        <v>80.45</v>
      </c>
      <c r="P48" s="67">
        <f t="shared" si="15"/>
        <v>81.276844829941453</v>
      </c>
      <c r="Q48" s="67">
        <f t="shared" si="6"/>
        <v>0.82684482994145014</v>
      </c>
      <c r="R48" s="48"/>
    </row>
    <row r="49" spans="1:18" s="59" customFormat="1">
      <c r="A49" s="172"/>
      <c r="B49" s="45" t="s">
        <v>192</v>
      </c>
      <c r="C49" s="113" t="s">
        <v>194</v>
      </c>
      <c r="D49" s="56"/>
      <c r="E49" s="69"/>
      <c r="F49" s="115">
        <v>1</v>
      </c>
      <c r="G49" s="138">
        <v>12</v>
      </c>
      <c r="H49" s="99">
        <v>840</v>
      </c>
      <c r="I49" s="44">
        <f>$D$122*H49</f>
        <v>538.77209118984899</v>
      </c>
      <c r="J49" s="67">
        <f>(References!$C$49*I49)</f>
        <v>0.80815813678477422</v>
      </c>
      <c r="K49" s="67">
        <f>J49/References!$G$52</f>
        <v>0.82684482994145092</v>
      </c>
      <c r="L49" s="67">
        <f t="shared" si="12"/>
        <v>0.82684482994145092</v>
      </c>
      <c r="M49" s="152">
        <v>75.569999999999993</v>
      </c>
      <c r="N49" s="146">
        <f t="shared" si="13"/>
        <v>76.396844829941443</v>
      </c>
      <c r="O49" s="67">
        <f t="shared" si="14"/>
        <v>75.569999999999993</v>
      </c>
      <c r="P49" s="67">
        <f t="shared" si="15"/>
        <v>76.396844829941443</v>
      </c>
      <c r="Q49" s="67">
        <f t="shared" si="6"/>
        <v>0.82684482994145014</v>
      </c>
      <c r="R49" s="48"/>
    </row>
    <row r="50" spans="1:18" s="59" customFormat="1">
      <c r="A50" s="172"/>
      <c r="B50" s="45" t="s">
        <v>192</v>
      </c>
      <c r="C50" s="130" t="s">
        <v>178</v>
      </c>
      <c r="D50" s="134"/>
      <c r="E50" s="132"/>
      <c r="F50" s="133">
        <v>1</v>
      </c>
      <c r="G50" s="139"/>
      <c r="H50" s="137"/>
      <c r="I50" s="135"/>
      <c r="J50" s="136"/>
      <c r="K50" s="136"/>
      <c r="L50" s="136"/>
      <c r="M50" s="154">
        <v>20.04</v>
      </c>
      <c r="N50" s="155">
        <f>L50+M50</f>
        <v>20.04</v>
      </c>
      <c r="O50" s="136">
        <f>F50*M50</f>
        <v>20.04</v>
      </c>
      <c r="P50" s="136">
        <f>F50*N50</f>
        <v>20.04</v>
      </c>
      <c r="Q50" s="67">
        <f t="shared" si="6"/>
        <v>0</v>
      </c>
      <c r="R50" s="48"/>
    </row>
    <row r="51" spans="1:18" s="59" customFormat="1">
      <c r="A51" s="172"/>
      <c r="B51" s="45" t="s">
        <v>192</v>
      </c>
      <c r="C51" s="130" t="s">
        <v>152</v>
      </c>
      <c r="D51" s="134"/>
      <c r="E51" s="132"/>
      <c r="F51" s="133">
        <v>1</v>
      </c>
      <c r="G51" s="163">
        <f>References!B33</f>
        <v>980</v>
      </c>
      <c r="H51" s="137">
        <f t="shared" si="11"/>
        <v>980</v>
      </c>
      <c r="I51" s="135">
        <f t="shared" ref="I51:I58" si="16">$D$122*H51</f>
        <v>628.56743972149047</v>
      </c>
      <c r="J51" s="136">
        <f>(References!$C$49*I51)</f>
        <v>0.94285115958223653</v>
      </c>
      <c r="K51" s="136">
        <f>J51/References!$G$52</f>
        <v>0.96465230159835946</v>
      </c>
      <c r="L51" s="136">
        <f t="shared" si="12"/>
        <v>0.96465230159835946</v>
      </c>
      <c r="M51" s="154">
        <v>84.49</v>
      </c>
      <c r="N51" s="155">
        <f t="shared" si="13"/>
        <v>85.454652301598358</v>
      </c>
      <c r="O51" s="136">
        <f t="shared" si="14"/>
        <v>84.49</v>
      </c>
      <c r="P51" s="136">
        <f t="shared" si="15"/>
        <v>85.454652301598358</v>
      </c>
      <c r="Q51" s="67">
        <f t="shared" si="6"/>
        <v>0.96465230159836324</v>
      </c>
      <c r="R51" s="48"/>
    </row>
    <row r="52" spans="1:18" s="59" customFormat="1">
      <c r="A52" s="172"/>
      <c r="B52" s="45" t="s">
        <v>192</v>
      </c>
      <c r="C52" s="113" t="s">
        <v>153</v>
      </c>
      <c r="D52" s="56"/>
      <c r="E52" s="69"/>
      <c r="F52" s="114">
        <v>23.310000000000002</v>
      </c>
      <c r="G52" s="164">
        <f>References!B33</f>
        <v>980</v>
      </c>
      <c r="H52" s="99">
        <f t="shared" ref="H52:H73" si="17">F52*G52</f>
        <v>22843.800000000003</v>
      </c>
      <c r="I52" s="44">
        <f t="shared" si="16"/>
        <v>14651.907019907943</v>
      </c>
      <c r="J52" s="67">
        <f>(References!$C$49*I52)</f>
        <v>21.977860529861935</v>
      </c>
      <c r="K52" s="67">
        <f>J52/References!$G$52</f>
        <v>22.486045150257759</v>
      </c>
      <c r="L52" s="67">
        <f t="shared" ref="L52:L73" si="18">K52/F52</f>
        <v>0.96465230159835935</v>
      </c>
      <c r="M52" s="152">
        <v>84.49</v>
      </c>
      <c r="N52" s="146">
        <f t="shared" ref="N52:N73" si="19">L52+M52</f>
        <v>85.454652301598358</v>
      </c>
      <c r="O52" s="67">
        <f t="shared" ref="O52:O73" si="20">F52*M52</f>
        <v>1969.4619</v>
      </c>
      <c r="P52" s="67">
        <f t="shared" ref="P52:P73" si="21">F52*N52</f>
        <v>1991.947945150258</v>
      </c>
      <c r="Q52" s="67">
        <f t="shared" si="6"/>
        <v>22.486045150257951</v>
      </c>
      <c r="R52" s="48"/>
    </row>
    <row r="53" spans="1:18" s="59" customFormat="1">
      <c r="A53" s="172"/>
      <c r="B53" s="45" t="s">
        <v>192</v>
      </c>
      <c r="C53" s="113" t="s">
        <v>154</v>
      </c>
      <c r="D53" s="56"/>
      <c r="E53" s="69"/>
      <c r="F53" s="114">
        <v>1</v>
      </c>
      <c r="G53" s="164">
        <f>References!B33</f>
        <v>980</v>
      </c>
      <c r="H53" s="99">
        <f t="shared" si="17"/>
        <v>980</v>
      </c>
      <c r="I53" s="44">
        <f t="shared" si="16"/>
        <v>628.56743972149047</v>
      </c>
      <c r="J53" s="67">
        <f>(References!$C$49*I53)</f>
        <v>0.94285115958223653</v>
      </c>
      <c r="K53" s="67">
        <f>J53/References!$G$52</f>
        <v>0.96465230159835946</v>
      </c>
      <c r="L53" s="67">
        <f t="shared" si="18"/>
        <v>0.96465230159835946</v>
      </c>
      <c r="M53" s="152">
        <v>89.58</v>
      </c>
      <c r="N53" s="146">
        <f t="shared" si="19"/>
        <v>90.544652301598362</v>
      </c>
      <c r="O53" s="67">
        <f t="shared" si="20"/>
        <v>89.58</v>
      </c>
      <c r="P53" s="67">
        <f t="shared" si="21"/>
        <v>90.544652301598362</v>
      </c>
      <c r="Q53" s="67">
        <f t="shared" si="6"/>
        <v>0.96465230159836324</v>
      </c>
      <c r="R53" s="48"/>
    </row>
    <row r="54" spans="1:18" s="59" customFormat="1">
      <c r="A54" s="172"/>
      <c r="B54" s="45" t="s">
        <v>192</v>
      </c>
      <c r="C54" s="113" t="s">
        <v>155</v>
      </c>
      <c r="D54" s="56"/>
      <c r="E54" s="69"/>
      <c r="F54" s="114">
        <v>1</v>
      </c>
      <c r="G54" s="164">
        <f>References!B33</f>
        <v>980</v>
      </c>
      <c r="H54" s="99">
        <f t="shared" si="17"/>
        <v>980</v>
      </c>
      <c r="I54" s="44">
        <f t="shared" si="16"/>
        <v>628.56743972149047</v>
      </c>
      <c r="J54" s="67">
        <f>(References!$C$49*I54)</f>
        <v>0.94285115958223653</v>
      </c>
      <c r="K54" s="67">
        <f>J54/References!$G$52</f>
        <v>0.96465230159835946</v>
      </c>
      <c r="L54" s="67">
        <f t="shared" si="18"/>
        <v>0.96465230159835946</v>
      </c>
      <c r="M54" s="152">
        <v>86.76</v>
      </c>
      <c r="N54" s="146">
        <f t="shared" si="19"/>
        <v>87.724652301598368</v>
      </c>
      <c r="O54" s="67">
        <f t="shared" si="20"/>
        <v>86.76</v>
      </c>
      <c r="P54" s="67">
        <f t="shared" si="21"/>
        <v>87.724652301598368</v>
      </c>
      <c r="Q54" s="67">
        <f t="shared" si="6"/>
        <v>0.96465230159836324</v>
      </c>
      <c r="R54" s="48"/>
    </row>
    <row r="55" spans="1:18" s="59" customFormat="1">
      <c r="A55" s="172"/>
      <c r="B55" s="45" t="s">
        <v>192</v>
      </c>
      <c r="C55" s="130" t="s">
        <v>179</v>
      </c>
      <c r="D55" s="134"/>
      <c r="E55" s="132"/>
      <c r="F55" s="133">
        <v>1</v>
      </c>
      <c r="G55" s="139"/>
      <c r="H55" s="137"/>
      <c r="I55" s="135">
        <f t="shared" si="16"/>
        <v>0</v>
      </c>
      <c r="J55" s="136">
        <f>(References!$C$49*I55)</f>
        <v>0</v>
      </c>
      <c r="K55" s="136">
        <f>J55/References!$G$52</f>
        <v>0</v>
      </c>
      <c r="L55" s="136">
        <f t="shared" si="18"/>
        <v>0</v>
      </c>
      <c r="M55" s="154">
        <v>25.73</v>
      </c>
      <c r="N55" s="155">
        <f>L55+M55</f>
        <v>25.73</v>
      </c>
      <c r="O55" s="136">
        <f>F55*M55</f>
        <v>25.73</v>
      </c>
      <c r="P55" s="136">
        <f>F55*N55</f>
        <v>25.73</v>
      </c>
      <c r="Q55" s="67">
        <f t="shared" si="6"/>
        <v>0</v>
      </c>
      <c r="R55" s="48"/>
    </row>
    <row r="56" spans="1:18" s="59" customFormat="1">
      <c r="A56" s="172"/>
      <c r="B56" s="45" t="s">
        <v>192</v>
      </c>
      <c r="C56" s="130" t="s">
        <v>156</v>
      </c>
      <c r="D56" s="134"/>
      <c r="E56" s="132"/>
      <c r="F56" s="133">
        <v>1</v>
      </c>
      <c r="G56" s="139">
        <v>1312.5</v>
      </c>
      <c r="H56" s="137">
        <f t="shared" ref="H56" si="22">F56*G56</f>
        <v>1312.5</v>
      </c>
      <c r="I56" s="135">
        <f t="shared" ref="I56" si="23">$D$122*H56</f>
        <v>841.83139248413897</v>
      </c>
      <c r="J56" s="136">
        <f>(References!$C$49*I56)</f>
        <v>1.2627470887262096</v>
      </c>
      <c r="K56" s="136">
        <f>J56/References!$G$52</f>
        <v>1.291945046783517</v>
      </c>
      <c r="L56" s="136">
        <f t="shared" ref="L56" si="24">K56/F56</f>
        <v>1.291945046783517</v>
      </c>
      <c r="M56" s="154">
        <v>101.2</v>
      </c>
      <c r="N56" s="156">
        <f t="shared" ref="N56" si="25">L56+M56</f>
        <v>102.49194504678351</v>
      </c>
      <c r="O56" s="136">
        <f t="shared" ref="O56" si="26">F56*M56</f>
        <v>101.2</v>
      </c>
      <c r="P56" s="136">
        <f t="shared" ref="P56" si="27">F56*N56</f>
        <v>102.49194504678351</v>
      </c>
      <c r="Q56" s="67">
        <f t="shared" ref="Q56" si="28">+P56-O56</f>
        <v>1.2919450467835105</v>
      </c>
      <c r="R56" s="48"/>
    </row>
    <row r="57" spans="1:18" s="59" customFormat="1">
      <c r="A57" s="172"/>
      <c r="B57" s="45" t="s">
        <v>192</v>
      </c>
      <c r="C57" s="113" t="s">
        <v>157</v>
      </c>
      <c r="D57" s="56"/>
      <c r="E57" s="69"/>
      <c r="F57" s="114">
        <v>15</v>
      </c>
      <c r="G57" s="140">
        <v>1312.5</v>
      </c>
      <c r="H57" s="99">
        <f t="shared" si="17"/>
        <v>19687.5</v>
      </c>
      <c r="I57" s="44">
        <f t="shared" si="16"/>
        <v>12627.470887262085</v>
      </c>
      <c r="J57" s="67">
        <f>(References!$C$49*I57)</f>
        <v>18.941206330893145</v>
      </c>
      <c r="K57" s="67">
        <f>J57/References!$G$52</f>
        <v>19.379175701752757</v>
      </c>
      <c r="L57" s="67">
        <f t="shared" si="18"/>
        <v>1.2919450467835172</v>
      </c>
      <c r="M57" s="152">
        <v>107.61</v>
      </c>
      <c r="N57" s="146">
        <f t="shared" si="19"/>
        <v>108.90194504678351</v>
      </c>
      <c r="O57" s="67">
        <f t="shared" si="20"/>
        <v>1614.15</v>
      </c>
      <c r="P57" s="67">
        <f t="shared" si="21"/>
        <v>1633.5291757017526</v>
      </c>
      <c r="Q57" s="67">
        <f t="shared" si="6"/>
        <v>19.379175701752501</v>
      </c>
      <c r="R57" s="48"/>
    </row>
    <row r="58" spans="1:18" s="59" customFormat="1">
      <c r="A58" s="172"/>
      <c r="B58" s="45" t="s">
        <v>192</v>
      </c>
      <c r="C58" s="113" t="s">
        <v>158</v>
      </c>
      <c r="D58" s="56"/>
      <c r="E58" s="69"/>
      <c r="F58" s="114">
        <v>1</v>
      </c>
      <c r="G58" s="140">
        <v>1312.5</v>
      </c>
      <c r="H58" s="99">
        <f t="shared" si="17"/>
        <v>1312.5</v>
      </c>
      <c r="I58" s="44">
        <f t="shared" si="16"/>
        <v>841.83139248413897</v>
      </c>
      <c r="J58" s="67">
        <f>(References!$C$49*I58)</f>
        <v>1.2627470887262096</v>
      </c>
      <c r="K58" s="67">
        <f>J58/References!$G$52</f>
        <v>1.291945046783517</v>
      </c>
      <c r="L58" s="67">
        <f t="shared" si="18"/>
        <v>1.291945046783517</v>
      </c>
      <c r="M58" s="152">
        <v>105</v>
      </c>
      <c r="N58" s="146">
        <f t="shared" si="19"/>
        <v>106.29194504678351</v>
      </c>
      <c r="O58" s="67">
        <f t="shared" si="20"/>
        <v>105</v>
      </c>
      <c r="P58" s="67">
        <f t="shared" si="21"/>
        <v>106.29194504678351</v>
      </c>
      <c r="Q58" s="67">
        <f t="shared" si="6"/>
        <v>1.2919450467835105</v>
      </c>
      <c r="R58" s="48"/>
    </row>
    <row r="59" spans="1:18" s="59" customFormat="1">
      <c r="A59" s="172"/>
      <c r="B59" s="45"/>
      <c r="C59" s="128" t="s">
        <v>159</v>
      </c>
      <c r="D59" s="56"/>
      <c r="E59" s="69"/>
      <c r="F59" s="114"/>
      <c r="G59" s="138"/>
      <c r="H59" s="99"/>
      <c r="I59" s="44"/>
      <c r="J59" s="67"/>
      <c r="K59" s="67"/>
      <c r="L59" s="67"/>
      <c r="M59" s="152"/>
      <c r="N59" s="146"/>
      <c r="O59" s="67"/>
      <c r="P59" s="67"/>
      <c r="Q59" s="67"/>
      <c r="R59" s="48"/>
    </row>
    <row r="60" spans="1:18" s="59" customFormat="1">
      <c r="A60" s="172"/>
      <c r="B60" s="45">
        <v>29</v>
      </c>
      <c r="C60" s="113" t="s">
        <v>160</v>
      </c>
      <c r="D60" s="56"/>
      <c r="E60" s="69"/>
      <c r="F60" s="114">
        <v>4.33</v>
      </c>
      <c r="G60" s="138">
        <f>References!B26</f>
        <v>29</v>
      </c>
      <c r="H60" s="99">
        <f t="shared" si="17"/>
        <v>125.57000000000001</v>
      </c>
      <c r="I60" s="44">
        <f t="shared" ref="I60:I73" si="29">$D$122*H60</f>
        <v>80.540013679415878</v>
      </c>
      <c r="J60" s="67">
        <f>(References!$C$49*I60)</f>
        <v>0.12081002051912393</v>
      </c>
      <c r="K60" s="67">
        <f>J60/References!$G$52</f>
        <v>0.12360345868541428</v>
      </c>
      <c r="L60" s="67">
        <f t="shared" si="18"/>
        <v>2.8545833414645332E-2</v>
      </c>
      <c r="M60" s="152">
        <v>3.09</v>
      </c>
      <c r="N60" s="146">
        <f t="shared" si="19"/>
        <v>3.118545833414645</v>
      </c>
      <c r="O60" s="67">
        <f t="shared" si="20"/>
        <v>13.3797</v>
      </c>
      <c r="P60" s="67">
        <f t="shared" si="21"/>
        <v>13.503303458685412</v>
      </c>
      <c r="Q60" s="67">
        <f t="shared" ref="Q60:Q73" si="30">+P60-O60</f>
        <v>0.12360345868541245</v>
      </c>
      <c r="R60" s="48"/>
    </row>
    <row r="61" spans="1:18" s="59" customFormat="1">
      <c r="A61" s="172"/>
      <c r="B61" s="45">
        <v>29</v>
      </c>
      <c r="C61" s="113" t="s">
        <v>161</v>
      </c>
      <c r="D61" s="56"/>
      <c r="E61" s="69"/>
      <c r="F61" s="114">
        <v>1</v>
      </c>
      <c r="G61" s="138">
        <f>References!B26</f>
        <v>29</v>
      </c>
      <c r="H61" s="99">
        <f t="shared" si="17"/>
        <v>29</v>
      </c>
      <c r="I61" s="44">
        <f t="shared" si="29"/>
        <v>18.60046505298288</v>
      </c>
      <c r="J61" s="67">
        <f>(References!$C$49*I61)</f>
        <v>2.7900697579474346E-2</v>
      </c>
      <c r="K61" s="67">
        <f>J61/References!$G$52</f>
        <v>2.8545833414645328E-2</v>
      </c>
      <c r="L61" s="67">
        <f t="shared" si="18"/>
        <v>2.8545833414645328E-2</v>
      </c>
      <c r="M61" s="152">
        <v>3.09</v>
      </c>
      <c r="N61" s="146">
        <f t="shared" si="19"/>
        <v>3.118545833414645</v>
      </c>
      <c r="O61" s="67">
        <f t="shared" si="20"/>
        <v>3.09</v>
      </c>
      <c r="P61" s="67">
        <f t="shared" si="21"/>
        <v>3.118545833414645</v>
      </c>
      <c r="Q61" s="67">
        <f t="shared" si="30"/>
        <v>2.8545833414645116E-2</v>
      </c>
      <c r="R61" s="48"/>
    </row>
    <row r="62" spans="1:18" s="59" customFormat="1">
      <c r="A62" s="172"/>
      <c r="B62" s="45">
        <v>29</v>
      </c>
      <c r="C62" s="113" t="s">
        <v>162</v>
      </c>
      <c r="D62" s="56"/>
      <c r="E62" s="69"/>
      <c r="F62" s="114">
        <v>4.33</v>
      </c>
      <c r="G62" s="138">
        <f>References!B21</f>
        <v>47</v>
      </c>
      <c r="H62" s="99">
        <f t="shared" si="17"/>
        <v>203.51</v>
      </c>
      <c r="I62" s="44">
        <f t="shared" si="29"/>
        <v>130.53036699767401</v>
      </c>
      <c r="J62" s="67">
        <f>(References!$C$49*I62)</f>
        <v>0.19579555049651118</v>
      </c>
      <c r="K62" s="67">
        <f>J62/References!$G$52</f>
        <v>0.20032284683498175</v>
      </c>
      <c r="L62" s="67">
        <f t="shared" si="18"/>
        <v>4.6263936913390702E-2</v>
      </c>
      <c r="M62" s="152">
        <v>4.1500000000000004</v>
      </c>
      <c r="N62" s="146">
        <f t="shared" si="19"/>
        <v>4.1962639369133914</v>
      </c>
      <c r="O62" s="67">
        <f t="shared" si="20"/>
        <v>17.969500000000004</v>
      </c>
      <c r="P62" s="67">
        <f t="shared" si="21"/>
        <v>18.169822846834986</v>
      </c>
      <c r="Q62" s="67">
        <f t="shared" si="30"/>
        <v>0.20032284683498247</v>
      </c>
      <c r="R62" s="48"/>
    </row>
    <row r="63" spans="1:18" s="59" customFormat="1">
      <c r="A63" s="172"/>
      <c r="B63" s="45">
        <v>29</v>
      </c>
      <c r="C63" s="113" t="s">
        <v>163</v>
      </c>
      <c r="D63" s="56"/>
      <c r="E63" s="69"/>
      <c r="F63" s="114">
        <v>1</v>
      </c>
      <c r="G63" s="138">
        <f>References!B21</f>
        <v>47</v>
      </c>
      <c r="H63" s="99">
        <f t="shared" si="17"/>
        <v>47</v>
      </c>
      <c r="I63" s="44">
        <f t="shared" si="29"/>
        <v>30.145581292765357</v>
      </c>
      <c r="J63" s="67">
        <f>(References!$C$49*I63)</f>
        <v>4.5218371939148072E-2</v>
      </c>
      <c r="K63" s="67">
        <f>J63/References!$G$52</f>
        <v>4.6263936913390702E-2</v>
      </c>
      <c r="L63" s="67">
        <f t="shared" si="18"/>
        <v>4.6263936913390702E-2</v>
      </c>
      <c r="M63" s="152">
        <v>4.1500000000000004</v>
      </c>
      <c r="N63" s="146">
        <f t="shared" si="19"/>
        <v>4.1962639369133914</v>
      </c>
      <c r="O63" s="67">
        <f t="shared" si="20"/>
        <v>4.1500000000000004</v>
      </c>
      <c r="P63" s="67">
        <f t="shared" si="21"/>
        <v>4.1962639369133914</v>
      </c>
      <c r="Q63" s="67">
        <f t="shared" si="30"/>
        <v>4.6263936913391035E-2</v>
      </c>
      <c r="R63" s="48"/>
    </row>
    <row r="64" spans="1:18" s="59" customFormat="1">
      <c r="A64" s="172"/>
      <c r="B64" s="45">
        <v>29</v>
      </c>
      <c r="C64" s="113" t="s">
        <v>164</v>
      </c>
      <c r="D64" s="56"/>
      <c r="E64" s="69"/>
      <c r="F64" s="114">
        <v>21.65</v>
      </c>
      <c r="G64" s="138">
        <f>References!B22</f>
        <v>68</v>
      </c>
      <c r="H64" s="99">
        <f t="shared" si="17"/>
        <v>1472.1999999999998</v>
      </c>
      <c r="I64" s="44">
        <f t="shared" si="29"/>
        <v>944.26222934487566</v>
      </c>
      <c r="J64" s="67">
        <f>(References!$C$49*I64)</f>
        <v>1.4163933440173146</v>
      </c>
      <c r="K64" s="67">
        <f>J64/References!$G$52</f>
        <v>1.4491439983807188</v>
      </c>
      <c r="L64" s="67">
        <f t="shared" si="18"/>
        <v>6.6935057661926978E-2</v>
      </c>
      <c r="M64" s="152">
        <v>5.3</v>
      </c>
      <c r="N64" s="146">
        <f t="shared" si="19"/>
        <v>5.3669350576619266</v>
      </c>
      <c r="O64" s="67">
        <f t="shared" si="20"/>
        <v>114.74499999999999</v>
      </c>
      <c r="P64" s="67">
        <f t="shared" si="21"/>
        <v>116.1941439983807</v>
      </c>
      <c r="Q64" s="67">
        <f t="shared" si="30"/>
        <v>1.4491439983807055</v>
      </c>
      <c r="R64" s="48"/>
    </row>
    <row r="65" spans="1:23" s="59" customFormat="1">
      <c r="A65" s="172"/>
      <c r="B65" s="45">
        <v>29</v>
      </c>
      <c r="C65" s="113" t="s">
        <v>165</v>
      </c>
      <c r="D65" s="56"/>
      <c r="E65" s="69"/>
      <c r="F65" s="114">
        <v>1</v>
      </c>
      <c r="G65" s="138">
        <f>References!B22</f>
        <v>68</v>
      </c>
      <c r="H65" s="99">
        <f t="shared" si="17"/>
        <v>68</v>
      </c>
      <c r="I65" s="44">
        <f t="shared" si="29"/>
        <v>43.61488357251158</v>
      </c>
      <c r="J65" s="67">
        <f>(References!$C$49*I65)</f>
        <v>6.5422325358767422E-2</v>
      </c>
      <c r="K65" s="67">
        <f>J65/References!$G$52</f>
        <v>6.6935057661926964E-2</v>
      </c>
      <c r="L65" s="67">
        <f t="shared" si="18"/>
        <v>6.6935057661926964E-2</v>
      </c>
      <c r="M65" s="152">
        <v>5.3</v>
      </c>
      <c r="N65" s="146">
        <f t="shared" si="19"/>
        <v>5.3669350576619266</v>
      </c>
      <c r="O65" s="67">
        <f t="shared" si="20"/>
        <v>5.3</v>
      </c>
      <c r="P65" s="67">
        <f t="shared" si="21"/>
        <v>5.3669350576619266</v>
      </c>
      <c r="Q65" s="67">
        <f t="shared" si="30"/>
        <v>6.6935057661926756E-2</v>
      </c>
      <c r="R65" s="48"/>
    </row>
    <row r="66" spans="1:23" s="59" customFormat="1">
      <c r="A66" s="172"/>
      <c r="B66" s="45">
        <v>29</v>
      </c>
      <c r="C66" s="113" t="s">
        <v>162</v>
      </c>
      <c r="D66" s="56"/>
      <c r="E66" s="69"/>
      <c r="F66" s="114">
        <v>4.33</v>
      </c>
      <c r="G66" s="138">
        <f>References!B21</f>
        <v>47</v>
      </c>
      <c r="H66" s="99">
        <f t="shared" si="17"/>
        <v>203.51</v>
      </c>
      <c r="I66" s="44">
        <f t="shared" si="29"/>
        <v>130.53036699767401</v>
      </c>
      <c r="J66" s="67">
        <f>(References!$C$49*I66)</f>
        <v>0.19579555049651118</v>
      </c>
      <c r="K66" s="67">
        <f>J66/References!$G$52</f>
        <v>0.20032284683498175</v>
      </c>
      <c r="L66" s="67">
        <f t="shared" si="18"/>
        <v>4.6263936913390702E-2</v>
      </c>
      <c r="M66" s="152">
        <v>4.1500000000000004</v>
      </c>
      <c r="N66" s="146">
        <f t="shared" si="19"/>
        <v>4.1962639369133914</v>
      </c>
      <c r="O66" s="67">
        <f t="shared" si="20"/>
        <v>17.969500000000004</v>
      </c>
      <c r="P66" s="67">
        <f t="shared" si="21"/>
        <v>18.169822846834986</v>
      </c>
      <c r="Q66" s="67">
        <f t="shared" si="30"/>
        <v>0.20032284683498247</v>
      </c>
      <c r="R66" s="48"/>
    </row>
    <row r="67" spans="1:23" s="59" customFormat="1">
      <c r="A67" s="172"/>
      <c r="B67" s="45">
        <v>29</v>
      </c>
      <c r="C67" s="113" t="s">
        <v>163</v>
      </c>
      <c r="D67" s="56"/>
      <c r="E67" s="69"/>
      <c r="F67" s="114">
        <v>1</v>
      </c>
      <c r="G67" s="138">
        <f>References!B21</f>
        <v>47</v>
      </c>
      <c r="H67" s="99">
        <f t="shared" si="17"/>
        <v>47</v>
      </c>
      <c r="I67" s="44">
        <f t="shared" si="29"/>
        <v>30.145581292765357</v>
      </c>
      <c r="J67" s="67">
        <f>(References!$C$49*I67)</f>
        <v>4.5218371939148072E-2</v>
      </c>
      <c r="K67" s="67">
        <f>J67/References!$G$52</f>
        <v>4.6263936913390702E-2</v>
      </c>
      <c r="L67" s="67">
        <f t="shared" si="18"/>
        <v>4.6263936913390702E-2</v>
      </c>
      <c r="M67" s="152">
        <v>4.1500000000000004</v>
      </c>
      <c r="N67" s="146">
        <f t="shared" si="19"/>
        <v>4.1962639369133914</v>
      </c>
      <c r="O67" s="67">
        <f t="shared" si="20"/>
        <v>4.1500000000000004</v>
      </c>
      <c r="P67" s="67">
        <f t="shared" si="21"/>
        <v>4.1962639369133914</v>
      </c>
      <c r="Q67" s="67">
        <f t="shared" si="30"/>
        <v>4.6263936913391035E-2</v>
      </c>
      <c r="R67" s="48"/>
    </row>
    <row r="68" spans="1:23" s="59" customFormat="1">
      <c r="A68" s="172"/>
      <c r="B68" s="45">
        <v>29</v>
      </c>
      <c r="C68" s="113" t="s">
        <v>166</v>
      </c>
      <c r="D68" s="56"/>
      <c r="E68" s="69"/>
      <c r="F68" s="114">
        <v>4.33</v>
      </c>
      <c r="G68" s="138">
        <f>References!B27</f>
        <v>175</v>
      </c>
      <c r="H68" s="99">
        <f t="shared" si="17"/>
        <v>757.75</v>
      </c>
      <c r="I68" s="44">
        <f t="shared" si="29"/>
        <v>486.01732392750955</v>
      </c>
      <c r="J68" s="67">
        <f>(References!$C$49*I68)</f>
        <v>0.72902598589126499</v>
      </c>
      <c r="K68" s="67">
        <f>J68/References!$G$52</f>
        <v>0.74588294034301716</v>
      </c>
      <c r="L68" s="67">
        <f t="shared" si="18"/>
        <v>0.17225933957113559</v>
      </c>
      <c r="M68" s="152">
        <v>14.8</v>
      </c>
      <c r="N68" s="146">
        <f t="shared" si="19"/>
        <v>14.972259339571137</v>
      </c>
      <c r="O68" s="67">
        <f t="shared" si="20"/>
        <v>64.084000000000003</v>
      </c>
      <c r="P68" s="67">
        <f t="shared" si="21"/>
        <v>64.829882940343026</v>
      </c>
      <c r="Q68" s="67">
        <f t="shared" si="30"/>
        <v>0.74588294034302294</v>
      </c>
      <c r="R68" s="48"/>
    </row>
    <row r="69" spans="1:23" s="59" customFormat="1">
      <c r="A69" s="172"/>
      <c r="B69" s="45">
        <v>29</v>
      </c>
      <c r="C69" s="113" t="s">
        <v>167</v>
      </c>
      <c r="D69" s="56"/>
      <c r="E69" s="69"/>
      <c r="F69" s="114">
        <v>1</v>
      </c>
      <c r="G69" s="138">
        <f>References!B27</f>
        <v>175</v>
      </c>
      <c r="H69" s="99">
        <f t="shared" si="17"/>
        <v>175</v>
      </c>
      <c r="I69" s="44">
        <f t="shared" si="29"/>
        <v>112.24418566455186</v>
      </c>
      <c r="J69" s="67">
        <f>(References!$C$49*I69)</f>
        <v>0.16836627849682795</v>
      </c>
      <c r="K69" s="67">
        <f>J69/References!$G$52</f>
        <v>0.17225933957113559</v>
      </c>
      <c r="L69" s="67">
        <f t="shared" si="18"/>
        <v>0.17225933957113559</v>
      </c>
      <c r="M69" s="152">
        <v>20.239999999999998</v>
      </c>
      <c r="N69" s="146">
        <f t="shared" si="19"/>
        <v>20.412259339571133</v>
      </c>
      <c r="O69" s="67">
        <f t="shared" si="20"/>
        <v>20.239999999999998</v>
      </c>
      <c r="P69" s="67">
        <f t="shared" si="21"/>
        <v>20.412259339571133</v>
      </c>
      <c r="Q69" s="67">
        <f t="shared" si="30"/>
        <v>0.17225933957113426</v>
      </c>
      <c r="R69" s="48"/>
    </row>
    <row r="70" spans="1:23" s="59" customFormat="1">
      <c r="A70" s="172"/>
      <c r="B70" s="45">
        <v>29</v>
      </c>
      <c r="C70" s="113" t="s">
        <v>168</v>
      </c>
      <c r="D70" s="56"/>
      <c r="E70" s="69"/>
      <c r="F70" s="114">
        <v>4.33</v>
      </c>
      <c r="G70" s="138">
        <f>References!B28</f>
        <v>250</v>
      </c>
      <c r="H70" s="99">
        <f t="shared" si="17"/>
        <v>1082.5</v>
      </c>
      <c r="I70" s="44">
        <f t="shared" si="29"/>
        <v>694.31046275358506</v>
      </c>
      <c r="J70" s="67">
        <f>(References!$C$49*I70)</f>
        <v>1.0414656941303786</v>
      </c>
      <c r="K70" s="67">
        <f>J70/References!$G$52</f>
        <v>1.0655470576328816</v>
      </c>
      <c r="L70" s="67">
        <f t="shared" si="18"/>
        <v>0.24608477081590799</v>
      </c>
      <c r="M70" s="152">
        <v>21.21</v>
      </c>
      <c r="N70" s="146">
        <f t="shared" si="19"/>
        <v>21.456084770815909</v>
      </c>
      <c r="O70" s="67">
        <f t="shared" si="20"/>
        <v>91.839300000000009</v>
      </c>
      <c r="P70" s="67">
        <f t="shared" si="21"/>
        <v>92.904847057632892</v>
      </c>
      <c r="Q70" s="67">
        <f t="shared" si="30"/>
        <v>1.0655470576328838</v>
      </c>
      <c r="R70" s="48"/>
    </row>
    <row r="71" spans="1:23" s="59" customFormat="1">
      <c r="A71" s="172"/>
      <c r="B71" s="45">
        <v>29</v>
      </c>
      <c r="C71" s="113" t="s">
        <v>169</v>
      </c>
      <c r="D71" s="56"/>
      <c r="E71" s="69"/>
      <c r="F71" s="114">
        <v>1</v>
      </c>
      <c r="G71" s="138">
        <f>References!B28</f>
        <v>250</v>
      </c>
      <c r="H71" s="99">
        <f t="shared" si="17"/>
        <v>250</v>
      </c>
      <c r="I71" s="44">
        <f t="shared" si="29"/>
        <v>160.34883666364553</v>
      </c>
      <c r="J71" s="67">
        <f>(References!$C$49*I71)</f>
        <v>0.24052325499546851</v>
      </c>
      <c r="K71" s="67">
        <f>J71/References!$G$52</f>
        <v>0.24608477081590802</v>
      </c>
      <c r="L71" s="67">
        <f t="shared" si="18"/>
        <v>0.24608477081590802</v>
      </c>
      <c r="M71" s="152">
        <v>21.21</v>
      </c>
      <c r="N71" s="146">
        <f t="shared" si="19"/>
        <v>21.456084770815909</v>
      </c>
      <c r="O71" s="67">
        <f t="shared" si="20"/>
        <v>21.21</v>
      </c>
      <c r="P71" s="67">
        <f t="shared" si="21"/>
        <v>21.456084770815909</v>
      </c>
      <c r="Q71" s="67">
        <f t="shared" si="30"/>
        <v>0.24608477081590863</v>
      </c>
      <c r="R71" s="48"/>
    </row>
    <row r="72" spans="1:23" s="59" customFormat="1">
      <c r="A72" s="172"/>
      <c r="B72" s="45" t="s">
        <v>193</v>
      </c>
      <c r="C72" s="113" t="s">
        <v>170</v>
      </c>
      <c r="D72" s="56"/>
      <c r="E72" s="69"/>
      <c r="F72" s="114">
        <v>4.33</v>
      </c>
      <c r="G72" s="138">
        <f>References!B29</f>
        <v>324</v>
      </c>
      <c r="H72" s="99">
        <f t="shared" si="17"/>
        <v>1402.92</v>
      </c>
      <c r="I72" s="44">
        <f t="shared" si="29"/>
        <v>899.82635972864637</v>
      </c>
      <c r="J72" s="67">
        <f>(References!$C$49*I72)</f>
        <v>1.3497395395929708</v>
      </c>
      <c r="K72" s="67">
        <f>J72/References!$G$52</f>
        <v>1.3809489866922147</v>
      </c>
      <c r="L72" s="67">
        <f t="shared" si="18"/>
        <v>0.31892586297741676</v>
      </c>
      <c r="M72" s="152">
        <v>26.89</v>
      </c>
      <c r="N72" s="146">
        <f t="shared" si="19"/>
        <v>27.208925862977416</v>
      </c>
      <c r="O72" s="67">
        <f t="shared" si="20"/>
        <v>116.4337</v>
      </c>
      <c r="P72" s="67">
        <f t="shared" si="21"/>
        <v>117.81464898669222</v>
      </c>
      <c r="Q72" s="67">
        <f t="shared" si="30"/>
        <v>1.3809489866922178</v>
      </c>
      <c r="R72" s="48"/>
    </row>
    <row r="73" spans="1:23" s="59" customFormat="1">
      <c r="A73" s="172"/>
      <c r="B73" s="45" t="s">
        <v>193</v>
      </c>
      <c r="C73" s="113" t="s">
        <v>171</v>
      </c>
      <c r="D73" s="56"/>
      <c r="E73" s="69"/>
      <c r="F73" s="114">
        <v>1</v>
      </c>
      <c r="G73" s="138">
        <f>References!B29</f>
        <v>324</v>
      </c>
      <c r="H73" s="99">
        <f t="shared" si="17"/>
        <v>324</v>
      </c>
      <c r="I73" s="44">
        <f t="shared" si="29"/>
        <v>207.8120923160846</v>
      </c>
      <c r="J73" s="67">
        <f>(References!$C$49*I73)</f>
        <v>0.31171813847412716</v>
      </c>
      <c r="K73" s="67">
        <f>J73/References!$G$52</f>
        <v>0.31892586297741676</v>
      </c>
      <c r="L73" s="67">
        <f t="shared" si="18"/>
        <v>0.31892586297741676</v>
      </c>
      <c r="M73" s="152">
        <v>26.89</v>
      </c>
      <c r="N73" s="146">
        <f t="shared" si="19"/>
        <v>27.208925862977416</v>
      </c>
      <c r="O73" s="67">
        <f t="shared" si="20"/>
        <v>26.89</v>
      </c>
      <c r="P73" s="67">
        <f t="shared" si="21"/>
        <v>27.208925862977416</v>
      </c>
      <c r="Q73" s="67">
        <f t="shared" si="30"/>
        <v>0.31892586297741587</v>
      </c>
      <c r="R73" s="48"/>
    </row>
    <row r="74" spans="1:23" s="59" customFormat="1">
      <c r="A74" s="172"/>
      <c r="B74" s="45"/>
      <c r="C74" s="113"/>
      <c r="D74" s="56"/>
      <c r="E74" s="69"/>
      <c r="F74" s="114"/>
      <c r="G74" s="138"/>
      <c r="H74" s="68"/>
      <c r="I74" s="44"/>
      <c r="J74" s="67"/>
      <c r="K74" s="67"/>
      <c r="L74" s="67"/>
      <c r="M74" s="67"/>
      <c r="N74" s="67"/>
      <c r="O74" s="67"/>
      <c r="P74" s="67"/>
      <c r="Q74" s="67"/>
      <c r="R74" s="48"/>
    </row>
    <row r="75" spans="1:23" s="59" customFormat="1">
      <c r="A75" s="46"/>
      <c r="B75" s="25"/>
      <c r="C75" s="47"/>
      <c r="D75" s="49">
        <f>SUM(D16:D51)</f>
        <v>0</v>
      </c>
      <c r="E75" s="49">
        <f>SUM(E16:E51)</f>
        <v>0</v>
      </c>
      <c r="F75" s="49">
        <f>SUM(F16:F74)</f>
        <v>85711.03</v>
      </c>
      <c r="G75" s="141">
        <f>SUM(G16:G74)</f>
        <v>21447.5</v>
      </c>
      <c r="H75" s="49">
        <f>SUM(H16:H74)</f>
        <v>10162855.055000002</v>
      </c>
      <c r="I75" s="49">
        <f>SUM(I16:I74)</f>
        <v>6518407.9410019973</v>
      </c>
      <c r="J75" s="72"/>
      <c r="K75" s="72"/>
      <c r="L75" s="72"/>
      <c r="M75" s="72"/>
      <c r="N75" s="72"/>
      <c r="O75" s="127">
        <f>SUM(O16:O74)</f>
        <v>986711.99380000005</v>
      </c>
      <c r="P75" s="127">
        <f>SUM(P16:P74)</f>
        <v>996715.68922818021</v>
      </c>
      <c r="Q75" s="127">
        <f>SUM(Q16:Q74)</f>
        <v>10003.69542817987</v>
      </c>
      <c r="R75" s="48"/>
      <c r="S75" s="165">
        <f>P75/O75-1</f>
        <v>1.0138414746185598E-2</v>
      </c>
      <c r="T75" s="59" t="s">
        <v>196</v>
      </c>
    </row>
    <row r="76" spans="1:23">
      <c r="C76" s="63"/>
      <c r="D76" s="64">
        <f>D15+D75</f>
        <v>3410</v>
      </c>
      <c r="E76" s="64"/>
      <c r="F76" s="97">
        <f>F15+F75</f>
        <v>262911.03000000003</v>
      </c>
      <c r="G76" s="64"/>
      <c r="H76" s="64">
        <f>H15+H75</f>
        <v>20637599.055</v>
      </c>
      <c r="I76" s="64">
        <f>I15+I75</f>
        <v>13236860</v>
      </c>
      <c r="J76" s="67"/>
      <c r="K76" s="74"/>
      <c r="L76" s="74"/>
      <c r="M76" s="74"/>
      <c r="N76" s="74"/>
      <c r="O76" s="74">
        <f>O15+O75</f>
        <v>2007835.0738000001</v>
      </c>
      <c r="P76" s="74">
        <f>P15+P75</f>
        <v>2028149.4691345613</v>
      </c>
      <c r="Q76" s="74">
        <f>Q15+Q75</f>
        <v>20314.39533456105</v>
      </c>
      <c r="R76" s="48"/>
      <c r="S76" s="165">
        <f>P76/O76-1</f>
        <v>1.0117561745803361E-2</v>
      </c>
      <c r="T76" s="59" t="s">
        <v>196</v>
      </c>
      <c r="W76" s="166"/>
    </row>
    <row r="77" spans="1:23">
      <c r="G77" s="142"/>
      <c r="J77" s="55"/>
      <c r="P77" s="60"/>
      <c r="R77" s="48"/>
      <c r="S77" s="60">
        <f>P75-O75</f>
        <v>10003.695428180159</v>
      </c>
    </row>
    <row r="78" spans="1:23">
      <c r="G78" s="142"/>
      <c r="J78" s="55"/>
      <c r="P78" s="60"/>
      <c r="R78" s="48"/>
      <c r="S78" s="60">
        <f>P76-O76</f>
        <v>20314.395334561123</v>
      </c>
      <c r="W78" s="31"/>
    </row>
    <row r="79" spans="1:23">
      <c r="A79" s="75"/>
      <c r="B79" s="76"/>
      <c r="C79" s="80" t="s">
        <v>91</v>
      </c>
      <c r="D79" s="77"/>
      <c r="E79" s="75"/>
      <c r="F79" s="75"/>
      <c r="G79" s="143"/>
      <c r="H79" s="75"/>
      <c r="I79" s="78"/>
      <c r="J79" s="79"/>
      <c r="K79" s="75"/>
      <c r="L79" s="75"/>
      <c r="M79" s="75"/>
      <c r="N79" s="75"/>
      <c r="O79" s="75"/>
      <c r="P79" s="75"/>
      <c r="Q79" s="75"/>
      <c r="R79" s="48"/>
    </row>
    <row r="80" spans="1:23" s="59" customFormat="1" ht="15" customHeight="1">
      <c r="A80" s="172" t="s">
        <v>49</v>
      </c>
      <c r="B80" s="45">
        <v>20</v>
      </c>
      <c r="C80" s="113" t="s">
        <v>112</v>
      </c>
      <c r="D80" s="68">
        <v>0</v>
      </c>
      <c r="E80" s="69">
        <f>References!$B$7</f>
        <v>4.333333333333333</v>
      </c>
      <c r="F80" s="68">
        <f>E80*12</f>
        <v>52</v>
      </c>
      <c r="G80" s="68">
        <f>References!B14</f>
        <v>34</v>
      </c>
      <c r="H80" s="68">
        <f>F80*G80</f>
        <v>1768</v>
      </c>
      <c r="I80" s="44">
        <f t="shared" ref="I80:I93" si="31">$D$122*H80</f>
        <v>1133.9869728853012</v>
      </c>
      <c r="J80" s="67">
        <f>(References!$C$49*I80)</f>
        <v>1.7009804593279532</v>
      </c>
      <c r="K80" s="67">
        <f>J80/References!$G$52</f>
        <v>1.7403114992101014</v>
      </c>
      <c r="L80" s="67">
        <f>K80/F80*E80</f>
        <v>0.14502595826750844</v>
      </c>
      <c r="M80" s="152">
        <v>13.11</v>
      </c>
      <c r="N80" s="146">
        <f>L80+M80</f>
        <v>13.255025958267508</v>
      </c>
      <c r="O80" s="116"/>
      <c r="P80" s="67"/>
      <c r="Q80" s="67"/>
      <c r="R80" s="48"/>
    </row>
    <row r="81" spans="1:18" s="59" customFormat="1">
      <c r="A81" s="172"/>
      <c r="B81" s="45">
        <v>20</v>
      </c>
      <c r="C81" s="98" t="s">
        <v>113</v>
      </c>
      <c r="D81" s="68">
        <v>0</v>
      </c>
      <c r="E81" s="69">
        <f>References!$B$7</f>
        <v>4.333333333333333</v>
      </c>
      <c r="F81" s="68">
        <f t="shared" ref="F81:F90" si="32">E81*12</f>
        <v>52</v>
      </c>
      <c r="G81" s="68">
        <f>References!B15</f>
        <v>51</v>
      </c>
      <c r="H81" s="68">
        <f t="shared" ref="H81:H90" si="33">F81*G81</f>
        <v>2652</v>
      </c>
      <c r="I81" s="44">
        <f t="shared" si="31"/>
        <v>1700.9804593279516</v>
      </c>
      <c r="J81" s="67">
        <f>(References!$C$49*I81)</f>
        <v>2.5514706889919299</v>
      </c>
      <c r="K81" s="67">
        <f>J81/References!$G$52</f>
        <v>2.6104672488151524</v>
      </c>
      <c r="L81" s="67">
        <f>K81/F81*E81</f>
        <v>0.21753893740126271</v>
      </c>
      <c r="M81" s="152">
        <v>17.670000000000002</v>
      </c>
      <c r="N81" s="146">
        <f>L81+M81</f>
        <v>17.887538937401263</v>
      </c>
      <c r="O81" s="67"/>
      <c r="P81" s="67"/>
      <c r="Q81" s="67"/>
      <c r="R81" s="48"/>
    </row>
    <row r="82" spans="1:18" s="59" customFormat="1">
      <c r="A82" s="172"/>
      <c r="B82" s="45">
        <v>20</v>
      </c>
      <c r="C82" s="98" t="s">
        <v>114</v>
      </c>
      <c r="D82" s="68">
        <v>0</v>
      </c>
      <c r="E82" s="69">
        <f>References!$B$7</f>
        <v>4.333333333333333</v>
      </c>
      <c r="F82" s="68">
        <f t="shared" si="32"/>
        <v>52</v>
      </c>
      <c r="G82" s="68">
        <f>References!B16</f>
        <v>77</v>
      </c>
      <c r="H82" s="68">
        <f t="shared" si="33"/>
        <v>4004</v>
      </c>
      <c r="I82" s="44">
        <f t="shared" si="31"/>
        <v>2568.1469680049468</v>
      </c>
      <c r="J82" s="67">
        <f>(References!$C$49*I82)</f>
        <v>3.8522204520074235</v>
      </c>
      <c r="K82" s="67">
        <f>J82/References!$G$52</f>
        <v>3.9412936893875825</v>
      </c>
      <c r="L82" s="67">
        <f t="shared" ref="L82:L90" si="34">K82/F82*E82</f>
        <v>0.32844114078229852</v>
      </c>
      <c r="M82" s="152">
        <v>22.72</v>
      </c>
      <c r="N82" s="146">
        <f t="shared" ref="N82:N90" si="35">L82+M82</f>
        <v>23.048441140782298</v>
      </c>
      <c r="O82" s="67"/>
      <c r="P82" s="67"/>
      <c r="Q82" s="67"/>
      <c r="R82" s="48"/>
    </row>
    <row r="83" spans="1:18" s="59" customFormat="1">
      <c r="A83" s="172"/>
      <c r="B83" s="45">
        <v>20</v>
      </c>
      <c r="C83" s="98" t="s">
        <v>115</v>
      </c>
      <c r="D83" s="68">
        <v>0</v>
      </c>
      <c r="E83" s="69">
        <f>References!$B$7</f>
        <v>4.333333333333333</v>
      </c>
      <c r="F83" s="68">
        <f t="shared" si="32"/>
        <v>52</v>
      </c>
      <c r="G83" s="68">
        <f>References!B17</f>
        <v>97</v>
      </c>
      <c r="H83" s="68">
        <f t="shared" si="33"/>
        <v>5044</v>
      </c>
      <c r="I83" s="44">
        <f t="shared" si="31"/>
        <v>3235.198128525712</v>
      </c>
      <c r="J83" s="67">
        <f>(References!$C$49*I83)</f>
        <v>4.8527971927885725</v>
      </c>
      <c r="K83" s="67">
        <f>J83/References!$G$52</f>
        <v>4.9650063359817604</v>
      </c>
      <c r="L83" s="67">
        <f t="shared" si="34"/>
        <v>0.41375052799848</v>
      </c>
      <c r="M83" s="152">
        <v>28.07</v>
      </c>
      <c r="N83" s="146">
        <f t="shared" si="35"/>
        <v>28.483750527998481</v>
      </c>
      <c r="O83" s="67"/>
      <c r="P83" s="67"/>
      <c r="Q83" s="67"/>
      <c r="R83" s="48"/>
    </row>
    <row r="84" spans="1:18" s="59" customFormat="1">
      <c r="A84" s="172"/>
      <c r="B84" s="45">
        <v>20</v>
      </c>
      <c r="C84" s="98" t="s">
        <v>116</v>
      </c>
      <c r="D84" s="68">
        <v>0</v>
      </c>
      <c r="E84" s="69">
        <f>References!$B$7</f>
        <v>4.333333333333333</v>
      </c>
      <c r="F84" s="68">
        <f t="shared" si="32"/>
        <v>52</v>
      </c>
      <c r="G84" s="68">
        <f>References!B18</f>
        <v>117</v>
      </c>
      <c r="H84" s="68">
        <f t="shared" si="33"/>
        <v>6084</v>
      </c>
      <c r="I84" s="44">
        <f t="shared" si="31"/>
        <v>3902.2492890464773</v>
      </c>
      <c r="J84" s="67">
        <f>(References!$C$49*I84)</f>
        <v>5.8533739335697215</v>
      </c>
      <c r="K84" s="67">
        <f>J84/References!$G$52</f>
        <v>5.9887189825759375</v>
      </c>
      <c r="L84" s="67">
        <f t="shared" si="34"/>
        <v>0.49905991521466142</v>
      </c>
      <c r="M84" s="152">
        <v>33.68</v>
      </c>
      <c r="N84" s="146">
        <f t="shared" si="35"/>
        <v>34.179059915214658</v>
      </c>
      <c r="O84" s="67"/>
      <c r="P84" s="67"/>
      <c r="Q84" s="67"/>
      <c r="R84" s="48"/>
    </row>
    <row r="85" spans="1:18" s="59" customFormat="1">
      <c r="A85" s="172"/>
      <c r="B85" s="45">
        <v>20</v>
      </c>
      <c r="C85" s="98" t="s">
        <v>117</v>
      </c>
      <c r="D85" s="68">
        <v>0</v>
      </c>
      <c r="E85" s="69">
        <f>References!$B$7</f>
        <v>4.333333333333333</v>
      </c>
      <c r="F85" s="68">
        <f t="shared" si="32"/>
        <v>52</v>
      </c>
      <c r="G85" s="68">
        <f>References!B19</f>
        <v>157</v>
      </c>
      <c r="H85" s="68">
        <f t="shared" si="33"/>
        <v>8164</v>
      </c>
      <c r="I85" s="44">
        <f t="shared" si="31"/>
        <v>5236.3516100880079</v>
      </c>
      <c r="J85" s="67">
        <f>(References!$C$49*I85)</f>
        <v>7.8545274151320186</v>
      </c>
      <c r="K85" s="67">
        <f>J85/References!$G$52</f>
        <v>8.0361442757642916</v>
      </c>
      <c r="L85" s="67">
        <f t="shared" si="34"/>
        <v>0.66967868964702426</v>
      </c>
      <c r="M85" s="152">
        <v>40.33</v>
      </c>
      <c r="N85" s="146">
        <f>L85+M85</f>
        <v>40.99967868964702</v>
      </c>
      <c r="O85" s="67"/>
      <c r="P85" s="67"/>
      <c r="Q85" s="67"/>
      <c r="R85" s="48"/>
    </row>
    <row r="86" spans="1:18" s="59" customFormat="1">
      <c r="A86" s="172"/>
      <c r="B86" s="45">
        <v>20</v>
      </c>
      <c r="C86" s="98" t="s">
        <v>110</v>
      </c>
      <c r="D86" s="68">
        <v>0</v>
      </c>
      <c r="E86" s="69">
        <f>References!B9</f>
        <v>1</v>
      </c>
      <c r="F86" s="68">
        <f t="shared" si="32"/>
        <v>12</v>
      </c>
      <c r="G86" s="68">
        <f>References!B14</f>
        <v>34</v>
      </c>
      <c r="H86" s="68">
        <f t="shared" si="33"/>
        <v>408</v>
      </c>
      <c r="I86" s="44">
        <f t="shared" si="31"/>
        <v>261.68930143506947</v>
      </c>
      <c r="J86" s="67">
        <f>(References!$C$49*I86)</f>
        <v>0.39253395215260456</v>
      </c>
      <c r="K86" s="67">
        <f>J86/References!$G$52</f>
        <v>0.40161034597156181</v>
      </c>
      <c r="L86" s="67">
        <f t="shared" si="34"/>
        <v>3.3467528830963482E-2</v>
      </c>
      <c r="M86" s="152">
        <v>5.1100000000000003</v>
      </c>
      <c r="N86" s="146">
        <f t="shared" si="35"/>
        <v>5.1434675288309641</v>
      </c>
      <c r="O86" s="67"/>
      <c r="P86" s="67"/>
      <c r="Q86" s="67"/>
      <c r="R86" s="48"/>
    </row>
    <row r="87" spans="1:18" s="59" customFormat="1">
      <c r="A87" s="172"/>
      <c r="B87" s="45">
        <v>20</v>
      </c>
      <c r="C87" s="98" t="s">
        <v>111</v>
      </c>
      <c r="D87" s="68">
        <v>0</v>
      </c>
      <c r="E87" s="69">
        <f>References!C9</f>
        <v>2</v>
      </c>
      <c r="F87" s="68">
        <f t="shared" si="32"/>
        <v>24</v>
      </c>
      <c r="G87" s="68">
        <f>References!B14</f>
        <v>34</v>
      </c>
      <c r="H87" s="68">
        <f t="shared" si="33"/>
        <v>816</v>
      </c>
      <c r="I87" s="44">
        <f t="shared" si="31"/>
        <v>523.37860287013893</v>
      </c>
      <c r="J87" s="67">
        <f>(References!$C$49*I87)</f>
        <v>0.78506790430520912</v>
      </c>
      <c r="K87" s="67">
        <f>J87/References!$G$52</f>
        <v>0.80322069194312362</v>
      </c>
      <c r="L87" s="67">
        <f t="shared" si="34"/>
        <v>6.6935057661926964E-2</v>
      </c>
      <c r="M87" s="152">
        <v>10.26</v>
      </c>
      <c r="N87" s="146">
        <f t="shared" si="35"/>
        <v>10.326935057661927</v>
      </c>
      <c r="O87" s="67"/>
      <c r="P87" s="67"/>
      <c r="Q87" s="67"/>
      <c r="R87" s="48"/>
    </row>
    <row r="88" spans="1:18" s="59" customFormat="1">
      <c r="A88" s="172"/>
      <c r="B88" s="45">
        <v>20</v>
      </c>
      <c r="C88" s="98" t="s">
        <v>181</v>
      </c>
      <c r="D88" s="68">
        <v>0</v>
      </c>
      <c r="E88" s="69">
        <f>References!$B$7</f>
        <v>4.333333333333333</v>
      </c>
      <c r="F88" s="68">
        <f t="shared" si="32"/>
        <v>52</v>
      </c>
      <c r="G88" s="68">
        <f>References!B14</f>
        <v>34</v>
      </c>
      <c r="H88" s="68">
        <f t="shared" si="33"/>
        <v>1768</v>
      </c>
      <c r="I88" s="44">
        <f t="shared" si="31"/>
        <v>1133.9869728853012</v>
      </c>
      <c r="J88" s="67">
        <f>(References!$C$49*I88)</f>
        <v>1.7009804593279532</v>
      </c>
      <c r="K88" s="67">
        <f>J88/References!$G$52</f>
        <v>1.7403114992101014</v>
      </c>
      <c r="L88" s="67">
        <f t="shared" si="34"/>
        <v>0.14502595826750844</v>
      </c>
      <c r="M88" s="152">
        <v>13.8</v>
      </c>
      <c r="N88" s="146">
        <f t="shared" si="35"/>
        <v>13.945025958267509</v>
      </c>
      <c r="O88" s="67"/>
      <c r="P88" s="67"/>
      <c r="Q88" s="67"/>
      <c r="R88" s="48"/>
    </row>
    <row r="89" spans="1:18" s="59" customFormat="1">
      <c r="A89" s="172"/>
      <c r="B89" s="45">
        <v>20</v>
      </c>
      <c r="C89" s="98" t="s">
        <v>182</v>
      </c>
      <c r="D89" s="68">
        <v>0</v>
      </c>
      <c r="E89" s="69">
        <f>References!$B$7</f>
        <v>4.333333333333333</v>
      </c>
      <c r="F89" s="68">
        <f t="shared" si="32"/>
        <v>52</v>
      </c>
      <c r="G89" s="68">
        <f>References!B22</f>
        <v>68</v>
      </c>
      <c r="H89" s="68">
        <f t="shared" si="33"/>
        <v>3536</v>
      </c>
      <c r="I89" s="44">
        <f t="shared" si="31"/>
        <v>2267.9739457706023</v>
      </c>
      <c r="J89" s="67">
        <f>(References!$C$49*I89)</f>
        <v>3.4019609186559063</v>
      </c>
      <c r="K89" s="67">
        <f>J89/References!$G$52</f>
        <v>3.4806229984202028</v>
      </c>
      <c r="L89" s="67">
        <f t="shared" si="34"/>
        <v>0.29005191653501688</v>
      </c>
      <c r="M89" s="152">
        <v>23.28</v>
      </c>
      <c r="N89" s="146">
        <f t="shared" si="35"/>
        <v>23.570051916535018</v>
      </c>
      <c r="O89" s="67"/>
      <c r="P89" s="67"/>
      <c r="Q89" s="67"/>
      <c r="R89" s="48"/>
    </row>
    <row r="90" spans="1:18" s="59" customFormat="1">
      <c r="A90" s="172"/>
      <c r="B90" s="45">
        <v>20</v>
      </c>
      <c r="C90" s="98" t="s">
        <v>183</v>
      </c>
      <c r="D90" s="68">
        <v>0</v>
      </c>
      <c r="E90" s="69">
        <f>References!$B$7</f>
        <v>4.333333333333333</v>
      </c>
      <c r="F90" s="68">
        <f t="shared" si="32"/>
        <v>52</v>
      </c>
      <c r="G90" s="68">
        <f>References!B13</f>
        <v>20</v>
      </c>
      <c r="H90" s="68">
        <f t="shared" si="33"/>
        <v>1040</v>
      </c>
      <c r="I90" s="44">
        <f t="shared" si="31"/>
        <v>667.05116052076539</v>
      </c>
      <c r="J90" s="67">
        <f>(References!$C$49*I90)</f>
        <v>1.000576740781149</v>
      </c>
      <c r="K90" s="67">
        <f>J90/References!$G$52</f>
        <v>1.0237126465941773</v>
      </c>
      <c r="L90" s="67">
        <f t="shared" si="34"/>
        <v>8.5309387216181434E-2</v>
      </c>
      <c r="M90" s="152">
        <v>11.68</v>
      </c>
      <c r="N90" s="146">
        <f t="shared" si="35"/>
        <v>11.765309387216181</v>
      </c>
      <c r="O90" s="67"/>
      <c r="P90" s="67"/>
      <c r="Q90" s="67"/>
      <c r="R90" s="48"/>
    </row>
    <row r="91" spans="1:18" s="59" customFormat="1" ht="15" customHeight="1">
      <c r="A91" s="126"/>
      <c r="B91" s="45">
        <v>20</v>
      </c>
      <c r="C91" s="42" t="s">
        <v>184</v>
      </c>
      <c r="D91" s="68">
        <v>0</v>
      </c>
      <c r="E91" s="69">
        <f>References!$B$7</f>
        <v>4.333333333333333</v>
      </c>
      <c r="F91" s="68">
        <f>E91*12</f>
        <v>52</v>
      </c>
      <c r="G91" s="68">
        <f>References!B14</f>
        <v>34</v>
      </c>
      <c r="H91" s="68">
        <f>F91*G91</f>
        <v>1768</v>
      </c>
      <c r="I91" s="44">
        <f t="shared" si="31"/>
        <v>1133.9869728853012</v>
      </c>
      <c r="J91" s="67">
        <f>(References!$C$49*I91)</f>
        <v>1.7009804593279532</v>
      </c>
      <c r="K91" s="67">
        <f>J91/References!$G$52</f>
        <v>1.7403114992101014</v>
      </c>
      <c r="L91" s="67">
        <f>K91/F91*E91</f>
        <v>0.14502595826750844</v>
      </c>
      <c r="M91" s="152">
        <v>8.57</v>
      </c>
      <c r="N91" s="146">
        <f>L91+M91</f>
        <v>8.7150259582675087</v>
      </c>
      <c r="O91" s="67"/>
      <c r="P91" s="67"/>
      <c r="Q91" s="67"/>
      <c r="R91" s="48"/>
    </row>
    <row r="92" spans="1:18" s="59" customFormat="1">
      <c r="A92" s="126"/>
      <c r="B92" s="45" t="s">
        <v>100</v>
      </c>
      <c r="C92" s="129" t="s">
        <v>108</v>
      </c>
      <c r="D92" s="68">
        <v>0</v>
      </c>
      <c r="E92" s="69">
        <f>References!B9</f>
        <v>1</v>
      </c>
      <c r="F92" s="68">
        <f>E92*12</f>
        <v>12</v>
      </c>
      <c r="G92" s="68">
        <f>References!B24</f>
        <v>34</v>
      </c>
      <c r="H92" s="68">
        <f>F92*G92</f>
        <v>408</v>
      </c>
      <c r="I92" s="44">
        <f t="shared" si="31"/>
        <v>261.68930143506947</v>
      </c>
      <c r="J92" s="67">
        <f>(References!$C$49*I92)</f>
        <v>0.39253395215260456</v>
      </c>
      <c r="K92" s="67">
        <f>J92/References!$G$52</f>
        <v>0.40161034597156181</v>
      </c>
      <c r="L92" s="67">
        <f>K92/F92*E92</f>
        <v>3.3467528830963482E-2</v>
      </c>
      <c r="M92" s="152">
        <v>2.65</v>
      </c>
      <c r="N92" s="146">
        <f>L92+M92</f>
        <v>2.6834675288309633</v>
      </c>
      <c r="O92" s="67"/>
      <c r="P92" s="67"/>
      <c r="Q92" s="67"/>
      <c r="R92" s="48"/>
    </row>
    <row r="93" spans="1:18" s="59" customFormat="1">
      <c r="A93" s="126"/>
      <c r="B93" s="45">
        <v>21</v>
      </c>
      <c r="C93" s="59" t="s">
        <v>109</v>
      </c>
      <c r="D93" s="68">
        <v>0</v>
      </c>
      <c r="E93" s="69">
        <f>References!B9</f>
        <v>1</v>
      </c>
      <c r="F93" s="68">
        <f>E93*12</f>
        <v>12</v>
      </c>
      <c r="G93" s="68">
        <f>References!B42</f>
        <v>125</v>
      </c>
      <c r="H93" s="68">
        <f>F93*G93</f>
        <v>1500</v>
      </c>
      <c r="I93" s="44">
        <f t="shared" si="31"/>
        <v>962.09301998187311</v>
      </c>
      <c r="J93" s="67">
        <f>(References!$C$49*I93)</f>
        <v>1.4431395299728109</v>
      </c>
      <c r="K93" s="67">
        <f>J93/References!$G$52</f>
        <v>1.476508624895448</v>
      </c>
      <c r="L93" s="67">
        <f>K93/F93*E93</f>
        <v>0.12304238540795399</v>
      </c>
      <c r="M93" s="152">
        <v>10.49</v>
      </c>
      <c r="N93" s="146">
        <f>L93+M93</f>
        <v>10.613042385407955</v>
      </c>
      <c r="O93" s="67"/>
      <c r="P93" s="67"/>
      <c r="Q93" s="67"/>
      <c r="R93" s="48"/>
    </row>
    <row r="94" spans="1:18" s="59" customFormat="1">
      <c r="A94" s="126"/>
      <c r="B94" s="45"/>
      <c r="C94" s="100"/>
      <c r="D94" s="68"/>
      <c r="E94" s="69"/>
      <c r="F94" s="68"/>
      <c r="G94" s="68"/>
      <c r="H94" s="68"/>
      <c r="I94" s="44"/>
      <c r="J94" s="67"/>
      <c r="K94" s="67"/>
      <c r="L94" s="67"/>
      <c r="M94" s="86"/>
      <c r="N94" s="67"/>
      <c r="O94" s="67"/>
      <c r="P94" s="67"/>
      <c r="Q94" s="67"/>
      <c r="R94" s="48"/>
    </row>
    <row r="95" spans="1:18" s="59" customFormat="1">
      <c r="A95" s="118"/>
      <c r="B95" s="119"/>
      <c r="C95" s="100"/>
      <c r="D95" s="120"/>
      <c r="E95" s="121"/>
      <c r="F95" s="122"/>
      <c r="G95" s="122"/>
      <c r="H95" s="122"/>
      <c r="I95" s="123"/>
      <c r="J95" s="124"/>
      <c r="K95" s="124"/>
      <c r="L95" s="124"/>
      <c r="M95" s="125"/>
      <c r="N95" s="124"/>
      <c r="O95" s="124"/>
      <c r="P95" s="124"/>
      <c r="Q95" s="124"/>
      <c r="R95" s="48"/>
    </row>
    <row r="96" spans="1:18" s="59" customFormat="1">
      <c r="A96" s="171" t="s">
        <v>14</v>
      </c>
      <c r="B96" s="45">
        <v>21</v>
      </c>
      <c r="C96" s="98" t="s">
        <v>119</v>
      </c>
      <c r="D96" s="56">
        <v>0</v>
      </c>
      <c r="E96" s="69">
        <f>References!$B$9</f>
        <v>1</v>
      </c>
      <c r="F96" s="68">
        <f>E96*12</f>
        <v>12</v>
      </c>
      <c r="G96" s="68">
        <f>References!B42</f>
        <v>125</v>
      </c>
      <c r="H96" s="68">
        <f>F96*G96</f>
        <v>1500</v>
      </c>
      <c r="I96" s="44">
        <f t="shared" ref="I96:I111" si="36">$D$122*H96</f>
        <v>962.09301998187311</v>
      </c>
      <c r="J96" s="67">
        <f>(References!$C$49*I96)</f>
        <v>1.4431395299728109</v>
      </c>
      <c r="K96" s="67">
        <f>J96/References!$G$52</f>
        <v>1.476508624895448</v>
      </c>
      <c r="L96" s="67">
        <f>K96/F96</f>
        <v>0.12304238540795399</v>
      </c>
      <c r="M96" s="152">
        <v>9.59</v>
      </c>
      <c r="N96" s="146">
        <f>L96+M96</f>
        <v>9.7130423854079542</v>
      </c>
      <c r="O96" s="67"/>
      <c r="P96" s="67"/>
      <c r="Q96" s="67"/>
      <c r="R96" s="48"/>
    </row>
    <row r="97" spans="1:18" s="59" customFormat="1">
      <c r="A97" s="172"/>
      <c r="B97" s="45">
        <v>21</v>
      </c>
      <c r="C97" s="98" t="s">
        <v>120</v>
      </c>
      <c r="D97" s="56">
        <v>0</v>
      </c>
      <c r="E97" s="69">
        <f>References!$B$9</f>
        <v>1</v>
      </c>
      <c r="F97" s="68">
        <f>E97*12</f>
        <v>12</v>
      </c>
      <c r="G97" s="68">
        <f>References!B42</f>
        <v>125</v>
      </c>
      <c r="H97" s="68">
        <f>F97*G97</f>
        <v>1500</v>
      </c>
      <c r="I97" s="44">
        <f t="shared" si="36"/>
        <v>962.09301998187311</v>
      </c>
      <c r="J97" s="67">
        <f>(References!$C$49*I97)</f>
        <v>1.4431395299728109</v>
      </c>
      <c r="K97" s="67">
        <f>J97/References!$G$52</f>
        <v>1.476508624895448</v>
      </c>
      <c r="L97" s="67">
        <f>K97/F97</f>
        <v>0.12304238540795399</v>
      </c>
      <c r="M97" s="152">
        <v>10.98</v>
      </c>
      <c r="N97" s="146">
        <f>L97+M97</f>
        <v>11.103042385407955</v>
      </c>
      <c r="O97" s="67"/>
      <c r="P97" s="67"/>
      <c r="Q97" s="67"/>
      <c r="R97" s="48"/>
    </row>
    <row r="98" spans="1:18" s="59" customFormat="1">
      <c r="A98" s="172"/>
      <c r="B98" s="45">
        <v>21</v>
      </c>
      <c r="C98" s="98" t="s">
        <v>121</v>
      </c>
      <c r="D98" s="56">
        <v>0</v>
      </c>
      <c r="E98" s="69">
        <f>References!$B$9</f>
        <v>1</v>
      </c>
      <c r="F98" s="68">
        <f>E98*12</f>
        <v>12</v>
      </c>
      <c r="G98" s="68">
        <f>References!B42</f>
        <v>125</v>
      </c>
      <c r="H98" s="68">
        <f>F98*G98</f>
        <v>1500</v>
      </c>
      <c r="I98" s="44">
        <f t="shared" si="36"/>
        <v>962.09301998187311</v>
      </c>
      <c r="J98" s="67">
        <f>(References!$C$49*I98)</f>
        <v>1.4431395299728109</v>
      </c>
      <c r="K98" s="67">
        <f>J98/References!$G$52</f>
        <v>1.476508624895448</v>
      </c>
      <c r="L98" s="67">
        <f>K98/F98</f>
        <v>0.12304238540795399</v>
      </c>
      <c r="M98" s="152">
        <v>10</v>
      </c>
      <c r="N98" s="146">
        <f>L98+M98</f>
        <v>10.123042385407954</v>
      </c>
      <c r="O98" s="67"/>
      <c r="P98" s="67"/>
      <c r="Q98" s="67"/>
      <c r="R98" s="48"/>
    </row>
    <row r="99" spans="1:18" s="59" customFormat="1">
      <c r="A99" s="172"/>
      <c r="B99" s="45" t="s">
        <v>187</v>
      </c>
      <c r="C99" s="144" t="s">
        <v>156</v>
      </c>
      <c r="D99" s="68"/>
      <c r="E99" s="69">
        <f>References!$B$9</f>
        <v>1</v>
      </c>
      <c r="F99" s="115">
        <v>1</v>
      </c>
      <c r="G99" s="68">
        <v>1312.5</v>
      </c>
      <c r="H99" s="99">
        <f>F99*G99</f>
        <v>1312.5</v>
      </c>
      <c r="I99" s="44">
        <f t="shared" si="36"/>
        <v>841.83139248413897</v>
      </c>
      <c r="J99" s="67">
        <f>(References!$C$49*I99)</f>
        <v>1.2627470887262096</v>
      </c>
      <c r="K99" s="67">
        <f>J99/References!$G$52</f>
        <v>1.291945046783517</v>
      </c>
      <c r="L99" s="67">
        <f>K99/F99</f>
        <v>1.291945046783517</v>
      </c>
      <c r="M99" s="152">
        <v>101.2</v>
      </c>
      <c r="N99" s="150">
        <f t="shared" ref="N99:N107" si="37">L99+M99</f>
        <v>102.49194504678351</v>
      </c>
      <c r="O99" s="67"/>
      <c r="P99" s="67"/>
      <c r="Q99" s="67"/>
      <c r="R99" s="48"/>
    </row>
    <row r="100" spans="1:18" s="59" customFormat="1">
      <c r="A100" s="172"/>
      <c r="B100" s="45" t="s">
        <v>187</v>
      </c>
      <c r="C100" s="145" t="s">
        <v>131</v>
      </c>
      <c r="D100" s="56">
        <v>0</v>
      </c>
      <c r="E100" s="69">
        <f>References!$B$9</f>
        <v>1</v>
      </c>
      <c r="F100" s="68">
        <f t="shared" ref="F100:F107" si="38">E100*12</f>
        <v>12</v>
      </c>
      <c r="G100" s="68">
        <f>References!B28</f>
        <v>250</v>
      </c>
      <c r="H100" s="99">
        <f t="shared" ref="H100:H107" si="39">F100*G100</f>
        <v>3000</v>
      </c>
      <c r="I100" s="44">
        <f t="shared" si="36"/>
        <v>1924.1860399637462</v>
      </c>
      <c r="J100" s="67">
        <f>(References!$C$49*I100)</f>
        <v>2.8862790599456218</v>
      </c>
      <c r="K100" s="67">
        <f>J100/References!$G$52</f>
        <v>2.953017249790896</v>
      </c>
      <c r="L100" s="67">
        <f t="shared" ref="L100:L107" si="40">K100/F100</f>
        <v>0.24608477081590799</v>
      </c>
      <c r="M100" s="152">
        <v>24.38</v>
      </c>
      <c r="N100" s="146">
        <f t="shared" si="37"/>
        <v>24.626084770815908</v>
      </c>
      <c r="O100" s="67"/>
      <c r="P100" s="67"/>
      <c r="Q100" s="67"/>
      <c r="R100" s="48"/>
    </row>
    <row r="101" spans="1:18" s="59" customFormat="1">
      <c r="A101" s="172"/>
      <c r="B101" s="45" t="s">
        <v>187</v>
      </c>
      <c r="C101" s="145" t="s">
        <v>132</v>
      </c>
      <c r="D101" s="56">
        <v>0</v>
      </c>
      <c r="E101" s="69">
        <f>References!$B$9</f>
        <v>1</v>
      </c>
      <c r="F101" s="68">
        <f t="shared" si="38"/>
        <v>12</v>
      </c>
      <c r="G101" s="68">
        <f>References!B28</f>
        <v>250</v>
      </c>
      <c r="H101" s="99">
        <f t="shared" si="39"/>
        <v>3000</v>
      </c>
      <c r="I101" s="44">
        <f t="shared" si="36"/>
        <v>1924.1860399637462</v>
      </c>
      <c r="J101" s="67">
        <f>(References!$C$49*I101)</f>
        <v>2.8862790599456218</v>
      </c>
      <c r="K101" s="67">
        <f>J101/References!$G$52</f>
        <v>2.953017249790896</v>
      </c>
      <c r="L101" s="67">
        <f t="shared" si="40"/>
        <v>0.24608477081590799</v>
      </c>
      <c r="M101" s="152">
        <v>22.04</v>
      </c>
      <c r="N101" s="146">
        <f t="shared" si="37"/>
        <v>22.286084770815908</v>
      </c>
      <c r="O101" s="67"/>
      <c r="P101" s="67"/>
      <c r="Q101" s="67"/>
      <c r="R101" s="48"/>
    </row>
    <row r="102" spans="1:18" s="59" customFormat="1">
      <c r="A102" s="172"/>
      <c r="B102" s="45" t="s">
        <v>187</v>
      </c>
      <c r="C102" s="42" t="s">
        <v>135</v>
      </c>
      <c r="D102" s="56">
        <v>0</v>
      </c>
      <c r="E102" s="69">
        <f>References!$B$9</f>
        <v>1</v>
      </c>
      <c r="F102" s="68">
        <f t="shared" si="38"/>
        <v>12</v>
      </c>
      <c r="G102" s="68">
        <f>References!B29</f>
        <v>324</v>
      </c>
      <c r="H102" s="99">
        <f t="shared" si="39"/>
        <v>3888</v>
      </c>
      <c r="I102" s="44">
        <f t="shared" si="36"/>
        <v>2493.745107793015</v>
      </c>
      <c r="J102" s="67">
        <f>(References!$C$49*I102)</f>
        <v>3.7406176616895257</v>
      </c>
      <c r="K102" s="67">
        <f>J102/References!$G$52</f>
        <v>3.8271103557290012</v>
      </c>
      <c r="L102" s="67">
        <f t="shared" si="40"/>
        <v>0.31892586297741676</v>
      </c>
      <c r="M102" s="152">
        <v>31.96</v>
      </c>
      <c r="N102" s="146">
        <f t="shared" si="37"/>
        <v>32.278925862977417</v>
      </c>
      <c r="O102" s="67"/>
      <c r="P102" s="67"/>
      <c r="Q102" s="67"/>
      <c r="R102" s="48"/>
    </row>
    <row r="103" spans="1:18" s="59" customFormat="1">
      <c r="A103" s="172"/>
      <c r="B103" s="45" t="s">
        <v>187</v>
      </c>
      <c r="C103" s="42" t="s">
        <v>136</v>
      </c>
      <c r="D103" s="56">
        <v>0</v>
      </c>
      <c r="E103" s="69">
        <f>References!$B$9</f>
        <v>1</v>
      </c>
      <c r="F103" s="68">
        <f t="shared" si="38"/>
        <v>12</v>
      </c>
      <c r="G103" s="68">
        <f>References!B29</f>
        <v>324</v>
      </c>
      <c r="H103" s="99">
        <f t="shared" si="39"/>
        <v>3888</v>
      </c>
      <c r="I103" s="44">
        <f t="shared" si="36"/>
        <v>2493.745107793015</v>
      </c>
      <c r="J103" s="67">
        <f>(References!$C$49*I103)</f>
        <v>3.7406176616895257</v>
      </c>
      <c r="K103" s="67">
        <f>J103/References!$G$52</f>
        <v>3.8271103557290012</v>
      </c>
      <c r="L103" s="67">
        <f t="shared" si="40"/>
        <v>0.31892586297741676</v>
      </c>
      <c r="M103" s="152">
        <v>29.1</v>
      </c>
      <c r="N103" s="146">
        <f t="shared" si="37"/>
        <v>29.418925862977417</v>
      </c>
      <c r="O103" s="67"/>
      <c r="P103" s="67"/>
      <c r="Q103" s="67"/>
      <c r="R103" s="48"/>
    </row>
    <row r="104" spans="1:18" s="59" customFormat="1">
      <c r="A104" s="172"/>
      <c r="B104" s="45" t="s">
        <v>187</v>
      </c>
      <c r="C104" s="145" t="s">
        <v>139</v>
      </c>
      <c r="D104" s="56">
        <v>0</v>
      </c>
      <c r="E104" s="69">
        <f>References!$B$9</f>
        <v>1</v>
      </c>
      <c r="F104" s="68">
        <f t="shared" si="38"/>
        <v>12</v>
      </c>
      <c r="G104" s="68">
        <f>References!B30</f>
        <v>473</v>
      </c>
      <c r="H104" s="99">
        <f t="shared" si="39"/>
        <v>5676</v>
      </c>
      <c r="I104" s="44">
        <f t="shared" si="36"/>
        <v>3640.5599876114079</v>
      </c>
      <c r="J104" s="67">
        <f>(References!$C$49*I104)</f>
        <v>5.4608399814171165</v>
      </c>
      <c r="K104" s="67">
        <f>J104/References!$G$52</f>
        <v>5.5871086366043752</v>
      </c>
      <c r="L104" s="67">
        <f t="shared" si="40"/>
        <v>0.46559238638369793</v>
      </c>
      <c r="M104" s="152">
        <v>42.56</v>
      </c>
      <c r="N104" s="146">
        <f t="shared" si="37"/>
        <v>43.0255923863837</v>
      </c>
      <c r="O104" s="67"/>
      <c r="P104" s="67"/>
      <c r="Q104" s="67"/>
      <c r="R104" s="48"/>
    </row>
    <row r="105" spans="1:18" s="59" customFormat="1">
      <c r="A105" s="172"/>
      <c r="B105" s="45" t="s">
        <v>186</v>
      </c>
      <c r="C105" s="98" t="s">
        <v>122</v>
      </c>
      <c r="D105" s="56">
        <v>0</v>
      </c>
      <c r="E105" s="69">
        <f>References!$B$9</f>
        <v>1</v>
      </c>
      <c r="F105" s="68">
        <f t="shared" si="38"/>
        <v>12</v>
      </c>
      <c r="G105" s="68">
        <f>References!B22</f>
        <v>68</v>
      </c>
      <c r="H105" s="68">
        <f t="shared" si="39"/>
        <v>816</v>
      </c>
      <c r="I105" s="44">
        <f t="shared" si="36"/>
        <v>523.37860287013893</v>
      </c>
      <c r="J105" s="67">
        <f>(References!$C$49*I105)</f>
        <v>0.78506790430520912</v>
      </c>
      <c r="K105" s="67">
        <f>J105/References!$G$52</f>
        <v>0.80322069194312362</v>
      </c>
      <c r="L105" s="67">
        <f t="shared" si="40"/>
        <v>6.6935057661926964E-2</v>
      </c>
      <c r="M105" s="152">
        <v>5.92</v>
      </c>
      <c r="N105" s="146">
        <f t="shared" si="37"/>
        <v>5.9869350576619267</v>
      </c>
      <c r="O105" s="67"/>
      <c r="P105" s="67"/>
      <c r="Q105" s="67"/>
      <c r="R105" s="48"/>
    </row>
    <row r="106" spans="1:18" s="59" customFormat="1">
      <c r="A106" s="172"/>
      <c r="B106" s="45" t="s">
        <v>186</v>
      </c>
      <c r="C106" s="98" t="s">
        <v>118</v>
      </c>
      <c r="D106" s="56">
        <v>0</v>
      </c>
      <c r="E106" s="69">
        <f>References!$B$9</f>
        <v>1</v>
      </c>
      <c r="F106" s="68">
        <f t="shared" si="38"/>
        <v>12</v>
      </c>
      <c r="G106" s="68">
        <f>References!B21</f>
        <v>47</v>
      </c>
      <c r="H106" s="99">
        <f t="shared" si="39"/>
        <v>564</v>
      </c>
      <c r="I106" s="44">
        <f t="shared" si="36"/>
        <v>361.74697551318428</v>
      </c>
      <c r="J106" s="67">
        <f>(References!$C$49*I106)</f>
        <v>0.54262046326977686</v>
      </c>
      <c r="K106" s="67">
        <f>J106/References!$G$52</f>
        <v>0.55516724296068842</v>
      </c>
      <c r="L106" s="67">
        <f t="shared" si="40"/>
        <v>4.6263936913390702E-2</v>
      </c>
      <c r="M106" s="152">
        <v>5.66</v>
      </c>
      <c r="N106" s="146">
        <f t="shared" si="37"/>
        <v>5.7062639369133912</v>
      </c>
      <c r="O106" s="67"/>
      <c r="P106" s="67"/>
      <c r="Q106" s="67"/>
      <c r="R106" s="48"/>
    </row>
    <row r="107" spans="1:18" s="59" customFormat="1">
      <c r="A107" s="172"/>
      <c r="B107" s="45" t="s">
        <v>185</v>
      </c>
      <c r="C107" s="98" t="s">
        <v>197</v>
      </c>
      <c r="D107" s="56">
        <v>0</v>
      </c>
      <c r="E107" s="69">
        <f>References!$B$9</f>
        <v>1</v>
      </c>
      <c r="F107" s="68">
        <f t="shared" si="38"/>
        <v>12</v>
      </c>
      <c r="G107" s="68">
        <f>References!B21</f>
        <v>47</v>
      </c>
      <c r="H107" s="99">
        <f t="shared" si="39"/>
        <v>564</v>
      </c>
      <c r="I107" s="44">
        <f t="shared" si="36"/>
        <v>361.74697551318428</v>
      </c>
      <c r="J107" s="67">
        <f>(References!$C$49*I107)</f>
        <v>0.54262046326977686</v>
      </c>
      <c r="K107" s="67">
        <f>J107/References!$G$52</f>
        <v>0.55516724296068842</v>
      </c>
      <c r="L107" s="67">
        <f t="shared" si="40"/>
        <v>4.6263936913390702E-2</v>
      </c>
      <c r="M107" s="152">
        <v>4.08</v>
      </c>
      <c r="N107" s="146">
        <f t="shared" si="37"/>
        <v>4.1262639369133911</v>
      </c>
      <c r="O107" s="67"/>
      <c r="P107" s="67"/>
      <c r="Q107" s="67"/>
      <c r="R107" s="48"/>
    </row>
    <row r="108" spans="1:18" s="59" customFormat="1">
      <c r="A108" s="172"/>
      <c r="B108" s="45" t="s">
        <v>185</v>
      </c>
      <c r="C108" s="145" t="s">
        <v>104</v>
      </c>
      <c r="D108" s="56">
        <v>0</v>
      </c>
      <c r="E108" s="69">
        <f>References!$B$9</f>
        <v>1</v>
      </c>
      <c r="F108" s="68">
        <f>E108*12</f>
        <v>12</v>
      </c>
      <c r="G108" s="68">
        <f>References!B31</f>
        <v>613</v>
      </c>
      <c r="H108" s="99">
        <f>F108*G108</f>
        <v>7356</v>
      </c>
      <c r="I108" s="44">
        <f t="shared" si="36"/>
        <v>4718.1041699911057</v>
      </c>
      <c r="J108" s="67">
        <f>(References!$C$49*I108)</f>
        <v>7.0771562549866651</v>
      </c>
      <c r="K108" s="67">
        <f>J108/References!$G$52</f>
        <v>7.2407982964872772</v>
      </c>
      <c r="L108" s="67">
        <f>K108/F108</f>
        <v>0.60339985804060647</v>
      </c>
      <c r="M108" s="152">
        <v>48.43</v>
      </c>
      <c r="N108" s="146">
        <f>L108+M108</f>
        <v>49.033399858040603</v>
      </c>
      <c r="O108" s="67"/>
      <c r="P108" s="67"/>
      <c r="Q108" s="67"/>
      <c r="R108" s="48"/>
    </row>
    <row r="109" spans="1:18" s="59" customFormat="1">
      <c r="A109" s="172"/>
      <c r="B109" s="45" t="s">
        <v>185</v>
      </c>
      <c r="C109" s="145" t="s">
        <v>105</v>
      </c>
      <c r="D109" s="56">
        <v>0</v>
      </c>
      <c r="E109" s="69">
        <f>References!$B$9</f>
        <v>1</v>
      </c>
      <c r="F109" s="68">
        <f>E109*12</f>
        <v>12</v>
      </c>
      <c r="G109" s="68">
        <f>References!B32</f>
        <v>840</v>
      </c>
      <c r="H109" s="68">
        <f>F109*G109</f>
        <v>10080</v>
      </c>
      <c r="I109" s="44">
        <f t="shared" si="36"/>
        <v>6465.2650942781875</v>
      </c>
      <c r="J109" s="67">
        <f>(References!$C$49*I109)</f>
        <v>9.6978976414172902</v>
      </c>
      <c r="K109" s="67">
        <f>J109/References!$G$52</f>
        <v>9.9221379592974106</v>
      </c>
      <c r="L109" s="67">
        <f>K109/F109</f>
        <v>0.82684482994145092</v>
      </c>
      <c r="M109" s="152">
        <v>66.69</v>
      </c>
      <c r="N109" s="146">
        <f>L109+M109</f>
        <v>67.516844829941448</v>
      </c>
      <c r="O109" s="67"/>
      <c r="P109" s="67"/>
      <c r="Q109" s="67"/>
      <c r="R109" s="48"/>
    </row>
    <row r="110" spans="1:18" s="59" customFormat="1">
      <c r="A110" s="172"/>
      <c r="B110" s="45" t="s">
        <v>185</v>
      </c>
      <c r="C110" s="145" t="s">
        <v>106</v>
      </c>
      <c r="D110" s="56">
        <v>0</v>
      </c>
      <c r="E110" s="69">
        <f>References!$B$9</f>
        <v>1</v>
      </c>
      <c r="F110" s="68">
        <f>E110*12</f>
        <v>12</v>
      </c>
      <c r="G110" s="68">
        <f>References!B33</f>
        <v>980</v>
      </c>
      <c r="H110" s="99">
        <f>F110*G110</f>
        <v>11760</v>
      </c>
      <c r="I110" s="44">
        <f t="shared" si="36"/>
        <v>7542.8092766578857</v>
      </c>
      <c r="J110" s="67">
        <f>(References!$C$49*I110)</f>
        <v>11.314213914986839</v>
      </c>
      <c r="K110" s="67">
        <f>J110/References!$G$52</f>
        <v>11.575827619180313</v>
      </c>
      <c r="L110" s="67">
        <f>K110/F110</f>
        <v>0.96465230159835935</v>
      </c>
      <c r="M110" s="152">
        <v>83.59</v>
      </c>
      <c r="N110" s="146">
        <f>L110+M110</f>
        <v>84.554652301598367</v>
      </c>
      <c r="O110" s="67"/>
      <c r="P110" s="67"/>
      <c r="Q110" s="67"/>
      <c r="R110" s="48"/>
    </row>
    <row r="111" spans="1:18" s="59" customFormat="1">
      <c r="A111" s="172"/>
      <c r="B111" s="45" t="s">
        <v>185</v>
      </c>
      <c r="C111" s="145" t="s">
        <v>107</v>
      </c>
      <c r="D111" s="56">
        <v>0</v>
      </c>
      <c r="E111" s="69">
        <f>References!$B$9</f>
        <v>1</v>
      </c>
      <c r="F111" s="68">
        <f>E111*12</f>
        <v>12</v>
      </c>
      <c r="G111" s="68">
        <v>1312.5</v>
      </c>
      <c r="H111" s="99">
        <f>F111*G111</f>
        <v>15750</v>
      </c>
      <c r="I111" s="44">
        <f t="shared" si="36"/>
        <v>10101.976709809667</v>
      </c>
      <c r="J111" s="67">
        <f>(References!$C$49*I111)</f>
        <v>15.152965064714515</v>
      </c>
      <c r="K111" s="67">
        <f>J111/References!$G$52</f>
        <v>15.503340561402204</v>
      </c>
      <c r="L111" s="67">
        <f>K111/F111</f>
        <v>1.291945046783517</v>
      </c>
      <c r="M111" s="152">
        <v>100.23</v>
      </c>
      <c r="N111" s="146">
        <f>L111+M111</f>
        <v>101.52194504678351</v>
      </c>
      <c r="O111" s="67"/>
      <c r="P111" s="67"/>
      <c r="Q111" s="67"/>
      <c r="R111" s="48"/>
    </row>
    <row r="112" spans="1:18" s="59" customFormat="1">
      <c r="A112" s="118"/>
      <c r="B112" s="119"/>
      <c r="C112" s="147"/>
      <c r="D112" s="120"/>
      <c r="E112" s="121"/>
      <c r="F112" s="122"/>
      <c r="G112" s="122"/>
      <c r="H112" s="148"/>
      <c r="I112" s="123"/>
      <c r="J112" s="124"/>
      <c r="K112" s="124"/>
      <c r="L112" s="124"/>
      <c r="M112" s="153"/>
      <c r="N112" s="149"/>
      <c r="O112" s="67"/>
      <c r="P112" s="67"/>
      <c r="Q112" s="67"/>
      <c r="R112" s="48"/>
    </row>
    <row r="113" spans="1:18" s="59" customFormat="1">
      <c r="A113" s="126"/>
      <c r="B113" s="45"/>
      <c r="C113" s="117"/>
      <c r="D113" s="56"/>
      <c r="E113" s="69"/>
      <c r="F113" s="68"/>
      <c r="G113" s="68"/>
      <c r="H113" s="99"/>
      <c r="I113" s="44"/>
      <c r="J113" s="67"/>
      <c r="K113" s="67"/>
      <c r="L113" s="67"/>
      <c r="M113" s="67"/>
      <c r="N113" s="67"/>
      <c r="P113" s="67"/>
      <c r="Q113" s="67"/>
      <c r="R113" s="48"/>
    </row>
    <row r="114" spans="1:18" s="59" customFormat="1">
      <c r="A114" s="126"/>
      <c r="B114" s="45"/>
      <c r="C114" s="117"/>
      <c r="D114" s="56"/>
      <c r="E114" s="69"/>
      <c r="F114" s="68"/>
      <c r="G114" s="68"/>
      <c r="H114" s="99"/>
      <c r="I114" s="44"/>
      <c r="J114" s="67"/>
      <c r="K114" s="67"/>
      <c r="L114" s="67"/>
      <c r="M114" s="67"/>
      <c r="N114" s="67"/>
      <c r="P114" s="67"/>
      <c r="Q114" s="67"/>
      <c r="R114" s="48"/>
    </row>
    <row r="115" spans="1:18" s="59" customFormat="1">
      <c r="A115" s="126"/>
      <c r="B115" s="45"/>
      <c r="C115" s="117"/>
      <c r="D115" s="56"/>
      <c r="E115" s="69"/>
      <c r="F115" s="68"/>
      <c r="G115" s="68"/>
      <c r="H115" s="99"/>
      <c r="I115" s="44"/>
      <c r="J115" s="67"/>
      <c r="K115" s="67"/>
      <c r="L115" s="67"/>
      <c r="M115" s="67"/>
      <c r="N115" s="67"/>
      <c r="O115" s="67"/>
      <c r="P115" s="67"/>
      <c r="Q115" s="67"/>
      <c r="R115" s="48"/>
    </row>
    <row r="116" spans="1:18">
      <c r="A116" s="62"/>
      <c r="C116" s="65"/>
      <c r="P116" s="60"/>
      <c r="R116" s="59"/>
    </row>
    <row r="117" spans="1:18">
      <c r="A117" s="62"/>
      <c r="C117" s="173" t="s">
        <v>86</v>
      </c>
      <c r="D117" s="173"/>
      <c r="E117" s="85"/>
      <c r="F117" s="85"/>
      <c r="R117" s="59"/>
    </row>
    <row r="118" spans="1:18">
      <c r="A118" s="62"/>
      <c r="D118" s="54" t="s">
        <v>16</v>
      </c>
      <c r="E118" s="36"/>
      <c r="F118" s="36"/>
      <c r="J118" s="39"/>
      <c r="O118" s="58"/>
      <c r="R118" s="59"/>
    </row>
    <row r="119" spans="1:18">
      <c r="A119" s="62"/>
      <c r="C119" s="57" t="s">
        <v>32</v>
      </c>
      <c r="D119" s="66">
        <v>6618.43</v>
      </c>
      <c r="E119" s="56"/>
      <c r="F119" s="56"/>
      <c r="G119" s="43"/>
      <c r="J119" s="39"/>
      <c r="O119" s="58"/>
      <c r="R119" s="59"/>
    </row>
    <row r="120" spans="1:18">
      <c r="A120" s="62"/>
      <c r="C120" s="57" t="s">
        <v>33</v>
      </c>
      <c r="D120" s="35">
        <f>D119*2000</f>
        <v>13236860</v>
      </c>
      <c r="E120" s="35"/>
      <c r="F120" s="35"/>
      <c r="G120" s="35"/>
      <c r="H120" s="104"/>
      <c r="J120" s="39"/>
      <c r="R120" s="59"/>
    </row>
    <row r="121" spans="1:18">
      <c r="A121" s="62"/>
      <c r="C121" s="57" t="s">
        <v>4</v>
      </c>
      <c r="D121" s="35">
        <f>F15+F75</f>
        <v>262911.03000000003</v>
      </c>
      <c r="E121" s="56"/>
      <c r="F121" s="56"/>
      <c r="G121" s="56"/>
      <c r="H121" s="105"/>
      <c r="J121" s="39"/>
      <c r="O121" s="58"/>
      <c r="P121" s="30"/>
      <c r="R121" s="59"/>
    </row>
    <row r="122" spans="1:18">
      <c r="C122" s="40" t="s">
        <v>11</v>
      </c>
      <c r="D122" s="34">
        <f>D120/$H$76</f>
        <v>0.64139534665458209</v>
      </c>
      <c r="E122" s="34"/>
      <c r="F122" s="34"/>
      <c r="G122" s="34"/>
      <c r="H122" s="30"/>
      <c r="J122" s="39"/>
      <c r="M122" s="38"/>
      <c r="N122" s="38"/>
      <c r="O122" s="37"/>
      <c r="R122" s="59"/>
    </row>
    <row r="123" spans="1:18">
      <c r="G123" s="42"/>
      <c r="H123" s="31"/>
      <c r="J123" s="39"/>
      <c r="M123" s="41"/>
      <c r="N123" s="29"/>
      <c r="O123" s="60"/>
      <c r="R123" s="59"/>
    </row>
    <row r="124" spans="1:18">
      <c r="D124" s="33"/>
      <c r="E124" s="32"/>
      <c r="G124" s="42"/>
      <c r="H124" s="31"/>
      <c r="J124" s="39"/>
      <c r="M124" s="41"/>
      <c r="N124" s="160"/>
      <c r="O124" s="60"/>
      <c r="R124" s="59"/>
    </row>
    <row r="125" spans="1:18">
      <c r="D125" s="33"/>
      <c r="E125" s="32"/>
      <c r="G125" s="42"/>
      <c r="H125" s="31"/>
      <c r="J125" s="39"/>
      <c r="M125" s="41"/>
      <c r="N125" s="29"/>
      <c r="O125" s="60"/>
      <c r="R125" s="59"/>
    </row>
    <row r="126" spans="1:18">
      <c r="D126" s="57"/>
      <c r="I126" s="57"/>
      <c r="R126" s="59"/>
    </row>
    <row r="127" spans="1:18">
      <c r="D127" s="57"/>
      <c r="E127" s="39"/>
      <c r="I127" s="57"/>
      <c r="R127" s="59"/>
    </row>
    <row r="128" spans="1:18">
      <c r="D128" s="57"/>
      <c r="I128" s="57"/>
      <c r="R128" s="59"/>
    </row>
    <row r="129" spans="4:9">
      <c r="D129" s="57"/>
      <c r="I129" s="57"/>
    </row>
    <row r="130" spans="4:9">
      <c r="D130" s="57"/>
    </row>
    <row r="139" spans="4:9">
      <c r="I139" s="31"/>
    </row>
    <row r="141" spans="4:9">
      <c r="I141" s="157"/>
    </row>
    <row r="144" spans="4:9">
      <c r="G144" s="158"/>
    </row>
    <row r="148" spans="7:7">
      <c r="G148" s="159"/>
    </row>
  </sheetData>
  <autoFilter ref="A4:Q115" xr:uid="{00000000-0009-0000-0000-000001000000}"/>
  <mergeCells count="5">
    <mergeCell ref="A5:A14"/>
    <mergeCell ref="C117:D117"/>
    <mergeCell ref="A80:A90"/>
    <mergeCell ref="A16:A74"/>
    <mergeCell ref="A96:A111"/>
  </mergeCells>
  <phoneticPr fontId="0" type="noConversion"/>
  <pageMargins left="0.2" right="0.22" top="0.63" bottom="0.34" header="0.19" footer="0.17"/>
  <pageSetup paperSize="3" scale="61" fitToHeight="0" orientation="landscape" horizontalDpi="4294967293" r:id="rId1"/>
  <headerFooter>
    <oddHeader>&amp;C&amp;"-,Bold"&amp;12Basin Disposal of Walla Walla&amp;"-,Regular"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2022-12-08T08:00:00+00:00</OpenedDate>
    <SignificantOrder xmlns="dc463f71-b30c-4ab2-9473-d307f9d35888">false</SignificantOrder>
    <Date1 xmlns="dc463f71-b30c-4ab2-9473-d307f9d35888">2022-12-08T08:00:00+00:00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   </CaseCompanyNames>
    <Nickname xmlns="http://schemas.microsoft.com/sharepoint/v3" xsi:nil="true"/>
    <DocketNumber xmlns="dc463f71-b30c-4ab2-9473-d307f9d35888">220913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0DB1ECAA1AA34FBB87E7069B996571" ma:contentTypeVersion="28" ma:contentTypeDescription="" ma:contentTypeScope="" ma:versionID="0fc65059e9d14ed0a5fa825d2ce790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http://schemas.openxmlformats.org/package/2006/metadata/core-properties"/>
    <ds:schemaRef ds:uri="http://purl.org/dc/dcmitype/"/>
    <ds:schemaRef ds:uri="http://purl.org/dc/terms/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  <ds:schemaRef ds:uri="7a94ced8-ded3-4532-8ef9-e1b8815bc4a2"/>
    <ds:schemaRef ds:uri="2b02f8af-9ba6-47d7-a7c8-b9c1de8868f8"/>
  </ds:schemaRefs>
</ds:datastoreItem>
</file>

<file path=customXml/itemProps2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CE5CBE-252B-4E8B-AC7B-8CF5532E2C62}"/>
</file>

<file path=customXml/itemProps4.xml><?xml version="1.0" encoding="utf-8"?>
<ds:datastoreItem xmlns:ds="http://schemas.openxmlformats.org/officeDocument/2006/customXml" ds:itemID="{6A95FF49-FDB6-4A9B-899F-3B77085F6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References</vt:lpstr>
      <vt:lpstr>Disposal Increase Calculations</vt:lpstr>
      <vt:lpstr>SourceNotes</vt:lpstr>
      <vt:lpstr>'Disposal Increase Calculations'!Print_Area</vt:lpstr>
      <vt:lpstr>'Disposal Increase Calculations'!Print_Titles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Francisco Alcala</cp:lastModifiedBy>
  <cp:lastPrinted>2019-10-21T23:29:31Z</cp:lastPrinted>
  <dcterms:created xsi:type="dcterms:W3CDTF">2013-10-29T22:33:54Z</dcterms:created>
  <dcterms:modified xsi:type="dcterms:W3CDTF">2022-12-08T23:34:31Z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0x0101006E56B4D1795A2E4DB2F0B01679ED314A00460DB1ECAA1AA34FBB87E7069B996571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  <property fmtid="{D5CDD505-2E9C-101B-9397-08002B2CF9AE}" pid="5" name="IsEFSEC">
    <vt:bool>false</vt:bool>
  </property>
</Properties>
</file>