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8.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2000 Western Region Office\WUTC\WUTC-LeMay\Commodity Credit\2183 Pacific\Commodity Price Adjust 1-1-2023\"/>
    </mc:Choice>
  </mc:AlternateContent>
  <bookViews>
    <workbookView xWindow="-28920" yWindow="-120" windowWidth="29040" windowHeight="15840"/>
  </bookViews>
  <sheets>
    <sheet name="Pacific CPA 1.1.23" sheetId="8" r:id="rId1"/>
    <sheet name="Pacific CPA 1.1.22" sheetId="7" r:id="rId2"/>
    <sheet name="Pacific CPA 1.1.21" sheetId="6" r:id="rId3"/>
    <sheet name="Pacific CPA Eff. 1.1.20" sheetId="4" r:id="rId4"/>
    <sheet name="Pacific CPA Eff. 7.1.19" sheetId="1" r:id="rId5"/>
    <sheet name="Pacific CPA Eff. 1.1.19" sheetId="5" r:id="rId6"/>
    <sheet name="Pacific CPA 7.1.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BREMAIR_COST_of_SERVICE_STUDY" localSheetId="1">#REF!</definedName>
    <definedName name="BREMAIR_COST_of_SERVICE_STUDY" localSheetId="0">#REF!</definedName>
    <definedName name="BREMAIR_COST_of_SERVICE_STUDY" localSheetId="6">#REF!</definedName>
    <definedName name="BREMAIR_COST_of_SERVICE_STUDY" localSheetId="5">#REF!</definedName>
    <definedName name="BREMAIR_COST_of_SERVICE_STUDY" localSheetId="3">#REF!</definedName>
    <definedName name="BREMAIR_COST_of_SERVICE_STUDY">#REF!</definedName>
    <definedName name="_xlnm.Print_Area" localSheetId="2">'Pacific CPA 1.1.21'!$A$1:$O$78</definedName>
    <definedName name="_xlnm.Print_Area" localSheetId="1">'Pacific CPA 1.1.22'!$A$1:$O$78</definedName>
    <definedName name="_xlnm.Print_Area" localSheetId="0">'Pacific CPA 1.1.23'!$A$1:$O$78</definedName>
    <definedName name="_xlnm.Print_Area" localSheetId="6">'Pacific CPA 7.1.18'!$A$1:$O$82</definedName>
    <definedName name="_xlnm.Print_Area" localSheetId="5">'Pacific CPA Eff. 1.1.19'!$A$1:$I$84</definedName>
    <definedName name="_xlnm.Print_Area" localSheetId="3">'Pacific CPA Eff. 1.1.20'!$A$1:$I$81</definedName>
    <definedName name="_xlnm.Print_Area" localSheetId="4">'Pacific CPA Eff. 7.1.19'!$A$1:$I$83</definedName>
    <definedName name="_xlnm.Print_Titles" localSheetId="2">'Pacific CPA 1.1.21'!$1:$4</definedName>
    <definedName name="_xlnm.Print_Titles" localSheetId="1">'Pacific CPA 1.1.22'!$1:$4</definedName>
    <definedName name="_xlnm.Print_Titles" localSheetId="0">'Pacific CPA 1.1.23'!$1:$4</definedName>
    <definedName name="_xlnm.Print_Titles" localSheetId="6">'Pacific CPA 7.1.18'!$1:$4</definedName>
    <definedName name="_xlnm.Print_Titles" localSheetId="5">'Pacific CPA Eff. 1.1.19'!$1:$4</definedName>
    <definedName name="_xlnm.Print_Titles" localSheetId="3">'Pacific CPA Eff. 1.1.20'!$1:$4</definedName>
    <definedName name="_xlnm.Print_Titles" localSheetId="4">'Pacific CPA Eff. 7.1.19'!$1:$4</definedName>
    <definedName name="Print1" localSheetId="2">#REF!</definedName>
    <definedName name="Print1" localSheetId="1">#REF!</definedName>
    <definedName name="Print1" localSheetId="0">#REF!</definedName>
    <definedName name="Print1" localSheetId="5">#REF!</definedName>
    <definedName name="Print1" localSheetId="3">#REF!</definedName>
    <definedName name="Print1">#REF!</definedName>
    <definedName name="Print2" localSheetId="2">#REF!</definedName>
    <definedName name="Print2" localSheetId="1">#REF!</definedName>
    <definedName name="Print2" localSheetId="0">#REF!</definedName>
    <definedName name="Print2" localSheetId="5">#REF!</definedName>
    <definedName name="Print2" localSheetId="3">#REF!</definedName>
    <definedName name="Print2">#REF!</definedName>
  </definedNames>
  <calcPr calcId="162913" iterate="1" iterateCount="2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 i="8" l="1"/>
  <c r="N36" i="8"/>
  <c r="M67" i="8" l="1"/>
  <c r="L67" i="8"/>
  <c r="K67" i="8"/>
  <c r="J67" i="8"/>
  <c r="I67" i="8"/>
  <c r="H67" i="8"/>
  <c r="H68" i="8" s="1"/>
  <c r="G67" i="8"/>
  <c r="G68" i="8" s="1"/>
  <c r="F67" i="8"/>
  <c r="F68" i="8" s="1"/>
  <c r="E67" i="8"/>
  <c r="D67" i="8"/>
  <c r="C67" i="8"/>
  <c r="B67" i="8"/>
  <c r="M63" i="8"/>
  <c r="M68" i="8" s="1"/>
  <c r="L63" i="8"/>
  <c r="L68" i="8" s="1"/>
  <c r="K63" i="8"/>
  <c r="K68" i="8" s="1"/>
  <c r="J63" i="8"/>
  <c r="I63" i="8"/>
  <c r="H63" i="8"/>
  <c r="G63" i="8"/>
  <c r="F63" i="8"/>
  <c r="E63" i="8"/>
  <c r="D63" i="8"/>
  <c r="C63" i="8"/>
  <c r="B63" i="8"/>
  <c r="C47" i="8"/>
  <c r="D47" i="8"/>
  <c r="E47" i="8"/>
  <c r="F47" i="8"/>
  <c r="G47" i="8"/>
  <c r="H47" i="8"/>
  <c r="I47" i="8"/>
  <c r="J47" i="8"/>
  <c r="K47" i="8"/>
  <c r="L47" i="8"/>
  <c r="M47" i="8"/>
  <c r="C48" i="8"/>
  <c r="D48" i="8"/>
  <c r="E48" i="8"/>
  <c r="F48" i="8"/>
  <c r="G48" i="8"/>
  <c r="H48" i="8"/>
  <c r="I48" i="8"/>
  <c r="J48" i="8"/>
  <c r="K48" i="8"/>
  <c r="L48" i="8"/>
  <c r="M48" i="8"/>
  <c r="B48" i="8"/>
  <c r="B47" i="8"/>
  <c r="E68" i="8"/>
  <c r="D68" i="8"/>
  <c r="C68" i="8"/>
  <c r="M27" i="8"/>
  <c r="L27" i="8"/>
  <c r="K27" i="8"/>
  <c r="J27" i="8"/>
  <c r="I27" i="8"/>
  <c r="H27" i="8"/>
  <c r="G27" i="8"/>
  <c r="F27" i="8"/>
  <c r="E27" i="8"/>
  <c r="D27" i="8"/>
  <c r="C27" i="8"/>
  <c r="B27" i="8"/>
  <c r="M18" i="8"/>
  <c r="L18" i="8"/>
  <c r="K18" i="8"/>
  <c r="J18" i="8"/>
  <c r="I18" i="8"/>
  <c r="H18" i="8"/>
  <c r="G18" i="8"/>
  <c r="F18" i="8"/>
  <c r="E18" i="8"/>
  <c r="D18" i="8"/>
  <c r="C18" i="8"/>
  <c r="M17" i="8"/>
  <c r="L17" i="8"/>
  <c r="K17" i="8"/>
  <c r="J17" i="8"/>
  <c r="I17" i="8"/>
  <c r="H17" i="8"/>
  <c r="G17" i="8"/>
  <c r="F17" i="8"/>
  <c r="E17" i="8"/>
  <c r="D17" i="8"/>
  <c r="C17" i="8"/>
  <c r="B18" i="8"/>
  <c r="B17" i="8"/>
  <c r="M12" i="8"/>
  <c r="L12" i="8"/>
  <c r="K12" i="8"/>
  <c r="J12" i="8"/>
  <c r="I12" i="8"/>
  <c r="H12" i="8"/>
  <c r="G12" i="8"/>
  <c r="F12" i="8"/>
  <c r="E12" i="8"/>
  <c r="D12" i="8"/>
  <c r="C12" i="8"/>
  <c r="M11" i="8"/>
  <c r="L11" i="8"/>
  <c r="K11" i="8"/>
  <c r="J11" i="8"/>
  <c r="I11" i="8"/>
  <c r="H11" i="8"/>
  <c r="G11" i="8"/>
  <c r="F11" i="8"/>
  <c r="E11" i="8"/>
  <c r="D11" i="8"/>
  <c r="C11" i="8"/>
  <c r="B12" i="8"/>
  <c r="B11" i="8"/>
  <c r="I68" i="8" l="1"/>
  <c r="B68" i="8"/>
  <c r="J68" i="8"/>
  <c r="B45" i="8"/>
  <c r="C45" i="8" s="1"/>
  <c r="D45" i="8" s="1"/>
  <c r="E45" i="8" s="1"/>
  <c r="F45" i="8" s="1"/>
  <c r="G45" i="8" s="1"/>
  <c r="H45" i="8" s="1"/>
  <c r="I45" i="8" s="1"/>
  <c r="J45" i="8" s="1"/>
  <c r="K45" i="8" s="1"/>
  <c r="L45" i="8" s="1"/>
  <c r="M45" i="8" s="1"/>
  <c r="M54" i="8"/>
  <c r="I54" i="8"/>
  <c r="H54" i="8"/>
  <c r="G54" i="8"/>
  <c r="F54" i="8"/>
  <c r="E54" i="8"/>
  <c r="B54" i="8"/>
  <c r="M53" i="8"/>
  <c r="L53" i="8"/>
  <c r="K53" i="8"/>
  <c r="J53" i="8"/>
  <c r="I53" i="8"/>
  <c r="H53" i="8"/>
  <c r="G53" i="8"/>
  <c r="F53" i="8"/>
  <c r="E53" i="8"/>
  <c r="D53" i="8"/>
  <c r="C53" i="8"/>
  <c r="B53" i="8"/>
  <c r="B21" i="8"/>
  <c r="C6" i="8"/>
  <c r="D6" i="8" s="1"/>
  <c r="E6" i="8" s="1"/>
  <c r="F6" i="8" s="1"/>
  <c r="G6" i="8" s="1"/>
  <c r="H6" i="8" s="1"/>
  <c r="I6" i="8" s="1"/>
  <c r="J6" i="8" s="1"/>
  <c r="K6" i="8" s="1"/>
  <c r="L6" i="8" s="1"/>
  <c r="M6" i="8" s="1"/>
  <c r="B50" i="8" l="1"/>
  <c r="J50" i="8"/>
  <c r="C57" i="8"/>
  <c r="K57" i="8"/>
  <c r="G58" i="8"/>
  <c r="H14" i="8"/>
  <c r="I14" i="8"/>
  <c r="J14" i="8"/>
  <c r="D22" i="8"/>
  <c r="L22" i="8"/>
  <c r="H58" i="8"/>
  <c r="C14" i="8"/>
  <c r="K14" i="8"/>
  <c r="E50" i="8"/>
  <c r="I58" i="8"/>
  <c r="D14" i="8"/>
  <c r="L14" i="8"/>
  <c r="E14" i="8"/>
  <c r="M14" i="8"/>
  <c r="F50" i="8"/>
  <c r="B22" i="8"/>
  <c r="B24" i="8" s="1"/>
  <c r="B30" i="8" s="1"/>
  <c r="J22" i="8"/>
  <c r="D57" i="8"/>
  <c r="L57" i="8"/>
  <c r="C50" i="8"/>
  <c r="N27" i="8"/>
  <c r="P27" i="8" s="1"/>
  <c r="M57" i="8"/>
  <c r="K50" i="8"/>
  <c r="N48" i="8"/>
  <c r="J54" i="8"/>
  <c r="J58" i="8" s="1"/>
  <c r="F14" i="8"/>
  <c r="H22" i="8"/>
  <c r="G50" i="8"/>
  <c r="G14" i="8"/>
  <c r="I22" i="8"/>
  <c r="H50" i="8"/>
  <c r="H21" i="8"/>
  <c r="I50" i="8"/>
  <c r="N63" i="8"/>
  <c r="P63" i="8" s="1"/>
  <c r="I21" i="8"/>
  <c r="E22" i="8"/>
  <c r="M22" i="8"/>
  <c r="C22" i="8"/>
  <c r="K22" i="8"/>
  <c r="E58" i="8"/>
  <c r="M58" i="8"/>
  <c r="B57" i="8"/>
  <c r="J57" i="8"/>
  <c r="F58" i="8"/>
  <c r="J21" i="8"/>
  <c r="K21" i="8"/>
  <c r="E57" i="8"/>
  <c r="B14" i="8"/>
  <c r="D21" i="8"/>
  <c r="L21" i="8"/>
  <c r="G22" i="8"/>
  <c r="N47" i="8"/>
  <c r="D50" i="8"/>
  <c r="L50" i="8"/>
  <c r="F57" i="8"/>
  <c r="N12" i="8"/>
  <c r="C21" i="8"/>
  <c r="E21" i="8"/>
  <c r="M21" i="8"/>
  <c r="M50" i="8"/>
  <c r="C54" i="8"/>
  <c r="C58" i="8" s="1"/>
  <c r="K54" i="8"/>
  <c r="K58" i="8" s="1"/>
  <c r="G57" i="8"/>
  <c r="B58" i="8"/>
  <c r="N11" i="8"/>
  <c r="F21" i="8"/>
  <c r="D54" i="8"/>
  <c r="D58" i="8" s="1"/>
  <c r="L54" i="8"/>
  <c r="L58" i="8" s="1"/>
  <c r="H57" i="8"/>
  <c r="G21" i="8"/>
  <c r="I57" i="8"/>
  <c r="F22" i="8"/>
  <c r="C63" i="7"/>
  <c r="D63" i="7"/>
  <c r="E63" i="7"/>
  <c r="F63" i="7"/>
  <c r="G63" i="7"/>
  <c r="H63" i="7"/>
  <c r="I63" i="7"/>
  <c r="J63" i="7"/>
  <c r="K63" i="7"/>
  <c r="L63" i="7"/>
  <c r="M63" i="7"/>
  <c r="B63" i="7"/>
  <c r="B48" i="7"/>
  <c r="C48" i="7"/>
  <c r="D48" i="7"/>
  <c r="E48" i="7"/>
  <c r="F48" i="7"/>
  <c r="G48" i="7"/>
  <c r="H48" i="7"/>
  <c r="I48" i="7"/>
  <c r="J48" i="7"/>
  <c r="K48" i="7"/>
  <c r="L48" i="7"/>
  <c r="M48" i="7"/>
  <c r="C47" i="7"/>
  <c r="D47" i="7"/>
  <c r="E47" i="7"/>
  <c r="F47" i="7"/>
  <c r="G47" i="7"/>
  <c r="H47" i="7"/>
  <c r="I47" i="7"/>
  <c r="J47" i="7"/>
  <c r="K47" i="7"/>
  <c r="L47" i="7"/>
  <c r="M47" i="7"/>
  <c r="B47" i="7"/>
  <c r="M27" i="7"/>
  <c r="C27" i="7"/>
  <c r="D27" i="7"/>
  <c r="E27" i="7"/>
  <c r="F27" i="7"/>
  <c r="G27" i="7"/>
  <c r="H27" i="7"/>
  <c r="I27" i="7"/>
  <c r="J27" i="7"/>
  <c r="K27" i="7"/>
  <c r="L27" i="7"/>
  <c r="B27" i="7"/>
  <c r="M18" i="7"/>
  <c r="M17" i="7"/>
  <c r="M53" i="7" s="1"/>
  <c r="C17" i="7"/>
  <c r="C53" i="7" s="1"/>
  <c r="D17" i="7"/>
  <c r="D53" i="7" s="1"/>
  <c r="E17" i="7"/>
  <c r="E53" i="7" s="1"/>
  <c r="F17" i="7"/>
  <c r="F53" i="7" s="1"/>
  <c r="G17" i="7"/>
  <c r="G53" i="7" s="1"/>
  <c r="H17" i="7"/>
  <c r="H53" i="7" s="1"/>
  <c r="I17" i="7"/>
  <c r="I53" i="7" s="1"/>
  <c r="J17" i="7"/>
  <c r="J53" i="7" s="1"/>
  <c r="K17" i="7"/>
  <c r="K53" i="7" s="1"/>
  <c r="L17" i="7"/>
  <c r="L53" i="7" s="1"/>
  <c r="C18" i="7"/>
  <c r="D18" i="7"/>
  <c r="E18" i="7"/>
  <c r="F18" i="7"/>
  <c r="G18" i="7"/>
  <c r="H18" i="7"/>
  <c r="I18" i="7"/>
  <c r="J18" i="7"/>
  <c r="K18" i="7"/>
  <c r="L18" i="7"/>
  <c r="B18" i="7"/>
  <c r="B17" i="7"/>
  <c r="C11" i="7"/>
  <c r="D11" i="7"/>
  <c r="E11" i="7"/>
  <c r="F11" i="7"/>
  <c r="G11" i="7"/>
  <c r="H11" i="7"/>
  <c r="I11" i="7"/>
  <c r="J11" i="7"/>
  <c r="K11" i="7"/>
  <c r="L11" i="7"/>
  <c r="M11" i="7"/>
  <c r="C12" i="7"/>
  <c r="D12" i="7"/>
  <c r="E12" i="7"/>
  <c r="F12" i="7"/>
  <c r="G12" i="7"/>
  <c r="H12" i="7"/>
  <c r="I12" i="7"/>
  <c r="J12" i="7"/>
  <c r="K12" i="7"/>
  <c r="L12" i="7"/>
  <c r="M12" i="7"/>
  <c r="B12" i="7"/>
  <c r="B11" i="7"/>
  <c r="I60" i="8" l="1"/>
  <c r="E60" i="8"/>
  <c r="G24" i="8"/>
  <c r="G30" i="8" s="1"/>
  <c r="N50" i="8"/>
  <c r="P50" i="8" s="1"/>
  <c r="C60" i="8"/>
  <c r="K60" i="8"/>
  <c r="J24" i="8"/>
  <c r="J30" i="8" s="1"/>
  <c r="L24" i="8"/>
  <c r="L30" i="8" s="1"/>
  <c r="G60" i="8"/>
  <c r="H60" i="8"/>
  <c r="D24" i="8"/>
  <c r="D30" i="8" s="1"/>
  <c r="D60" i="8"/>
  <c r="H24" i="8"/>
  <c r="H30" i="8" s="1"/>
  <c r="M60" i="8"/>
  <c r="I24" i="8"/>
  <c r="I30" i="8" s="1"/>
  <c r="F60" i="8"/>
  <c r="K24" i="8"/>
  <c r="K30" i="8" s="1"/>
  <c r="K22" i="7"/>
  <c r="C22" i="7"/>
  <c r="L60" i="8"/>
  <c r="C24" i="8"/>
  <c r="C30" i="8" s="1"/>
  <c r="N22" i="8"/>
  <c r="M24" i="8"/>
  <c r="M30" i="8" s="1"/>
  <c r="J60" i="8"/>
  <c r="E24" i="8"/>
  <c r="E30" i="8" s="1"/>
  <c r="F24" i="8"/>
  <c r="F30" i="8" s="1"/>
  <c r="N14" i="8"/>
  <c r="P14" i="8" s="1"/>
  <c r="N21" i="8"/>
  <c r="N58" i="8"/>
  <c r="B60" i="8"/>
  <c r="B69" i="8" s="1"/>
  <c r="N57" i="8"/>
  <c r="J22" i="7"/>
  <c r="I21" i="7"/>
  <c r="I57" i="7"/>
  <c r="E22" i="7"/>
  <c r="H22" i="7"/>
  <c r="M21" i="7"/>
  <c r="I22" i="7"/>
  <c r="M57" i="7"/>
  <c r="E57" i="7"/>
  <c r="L57" i="7"/>
  <c r="K57" i="7"/>
  <c r="C57" i="7"/>
  <c r="J57" i="7"/>
  <c r="D57" i="7"/>
  <c r="L22" i="7"/>
  <c r="D22" i="7"/>
  <c r="J21" i="7"/>
  <c r="F22" i="7"/>
  <c r="N27" i="7"/>
  <c r="P27" i="7" s="1"/>
  <c r="F57" i="7"/>
  <c r="H21" i="7"/>
  <c r="G21" i="7"/>
  <c r="F21" i="7"/>
  <c r="E21" i="7"/>
  <c r="L21" i="7"/>
  <c r="H57" i="7"/>
  <c r="D21" i="7"/>
  <c r="K21" i="7"/>
  <c r="C21" i="7"/>
  <c r="G22" i="7"/>
  <c r="M22" i="7"/>
  <c r="G57" i="7"/>
  <c r="N63" i="7"/>
  <c r="P63" i="7" s="1"/>
  <c r="J50" i="7"/>
  <c r="F50" i="7"/>
  <c r="B50" i="7"/>
  <c r="K50" i="7"/>
  <c r="G50" i="7"/>
  <c r="N48" i="7"/>
  <c r="M50" i="7"/>
  <c r="I50" i="7"/>
  <c r="E50" i="7"/>
  <c r="N47" i="7"/>
  <c r="B45" i="7"/>
  <c r="C45" i="7" s="1"/>
  <c r="D45" i="7" s="1"/>
  <c r="E45" i="7" s="1"/>
  <c r="F45" i="7" s="1"/>
  <c r="G45" i="7" s="1"/>
  <c r="H45" i="7" s="1"/>
  <c r="I45" i="7" s="1"/>
  <c r="J45" i="7" s="1"/>
  <c r="K45" i="7" s="1"/>
  <c r="L45" i="7" s="1"/>
  <c r="M45" i="7" s="1"/>
  <c r="M54" i="7"/>
  <c r="M58" i="7" s="1"/>
  <c r="L54" i="7"/>
  <c r="L58" i="7" s="1"/>
  <c r="K54" i="7"/>
  <c r="K58" i="7" s="1"/>
  <c r="J54" i="7"/>
  <c r="J58" i="7" s="1"/>
  <c r="I54" i="7"/>
  <c r="I58" i="7" s="1"/>
  <c r="H54" i="7"/>
  <c r="H58" i="7" s="1"/>
  <c r="G54" i="7"/>
  <c r="G58" i="7" s="1"/>
  <c r="F54" i="7"/>
  <c r="F58" i="7" s="1"/>
  <c r="E54" i="7"/>
  <c r="E58" i="7" s="1"/>
  <c r="D54" i="7"/>
  <c r="D58" i="7" s="1"/>
  <c r="C54" i="7"/>
  <c r="C58" i="7" s="1"/>
  <c r="B54" i="7"/>
  <c r="B53" i="7"/>
  <c r="N12" i="7"/>
  <c r="L14" i="7"/>
  <c r="J14" i="7"/>
  <c r="H14" i="7"/>
  <c r="F14" i="7"/>
  <c r="D14" i="7"/>
  <c r="B14" i="7"/>
  <c r="C6" i="7"/>
  <c r="D6" i="7" s="1"/>
  <c r="E6" i="7" s="1"/>
  <c r="F6" i="7" s="1"/>
  <c r="G6" i="7" s="1"/>
  <c r="H6" i="7" s="1"/>
  <c r="I6" i="7" s="1"/>
  <c r="J6" i="7" s="1"/>
  <c r="K6" i="7" s="1"/>
  <c r="L6" i="7" s="1"/>
  <c r="M6" i="7" s="1"/>
  <c r="M66" i="8" l="1"/>
  <c r="M69" i="8"/>
  <c r="J66" i="8"/>
  <c r="J69" i="8"/>
  <c r="K66" i="8"/>
  <c r="K69" i="8"/>
  <c r="L66" i="8"/>
  <c r="L69" i="8"/>
  <c r="D66" i="8"/>
  <c r="D69" i="8"/>
  <c r="H66" i="8"/>
  <c r="H69" i="8"/>
  <c r="E66" i="8"/>
  <c r="E69" i="8"/>
  <c r="F66" i="8"/>
  <c r="F69" i="8"/>
  <c r="C66" i="8"/>
  <c r="C69" i="8"/>
  <c r="G66" i="8"/>
  <c r="G69" i="8"/>
  <c r="I66" i="8"/>
  <c r="I69" i="8"/>
  <c r="B66" i="8"/>
  <c r="C24" i="7"/>
  <c r="K24" i="7"/>
  <c r="K30" i="7" s="1"/>
  <c r="N24" i="8"/>
  <c r="N60" i="8"/>
  <c r="I24" i="7"/>
  <c r="I30" i="7" s="1"/>
  <c r="I60" i="7"/>
  <c r="I66" i="7" s="1"/>
  <c r="C30" i="7"/>
  <c r="M60" i="7"/>
  <c r="N50" i="7"/>
  <c r="P50" i="7" s="1"/>
  <c r="M24" i="7"/>
  <c r="E24" i="7"/>
  <c r="G24" i="7"/>
  <c r="E60" i="7"/>
  <c r="F60" i="7"/>
  <c r="C60" i="7"/>
  <c r="G60" i="7"/>
  <c r="K60" i="7"/>
  <c r="J60" i="7"/>
  <c r="D60" i="7"/>
  <c r="H60" i="7"/>
  <c r="L60" i="7"/>
  <c r="G14" i="7"/>
  <c r="B21" i="7"/>
  <c r="N21" i="7" s="1"/>
  <c r="C14" i="7"/>
  <c r="K14" i="7"/>
  <c r="N11" i="7"/>
  <c r="N14" i="7" s="1"/>
  <c r="P14" i="7" s="1"/>
  <c r="B22" i="7"/>
  <c r="C50" i="7"/>
  <c r="B57" i="7"/>
  <c r="E14" i="7"/>
  <c r="D50" i="7"/>
  <c r="H50" i="7"/>
  <c r="L50" i="7"/>
  <c r="B58" i="7"/>
  <c r="N58" i="7" s="1"/>
  <c r="I14" i="7"/>
  <c r="M14" i="7"/>
  <c r="C63" i="6"/>
  <c r="D63" i="6"/>
  <c r="E63" i="6"/>
  <c r="F63" i="6"/>
  <c r="G63" i="6"/>
  <c r="H63" i="6"/>
  <c r="I63" i="6"/>
  <c r="J63" i="6"/>
  <c r="K63" i="6"/>
  <c r="L63" i="6"/>
  <c r="M63" i="6"/>
  <c r="B63" i="6"/>
  <c r="C47" i="6"/>
  <c r="D47" i="6"/>
  <c r="E47" i="6"/>
  <c r="F47" i="6"/>
  <c r="G47" i="6"/>
  <c r="H47" i="6"/>
  <c r="I47" i="6"/>
  <c r="J47" i="6"/>
  <c r="K47" i="6"/>
  <c r="L47" i="6"/>
  <c r="M47" i="6"/>
  <c r="C48" i="6"/>
  <c r="D48" i="6"/>
  <c r="E48" i="6"/>
  <c r="F48" i="6"/>
  <c r="G48" i="6"/>
  <c r="H48" i="6"/>
  <c r="I48" i="6"/>
  <c r="J48" i="6"/>
  <c r="K48" i="6"/>
  <c r="L48" i="6"/>
  <c r="M48" i="6"/>
  <c r="B48" i="6"/>
  <c r="B47" i="6"/>
  <c r="C27" i="6"/>
  <c r="D27" i="6"/>
  <c r="E27" i="6"/>
  <c r="F27" i="6"/>
  <c r="G27" i="6"/>
  <c r="H27" i="6"/>
  <c r="I27" i="6"/>
  <c r="J27" i="6"/>
  <c r="K27" i="6"/>
  <c r="L27" i="6"/>
  <c r="M27" i="6"/>
  <c r="N27" i="6"/>
  <c r="B27" i="6"/>
  <c r="P24" i="8" l="1"/>
  <c r="P60" i="8"/>
  <c r="E66" i="7"/>
  <c r="J66" i="7"/>
  <c r="F66" i="7"/>
  <c r="H66" i="7"/>
  <c r="D66" i="7"/>
  <c r="G30" i="7"/>
  <c r="E30" i="7"/>
  <c r="K66" i="7"/>
  <c r="C66" i="7"/>
  <c r="L66" i="7"/>
  <c r="M30" i="7"/>
  <c r="G66" i="7"/>
  <c r="M66" i="7"/>
  <c r="H24" i="7"/>
  <c r="F24" i="7"/>
  <c r="D24" i="7"/>
  <c r="B24" i="7"/>
  <c r="B30" i="7" s="1"/>
  <c r="L24" i="7"/>
  <c r="B60" i="7"/>
  <c r="B66" i="7" s="1"/>
  <c r="N57" i="7"/>
  <c r="N60" i="7" s="1"/>
  <c r="N22" i="7"/>
  <c r="J24" i="7"/>
  <c r="N63" i="6"/>
  <c r="M18" i="6"/>
  <c r="M54" i="6" s="1"/>
  <c r="M58" i="6" s="1"/>
  <c r="L18" i="6"/>
  <c r="K18" i="6"/>
  <c r="K54" i="6" s="1"/>
  <c r="K58" i="6" s="1"/>
  <c r="J18" i="6"/>
  <c r="I18" i="6"/>
  <c r="I54" i="6" s="1"/>
  <c r="I58" i="6" s="1"/>
  <c r="H18" i="6"/>
  <c r="G18" i="6"/>
  <c r="G54" i="6" s="1"/>
  <c r="G58" i="6" s="1"/>
  <c r="F18" i="6"/>
  <c r="E18" i="6"/>
  <c r="E54" i="6" s="1"/>
  <c r="E58" i="6" s="1"/>
  <c r="D18" i="6"/>
  <c r="C18" i="6"/>
  <c r="C54" i="6" s="1"/>
  <c r="C58" i="6" s="1"/>
  <c r="B18" i="6"/>
  <c r="B54" i="6" s="1"/>
  <c r="B58" i="6" s="1"/>
  <c r="C11" i="6"/>
  <c r="D11" i="6"/>
  <c r="E11" i="6"/>
  <c r="F11" i="6"/>
  <c r="G11" i="6"/>
  <c r="H11" i="6"/>
  <c r="I11" i="6"/>
  <c r="J11" i="6"/>
  <c r="K11" i="6"/>
  <c r="L11" i="6"/>
  <c r="M11" i="6"/>
  <c r="C12" i="6"/>
  <c r="D12" i="6"/>
  <c r="E12" i="6"/>
  <c r="F12" i="6"/>
  <c r="G12" i="6"/>
  <c r="H12" i="6"/>
  <c r="I12" i="6"/>
  <c r="J12" i="6"/>
  <c r="K12" i="6"/>
  <c r="L12" i="6"/>
  <c r="M12" i="6"/>
  <c r="B12" i="6"/>
  <c r="B11" i="6"/>
  <c r="C6" i="6"/>
  <c r="D6" i="6" s="1"/>
  <c r="E6" i="6" s="1"/>
  <c r="F6" i="6" s="1"/>
  <c r="G6" i="6" s="1"/>
  <c r="H6" i="6" s="1"/>
  <c r="I6" i="6" s="1"/>
  <c r="J6" i="6" s="1"/>
  <c r="K6" i="6" s="1"/>
  <c r="L6" i="6" s="1"/>
  <c r="M6" i="6" s="1"/>
  <c r="M50" i="6"/>
  <c r="L50" i="6"/>
  <c r="K50" i="6"/>
  <c r="J50" i="6"/>
  <c r="I50" i="6"/>
  <c r="H50" i="6"/>
  <c r="G50" i="6"/>
  <c r="F50" i="6"/>
  <c r="E50" i="6"/>
  <c r="D50" i="6"/>
  <c r="C50" i="6"/>
  <c r="B50" i="6"/>
  <c r="N48" i="6"/>
  <c r="N47" i="6"/>
  <c r="B45" i="6"/>
  <c r="C45" i="6" s="1"/>
  <c r="D45" i="6" s="1"/>
  <c r="E45" i="6" s="1"/>
  <c r="F45" i="6" s="1"/>
  <c r="G45" i="6" s="1"/>
  <c r="H45" i="6" s="1"/>
  <c r="I45" i="6" s="1"/>
  <c r="J45" i="6" s="1"/>
  <c r="K45" i="6" s="1"/>
  <c r="L45" i="6" s="1"/>
  <c r="M45" i="6" s="1"/>
  <c r="M22" i="6" l="1"/>
  <c r="D22" i="6"/>
  <c r="N72" i="7"/>
  <c r="P60" i="7"/>
  <c r="D30" i="7"/>
  <c r="J30" i="7"/>
  <c r="F30" i="7"/>
  <c r="H30" i="7"/>
  <c r="L30" i="7"/>
  <c r="N24" i="7"/>
  <c r="N36" i="7" s="1"/>
  <c r="I22" i="6"/>
  <c r="E22" i="6"/>
  <c r="L14" i="6"/>
  <c r="H14" i="6"/>
  <c r="D14" i="6"/>
  <c r="B14" i="6"/>
  <c r="K22" i="6"/>
  <c r="G22" i="6"/>
  <c r="C22" i="6"/>
  <c r="F14" i="6"/>
  <c r="J22" i="6"/>
  <c r="B22" i="6"/>
  <c r="I14" i="6"/>
  <c r="F54" i="6"/>
  <c r="F58" i="6" s="1"/>
  <c r="J54" i="6"/>
  <c r="J58" i="6" s="1"/>
  <c r="K14" i="6"/>
  <c r="D54" i="6"/>
  <c r="D58" i="6" s="1"/>
  <c r="H54" i="6"/>
  <c r="H58" i="6" s="1"/>
  <c r="L54" i="6"/>
  <c r="L58" i="6" s="1"/>
  <c r="C14" i="6"/>
  <c r="F22" i="6"/>
  <c r="G14" i="6"/>
  <c r="E14" i="6"/>
  <c r="N12" i="6"/>
  <c r="L22" i="6"/>
  <c r="H22" i="6"/>
  <c r="N11" i="6"/>
  <c r="M14" i="6"/>
  <c r="N50" i="6"/>
  <c r="J14" i="6"/>
  <c r="D31" i="8" l="1"/>
  <c r="M31" i="8"/>
  <c r="E31" i="8"/>
  <c r="L31" i="8"/>
  <c r="K31" i="8"/>
  <c r="J31" i="8"/>
  <c r="F31" i="8"/>
  <c r="I31" i="8"/>
  <c r="H31" i="8"/>
  <c r="G31" i="8"/>
  <c r="P24" i="7"/>
  <c r="N14" i="6"/>
  <c r="N22" i="6"/>
  <c r="N58" i="6"/>
  <c r="H81" i="5" l="1"/>
  <c r="H78" i="5"/>
  <c r="G72" i="5"/>
  <c r="F72" i="5"/>
  <c r="E72" i="5"/>
  <c r="D72" i="5"/>
  <c r="C72" i="5"/>
  <c r="B72" i="5"/>
  <c r="G67" i="5"/>
  <c r="F67" i="5"/>
  <c r="E67" i="5"/>
  <c r="D67" i="5"/>
  <c r="C67" i="5"/>
  <c r="B67" i="5"/>
  <c r="G66" i="5"/>
  <c r="F66" i="5"/>
  <c r="E66" i="5"/>
  <c r="D66" i="5"/>
  <c r="C66" i="5"/>
  <c r="B66" i="5"/>
  <c r="G51" i="5"/>
  <c r="F51" i="5"/>
  <c r="E51" i="5"/>
  <c r="D51" i="5"/>
  <c r="C51" i="5"/>
  <c r="B51" i="5"/>
  <c r="G50" i="5"/>
  <c r="F50" i="5"/>
  <c r="E50" i="5"/>
  <c r="D50" i="5"/>
  <c r="C50" i="5"/>
  <c r="B50" i="5"/>
  <c r="G48" i="5"/>
  <c r="F48" i="5"/>
  <c r="E48" i="5"/>
  <c r="D48" i="5"/>
  <c r="C48" i="5"/>
  <c r="B48" i="5"/>
  <c r="H47" i="5"/>
  <c r="H42" i="5"/>
  <c r="H39" i="5"/>
  <c r="G33" i="5"/>
  <c r="F33" i="5"/>
  <c r="E33" i="5"/>
  <c r="D33" i="5"/>
  <c r="C33" i="5"/>
  <c r="B33" i="5"/>
  <c r="G28" i="5"/>
  <c r="F28" i="5"/>
  <c r="E28" i="5"/>
  <c r="D28" i="5"/>
  <c r="C28" i="5"/>
  <c r="B28" i="5"/>
  <c r="G27" i="5"/>
  <c r="F27" i="5"/>
  <c r="E27" i="5"/>
  <c r="D27" i="5"/>
  <c r="C27" i="5"/>
  <c r="B27" i="5"/>
  <c r="G18" i="5"/>
  <c r="F18" i="5"/>
  <c r="F57" i="5" s="1"/>
  <c r="E18" i="5"/>
  <c r="D18" i="5"/>
  <c r="D57" i="5" s="1"/>
  <c r="C18" i="5"/>
  <c r="C57" i="5" s="1"/>
  <c r="B18" i="5"/>
  <c r="B57" i="5" s="1"/>
  <c r="G17" i="5"/>
  <c r="G56" i="5" s="1"/>
  <c r="F17" i="5"/>
  <c r="F56" i="5" s="1"/>
  <c r="E17" i="5"/>
  <c r="E56" i="5" s="1"/>
  <c r="D17" i="5"/>
  <c r="D56" i="5" s="1"/>
  <c r="C17" i="5"/>
  <c r="C56" i="5" s="1"/>
  <c r="B17" i="5"/>
  <c r="B56" i="5" s="1"/>
  <c r="G12" i="5"/>
  <c r="F12" i="5"/>
  <c r="E12" i="5"/>
  <c r="D12" i="5"/>
  <c r="C12" i="5"/>
  <c r="B12" i="5"/>
  <c r="G11" i="5"/>
  <c r="F11" i="5"/>
  <c r="E11" i="5"/>
  <c r="D11" i="5"/>
  <c r="C11" i="5"/>
  <c r="B11" i="5"/>
  <c r="C53" i="5" l="1"/>
  <c r="G69" i="5"/>
  <c r="F30" i="5"/>
  <c r="C61" i="5"/>
  <c r="F53" i="5"/>
  <c r="B30" i="5"/>
  <c r="C69" i="5"/>
  <c r="D21" i="5"/>
  <c r="G53" i="5"/>
  <c r="E14" i="5"/>
  <c r="E30" i="5"/>
  <c r="G30" i="5"/>
  <c r="B53" i="5"/>
  <c r="B61" i="5"/>
  <c r="F61" i="5"/>
  <c r="D61" i="5"/>
  <c r="C60" i="5"/>
  <c r="G60" i="5"/>
  <c r="C30" i="5"/>
  <c r="E53" i="5"/>
  <c r="E69" i="5"/>
  <c r="B22" i="5"/>
  <c r="H27" i="5"/>
  <c r="H28" i="5"/>
  <c r="H12" i="5"/>
  <c r="E22" i="5"/>
  <c r="F22" i="5"/>
  <c r="E57" i="5"/>
  <c r="E61" i="5" s="1"/>
  <c r="F14" i="5"/>
  <c r="D14" i="5"/>
  <c r="H67" i="5"/>
  <c r="B14" i="5"/>
  <c r="C14" i="5"/>
  <c r="G14" i="5"/>
  <c r="G22" i="5"/>
  <c r="D60" i="5"/>
  <c r="H51" i="5"/>
  <c r="B69" i="5"/>
  <c r="F69" i="5"/>
  <c r="D69" i="5"/>
  <c r="F60" i="5"/>
  <c r="B60" i="5"/>
  <c r="E21" i="5"/>
  <c r="F21" i="5"/>
  <c r="B21" i="5"/>
  <c r="C22" i="5"/>
  <c r="H11" i="5"/>
  <c r="C21" i="5"/>
  <c r="G21" i="5"/>
  <c r="D22" i="5"/>
  <c r="D30" i="5"/>
  <c r="D53" i="5"/>
  <c r="G57" i="5"/>
  <c r="G61" i="5" s="1"/>
  <c r="E60" i="5"/>
  <c r="H66" i="5"/>
  <c r="H50" i="5"/>
  <c r="D63" i="5" l="1"/>
  <c r="D71" i="5" s="1"/>
  <c r="D74" i="5" s="1"/>
  <c r="D24" i="5"/>
  <c r="D32" i="5" s="1"/>
  <c r="D35" i="5" s="1"/>
  <c r="C63" i="5"/>
  <c r="C71" i="5" s="1"/>
  <c r="C74" i="5" s="1"/>
  <c r="E63" i="5"/>
  <c r="E71" i="5" s="1"/>
  <c r="E74" i="5" s="1"/>
  <c r="F63" i="5"/>
  <c r="F71" i="5" s="1"/>
  <c r="F74" i="5" s="1"/>
  <c r="H22" i="5"/>
  <c r="H69" i="5"/>
  <c r="H14" i="5"/>
  <c r="E24" i="5"/>
  <c r="E32" i="5" s="1"/>
  <c r="E35" i="5" s="1"/>
  <c r="H30" i="5"/>
  <c r="H61" i="5"/>
  <c r="H53" i="5"/>
  <c r="C24" i="5"/>
  <c r="C32" i="5" s="1"/>
  <c r="C35" i="5" s="1"/>
  <c r="F24" i="5"/>
  <c r="F32" i="5" s="1"/>
  <c r="F35" i="5" s="1"/>
  <c r="G24" i="5"/>
  <c r="G32" i="5" s="1"/>
  <c r="G35" i="5" s="1"/>
  <c r="G63" i="5"/>
  <c r="G71" i="5" s="1"/>
  <c r="G74" i="5" s="1"/>
  <c r="B24" i="5"/>
  <c r="H21" i="5"/>
  <c r="B63" i="5"/>
  <c r="H60" i="5"/>
  <c r="H24" i="5" l="1"/>
  <c r="H63" i="5"/>
  <c r="H77" i="5"/>
  <c r="B71" i="5"/>
  <c r="B74" i="5" s="1"/>
  <c r="H74" i="5" s="1"/>
  <c r="H76" i="5" s="1"/>
  <c r="B32" i="5"/>
  <c r="B35" i="5" s="1"/>
  <c r="H35" i="5" s="1"/>
  <c r="H38" i="5"/>
  <c r="H79" i="5" l="1"/>
  <c r="D33" i="1"/>
  <c r="G33" i="1"/>
  <c r="F33" i="1"/>
  <c r="E33" i="1"/>
  <c r="H82" i="5"/>
  <c r="H83" i="5" s="1"/>
  <c r="H81" i="1"/>
  <c r="G72" i="1"/>
  <c r="F72" i="1"/>
  <c r="E72" i="1"/>
  <c r="D72" i="1"/>
  <c r="H37" i="5"/>
  <c r="H40" i="5" s="1"/>
  <c r="H42" i="1" s="1"/>
  <c r="I82" i="5" l="1"/>
  <c r="C71" i="4"/>
  <c r="B71" i="4"/>
  <c r="C33" i="4"/>
  <c r="B33" i="4"/>
  <c r="H43" i="5"/>
  <c r="H44" i="5" s="1"/>
  <c r="I43" i="5" l="1"/>
  <c r="F68" i="4"/>
  <c r="B68" i="4"/>
  <c r="G68" i="4"/>
  <c r="C68" i="4"/>
  <c r="G52" i="4"/>
  <c r="E52" i="4"/>
  <c r="C52" i="4"/>
  <c r="B47" i="4"/>
  <c r="H46" i="4"/>
  <c r="D30" i="4"/>
  <c r="G30" i="4"/>
  <c r="F30" i="4"/>
  <c r="C30" i="4"/>
  <c r="B30" i="4"/>
  <c r="G56" i="4"/>
  <c r="G60" i="4" s="1"/>
  <c r="F56" i="4"/>
  <c r="E56" i="4"/>
  <c r="D22" i="4"/>
  <c r="C56" i="4"/>
  <c r="C60" i="4" s="1"/>
  <c r="B56" i="4"/>
  <c r="F55" i="4"/>
  <c r="F59" i="4" s="1"/>
  <c r="E55" i="4"/>
  <c r="D55" i="4"/>
  <c r="C55" i="4"/>
  <c r="B55" i="4"/>
  <c r="B59" i="4" s="1"/>
  <c r="F14" i="4"/>
  <c r="B14" i="4"/>
  <c r="G14" i="4"/>
  <c r="F21" i="4"/>
  <c r="C14" i="4"/>
  <c r="B21" i="4"/>
  <c r="C6" i="4"/>
  <c r="C47" i="4" s="1"/>
  <c r="B60" i="4" l="1"/>
  <c r="B62" i="4" s="1"/>
  <c r="F60" i="4"/>
  <c r="F62" i="4" s="1"/>
  <c r="F70" i="4" s="1"/>
  <c r="H65" i="4"/>
  <c r="D14" i="4"/>
  <c r="D6" i="4"/>
  <c r="D47" i="4" s="1"/>
  <c r="E14" i="4"/>
  <c r="C21" i="4"/>
  <c r="H28" i="4"/>
  <c r="D56" i="4"/>
  <c r="D60" i="4" s="1"/>
  <c r="E68" i="4"/>
  <c r="H11" i="4"/>
  <c r="H12" i="4"/>
  <c r="G21" i="4"/>
  <c r="E60" i="4"/>
  <c r="E30" i="4"/>
  <c r="B52" i="4"/>
  <c r="F52" i="4"/>
  <c r="D52" i="4"/>
  <c r="D59" i="4"/>
  <c r="E59" i="4"/>
  <c r="H50" i="4"/>
  <c r="D21" i="4"/>
  <c r="D24" i="4" s="1"/>
  <c r="D32" i="4" s="1"/>
  <c r="E22" i="4"/>
  <c r="H49" i="4"/>
  <c r="G55" i="4"/>
  <c r="G59" i="4" s="1"/>
  <c r="G62" i="4" s="1"/>
  <c r="G70" i="4" s="1"/>
  <c r="C59" i="4"/>
  <c r="C62" i="4" s="1"/>
  <c r="C70" i="4" s="1"/>
  <c r="C73" i="4" s="1"/>
  <c r="D68" i="4"/>
  <c r="E21" i="4"/>
  <c r="B22" i="4"/>
  <c r="F22" i="4"/>
  <c r="F24" i="4" s="1"/>
  <c r="F32" i="4" s="1"/>
  <c r="H27" i="4"/>
  <c r="H66" i="4"/>
  <c r="C22" i="4"/>
  <c r="G22" i="4"/>
  <c r="M71" i="3"/>
  <c r="L71" i="3"/>
  <c r="K71" i="3"/>
  <c r="J71" i="3"/>
  <c r="I71" i="3"/>
  <c r="H71" i="3"/>
  <c r="G71" i="3"/>
  <c r="F71" i="3"/>
  <c r="E71" i="3"/>
  <c r="D71" i="3"/>
  <c r="C71" i="3"/>
  <c r="B71" i="3"/>
  <c r="M66" i="3"/>
  <c r="L66" i="3"/>
  <c r="K66" i="3"/>
  <c r="J66" i="3"/>
  <c r="I66" i="3"/>
  <c r="H66" i="3"/>
  <c r="G66" i="3"/>
  <c r="F66" i="3"/>
  <c r="E66" i="3"/>
  <c r="D66" i="3"/>
  <c r="C66" i="3"/>
  <c r="B66" i="3"/>
  <c r="M65" i="3"/>
  <c r="L65" i="3"/>
  <c r="K65" i="3"/>
  <c r="K68" i="3" s="1"/>
  <c r="J65" i="3"/>
  <c r="J68" i="3" s="1"/>
  <c r="I65" i="3"/>
  <c r="I68" i="3" s="1"/>
  <c r="H65" i="3"/>
  <c r="G65" i="3"/>
  <c r="F65" i="3"/>
  <c r="E65" i="3"/>
  <c r="D65" i="3"/>
  <c r="C65" i="3"/>
  <c r="C68" i="3" s="1"/>
  <c r="B65" i="3"/>
  <c r="M50" i="3"/>
  <c r="L50" i="3"/>
  <c r="K50" i="3"/>
  <c r="J50" i="3"/>
  <c r="I50" i="3"/>
  <c r="H50" i="3"/>
  <c r="G50" i="3"/>
  <c r="F50" i="3"/>
  <c r="E50" i="3"/>
  <c r="D50" i="3"/>
  <c r="C50" i="3"/>
  <c r="B50" i="3"/>
  <c r="M49" i="3"/>
  <c r="L49" i="3"/>
  <c r="K49" i="3"/>
  <c r="J49" i="3"/>
  <c r="I49" i="3"/>
  <c r="H49" i="3"/>
  <c r="G49" i="3"/>
  <c r="F49" i="3"/>
  <c r="E49" i="3"/>
  <c r="D49" i="3"/>
  <c r="C49" i="3"/>
  <c r="C52" i="3" s="1"/>
  <c r="B49" i="3"/>
  <c r="B47" i="3"/>
  <c r="C47" i="3" s="1"/>
  <c r="D47" i="3" s="1"/>
  <c r="E47" i="3" s="1"/>
  <c r="F47" i="3" s="1"/>
  <c r="G47" i="3" s="1"/>
  <c r="H47" i="3" s="1"/>
  <c r="I47" i="3" s="1"/>
  <c r="J47" i="3" s="1"/>
  <c r="K47" i="3" s="1"/>
  <c r="L47" i="3" s="1"/>
  <c r="M47" i="3" s="1"/>
  <c r="M33" i="3"/>
  <c r="L33" i="3"/>
  <c r="K33" i="3"/>
  <c r="J33" i="3"/>
  <c r="I33" i="3"/>
  <c r="H33" i="3"/>
  <c r="G33" i="3"/>
  <c r="F33" i="3"/>
  <c r="E33" i="3"/>
  <c r="D33" i="3"/>
  <c r="C33" i="3"/>
  <c r="B33" i="3"/>
  <c r="M28" i="3"/>
  <c r="L28" i="3"/>
  <c r="K28" i="3"/>
  <c r="J28" i="3"/>
  <c r="I28" i="3"/>
  <c r="H28" i="3"/>
  <c r="G28" i="3"/>
  <c r="F28" i="3"/>
  <c r="E28" i="3"/>
  <c r="D28" i="3"/>
  <c r="C28" i="3"/>
  <c r="B28" i="3"/>
  <c r="M27" i="3"/>
  <c r="L27" i="3"/>
  <c r="K27" i="3"/>
  <c r="J27" i="3"/>
  <c r="I27" i="3"/>
  <c r="H27" i="3"/>
  <c r="G27" i="3"/>
  <c r="G30" i="3" s="1"/>
  <c r="F27" i="3"/>
  <c r="F30" i="3" s="1"/>
  <c r="E27" i="3"/>
  <c r="D27" i="3"/>
  <c r="C27" i="3"/>
  <c r="B27" i="3"/>
  <c r="M18" i="3"/>
  <c r="L18" i="3"/>
  <c r="L56" i="3" s="1"/>
  <c r="K18" i="3"/>
  <c r="J18" i="3"/>
  <c r="J56" i="3" s="1"/>
  <c r="I18" i="3"/>
  <c r="H18" i="3"/>
  <c r="H56" i="3" s="1"/>
  <c r="G18" i="3"/>
  <c r="F18" i="3"/>
  <c r="F56" i="3" s="1"/>
  <c r="E18" i="3"/>
  <c r="D18" i="3"/>
  <c r="D56" i="3" s="1"/>
  <c r="C18" i="3"/>
  <c r="B18" i="3"/>
  <c r="B56" i="3" s="1"/>
  <c r="M17" i="3"/>
  <c r="G39" i="3" s="1"/>
  <c r="L17" i="3"/>
  <c r="L55" i="3" s="1"/>
  <c r="K17" i="3"/>
  <c r="K55" i="3" s="1"/>
  <c r="J17" i="3"/>
  <c r="J55" i="3" s="1"/>
  <c r="I17" i="3"/>
  <c r="C39" i="3" s="1"/>
  <c r="H17" i="3"/>
  <c r="H55" i="3" s="1"/>
  <c r="G17" i="3"/>
  <c r="G55" i="3" s="1"/>
  <c r="G59" i="3" s="1"/>
  <c r="F17" i="3"/>
  <c r="F55" i="3" s="1"/>
  <c r="E17" i="3"/>
  <c r="E55" i="3" s="1"/>
  <c r="D17" i="3"/>
  <c r="D55" i="3" s="1"/>
  <c r="C17" i="3"/>
  <c r="B17" i="3"/>
  <c r="B55" i="3" s="1"/>
  <c r="M12" i="3"/>
  <c r="L12" i="3"/>
  <c r="K12" i="3"/>
  <c r="J12" i="3"/>
  <c r="I12" i="3"/>
  <c r="H12" i="3"/>
  <c r="B41" i="3" s="1"/>
  <c r="G12" i="3"/>
  <c r="F12" i="3"/>
  <c r="E12" i="3"/>
  <c r="D12" i="3"/>
  <c r="C12" i="3"/>
  <c r="B12" i="3"/>
  <c r="M11" i="3"/>
  <c r="L11" i="3"/>
  <c r="L21" i="3" s="1"/>
  <c r="K11" i="3"/>
  <c r="J11" i="3"/>
  <c r="I11" i="3"/>
  <c r="H11" i="3"/>
  <c r="G11" i="3"/>
  <c r="G14" i="3" s="1"/>
  <c r="F11" i="3"/>
  <c r="E11" i="3"/>
  <c r="D11" i="3"/>
  <c r="D21" i="3" s="1"/>
  <c r="C11" i="3"/>
  <c r="B11" i="3"/>
  <c r="H21" i="3" l="1"/>
  <c r="F41" i="3"/>
  <c r="H30" i="4"/>
  <c r="I14" i="3"/>
  <c r="I30" i="3"/>
  <c r="D68" i="3"/>
  <c r="L68" i="3"/>
  <c r="D52" i="3"/>
  <c r="L52" i="3"/>
  <c r="H60" i="4"/>
  <c r="J30" i="3"/>
  <c r="E52" i="3"/>
  <c r="M68" i="3"/>
  <c r="C14" i="3"/>
  <c r="K14" i="3"/>
  <c r="K59" i="3"/>
  <c r="C30" i="3"/>
  <c r="K30" i="3"/>
  <c r="F68" i="3"/>
  <c r="D30" i="3"/>
  <c r="L30" i="3"/>
  <c r="G52" i="3"/>
  <c r="G68" i="3"/>
  <c r="E14" i="3"/>
  <c r="E30" i="3"/>
  <c r="M30" i="3"/>
  <c r="H52" i="3"/>
  <c r="H68" i="3"/>
  <c r="E6" i="4"/>
  <c r="E47" i="4" s="1"/>
  <c r="H30" i="3"/>
  <c r="B60" i="3"/>
  <c r="F60" i="3"/>
  <c r="J60" i="3"/>
  <c r="E22" i="3"/>
  <c r="I22" i="3"/>
  <c r="M22" i="3"/>
  <c r="N27" i="3"/>
  <c r="F39" i="3"/>
  <c r="F40" i="3" s="1"/>
  <c r="F42" i="3" s="1"/>
  <c r="C21" i="3"/>
  <c r="C22" i="3"/>
  <c r="G22" i="3"/>
  <c r="K22" i="3"/>
  <c r="N65" i="3"/>
  <c r="N66" i="3"/>
  <c r="B68" i="3"/>
  <c r="E68" i="3"/>
  <c r="G40" i="3"/>
  <c r="G41" i="3"/>
  <c r="B21" i="3"/>
  <c r="F22" i="3"/>
  <c r="N49" i="3"/>
  <c r="N50" i="3"/>
  <c r="L14" i="3"/>
  <c r="N28" i="3"/>
  <c r="B30" i="3"/>
  <c r="C41" i="3"/>
  <c r="B22" i="3"/>
  <c r="F21" i="3"/>
  <c r="N12" i="3"/>
  <c r="D41" i="3"/>
  <c r="D14" i="3"/>
  <c r="H14" i="3"/>
  <c r="D60" i="3"/>
  <c r="H60" i="3"/>
  <c r="L60" i="3"/>
  <c r="J22" i="3"/>
  <c r="B39" i="3"/>
  <c r="B40" i="3" s="1"/>
  <c r="B42" i="3" s="1"/>
  <c r="C24" i="4"/>
  <c r="C32" i="4" s="1"/>
  <c r="C35" i="4" s="1"/>
  <c r="H68" i="4"/>
  <c r="D62" i="4"/>
  <c r="D70" i="4" s="1"/>
  <c r="E24" i="4"/>
  <c r="E32" i="4" s="1"/>
  <c r="H52" i="4"/>
  <c r="E62" i="4"/>
  <c r="E70" i="4" s="1"/>
  <c r="H22" i="4"/>
  <c r="G24" i="4"/>
  <c r="G32" i="4" s="1"/>
  <c r="H14" i="4"/>
  <c r="K14" i="4" s="1"/>
  <c r="H59" i="4"/>
  <c r="B70" i="4"/>
  <c r="B73" i="4" s="1"/>
  <c r="H21" i="4"/>
  <c r="B24" i="4"/>
  <c r="D59" i="3"/>
  <c r="H59" i="3"/>
  <c r="L59" i="3"/>
  <c r="B78" i="3"/>
  <c r="F78" i="3"/>
  <c r="C77" i="3"/>
  <c r="G77" i="3"/>
  <c r="F59" i="3"/>
  <c r="J59" i="3"/>
  <c r="D78" i="3"/>
  <c r="N11" i="3"/>
  <c r="M14" i="3"/>
  <c r="B14" i="3"/>
  <c r="F14" i="3"/>
  <c r="J14" i="3"/>
  <c r="E21" i="3"/>
  <c r="I21" i="3"/>
  <c r="M21" i="3"/>
  <c r="D22" i="3"/>
  <c r="D24" i="3" s="1"/>
  <c r="H22" i="3"/>
  <c r="H24" i="3" s="1"/>
  <c r="L22" i="3"/>
  <c r="L24" i="3" s="1"/>
  <c r="L32" i="3" s="1"/>
  <c r="L35" i="3" s="1"/>
  <c r="D39" i="3"/>
  <c r="D40" i="3" s="1"/>
  <c r="B52" i="3"/>
  <c r="F52" i="3"/>
  <c r="J52" i="3"/>
  <c r="I55" i="3"/>
  <c r="I59" i="3" s="1"/>
  <c r="M55" i="3"/>
  <c r="M59" i="3" s="1"/>
  <c r="E56" i="3"/>
  <c r="E60" i="3" s="1"/>
  <c r="I56" i="3"/>
  <c r="I60" i="3" s="1"/>
  <c r="M56" i="3"/>
  <c r="M60" i="3" s="1"/>
  <c r="E59" i="3"/>
  <c r="K21" i="3"/>
  <c r="J21" i="3"/>
  <c r="E39" i="3"/>
  <c r="E40" i="3" s="1"/>
  <c r="K52" i="3"/>
  <c r="B59" i="3"/>
  <c r="G21" i="3"/>
  <c r="C40" i="3"/>
  <c r="E41" i="3"/>
  <c r="C55" i="3"/>
  <c r="C59" i="3" s="1"/>
  <c r="C56" i="3"/>
  <c r="C60" i="3" s="1"/>
  <c r="G56" i="3"/>
  <c r="G60" i="3" s="1"/>
  <c r="G62" i="3" s="1"/>
  <c r="K56" i="3"/>
  <c r="K60" i="3" s="1"/>
  <c r="B77" i="3"/>
  <c r="I52" i="3"/>
  <c r="M52" i="3"/>
  <c r="D32" i="3" l="1"/>
  <c r="D35" i="3" s="1"/>
  <c r="F6" i="4"/>
  <c r="H32" i="3"/>
  <c r="H35" i="3" s="1"/>
  <c r="M24" i="3"/>
  <c r="M32" i="3" s="1"/>
  <c r="M35" i="3" s="1"/>
  <c r="I24" i="3"/>
  <c r="I32" i="3"/>
  <c r="I35" i="3" s="1"/>
  <c r="H62" i="4"/>
  <c r="K62" i="3"/>
  <c r="K70" i="3" s="1"/>
  <c r="K73" i="3" s="1"/>
  <c r="G70" i="3"/>
  <c r="G73" i="3" s="1"/>
  <c r="J62" i="3"/>
  <c r="J70" i="3" s="1"/>
  <c r="J73" i="3" s="1"/>
  <c r="D62" i="3"/>
  <c r="D70" i="3" s="1"/>
  <c r="D73" i="3" s="1"/>
  <c r="C42" i="3"/>
  <c r="H62" i="3"/>
  <c r="H70" i="3" s="1"/>
  <c r="H73" i="3" s="1"/>
  <c r="F77" i="3"/>
  <c r="F79" i="3" s="1"/>
  <c r="F62" i="3"/>
  <c r="F70" i="3" s="1"/>
  <c r="F73" i="3" s="1"/>
  <c r="B24" i="3"/>
  <c r="B32" i="3" s="1"/>
  <c r="B35" i="3" s="1"/>
  <c r="J24" i="3"/>
  <c r="J32" i="3" s="1"/>
  <c r="J35" i="3" s="1"/>
  <c r="K24" i="3"/>
  <c r="K32" i="3" s="1"/>
  <c r="K35" i="3" s="1"/>
  <c r="E24" i="3"/>
  <c r="E32" i="3" s="1"/>
  <c r="E35" i="3" s="1"/>
  <c r="E77" i="3"/>
  <c r="G78" i="3"/>
  <c r="G79" i="3" s="1"/>
  <c r="N52" i="3"/>
  <c r="G42" i="3"/>
  <c r="C24" i="3"/>
  <c r="C32" i="3" s="1"/>
  <c r="C35" i="3" s="1"/>
  <c r="G24" i="3"/>
  <c r="G32" i="3" s="1"/>
  <c r="G35" i="3" s="1"/>
  <c r="M62" i="3"/>
  <c r="M70" i="3" s="1"/>
  <c r="M73" i="3" s="1"/>
  <c r="N14" i="3"/>
  <c r="N30" i="3"/>
  <c r="E62" i="3"/>
  <c r="E70" i="3" s="1"/>
  <c r="E73" i="3" s="1"/>
  <c r="N68" i="3"/>
  <c r="N60" i="3"/>
  <c r="B79" i="3"/>
  <c r="E42" i="3"/>
  <c r="I62" i="3"/>
  <c r="I70" i="3" s="1"/>
  <c r="I73" i="3" s="1"/>
  <c r="D42" i="3"/>
  <c r="E78" i="3"/>
  <c r="L62" i="3"/>
  <c r="L70" i="3" s="1"/>
  <c r="L73" i="3" s="1"/>
  <c r="F24" i="3"/>
  <c r="F32" i="3" s="1"/>
  <c r="F35" i="3" s="1"/>
  <c r="H24" i="4"/>
  <c r="H76" i="4"/>
  <c r="H38" i="4"/>
  <c r="B32" i="4"/>
  <c r="B35" i="4" s="1"/>
  <c r="F47" i="4"/>
  <c r="G6" i="4"/>
  <c r="G47" i="4" s="1"/>
  <c r="D77" i="3"/>
  <c r="D79" i="3" s="1"/>
  <c r="N22" i="3"/>
  <c r="C78" i="3"/>
  <c r="C79" i="3" s="1"/>
  <c r="C62" i="3"/>
  <c r="C70" i="3" s="1"/>
  <c r="C73" i="3" s="1"/>
  <c r="B62" i="3"/>
  <c r="B70" i="3" s="1"/>
  <c r="B73" i="3" s="1"/>
  <c r="N59" i="3"/>
  <c r="N21" i="3"/>
  <c r="E79" i="3" l="1"/>
  <c r="K31" i="6"/>
  <c r="L31" i="6"/>
  <c r="E31" i="6"/>
  <c r="M31" i="6"/>
  <c r="F31" i="6"/>
  <c r="D31" i="6"/>
  <c r="G31" i="6"/>
  <c r="H31" i="6"/>
  <c r="I31" i="6"/>
  <c r="J31" i="6"/>
  <c r="G67" i="6"/>
  <c r="H67" i="6"/>
  <c r="I67" i="6"/>
  <c r="J67" i="6"/>
  <c r="K67" i="6"/>
  <c r="L67" i="6"/>
  <c r="E67" i="6"/>
  <c r="M67" i="6"/>
  <c r="F67" i="6"/>
  <c r="D67" i="6"/>
  <c r="N38" i="3"/>
  <c r="N73" i="3"/>
  <c r="N75" i="3" s="1"/>
  <c r="N35" i="3"/>
  <c r="N37" i="3" s="1"/>
  <c r="N39" i="3" s="1"/>
  <c r="N42" i="3" s="1"/>
  <c r="O42" i="3" s="1"/>
  <c r="N62" i="3"/>
  <c r="N76" i="3"/>
  <c r="N24" i="3"/>
  <c r="N77" i="3" l="1"/>
  <c r="N80" i="3" s="1"/>
  <c r="N81" i="3" s="1"/>
  <c r="C31" i="7"/>
  <c r="C33" i="7" s="1"/>
  <c r="B31" i="7"/>
  <c r="B33" i="7" s="1"/>
  <c r="C67" i="7"/>
  <c r="C69" i="7" s="1"/>
  <c r="B67" i="7"/>
  <c r="B69" i="7" s="1"/>
  <c r="N43" i="3"/>
  <c r="C72" i="1"/>
  <c r="B72" i="1"/>
  <c r="O80" i="3" l="1"/>
  <c r="C33" i="1"/>
  <c r="B33" i="1"/>
  <c r="E66" i="1" l="1"/>
  <c r="F66" i="1"/>
  <c r="G66" i="1"/>
  <c r="G67" i="1" l="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C6" i="1"/>
  <c r="D6" i="1" s="1"/>
  <c r="E6" i="1" s="1"/>
  <c r="F6" i="1" s="1"/>
  <c r="G6" i="1" s="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G71" i="4" l="1"/>
  <c r="F71" i="4"/>
  <c r="F73" i="4" s="1"/>
  <c r="E71" i="4"/>
  <c r="E73" i="4" s="1"/>
  <c r="D71" i="4"/>
  <c r="D73" i="4" s="1"/>
  <c r="E32" i="1"/>
  <c r="E35" i="1" s="1"/>
  <c r="H35" i="1" s="1"/>
  <c r="H37" i="1" s="1"/>
  <c r="H38" i="1"/>
  <c r="H61" i="1"/>
  <c r="H63" i="1" s="1"/>
  <c r="H74" i="1"/>
  <c r="H76" i="1" s="1"/>
  <c r="H79" i="1" s="1"/>
  <c r="H79" i="4" s="1"/>
  <c r="H22" i="1"/>
  <c r="H24" i="1" s="1"/>
  <c r="G73" i="4" l="1"/>
  <c r="C67" i="6"/>
  <c r="B67" i="6"/>
  <c r="H73" i="4"/>
  <c r="H75" i="4" s="1"/>
  <c r="H77" i="4" s="1"/>
  <c r="E33" i="4"/>
  <c r="E35" i="4" s="1"/>
  <c r="D33" i="4"/>
  <c r="D35" i="4" s="1"/>
  <c r="G33" i="4"/>
  <c r="F33" i="4"/>
  <c r="F35" i="4" s="1"/>
  <c r="H40" i="1"/>
  <c r="H41" i="4" s="1"/>
  <c r="H43" i="1"/>
  <c r="H82" i="1"/>
  <c r="I82" i="1" s="1"/>
  <c r="G35" i="4" l="1"/>
  <c r="C31" i="6"/>
  <c r="B31" i="6"/>
  <c r="H35" i="4"/>
  <c r="H37" i="4" s="1"/>
  <c r="H39" i="4" s="1"/>
  <c r="H42" i="4" s="1"/>
  <c r="H43" i="4" s="1"/>
  <c r="H80" i="4"/>
  <c r="I80" i="4" s="1"/>
  <c r="I43" i="1"/>
  <c r="H44" i="1"/>
  <c r="H83" i="1"/>
  <c r="I42" i="4" l="1"/>
  <c r="H81" i="4"/>
  <c r="C17" i="6" l="1"/>
  <c r="D17" i="6"/>
  <c r="E17" i="6"/>
  <c r="F17" i="6"/>
  <c r="G17" i="6"/>
  <c r="H17" i="6"/>
  <c r="I17" i="6"/>
  <c r="J17" i="6"/>
  <c r="K17" i="6"/>
  <c r="L17" i="6"/>
  <c r="M17" i="6"/>
  <c r="B17" i="6"/>
  <c r="F53" i="6" l="1"/>
  <c r="F57" i="6" s="1"/>
  <c r="F60" i="6" s="1"/>
  <c r="F66" i="6" s="1"/>
  <c r="F69" i="6" s="1"/>
  <c r="F21" i="6"/>
  <c r="F24" i="6" s="1"/>
  <c r="F30" i="6" s="1"/>
  <c r="F33" i="6" s="1"/>
  <c r="B53" i="6"/>
  <c r="B57" i="6" s="1"/>
  <c r="B21" i="6"/>
  <c r="D21" i="6"/>
  <c r="D24" i="6" s="1"/>
  <c r="D30" i="6" s="1"/>
  <c r="D33" i="6" s="1"/>
  <c r="D53" i="6"/>
  <c r="D57" i="6" s="1"/>
  <c r="D60" i="6" s="1"/>
  <c r="D66" i="6" s="1"/>
  <c r="D69" i="6" s="1"/>
  <c r="J21" i="6"/>
  <c r="J24" i="6" s="1"/>
  <c r="J30" i="6" s="1"/>
  <c r="J33" i="6" s="1"/>
  <c r="J53" i="6"/>
  <c r="J57" i="6" s="1"/>
  <c r="J60" i="6" s="1"/>
  <c r="J66" i="6" s="1"/>
  <c r="J69" i="6" s="1"/>
  <c r="M21" i="6"/>
  <c r="M24" i="6" s="1"/>
  <c r="M30" i="6" s="1"/>
  <c r="M33" i="6" s="1"/>
  <c r="M53" i="6"/>
  <c r="M57" i="6" s="1"/>
  <c r="M60" i="6" s="1"/>
  <c r="M66" i="6" s="1"/>
  <c r="M69" i="6" s="1"/>
  <c r="I21" i="6"/>
  <c r="I24" i="6" s="1"/>
  <c r="I30" i="6" s="1"/>
  <c r="I33" i="6" s="1"/>
  <c r="I53" i="6"/>
  <c r="I57" i="6" s="1"/>
  <c r="I60" i="6" s="1"/>
  <c r="I66" i="6" s="1"/>
  <c r="I69" i="6" s="1"/>
  <c r="E53" i="6"/>
  <c r="E57" i="6" s="1"/>
  <c r="E60" i="6" s="1"/>
  <c r="E66" i="6" s="1"/>
  <c r="E69" i="6" s="1"/>
  <c r="E21" i="6"/>
  <c r="E24" i="6" s="1"/>
  <c r="E30" i="6" s="1"/>
  <c r="E33" i="6" s="1"/>
  <c r="L21" i="6"/>
  <c r="L24" i="6" s="1"/>
  <c r="L30" i="6" s="1"/>
  <c r="L33" i="6" s="1"/>
  <c r="L53" i="6"/>
  <c r="L57" i="6" s="1"/>
  <c r="L60" i="6" s="1"/>
  <c r="L66" i="6" s="1"/>
  <c r="L69" i="6" s="1"/>
  <c r="H53" i="6"/>
  <c r="H57" i="6" s="1"/>
  <c r="H60" i="6" s="1"/>
  <c r="H66" i="6" s="1"/>
  <c r="H69" i="6" s="1"/>
  <c r="H21" i="6"/>
  <c r="H24" i="6" s="1"/>
  <c r="H30" i="6" s="1"/>
  <c r="H33" i="6" s="1"/>
  <c r="K53" i="6"/>
  <c r="K57" i="6" s="1"/>
  <c r="K60" i="6" s="1"/>
  <c r="K66" i="6" s="1"/>
  <c r="K69" i="6" s="1"/>
  <c r="K21" i="6"/>
  <c r="K24" i="6" s="1"/>
  <c r="K30" i="6" s="1"/>
  <c r="K33" i="6" s="1"/>
  <c r="G53" i="6"/>
  <c r="G57" i="6" s="1"/>
  <c r="G60" i="6" s="1"/>
  <c r="G66" i="6" s="1"/>
  <c r="G69" i="6" s="1"/>
  <c r="G21" i="6"/>
  <c r="G24" i="6" s="1"/>
  <c r="G30" i="6" s="1"/>
  <c r="G33" i="6" s="1"/>
  <c r="C53" i="6"/>
  <c r="C57" i="6" s="1"/>
  <c r="C60" i="6" s="1"/>
  <c r="C66" i="6" s="1"/>
  <c r="C69" i="6" s="1"/>
  <c r="C21" i="6"/>
  <c r="C24" i="6" s="1"/>
  <c r="C30" i="6" s="1"/>
  <c r="C33" i="6" s="1"/>
  <c r="B24" i="6" l="1"/>
  <c r="B30" i="6" s="1"/>
  <c r="B33" i="6" s="1"/>
  <c r="N21" i="6"/>
  <c r="N24" i="6" s="1"/>
  <c r="N36" i="6" s="1"/>
  <c r="B60" i="6"/>
  <c r="B66" i="6" s="1"/>
  <c r="B69" i="6" s="1"/>
  <c r="N57" i="6"/>
  <c r="N60" i="6" s="1"/>
  <c r="N72" i="6" s="1"/>
  <c r="G32" i="8" l="1"/>
  <c r="G33" i="8" s="1"/>
  <c r="F32" i="8"/>
  <c r="F33" i="8" s="1"/>
  <c r="M32" i="8"/>
  <c r="M33" i="8" s="1"/>
  <c r="E32" i="8"/>
  <c r="E33" i="8" s="1"/>
  <c r="L32" i="8"/>
  <c r="L33" i="8" s="1"/>
  <c r="H32" i="8"/>
  <c r="H33" i="8" s="1"/>
  <c r="K32" i="8"/>
  <c r="K33" i="8" s="1"/>
  <c r="I32" i="8"/>
  <c r="I33" i="8" s="1"/>
  <c r="J32" i="8"/>
  <c r="J33" i="8" s="1"/>
  <c r="L67" i="7"/>
  <c r="L69" i="7" s="1"/>
  <c r="E67" i="7"/>
  <c r="E69" i="7" s="1"/>
  <c r="M67" i="7"/>
  <c r="M69" i="7" s="1"/>
  <c r="F67" i="7"/>
  <c r="F69" i="7" s="1"/>
  <c r="D67" i="7"/>
  <c r="D69" i="7" s="1"/>
  <c r="G67" i="7"/>
  <c r="G69" i="7" s="1"/>
  <c r="H67" i="7"/>
  <c r="H69" i="7" s="1"/>
  <c r="I67" i="7"/>
  <c r="I69" i="7" s="1"/>
  <c r="J67" i="7"/>
  <c r="J69" i="7" s="1"/>
  <c r="K67" i="7"/>
  <c r="K69" i="7" s="1"/>
  <c r="L31" i="7"/>
  <c r="L33" i="7" s="1"/>
  <c r="E31" i="7"/>
  <c r="E33" i="7" s="1"/>
  <c r="M31" i="7"/>
  <c r="F31" i="7"/>
  <c r="F33" i="7" s="1"/>
  <c r="D31" i="7"/>
  <c r="D33" i="7" s="1"/>
  <c r="G31" i="7"/>
  <c r="G33" i="7" s="1"/>
  <c r="H31" i="7"/>
  <c r="H33" i="7" s="1"/>
  <c r="I31" i="7"/>
  <c r="I33" i="7" s="1"/>
  <c r="J31" i="7"/>
  <c r="J33" i="7" s="1"/>
  <c r="K31" i="7"/>
  <c r="K33" i="7" s="1"/>
  <c r="R33" i="6"/>
  <c r="N33" i="6"/>
  <c r="N35" i="6" s="1"/>
  <c r="N37" i="6" s="1"/>
  <c r="N69" i="6"/>
  <c r="N71" i="6" s="1"/>
  <c r="N73" i="6" s="1"/>
  <c r="R34" i="6"/>
  <c r="B31" i="8" l="1"/>
  <c r="C31" i="8"/>
  <c r="M33" i="7"/>
  <c r="N69" i="8"/>
  <c r="N71" i="8" s="1"/>
  <c r="N73" i="8" s="1"/>
  <c r="N76" i="6"/>
  <c r="O76" i="6" s="1"/>
  <c r="N75" i="7"/>
  <c r="N40" i="6"/>
  <c r="N41" i="6" s="1"/>
  <c r="N39" i="7"/>
  <c r="N69" i="7"/>
  <c r="N71" i="7" s="1"/>
  <c r="N73" i="7" s="1"/>
  <c r="N75" i="8" s="1"/>
  <c r="N33" i="7"/>
  <c r="N35" i="7" s="1"/>
  <c r="N37" i="7" s="1"/>
  <c r="R35" i="6"/>
  <c r="N76" i="8" l="1"/>
  <c r="O76" i="8" s="1"/>
  <c r="D32" i="8"/>
  <c r="D33" i="8" s="1"/>
  <c r="N39" i="8"/>
  <c r="C32" i="8"/>
  <c r="C33" i="8" s="1"/>
  <c r="N76" i="7"/>
  <c r="O76" i="7" s="1"/>
  <c r="B32" i="8"/>
  <c r="B33" i="8" s="1"/>
  <c r="N33" i="8" s="1"/>
  <c r="N35" i="8" s="1"/>
  <c r="N40" i="7"/>
  <c r="N41" i="7" s="1"/>
  <c r="N77" i="6"/>
  <c r="N77" i="7"/>
  <c r="O40" i="6"/>
  <c r="N77" i="8" l="1"/>
  <c r="N37" i="8"/>
  <c r="N40" i="8" s="1"/>
  <c r="O40" i="7"/>
  <c r="O40" i="8" l="1"/>
  <c r="N41" i="8"/>
</calcChain>
</file>

<file path=xl/comments1.xml><?xml version="1.0" encoding="utf-8"?>
<comments xmlns="http://schemas.openxmlformats.org/spreadsheetml/2006/main">
  <authors>
    <author>Heather Garland</author>
  </authors>
  <commentList>
    <comment ref="H37"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75"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Lindsay Waldram</author>
  </authors>
  <commentList>
    <comment ref="H39"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authors>
    <author>Author</author>
  </authors>
  <commentList>
    <comment ref="A38"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<sst xmlns="http://schemas.openxmlformats.org/spreadsheetml/2006/main" count="393" uniqueCount="60">
  <si>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</si>
  <si>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</si>
  <si>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</si>
  <si>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</si>
  <si>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</si>
  <si>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</si>
  <si>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</si>
  <si>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</si>
  <si>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</si>
  <si>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</si>
  <si>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</si>
  <si>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</si>
  <si>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</si>
  <si>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</si>
  <si>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</si>
  <si>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</si>
  <si>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</si>
  <si>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</si>
  <si>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</si>
  <si>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</si>
  <si>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</si>
  <si>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</si>
  <si>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</si>
  <si>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</si>
  <si>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</si>
  <si>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</si>
  <si>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</si>
  <si>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</si>
  <si>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</si>
  <si>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</si>
  <si>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</si>
  <si>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</si>
  <si>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</si>
  <si>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</si>
  <si>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</si>
  <si>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</si>
  <si>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</si>
  <si>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</si>
  <si>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</si>
  <si>
    <t>Effective January 1, 2020</t>
  </si>
  <si>
    <t>Printing&amp;Postage:</t>
  </si>
  <si>
    <t>12 Month Average:</t>
  </si>
  <si>
    <t>Effective January 1, 2021</t>
  </si>
  <si>
    <t>Customers</t>
  </si>
  <si>
    <t>New Commodity Debit/(Credit):</t>
  </si>
  <si>
    <t>Old Debit/(Credit):</t>
  </si>
  <si>
    <t>Pacific Disposal/Butler Cove Refuse/ Rural Garbage</t>
  </si>
  <si>
    <t>Effective January 1, 2022</t>
  </si>
  <si>
    <t>12 Month Average Commodity Value:</t>
  </si>
  <si>
    <t>Effective January 1, 2023</t>
  </si>
  <si>
    <t>Glass Revenue (Expense)/ton</t>
  </si>
  <si>
    <t>Earned Revenue (Expense)</t>
  </si>
  <si>
    <t>Commingle</t>
  </si>
  <si>
    <t>Earned Revenue (Expense)/Customer</t>
  </si>
  <si>
    <t>Projected Revenue (Expense)/Customer</t>
  </si>
  <si>
    <t>Due From (To) Customers</t>
  </si>
  <si>
    <t>Projected Revenue (Expense)</t>
  </si>
  <si>
    <t>Tons</t>
  </si>
  <si>
    <t>Commingle Revenue (Expense)/ton</t>
  </si>
  <si>
    <t>12-Month rolling cost/(benefit) of material sales/customer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</si>
</sst>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3"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
      <sz val="10"/>
      <color rgb="FFFF0000"/>
      <name val="Arial"/>
      <family val="2"/>
    </font>
  </fonts>
  <fills count="67">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95">
    <xf numFmtId="0" fontId="0" fillId="0" borderId="0" xfId="0"/>
    <xf numFmtId="0" fontId="3" fillId="0" borderId="0" xfId="4" applyFont="1" applyAlignment="1">
      <alignment horizontal="center"/>
    </xf>
    <xf numFmtId="17" fontId="3" fillId="0" borderId="1" xfId="4" applyNumberFormat="1" applyFont="1" applyBorder="1" applyAlignment="1">
      <alignment horizontal="center"/>
    </xf>
    <xf numFmtId="17" fontId="3" fillId="0" borderId="0" xfId="4" applyNumberFormat="1" applyFont="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xf numFmtId="17" fontId="3" fillId="0" borderId="0" xfId="4" quotePrefix="1" applyNumberFormat="1" applyFont="1" applyAlignment="1">
      <alignment horizontal="center"/>
    </xf>
    <xf numFmtId="0" fontId="6" fillId="0" borderId="0" xfId="4" applyFont="1" applyAlignment="1">
      <alignment horizontal="center"/>
    </xf>
    <xf numFmtId="0" fontId="7" fillId="0" borderId="0" xfId="4" applyFont="1" applyAlignment="1">
      <alignment horizontal="left"/>
    </xf>
    <xf numFmtId="0" fontId="7" fillId="0" borderId="0" xfId="4" applyFont="1"/>
    <xf numFmtId="44" fontId="2" fillId="0" borderId="0" xfId="2" applyFont="1" applyFill="1"/>
    <xf numFmtId="10" fontId="2" fillId="0" borderId="0" xfId="3" applyNumberFormat="1" applyFont="1" applyFill="1" applyAlignment="1">
      <alignment horizontal="right"/>
    </xf>
    <xf numFmtId="0" fontId="6" fillId="0" borderId="0" xfId="4" applyFont="1" applyAlignment="1">
      <alignment horizontal="left"/>
    </xf>
    <xf numFmtId="3" fontId="2" fillId="0" borderId="0" xfId="4" applyNumberFormat="1"/>
    <xf numFmtId="0" fontId="2" fillId="0" borderId="0" xfId="4" applyAlignment="1">
      <alignment horizontal="center"/>
    </xf>
    <xf numFmtId="0" fontId="2" fillId="0" borderId="1" xfId="4" applyBorder="1" applyAlignment="1">
      <alignment horizontal="center"/>
    </xf>
    <xf numFmtId="164" fontId="2" fillId="0" borderId="0" xfId="4" applyNumberFormat="1" applyAlignment="1">
      <alignment horizontal="center"/>
    </xf>
    <xf numFmtId="17" fontId="2" fillId="0" borderId="0" xfId="4" applyNumberFormat="1" applyAlignment="1">
      <alignment horizontal="center"/>
    </xf>
    <xf numFmtId="43" fontId="3" fillId="0" borderId="2" xfId="1"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xf numFmtId="43" fontId="3" fillId="0" borderId="0" xfId="1" applyFont="1" applyFill="1" applyBorder="1"/>
    <xf numFmtId="44" fontId="2" fillId="0" borderId="0" xfId="4" applyNumberFormat="1"/>
    <xf numFmtId="4" fontId="3" fillId="0" borderId="0" xfId="4" applyNumberFormat="1" applyFont="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xf numFmtId="165" fontId="3" fillId="0" borderId="0" xfId="4" applyNumberFormat="1" applyFont="1"/>
    <xf numFmtId="165" fontId="2" fillId="0" borderId="0" xfId="4" applyNumberFormat="1"/>
    <xf numFmtId="10" fontId="2" fillId="0" borderId="0" xfId="3" applyNumberFormat="1" applyFont="1" applyFill="1" applyBorder="1"/>
    <xf numFmtId="43" fontId="3" fillId="0" borderId="0" xfId="4" applyNumberFormat="1" applyFont="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0" fontId="67" fillId="0" borderId="0" xfId="30" applyNumberFormat="1" applyFont="1" applyBorder="1"/>
    <xf numFmtId="0" fontId="2" fillId="0" borderId="0" xfId="4"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xf numFmtId="44" fontId="2" fillId="63" borderId="0" xfId="2" applyFont="1" applyFill="1"/>
    <xf numFmtId="43" fontId="2" fillId="63" borderId="0" xfId="1" applyFont="1" applyFill="1" applyBorder="1"/>
    <xf numFmtId="0" fontId="67" fillId="0" borderId="0" xfId="30" applyNumberFormat="1" applyFont="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Border="1"/>
    <xf numFmtId="44" fontId="2" fillId="0" borderId="1" xfId="4" applyNumberFormat="1" applyBorder="1"/>
    <xf numFmtId="44" fontId="2" fillId="0" borderId="0" xfId="2" applyFont="1" applyFill="1" applyAlignment="1">
      <alignment horizontal="right"/>
    </xf>
    <xf numFmtId="0" fontId="71" fillId="0" borderId="0" xfId="4" applyFont="1"/>
    <xf numFmtId="7" fontId="2" fillId="63" borderId="0" xfId="2" applyNumberFormat="1" applyFont="1" applyFill="1"/>
    <xf numFmtId="44" fontId="3" fillId="0" borderId="28" xfId="2" applyFont="1" applyFill="1" applyBorder="1"/>
    <xf numFmtId="44" fontId="2" fillId="0" borderId="1" xfId="2" applyFont="1" applyFill="1" applyBorder="1"/>
    <xf numFmtId="9" fontId="2" fillId="0" borderId="0" xfId="3" applyFont="1" applyFill="1" applyBorder="1"/>
    <xf numFmtId="44" fontId="3" fillId="0" borderId="0" xfId="2" applyFont="1" applyFill="1"/>
    <xf numFmtId="10" fontId="2" fillId="0" borderId="0" xfId="3" applyNumberFormat="1" applyFont="1" applyFill="1" applyAlignment="1">
      <alignment horizontal="left"/>
    </xf>
    <xf numFmtId="165" fontId="2" fillId="0" borderId="0" xfId="1" applyNumberFormat="1" applyFont="1" applyFill="1" applyAlignment="1">
      <alignment horizontal="left"/>
    </xf>
    <xf numFmtId="8" fontId="2" fillId="0" borderId="0" xfId="2" applyNumberFormat="1" applyFont="1" applyFill="1"/>
    <xf numFmtId="43" fontId="72" fillId="64" borderId="0" xfId="1" applyFont="1" applyFill="1" applyBorder="1"/>
    <xf numFmtId="44" fontId="2" fillId="63" borderId="0" xfId="2" applyFont="1" applyFill="1" applyBorder="1"/>
    <xf numFmtId="43" fontId="2" fillId="0" borderId="0" xfId="1" applyFont="1" applyFill="1" applyAlignment="1">
      <alignment horizontal="right"/>
    </xf>
    <xf numFmtId="44" fontId="3" fillId="0" borderId="0" xfId="4" applyNumberFormat="1" applyFont="1"/>
    <xf numFmtId="43" fontId="3" fillId="65" borderId="2" xfId="1" applyFont="1" applyFill="1" applyBorder="1"/>
    <xf numFmtId="166" fontId="3" fillId="0" borderId="29" xfId="2" applyNumberFormat="1" applyFont="1" applyFill="1" applyBorder="1"/>
    <xf numFmtId="44" fontId="2" fillId="66" borderId="0" xfId="2" applyFont="1" applyFill="1"/>
    <xf numFmtId="43" fontId="72" fillId="63" borderId="0" xfId="1" applyFont="1" applyFill="1" applyBorder="1"/>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ific%20Disposal%20Commodity%20Accrual%20Calc%202023.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st-file01\Regions\Western%20Region\WUTC\WIP%20Files\Commodity%20Credit\2017-2018%20Accrual%20Spreadsheets\Pacific%20Disposal,%20Butler's%20Cover,%20Rural%20Refuse%20Commodity%20Accrual%20Calc%202017-2018%20UPDATED%20FOR%20NEW%20M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7\Pacific%20Disposal,%20Commodity%20Credit%20Calculation,%207-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cific%20Disposal%20Commodity%20Accrual%20Calc%2020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2022/Pacific%20Disposal%20Commodity%20Accrual%20Calc%202021.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2020\Pacific%20Disposal,%20Commodity%20Adjust%20Calc%201-1-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Rural\Commodity%20Price%20Adjust%201-1-2020\Rural%20Garbage%20Service,%20CPA%20Calc%20-1-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2021\Pacific%20Disposal,%20Butler's%20Cover,%20Rural%20Refuse%20Commodity%20Accrual%20Calc%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8\Pacific%20Disposal,%20Commodity%20Credit%20Calculation,%207-1-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Regions\Western%20Region\WUTC\WIP%20Files\Commodity%20Credit\2018-2019%20Accrual%20Spreadsheets\Pacific%20Disposal,%20Butler's%20Cover,%20Rural%20Refuse%20Commodity%20Accrual%20Calc%202018-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19\Pacific%20Disposal,%20Commodity%20Adjust%20Calc%20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Yearly Totals 21"/>
      <sheetName val="Yearly Totals 22"/>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11">
          <cell r="N11">
            <v>14114.890000000001</v>
          </cell>
        </row>
        <row r="15">
          <cell r="B15">
            <v>-1.0219340000000017</v>
          </cell>
          <cell r="C15">
            <v>-27.709969000000001</v>
          </cell>
          <cell r="D15">
            <v>-40.545233999999986</v>
          </cell>
          <cell r="E15">
            <v>-41.55945000000002</v>
          </cell>
          <cell r="F15">
            <v>-29.144149999999996</v>
          </cell>
          <cell r="G15">
            <v>-25.152250000000006</v>
          </cell>
          <cell r="H15">
            <v>-28.644450000000013</v>
          </cell>
          <cell r="I15">
            <v>-35.214650000000013</v>
          </cell>
          <cell r="J15">
            <v>-49.875250000000001</v>
          </cell>
          <cell r="K15">
            <v>-65.193150000000003</v>
          </cell>
          <cell r="L15">
            <v>-115.70665000000002</v>
          </cell>
          <cell r="M15">
            <v>-144.03355000000002</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-659889.76361856016</v>
          </cell>
        </row>
        <row r="23">
          <cell r="B23">
            <v>61918</v>
          </cell>
          <cell r="C23">
            <v>62458</v>
          </cell>
          <cell r="D23">
            <v>61982</v>
          </cell>
          <cell r="E23">
            <v>62188</v>
          </cell>
          <cell r="F23">
            <v>62442</v>
          </cell>
          <cell r="G23">
            <v>62775</v>
          </cell>
          <cell r="H23">
            <v>62685</v>
          </cell>
          <cell r="I23">
            <v>63110</v>
          </cell>
          <cell r="J23">
            <v>62808</v>
          </cell>
          <cell r="K23">
            <v>63395</v>
          </cell>
          <cell r="L23">
            <v>63266</v>
          </cell>
          <cell r="M23">
            <v>63302</v>
          </cell>
          <cell r="N23">
            <v>752329</v>
          </cell>
        </row>
        <row r="39">
          <cell r="B39">
            <v>99.530274000000006</v>
          </cell>
          <cell r="C39">
            <v>109.01506200000001</v>
          </cell>
          <cell r="D39">
            <v>109.01506200000001</v>
          </cell>
          <cell r="E39">
            <v>94.807880000000011</v>
          </cell>
          <cell r="F39">
            <v>109.015062</v>
          </cell>
          <cell r="G39">
            <v>99.530274000000006</v>
          </cell>
          <cell r="H39">
            <v>99.663246000000015</v>
          </cell>
          <cell r="I39">
            <v>99.663246000000015</v>
          </cell>
          <cell r="J39">
            <v>95.13355300000002</v>
          </cell>
          <cell r="K39">
            <v>104.19293900000002</v>
          </cell>
          <cell r="L39">
            <v>99.663246000000015</v>
          </cell>
          <cell r="M39">
            <v>95.13355300000002</v>
          </cell>
        </row>
        <row r="40">
          <cell r="B40">
            <v>19.12</v>
          </cell>
          <cell r="C40">
            <v>19.05</v>
          </cell>
          <cell r="D40">
            <v>22.36</v>
          </cell>
          <cell r="E40">
            <v>18.190000000000001</v>
          </cell>
          <cell r="F40">
            <v>21.44</v>
          </cell>
          <cell r="G40">
            <v>18.650000000000002</v>
          </cell>
          <cell r="H40">
            <v>17.77</v>
          </cell>
          <cell r="I40">
            <v>18.579999999999998</v>
          </cell>
          <cell r="J40">
            <v>16.78</v>
          </cell>
          <cell r="K40">
            <v>18.420000000000002</v>
          </cell>
          <cell r="L40">
            <v>17.5</v>
          </cell>
          <cell r="M40">
            <v>16.989999999999998</v>
          </cell>
        </row>
        <row r="41">
          <cell r="N41">
            <v>1439.2133970000004</v>
          </cell>
        </row>
        <row r="53">
          <cell r="B53">
            <v>12680.419277108433</v>
          </cell>
          <cell r="C53">
            <v>12537.999999999998</v>
          </cell>
          <cell r="D53">
            <v>12540.997590361445</v>
          </cell>
          <cell r="E53">
            <v>12604.440963855419</v>
          </cell>
          <cell r="F53">
            <v>13428.267469879516</v>
          </cell>
          <cell r="G53">
            <v>13808.404819277108</v>
          </cell>
          <cell r="H53">
            <v>13850.221686746989</v>
          </cell>
          <cell r="I53">
            <v>13853.708433734939</v>
          </cell>
          <cell r="J53">
            <v>13847.72771084337</v>
          </cell>
          <cell r="K53">
            <v>13892.662650602408</v>
          </cell>
          <cell r="L53">
            <v>14162.612048192768</v>
          </cell>
          <cell r="M53">
            <v>14085.043373493972</v>
          </cell>
          <cell r="N53">
            <v>161292.50602409634</v>
          </cell>
        </row>
      </sheetData>
      <sheetData sheetId="1">
        <row r="8">
          <cell r="C8">
            <v>1165.2499999999998</v>
          </cell>
          <cell r="D8">
            <v>1021.46</v>
          </cell>
          <cell r="E8">
            <v>1348.73</v>
          </cell>
          <cell r="F8">
            <v>939.58</v>
          </cell>
          <cell r="G8">
            <v>1075.6599999999999</v>
          </cell>
          <cell r="H8">
            <v>1078.31</v>
          </cell>
          <cell r="I8">
            <v>1076.76</v>
          </cell>
          <cell r="J8">
            <v>1020.99</v>
          </cell>
          <cell r="K8">
            <v>1018.4200000000001</v>
          </cell>
          <cell r="L8">
            <v>1026.73</v>
          </cell>
          <cell r="M8">
            <v>983.25000000000011</v>
          </cell>
          <cell r="N8">
            <v>918.85</v>
          </cell>
        </row>
        <row r="9">
          <cell r="C9">
            <v>116.18</v>
          </cell>
          <cell r="D9">
            <v>82.55</v>
          </cell>
          <cell r="E9">
            <v>161.41</v>
          </cell>
          <cell r="F9">
            <v>110.59</v>
          </cell>
          <cell r="G9">
            <v>140.21</v>
          </cell>
          <cell r="H9">
            <v>106.19</v>
          </cell>
          <cell r="I9">
            <v>119.85</v>
          </cell>
          <cell r="J9">
            <v>140.29</v>
          </cell>
          <cell r="K9">
            <v>110.31</v>
          </cell>
          <cell r="L9">
            <v>122.81</v>
          </cell>
          <cell r="M9">
            <v>114.34</v>
          </cell>
          <cell r="N9">
            <v>116.17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row r="9">
          <cell r="B9">
            <v>134.01000000000002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Yearly Totals 20"/>
      <sheetName val="Yearly Totals 21"/>
      <sheetName val="2021 AH051"/>
      <sheetName val="May 2021 AH051"/>
      <sheetName val="Apr 2021 AH051"/>
      <sheetName val="Mar 2021 AH051"/>
      <sheetName val="Feb 2021 AH051"/>
      <sheetName val="Jan 2021 AH051"/>
      <sheetName val="Dec 2020 AH051"/>
      <sheetName val="Nov 2020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1151.22</v>
          </cell>
          <cell r="C9">
            <v>1298.98</v>
          </cell>
          <cell r="D9">
            <v>1286.1399999999999</v>
          </cell>
          <cell r="E9">
            <v>1010.1600000000002</v>
          </cell>
          <cell r="F9">
            <v>1194.5000000000002</v>
          </cell>
          <cell r="G9">
            <v>1145.92</v>
          </cell>
          <cell r="H9">
            <v>1077.6500000000001</v>
          </cell>
          <cell r="I9">
            <v>1133.21</v>
          </cell>
          <cell r="J9">
            <v>1091.68</v>
          </cell>
          <cell r="K9">
            <v>1048.8799999999999</v>
          </cell>
          <cell r="L9">
            <v>1112.4800000000002</v>
          </cell>
          <cell r="M9">
            <v>1065.0400000000002</v>
          </cell>
        </row>
        <row r="10">
          <cell r="B10">
            <v>134.56</v>
          </cell>
          <cell r="C10">
            <v>156.06</v>
          </cell>
          <cell r="D10">
            <v>153.1</v>
          </cell>
          <cell r="E10">
            <v>128.26</v>
          </cell>
          <cell r="F10">
            <v>137.30000000000001</v>
          </cell>
          <cell r="G10">
            <v>138.57</v>
          </cell>
          <cell r="H10">
            <v>129.31</v>
          </cell>
          <cell r="I10">
            <v>128.06</v>
          </cell>
          <cell r="J10">
            <v>150.32</v>
          </cell>
          <cell r="K10">
            <v>132.82</v>
          </cell>
          <cell r="L10">
            <v>114.76</v>
          </cell>
          <cell r="M10">
            <v>117.73</v>
          </cell>
        </row>
        <row r="11">
          <cell r="N11">
            <v>15236.710000000001</v>
          </cell>
        </row>
        <row r="15">
          <cell r="B15">
            <v>-72.580631999999994</v>
          </cell>
          <cell r="C15">
            <v>-63.20414199999999</v>
          </cell>
          <cell r="D15">
            <v>-60.236732000000003</v>
          </cell>
          <cell r="E15">
            <v>-69.997132000000008</v>
          </cell>
          <cell r="F15">
            <v>-64.593232</v>
          </cell>
          <cell r="G15">
            <v>-47.949632000000015</v>
          </cell>
          <cell r="H15">
            <v>-41.422732000000011</v>
          </cell>
          <cell r="I15">
            <v>-19.477296000000003</v>
          </cell>
          <cell r="J15">
            <v>0.85818399999999884</v>
          </cell>
          <cell r="K15">
            <v>14.161643999999999</v>
          </cell>
          <cell r="L15">
            <v>19.965324000000006</v>
          </cell>
          <cell r="M15">
            <v>17.212044000000002</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-509807.28011408</v>
          </cell>
        </row>
        <row r="23">
          <cell r="B23">
            <v>61358</v>
          </cell>
          <cell r="C23">
            <v>61419</v>
          </cell>
          <cell r="D23">
            <v>61515</v>
          </cell>
          <cell r="E23">
            <v>61602</v>
          </cell>
          <cell r="F23">
            <v>61749</v>
          </cell>
          <cell r="G23">
            <v>61996</v>
          </cell>
          <cell r="H23">
            <v>61713</v>
          </cell>
          <cell r="I23">
            <v>62340</v>
          </cell>
          <cell r="J23">
            <v>62499</v>
          </cell>
          <cell r="K23">
            <v>62602</v>
          </cell>
          <cell r="L23">
            <v>62541</v>
          </cell>
          <cell r="M23">
            <v>62528</v>
          </cell>
          <cell r="N23">
            <v>743862</v>
          </cell>
        </row>
        <row r="39">
          <cell r="B39">
            <v>86.939999999999969</v>
          </cell>
          <cell r="C39">
            <v>95.220000000000027</v>
          </cell>
          <cell r="D39">
            <v>95.220000000000027</v>
          </cell>
          <cell r="E39">
            <v>82.8</v>
          </cell>
          <cell r="F39">
            <v>91.090000000000018</v>
          </cell>
          <cell r="G39">
            <v>91.090000000000018</v>
          </cell>
          <cell r="H39">
            <v>98.909999999999968</v>
          </cell>
          <cell r="I39">
            <v>103.60999999999997</v>
          </cell>
          <cell r="J39">
            <v>108.32000000000002</v>
          </cell>
          <cell r="K39">
            <v>98.91</v>
          </cell>
          <cell r="L39">
            <v>103.61240799999999</v>
          </cell>
          <cell r="M39">
            <v>103.61240799999999</v>
          </cell>
        </row>
        <row r="40">
          <cell r="B40">
            <v>14.32</v>
          </cell>
          <cell r="C40">
            <v>16.03</v>
          </cell>
          <cell r="D40">
            <v>15.9</v>
          </cell>
          <cell r="E40">
            <v>13.620000000000001</v>
          </cell>
          <cell r="F40">
            <v>14.82</v>
          </cell>
          <cell r="G40">
            <v>14.850000000000001</v>
          </cell>
          <cell r="H40">
            <v>22.05</v>
          </cell>
          <cell r="I40">
            <v>22.740000000000002</v>
          </cell>
          <cell r="J40">
            <v>24.44</v>
          </cell>
          <cell r="K40">
            <v>22.12</v>
          </cell>
          <cell r="L40">
            <v>22.160000000000004</v>
          </cell>
          <cell r="M40">
            <v>22.290000000000003</v>
          </cell>
        </row>
        <row r="41">
          <cell r="N41">
            <v>1384.674816</v>
          </cell>
        </row>
        <row r="51">
          <cell r="N51">
            <v>-42317.153919897857</v>
          </cell>
        </row>
        <row r="53">
          <cell r="B53">
            <v>12343.88834951456</v>
          </cell>
          <cell r="C53">
            <v>12388.099514563104</v>
          </cell>
          <cell r="D53">
            <v>12401.033980582522</v>
          </cell>
          <cell r="E53">
            <v>12364.512135922329</v>
          </cell>
          <cell r="F53">
            <v>12469.694174757284</v>
          </cell>
          <cell r="G53">
            <v>12488.031553398059</v>
          </cell>
          <cell r="H53">
            <v>12508.271844660194</v>
          </cell>
          <cell r="I53">
            <v>12507.407766990291</v>
          </cell>
          <cell r="J53">
            <v>12508.781553398056</v>
          </cell>
          <cell r="K53">
            <v>12504.266990291262</v>
          </cell>
          <cell r="L53">
            <v>12470.722891566262</v>
          </cell>
          <cell r="M53">
            <v>12471.49879518072</v>
          </cell>
          <cell r="N53">
            <v>149426.20955082466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Thurston Co Report - 2019"/>
      <sheetName val="Yearly Totals 20"/>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990.0200000000001</v>
          </cell>
          <cell r="C9">
            <v>1076.76</v>
          </cell>
          <cell r="D9">
            <v>1258.1199999999999</v>
          </cell>
          <cell r="E9">
            <v>966.62000000000023</v>
          </cell>
          <cell r="F9">
            <v>1048.43</v>
          </cell>
          <cell r="G9">
            <v>1208.2400000000002</v>
          </cell>
          <cell r="H9">
            <v>1142.6999999999998</v>
          </cell>
          <cell r="I9">
            <v>1160.28</v>
          </cell>
          <cell r="J9">
            <v>1136.94</v>
          </cell>
          <cell r="K9">
            <v>1065.7699999999998</v>
          </cell>
          <cell r="L9">
            <v>1143.3000000000002</v>
          </cell>
          <cell r="M9">
            <v>1156.3499999999997</v>
          </cell>
        </row>
        <row r="10">
          <cell r="B10">
            <v>99.960000000000008</v>
          </cell>
          <cell r="C10">
            <v>169.2</v>
          </cell>
          <cell r="D10">
            <v>138.44999999999999</v>
          </cell>
          <cell r="E10">
            <v>112.05</v>
          </cell>
          <cell r="F10">
            <v>120.75</v>
          </cell>
          <cell r="G10">
            <v>191.52</v>
          </cell>
          <cell r="H10">
            <v>230</v>
          </cell>
          <cell r="I10">
            <v>172.82</v>
          </cell>
          <cell r="J10">
            <v>165.77</v>
          </cell>
          <cell r="K10">
            <v>153.66999999999999</v>
          </cell>
          <cell r="L10">
            <v>160.32</v>
          </cell>
          <cell r="M10">
            <v>134.51</v>
          </cell>
        </row>
        <row r="15">
          <cell r="B15">
            <v>-112.07739999999998</v>
          </cell>
          <cell r="C15">
            <v>-111.72239999999998</v>
          </cell>
          <cell r="D15">
            <v>-105.466292</v>
          </cell>
          <cell r="E15">
            <v>-103.51889199999999</v>
          </cell>
          <cell r="F15">
            <v>-102.62899200000001</v>
          </cell>
          <cell r="G15">
            <v>-103.82879199999999</v>
          </cell>
          <cell r="H15">
            <v>-87.989891999999998</v>
          </cell>
          <cell r="I15">
            <v>-99.692811999999989</v>
          </cell>
          <cell r="J15">
            <v>-101.05185199999997</v>
          </cell>
          <cell r="K15">
            <v>-94.481131999999988</v>
          </cell>
          <cell r="L15">
            <v>-87.155441999999994</v>
          </cell>
          <cell r="M15">
            <v>-83.977722</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59677</v>
          </cell>
          <cell r="C23">
            <v>59667</v>
          </cell>
          <cell r="D23">
            <v>59735</v>
          </cell>
          <cell r="E23">
            <v>59768</v>
          </cell>
          <cell r="F23">
            <v>60042</v>
          </cell>
          <cell r="G23">
            <v>60497</v>
          </cell>
          <cell r="H23">
            <v>60831</v>
          </cell>
          <cell r="I23">
            <v>60760</v>
          </cell>
          <cell r="J23">
            <v>61009</v>
          </cell>
          <cell r="K23">
            <v>61225</v>
          </cell>
          <cell r="L23">
            <v>61287</v>
          </cell>
          <cell r="M23">
            <v>61261</v>
          </cell>
          <cell r="N23">
            <v>725759</v>
          </cell>
        </row>
        <row r="39">
          <cell r="B39">
            <v>67.960000000000022</v>
          </cell>
          <cell r="C39">
            <v>71.209999999999994</v>
          </cell>
          <cell r="D39">
            <v>81.41</v>
          </cell>
          <cell r="E39">
            <v>70.8</v>
          </cell>
          <cell r="F39">
            <v>77.869999999999976</v>
          </cell>
          <cell r="G39">
            <v>77.87</v>
          </cell>
          <cell r="H39">
            <v>79.59</v>
          </cell>
          <cell r="I39">
            <v>83.389999999999986</v>
          </cell>
          <cell r="J39">
            <v>87.170000000000016</v>
          </cell>
          <cell r="K39">
            <v>79.59</v>
          </cell>
          <cell r="L39">
            <v>83.39</v>
          </cell>
          <cell r="M39">
            <v>83.39</v>
          </cell>
        </row>
        <row r="40">
          <cell r="B40">
            <v>12.860000000000001</v>
          </cell>
          <cell r="C40">
            <v>16.340000000000003</v>
          </cell>
          <cell r="D40">
            <v>15.14</v>
          </cell>
          <cell r="E40">
            <v>12.8</v>
          </cell>
          <cell r="F40">
            <v>13.950000000000001</v>
          </cell>
          <cell r="G40">
            <v>16.91</v>
          </cell>
          <cell r="H40">
            <v>17.920000000000002</v>
          </cell>
          <cell r="I40">
            <v>15.96</v>
          </cell>
          <cell r="J40">
            <v>6.84</v>
          </cell>
          <cell r="K40">
            <v>14.72</v>
          </cell>
          <cell r="L40">
            <v>15.38</v>
          </cell>
          <cell r="M40">
            <v>14.330000000000002</v>
          </cell>
        </row>
        <row r="53">
          <cell r="B53">
            <v>11551.298336798336</v>
          </cell>
          <cell r="C53">
            <v>11530.5</v>
          </cell>
          <cell r="D53">
            <v>11554.500000000002</v>
          </cell>
          <cell r="E53">
            <v>11585.067961165048</v>
          </cell>
          <cell r="F53">
            <v>11590</v>
          </cell>
          <cell r="G53">
            <v>11596.334951456311</v>
          </cell>
          <cell r="H53">
            <v>11623</v>
          </cell>
          <cell r="I53">
            <v>11617.002079002079</v>
          </cell>
          <cell r="J53">
            <v>11614.800970873786</v>
          </cell>
          <cell r="K53">
            <v>11637.128640776698</v>
          </cell>
          <cell r="L53">
            <v>11754.643203883494</v>
          </cell>
          <cell r="M53">
            <v>12262.029126213591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PA Eff. 1.1.20"/>
      <sheetName val="Pacific CPA Eff. 7.1.19"/>
      <sheetName val="Pacific CPA Eff. 1.1.19"/>
      <sheetName val="Pacific CPA 7.1.18"/>
    </sheetNames>
    <sheetDataSet>
      <sheetData sheetId="0">
        <row r="34">
          <cell r="M34">
            <v>25264.011211475052</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 CPA Eff. 1.1.20"/>
      <sheetName val="Rural CPA Eff. 7.1.19"/>
      <sheetName val="Rural CPA Eff. 7.1.18"/>
    </sheetNames>
    <sheetDataSet>
      <sheetData sheetId="0">
        <row r="11">
          <cell r="H11">
            <v>873.51</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row>
        <row r="38">
          <cell r="N38">
            <v>-1.1456429004883295</v>
          </cell>
        </row>
        <row r="76">
          <cell r="N76">
            <v>-0.45344397557530808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8"/>
      <sheetName val="Pioneer Pricing"/>
      <sheetName val="MF Customer Counts"/>
      <sheetName val="Oct 2018 AH051"/>
      <sheetName val="Sep 2018 AH051"/>
      <sheetName val="Aug 2018 AH051"/>
      <sheetName val="July 2018 AH051"/>
      <sheetName val="June 2018 AH051"/>
      <sheetName val="May 2018 AH05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971.3900000000001</v>
          </cell>
          <cell r="C9">
            <v>897.8900000000001</v>
          </cell>
          <cell r="D9">
            <v>897.69000000000017</v>
          </cell>
          <cell r="E9">
            <v>957.0200000000001</v>
          </cell>
          <cell r="F9">
            <v>831.45999999999992</v>
          </cell>
          <cell r="G9">
            <v>930.10000000000014</v>
          </cell>
        </row>
        <row r="10">
          <cell r="B10">
            <v>123.86</v>
          </cell>
          <cell r="C10">
            <v>119.36999999999999</v>
          </cell>
          <cell r="D10">
            <v>124.41999999999999</v>
          </cell>
          <cell r="E10">
            <v>127.82000000000001</v>
          </cell>
          <cell r="F10">
            <v>110.49</v>
          </cell>
          <cell r="G10">
            <v>113.05</v>
          </cell>
        </row>
        <row r="15">
          <cell r="B15">
            <v>-49.361342000000008</v>
          </cell>
          <cell r="C15">
            <v>-39.01424200000001</v>
          </cell>
          <cell r="D15">
            <v>-75.69984199999999</v>
          </cell>
          <cell r="E15">
            <v>-70.12384200000001</v>
          </cell>
          <cell r="F15">
            <v>-75.034980000000004</v>
          </cell>
          <cell r="G15">
            <v>-73.294049999999999</v>
          </cell>
        </row>
        <row r="16">
          <cell r="B16">
            <v>-30</v>
          </cell>
          <cell r="C16">
            <v>-30</v>
          </cell>
          <cell r="D16">
            <v>-30</v>
          </cell>
          <cell r="E16">
            <v>-30</v>
          </cell>
          <cell r="F16">
            <v>-30</v>
          </cell>
          <cell r="G16">
            <v>-30</v>
          </cell>
        </row>
        <row r="23">
          <cell r="B23">
            <v>46541</v>
          </cell>
          <cell r="C23">
            <v>46615</v>
          </cell>
          <cell r="D23">
            <v>46754</v>
          </cell>
          <cell r="E23">
            <v>46959</v>
          </cell>
          <cell r="F23">
            <v>47021</v>
          </cell>
          <cell r="G23">
            <v>46518</v>
          </cell>
        </row>
        <row r="24">
          <cell r="B24">
            <v>3643</v>
          </cell>
          <cell r="C24">
            <v>3645</v>
          </cell>
          <cell r="D24">
            <v>3665</v>
          </cell>
          <cell r="E24">
            <v>3563</v>
          </cell>
          <cell r="F24">
            <v>3530</v>
          </cell>
          <cell r="G24">
            <v>3490</v>
          </cell>
        </row>
        <row r="28">
          <cell r="B28">
            <v>1.35</v>
          </cell>
          <cell r="C28">
            <v>1.35</v>
          </cell>
          <cell r="D28">
            <v>-1.1499999999999999</v>
          </cell>
          <cell r="E28">
            <v>-1.1499999999999999</v>
          </cell>
          <cell r="F28">
            <v>-1.1499999999999999</v>
          </cell>
          <cell r="G28">
            <v>-1.1499999999999999</v>
          </cell>
        </row>
        <row r="35">
          <cell r="H35">
            <v>-1.83</v>
          </cell>
        </row>
        <row r="41">
          <cell r="B41">
            <v>81.350000000000037</v>
          </cell>
          <cell r="C41">
            <v>74.280000000000015</v>
          </cell>
          <cell r="D41">
            <v>77.819999999999979</v>
          </cell>
          <cell r="E41">
            <v>81.359999999999971</v>
          </cell>
          <cell r="F41">
            <v>70.749999999999972</v>
          </cell>
          <cell r="G41">
            <v>74.650000000000006</v>
          </cell>
        </row>
        <row r="42">
          <cell r="B42">
            <v>17.119999999999997</v>
          </cell>
          <cell r="C42">
            <v>15.91</v>
          </cell>
          <cell r="D42">
            <v>16.619999999999997</v>
          </cell>
          <cell r="E42">
            <v>17.260000000000002</v>
          </cell>
          <cell r="F42">
            <v>14.98</v>
          </cell>
          <cell r="G42">
            <v>14.870000000000001</v>
          </cell>
        </row>
        <row r="55">
          <cell r="B55">
            <v>10237</v>
          </cell>
          <cell r="C55">
            <v>10234</v>
          </cell>
          <cell r="D55">
            <v>10244</v>
          </cell>
          <cell r="E55">
            <v>10254</v>
          </cell>
          <cell r="F55">
            <v>10241</v>
          </cell>
          <cell r="G55">
            <v>10242</v>
          </cell>
        </row>
        <row r="56">
          <cell r="B56">
            <v>401</v>
          </cell>
          <cell r="C56">
            <v>401</v>
          </cell>
          <cell r="D56">
            <v>400</v>
          </cell>
          <cell r="E56">
            <v>390</v>
          </cell>
          <cell r="F56">
            <v>390</v>
          </cell>
          <cell r="G56">
            <v>390</v>
          </cell>
        </row>
        <row r="60">
          <cell r="B60">
            <v>0.64</v>
          </cell>
          <cell r="C60">
            <v>0.64</v>
          </cell>
          <cell r="D60">
            <v>-0.45</v>
          </cell>
          <cell r="E60">
            <v>-0.45</v>
          </cell>
          <cell r="F60">
            <v>-0.45</v>
          </cell>
          <cell r="G60">
            <v>-0.45</v>
          </cell>
        </row>
        <row r="67">
          <cell r="H67">
            <v>-0.82</v>
          </cell>
        </row>
      </sheetData>
      <sheetData sheetId="1"/>
      <sheetData sheetId="2"/>
      <sheetData sheetId="3">
        <row r="9">
          <cell r="B9">
            <v>105.1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Postage"/>
      <sheetName val="Pacific Comm Credit"/>
    </sheetNames>
    <sheetDataSet>
      <sheetData sheetId="0">
        <row r="6">
          <cell r="J6">
            <v>7.5181066438551464E-2</v>
          </cell>
        </row>
        <row r="7">
          <cell r="J7">
            <v>7.5181066438551478E-2</v>
          </cell>
        </row>
      </sheetData>
      <sheetData sheetId="1">
        <row r="38">
          <cell r="H38">
            <v>-1.2259697247382961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P78"/>
  <sheetViews>
    <sheetView showGridLines="0" tabSelected="1" view="pageBreakPreview" zoomScaleNormal="115" zoomScaleSheetLayoutView="100" workbookViewId="0">
      <pane xSplit="1" ySplit="7" topLeftCell="B8" activePane="bottomRight" state="frozen"/>
      <selection activeCell="B36" sqref="B36"/>
      <selection pane="topRight" activeCell="B36" sqref="B36"/>
      <selection pane="bottomLeft" activeCell="B36" sqref="B36"/>
      <selection pane="bottomRight" activeCell="N75" sqref="N75"/>
    </sheetView>
  </sheetViews>
  <sheetFormatPr defaultRowHeight="12.75" x14ac:dyDescent="0.2"/>
  <cols>
    <col min="1" max="1" width="34.5703125" style="22" customWidth="1"/>
    <col min="2" max="2" width="14" style="22" bestFit="1" customWidth="1"/>
    <col min="3" max="12" width="11.28515625" style="22" bestFit="1" customWidth="1"/>
    <col min="13" max="13" width="13" style="22" customWidth="1"/>
    <col min="14" max="14" width="12.5703125" style="22" bestFit="1" customWidth="1"/>
    <col min="15" max="15" width="11.28515625" style="22" bestFit="1" customWidth="1"/>
    <col min="16" max="16" width="10.28515625" style="22" bestFit="1" customWidth="1"/>
    <col min="17" max="17" width="13.5703125" style="22" customWidth="1"/>
    <col min="18" max="18" width="11.85546875" style="22" bestFit="1"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49</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44501</v>
      </c>
      <c r="C6" s="2">
        <f>+B6+31</f>
        <v>44532</v>
      </c>
      <c r="D6" s="2">
        <f t="shared" ref="D6:M6" si="0">+C6+31</f>
        <v>44563</v>
      </c>
      <c r="E6" s="2">
        <f t="shared" si="0"/>
        <v>44594</v>
      </c>
      <c r="F6" s="2">
        <f t="shared" si="0"/>
        <v>44625</v>
      </c>
      <c r="G6" s="2">
        <f t="shared" si="0"/>
        <v>44656</v>
      </c>
      <c r="H6" s="2">
        <f t="shared" si="0"/>
        <v>44687</v>
      </c>
      <c r="I6" s="2">
        <f t="shared" si="0"/>
        <v>44718</v>
      </c>
      <c r="J6" s="2">
        <f t="shared" si="0"/>
        <v>44749</v>
      </c>
      <c r="K6" s="2">
        <f t="shared" si="0"/>
        <v>44780</v>
      </c>
      <c r="L6" s="2">
        <f t="shared" si="0"/>
        <v>44811</v>
      </c>
      <c r="M6" s="2">
        <f t="shared" si="0"/>
        <v>44842</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57</v>
      </c>
      <c r="B10" s="4"/>
      <c r="C10" s="4"/>
      <c r="D10" s="4"/>
      <c r="E10" s="4"/>
      <c r="F10" s="4"/>
      <c r="G10" s="4"/>
      <c r="H10" s="4"/>
      <c r="I10" s="4"/>
      <c r="J10" s="4"/>
      <c r="K10" s="4"/>
      <c r="L10" s="4"/>
      <c r="M10" s="4"/>
      <c r="N10" s="4"/>
      <c r="O10" s="4"/>
      <c r="P10" s="5"/>
    </row>
    <row r="11" spans="1:38" x14ac:dyDescent="0.2">
      <c r="A11" s="22" t="s">
        <v>52</v>
      </c>
      <c r="B11" s="67">
        <f>+'[1]Single Fam Comm Details'!C8</f>
        <v>1165.2499999999998</v>
      </c>
      <c r="C11" s="67">
        <f>+'[1]Single Fam Comm Details'!D8</f>
        <v>1021.46</v>
      </c>
      <c r="D11" s="67">
        <f>+'[1]Single Fam Comm Details'!E8</f>
        <v>1348.73</v>
      </c>
      <c r="E11" s="67">
        <f>+'[1]Single Fam Comm Details'!F8</f>
        <v>939.58</v>
      </c>
      <c r="F11" s="67">
        <f>+'[1]Single Fam Comm Details'!G8</f>
        <v>1075.6599999999999</v>
      </c>
      <c r="G11" s="67">
        <f>+'[1]Single Fam Comm Details'!H8</f>
        <v>1078.31</v>
      </c>
      <c r="H11" s="67">
        <f>+'[1]Single Fam Comm Details'!I8</f>
        <v>1076.76</v>
      </c>
      <c r="I11" s="67">
        <f>+'[1]Single Fam Comm Details'!J8</f>
        <v>1020.99</v>
      </c>
      <c r="J11" s="67">
        <f>+'[1]Single Fam Comm Details'!K8</f>
        <v>1018.4200000000001</v>
      </c>
      <c r="K11" s="67">
        <f>+'[1]Single Fam Comm Details'!L8</f>
        <v>1026.73</v>
      </c>
      <c r="L11" s="67">
        <f>+'[1]Single Fam Comm Details'!M8</f>
        <v>983.25000000000011</v>
      </c>
      <c r="M11" s="67">
        <f>+'[1]Single Fam Comm Details'!N8</f>
        <v>918.85</v>
      </c>
      <c r="N11" s="8">
        <f>SUM(B11:M11)</f>
        <v>12673.99</v>
      </c>
      <c r="P11" s="5"/>
      <c r="R11" s="44"/>
      <c r="S11" s="44"/>
      <c r="T11" s="44"/>
      <c r="U11" s="44"/>
      <c r="V11" s="44"/>
      <c r="W11" s="44"/>
      <c r="X11" s="44"/>
      <c r="Y11" s="44"/>
      <c r="Z11" s="44"/>
    </row>
    <row r="12" spans="1:38" x14ac:dyDescent="0.2">
      <c r="A12" s="22" t="s">
        <v>6</v>
      </c>
      <c r="B12" s="67">
        <f>+'[1]Single Fam Comm Details'!C9</f>
        <v>116.18</v>
      </c>
      <c r="C12" s="67">
        <f>+'[1]Single Fam Comm Details'!D9</f>
        <v>82.55</v>
      </c>
      <c r="D12" s="67">
        <f>+'[1]Single Fam Comm Details'!E9</f>
        <v>161.41</v>
      </c>
      <c r="E12" s="67">
        <f>+'[1]Single Fam Comm Details'!F9</f>
        <v>110.59</v>
      </c>
      <c r="F12" s="67">
        <f>+'[1]Single Fam Comm Details'!G9</f>
        <v>140.21</v>
      </c>
      <c r="G12" s="67">
        <f>+'[1]Single Fam Comm Details'!H9</f>
        <v>106.19</v>
      </c>
      <c r="H12" s="67">
        <f>+'[1]Single Fam Comm Details'!I9</f>
        <v>119.85</v>
      </c>
      <c r="I12" s="67">
        <f>+'[1]Single Fam Comm Details'!J9</f>
        <v>140.29</v>
      </c>
      <c r="J12" s="67">
        <f>+'[1]Single Fam Comm Details'!K9</f>
        <v>110.31</v>
      </c>
      <c r="K12" s="67">
        <f>+'[1]Single Fam Comm Details'!L9</f>
        <v>122.81</v>
      </c>
      <c r="L12" s="67">
        <f>+'[1]Single Fam Comm Details'!M9</f>
        <v>114.34</v>
      </c>
      <c r="M12" s="67">
        <f>+'[1]Single Fam Comm Details'!N9</f>
        <v>116.17</v>
      </c>
      <c r="N12" s="8">
        <f>SUM(B12:M12)</f>
        <v>1440.9</v>
      </c>
      <c r="P12" s="5"/>
      <c r="R12" s="44"/>
      <c r="S12" s="44"/>
      <c r="T12" s="44"/>
      <c r="U12" s="44"/>
      <c r="V12" s="44"/>
      <c r="W12" s="44"/>
      <c r="X12" s="44"/>
      <c r="Y12" s="44"/>
      <c r="Z12" s="44"/>
    </row>
    <row r="13" spans="1:38" x14ac:dyDescent="0.2">
      <c r="B13" s="16"/>
      <c r="C13" s="16"/>
      <c r="D13" s="16"/>
      <c r="E13" s="16"/>
      <c r="F13" s="16"/>
      <c r="G13" s="16"/>
      <c r="H13" s="16"/>
      <c r="I13" s="16"/>
      <c r="J13" s="16"/>
      <c r="K13" s="16"/>
      <c r="L13" s="16"/>
      <c r="M13" s="16"/>
      <c r="N13" s="8"/>
      <c r="P13" s="5"/>
    </row>
    <row r="14" spans="1:38" s="6" customFormat="1" x14ac:dyDescent="0.2">
      <c r="A14" s="6" t="s">
        <v>7</v>
      </c>
      <c r="B14" s="41">
        <f>SUM(B11:B12)</f>
        <v>1281.4299999999998</v>
      </c>
      <c r="C14" s="41">
        <f>SUM(C11:C12)</f>
        <v>1104.01</v>
      </c>
      <c r="D14" s="41">
        <f t="shared" ref="D14:M14" si="1">SUM(D11:D12)</f>
        <v>1510.14</v>
      </c>
      <c r="E14" s="41">
        <f t="shared" si="1"/>
        <v>1050.17</v>
      </c>
      <c r="F14" s="41">
        <f t="shared" si="1"/>
        <v>1215.8699999999999</v>
      </c>
      <c r="G14" s="41">
        <f t="shared" si="1"/>
        <v>1184.5</v>
      </c>
      <c r="H14" s="41">
        <f t="shared" si="1"/>
        <v>1196.6099999999999</v>
      </c>
      <c r="I14" s="41">
        <f t="shared" si="1"/>
        <v>1161.28</v>
      </c>
      <c r="J14" s="41">
        <f t="shared" si="1"/>
        <v>1128.73</v>
      </c>
      <c r="K14" s="41">
        <f t="shared" si="1"/>
        <v>1149.54</v>
      </c>
      <c r="L14" s="41">
        <f t="shared" si="1"/>
        <v>1097.5900000000001</v>
      </c>
      <c r="M14" s="41">
        <f t="shared" si="1"/>
        <v>1035.02</v>
      </c>
      <c r="N14" s="41">
        <f>SUM(N11:N13)</f>
        <v>14114.89</v>
      </c>
      <c r="P14" s="45">
        <f>+'[1]Pacific Comm Credit'!$N$11-N14</f>
        <v>0</v>
      </c>
      <c r="R14" s="45"/>
      <c r="S14" s="45"/>
      <c r="T14" s="45"/>
      <c r="U14" s="45"/>
      <c r="V14" s="45"/>
      <c r="W14" s="45"/>
      <c r="X14" s="45"/>
      <c r="Y14" s="45"/>
      <c r="Z14" s="45"/>
    </row>
    <row r="15" spans="1:38" x14ac:dyDescent="0.2">
      <c r="P15" s="5"/>
    </row>
    <row r="16" spans="1:38" x14ac:dyDescent="0.2">
      <c r="A16" s="26" t="s">
        <v>20</v>
      </c>
      <c r="P16" s="5"/>
    </row>
    <row r="17" spans="1:42" x14ac:dyDescent="0.2">
      <c r="A17" s="22" t="s">
        <v>58</v>
      </c>
      <c r="B17" s="66">
        <f>+'[1]Pacific Comm Credit'!B15</f>
        <v>-1.0219340000000017</v>
      </c>
      <c r="C17" s="66">
        <f>+'[1]Pacific Comm Credit'!C15</f>
        <v>-27.709969000000001</v>
      </c>
      <c r="D17" s="66">
        <f>+'[1]Pacific Comm Credit'!D15</f>
        <v>-40.545233999999986</v>
      </c>
      <c r="E17" s="66">
        <f>+'[1]Pacific Comm Credit'!E15</f>
        <v>-41.55945000000002</v>
      </c>
      <c r="F17" s="66">
        <f>+'[1]Pacific Comm Credit'!F15</f>
        <v>-29.144149999999996</v>
      </c>
      <c r="G17" s="66">
        <f>+'[1]Pacific Comm Credit'!G15</f>
        <v>-25.152250000000006</v>
      </c>
      <c r="H17" s="66">
        <f>+'[1]Pacific Comm Credit'!H15</f>
        <v>-28.644450000000013</v>
      </c>
      <c r="I17" s="66">
        <f>+'[1]Pacific Comm Credit'!I15</f>
        <v>-35.214650000000013</v>
      </c>
      <c r="J17" s="66">
        <f>+'[1]Pacific Comm Credit'!J15</f>
        <v>-49.875250000000001</v>
      </c>
      <c r="K17" s="66">
        <f>+'[1]Pacific Comm Credit'!K15</f>
        <v>-65.193150000000003</v>
      </c>
      <c r="L17" s="66">
        <f>+'[1]Pacific Comm Credit'!L15</f>
        <v>-115.70665000000002</v>
      </c>
      <c r="M17" s="66">
        <f>+'[1]Pacific Comm Credit'!M15</f>
        <v>-144.03355000000002</v>
      </c>
      <c r="N17" s="7"/>
      <c r="P17" s="5"/>
      <c r="R17" s="46"/>
      <c r="S17" s="46"/>
      <c r="T17" s="46"/>
      <c r="U17" s="46"/>
      <c r="V17" s="46"/>
      <c r="W17" s="46"/>
      <c r="X17" s="46"/>
      <c r="Y17" s="46"/>
      <c r="Z17" s="46"/>
    </row>
    <row r="18" spans="1:42" x14ac:dyDescent="0.2">
      <c r="A18" s="22" t="s">
        <v>50</v>
      </c>
      <c r="B18" s="66">
        <f>+'[1]Pacific Comm Credit'!B16</f>
        <v>-33</v>
      </c>
      <c r="C18" s="66">
        <f>+'[1]Pacific Comm Credit'!C16</f>
        <v>-33</v>
      </c>
      <c r="D18" s="66">
        <f>+'[1]Pacific Comm Credit'!D16</f>
        <v>-33</v>
      </c>
      <c r="E18" s="66">
        <f>+'[1]Pacific Comm Credit'!E16</f>
        <v>-33</v>
      </c>
      <c r="F18" s="66">
        <f>+'[1]Pacific Comm Credit'!F16</f>
        <v>-33</v>
      </c>
      <c r="G18" s="66">
        <f>+'[1]Pacific Comm Credit'!G16</f>
        <v>-33</v>
      </c>
      <c r="H18" s="66">
        <f>+'[1]Pacific Comm Credit'!H16</f>
        <v>-33</v>
      </c>
      <c r="I18" s="66">
        <f>+'[1]Pacific Comm Credit'!I16</f>
        <v>-33</v>
      </c>
      <c r="J18" s="66">
        <f>+'[1]Pacific Comm Credit'!J16</f>
        <v>-33</v>
      </c>
      <c r="K18" s="66">
        <f>+'[1]Pacific Comm Credit'!K16</f>
        <v>-33</v>
      </c>
      <c r="L18" s="66">
        <f>+'[1]Pacific Comm Credit'!L16</f>
        <v>-33</v>
      </c>
      <c r="M18" s="66">
        <f>+'[1]Pacific Comm Credit'!M16</f>
        <v>-33</v>
      </c>
      <c r="N18" s="8"/>
      <c r="P18" s="5"/>
      <c r="R18" s="5"/>
      <c r="S18" s="5"/>
      <c r="T18" s="5"/>
      <c r="U18" s="5"/>
      <c r="V18" s="5"/>
      <c r="W18" s="5"/>
      <c r="X18" s="5"/>
      <c r="Y18" s="5"/>
      <c r="Z18" s="5"/>
    </row>
    <row r="19" spans="1:42" x14ac:dyDescent="0.2">
      <c r="P19" s="5"/>
    </row>
    <row r="20" spans="1:42" x14ac:dyDescent="0.2">
      <c r="A20" s="26" t="s">
        <v>51</v>
      </c>
      <c r="P20" s="5"/>
    </row>
    <row r="21" spans="1:42" x14ac:dyDescent="0.2">
      <c r="A21" s="22" t="s">
        <v>52</v>
      </c>
      <c r="B21" s="36">
        <f t="shared" ref="B21:M21" si="2">+B11*B17</f>
        <v>-1190.8085935000017</v>
      </c>
      <c r="C21" s="36">
        <f t="shared" si="2"/>
        <v>-28304.624934740001</v>
      </c>
      <c r="D21" s="36">
        <f t="shared" si="2"/>
        <v>-54684.573452819983</v>
      </c>
      <c r="E21" s="36">
        <f t="shared" si="2"/>
        <v>-39048.428031000018</v>
      </c>
      <c r="F21" s="36">
        <f t="shared" si="2"/>
        <v>-31349.196388999993</v>
      </c>
      <c r="G21" s="36">
        <f t="shared" si="2"/>
        <v>-27121.922697500006</v>
      </c>
      <c r="H21" s="36">
        <f t="shared" si="2"/>
        <v>-30843.197982000012</v>
      </c>
      <c r="I21" s="36">
        <f t="shared" si="2"/>
        <v>-35953.805503500014</v>
      </c>
      <c r="J21" s="36">
        <f t="shared" si="2"/>
        <v>-50793.952105000004</v>
      </c>
      <c r="K21" s="36">
        <f t="shared" si="2"/>
        <v>-66935.762899499998</v>
      </c>
      <c r="L21" s="36">
        <f t="shared" si="2"/>
        <v>-113768.56361250003</v>
      </c>
      <c r="M21" s="36">
        <f t="shared" si="2"/>
        <v>-132345.22741750002</v>
      </c>
      <c r="N21" s="9">
        <f>SUM(B21:M21)</f>
        <v>-612340.06361856009</v>
      </c>
      <c r="P21" s="8"/>
      <c r="R21" s="8"/>
      <c r="S21" s="8"/>
      <c r="T21" s="8"/>
      <c r="U21" s="8"/>
      <c r="V21" s="8"/>
      <c r="W21" s="8"/>
      <c r="X21" s="8"/>
      <c r="Y21" s="8"/>
      <c r="Z21" s="8"/>
    </row>
    <row r="22" spans="1:42" x14ac:dyDescent="0.2">
      <c r="A22" s="22" t="s">
        <v>6</v>
      </c>
      <c r="B22" s="36">
        <f t="shared" ref="B22:M22" si="3">+B18*B12</f>
        <v>-3833.94</v>
      </c>
      <c r="C22" s="36">
        <f t="shared" si="3"/>
        <v>-2724.15</v>
      </c>
      <c r="D22" s="36">
        <f t="shared" si="3"/>
        <v>-5326.53</v>
      </c>
      <c r="E22" s="36">
        <f t="shared" si="3"/>
        <v>-3649.4700000000003</v>
      </c>
      <c r="F22" s="36">
        <f t="shared" si="3"/>
        <v>-4626.93</v>
      </c>
      <c r="G22" s="36">
        <f t="shared" si="3"/>
        <v>-3504.27</v>
      </c>
      <c r="H22" s="36">
        <f t="shared" si="3"/>
        <v>-3955.0499999999997</v>
      </c>
      <c r="I22" s="36">
        <f t="shared" si="3"/>
        <v>-4629.57</v>
      </c>
      <c r="J22" s="36">
        <f t="shared" si="3"/>
        <v>-3640.23</v>
      </c>
      <c r="K22" s="36">
        <f t="shared" si="3"/>
        <v>-4052.73</v>
      </c>
      <c r="L22" s="36">
        <f t="shared" si="3"/>
        <v>-3773.2200000000003</v>
      </c>
      <c r="M22" s="36">
        <f t="shared" si="3"/>
        <v>-3833.61</v>
      </c>
      <c r="N22" s="9">
        <f>SUM(B22:M22)</f>
        <v>-47549.700000000004</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-5024.7485935000022</v>
      </c>
      <c r="C24" s="37">
        <f>SUM(C21:C22)</f>
        <v>-31028.774934740002</v>
      </c>
      <c r="D24" s="37">
        <f t="shared" ref="D24:M24" si="4">SUM(D21:D22)</f>
        <v>-60011.103452819982</v>
      </c>
      <c r="E24" s="37">
        <f t="shared" si="4"/>
        <v>-42697.898031000019</v>
      </c>
      <c r="F24" s="37">
        <f t="shared" si="4"/>
        <v>-35976.126388999997</v>
      </c>
      <c r="G24" s="37">
        <f t="shared" si="4"/>
        <v>-30626.192697500006</v>
      </c>
      <c r="H24" s="37">
        <f t="shared" si="4"/>
        <v>-34798.247982000015</v>
      </c>
      <c r="I24" s="37">
        <f t="shared" si="4"/>
        <v>-40583.375503500014</v>
      </c>
      <c r="J24" s="37">
        <f t="shared" si="4"/>
        <v>-54434.182105000007</v>
      </c>
      <c r="K24" s="37">
        <f t="shared" si="4"/>
        <v>-70988.492899499994</v>
      </c>
      <c r="L24" s="37">
        <f t="shared" si="4"/>
        <v>-117541.78361250003</v>
      </c>
      <c r="M24" s="37">
        <f t="shared" si="4"/>
        <v>-136178.83741750001</v>
      </c>
      <c r="N24" s="40">
        <f>SUM(N21:N23)</f>
        <v>-659889.76361856004</v>
      </c>
      <c r="P24" s="45">
        <f>+'[1]Pacific Comm Credit'!$N$21-N24</f>
        <v>0</v>
      </c>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67">
        <f>+'[1]Pacific Comm Credit'!B23</f>
        <v>61918</v>
      </c>
      <c r="C27" s="67">
        <f>+'[1]Pacific Comm Credit'!C23</f>
        <v>62458</v>
      </c>
      <c r="D27" s="67">
        <f>+'[1]Pacific Comm Credit'!D23</f>
        <v>61982</v>
      </c>
      <c r="E27" s="67">
        <f>+'[1]Pacific Comm Credit'!E23</f>
        <v>62188</v>
      </c>
      <c r="F27" s="67">
        <f>+'[1]Pacific Comm Credit'!F23</f>
        <v>62442</v>
      </c>
      <c r="G27" s="67">
        <f>+'[1]Pacific Comm Credit'!G23</f>
        <v>62775</v>
      </c>
      <c r="H27" s="67">
        <f>+'[1]Pacific Comm Credit'!H23</f>
        <v>62685</v>
      </c>
      <c r="I27" s="67">
        <f>+'[1]Pacific Comm Credit'!I23</f>
        <v>63110</v>
      </c>
      <c r="J27" s="67">
        <f>+'[1]Pacific Comm Credit'!J23</f>
        <v>62808</v>
      </c>
      <c r="K27" s="67">
        <f>+'[1]Pacific Comm Credit'!K23</f>
        <v>63395</v>
      </c>
      <c r="L27" s="67">
        <f>+'[1]Pacific Comm Credit'!L23</f>
        <v>63266</v>
      </c>
      <c r="M27" s="67">
        <f>+'[1]Pacific Comm Credit'!M23</f>
        <v>63302</v>
      </c>
      <c r="N27" s="19">
        <f>+SUM(B27:M27)</f>
        <v>752329</v>
      </c>
      <c r="P27" s="94">
        <f>+'[1]Pacific Comm Credit'!$N$23-N27</f>
        <v>0</v>
      </c>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53</v>
      </c>
      <c r="B30" s="27">
        <f>+IFERROR(B24/B27,0)</f>
        <v>-8.1151661770406058E-2</v>
      </c>
      <c r="C30" s="27">
        <f t="shared" ref="C30:M30" si="5">+IFERROR(C24/C27,0)</f>
        <v>-0.49679424468827055</v>
      </c>
      <c r="D30" s="27">
        <f t="shared" si="5"/>
        <v>-0.96820211436901005</v>
      </c>
      <c r="E30" s="27">
        <f t="shared" si="5"/>
        <v>-0.68659384497009102</v>
      </c>
      <c r="F30" s="27">
        <f t="shared" si="5"/>
        <v>-0.57615269192210372</v>
      </c>
      <c r="G30" s="27">
        <f t="shared" si="5"/>
        <v>-0.48787244440461974</v>
      </c>
      <c r="H30" s="27">
        <f t="shared" si="5"/>
        <v>-0.55512878650394859</v>
      </c>
      <c r="I30" s="27">
        <f t="shared" si="5"/>
        <v>-0.64305776427666006</v>
      </c>
      <c r="J30" s="27">
        <f t="shared" si="5"/>
        <v>-0.86667593467392701</v>
      </c>
      <c r="K30" s="27">
        <f t="shared" si="5"/>
        <v>-1.1197806278018769</v>
      </c>
      <c r="L30" s="27">
        <f t="shared" si="5"/>
        <v>-1.8578981382180006</v>
      </c>
      <c r="M30" s="27">
        <f t="shared" si="5"/>
        <v>-2.1512564755852899</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54</v>
      </c>
      <c r="B31" s="93">
        <f>+'Pacific CPA 1.1.22'!$M31</f>
        <v>-1.91</v>
      </c>
      <c r="C31" s="93">
        <f>+'Pacific CPA 1.1.22'!$M31</f>
        <v>-1.91</v>
      </c>
      <c r="D31" s="93">
        <f>+'Pacific CPA 1.1.22'!$N$36</f>
        <v>-0.69</v>
      </c>
      <c r="E31" s="93">
        <f>+'Pacific CPA 1.1.22'!$N$36</f>
        <v>-0.69</v>
      </c>
      <c r="F31" s="93">
        <f>+'Pacific CPA 1.1.22'!$N$36</f>
        <v>-0.69</v>
      </c>
      <c r="G31" s="93">
        <f>+'Pacific CPA 1.1.22'!$N$36</f>
        <v>-0.69</v>
      </c>
      <c r="H31" s="93">
        <f>+'Pacific CPA 1.1.22'!$N$36</f>
        <v>-0.69</v>
      </c>
      <c r="I31" s="93">
        <f>+'Pacific CPA 1.1.22'!$N$36</f>
        <v>-0.69</v>
      </c>
      <c r="J31" s="93">
        <f>+'Pacific CPA 1.1.22'!$N$36</f>
        <v>-0.69</v>
      </c>
      <c r="K31" s="93">
        <f>+'Pacific CPA 1.1.22'!$N$36</f>
        <v>-0.69</v>
      </c>
      <c r="L31" s="93">
        <f>+'Pacific CPA 1.1.22'!$N$36</f>
        <v>-0.69</v>
      </c>
      <c r="M31" s="93">
        <f>+'Pacific CPA 1.1.22'!$N$36</f>
        <v>-0.69</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t="s">
        <v>56</v>
      </c>
      <c r="B32" s="36">
        <f>+B27*B31</f>
        <v>-118263.37999999999</v>
      </c>
      <c r="C32" s="36">
        <f t="shared" ref="C32:M32" si="6">+C27*C31</f>
        <v>-119294.78</v>
      </c>
      <c r="D32" s="36">
        <f t="shared" si="6"/>
        <v>-42767.579999999994</v>
      </c>
      <c r="E32" s="36">
        <f t="shared" si="6"/>
        <v>-42909.719999999994</v>
      </c>
      <c r="F32" s="36">
        <f t="shared" si="6"/>
        <v>-43084.979999999996</v>
      </c>
      <c r="G32" s="36">
        <f t="shared" si="6"/>
        <v>-43314.75</v>
      </c>
      <c r="H32" s="36">
        <f t="shared" si="6"/>
        <v>-43252.649999999994</v>
      </c>
      <c r="I32" s="36">
        <f t="shared" si="6"/>
        <v>-43545.899999999994</v>
      </c>
      <c r="J32" s="36">
        <f t="shared" si="6"/>
        <v>-43337.52</v>
      </c>
      <c r="K32" s="36">
        <f t="shared" si="6"/>
        <v>-43742.549999999996</v>
      </c>
      <c r="L32" s="36">
        <f t="shared" si="6"/>
        <v>-43653.539999999994</v>
      </c>
      <c r="M32" s="36">
        <f t="shared" si="6"/>
        <v>-43678.38</v>
      </c>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55</v>
      </c>
      <c r="B33" s="92">
        <f>+B32-B24</f>
        <v>-113238.63140649999</v>
      </c>
      <c r="C33" s="92">
        <f t="shared" ref="C33:M33" si="7">+C32-C24</f>
        <v>-88266.005065259989</v>
      </c>
      <c r="D33" s="92">
        <f t="shared" si="7"/>
        <v>17243.523452819987</v>
      </c>
      <c r="E33" s="92">
        <f t="shared" si="7"/>
        <v>-211.82196899997507</v>
      </c>
      <c r="F33" s="92">
        <f t="shared" si="7"/>
        <v>-7108.8536109999986</v>
      </c>
      <c r="G33" s="92">
        <f t="shared" si="7"/>
        <v>-12688.557302499994</v>
      </c>
      <c r="H33" s="92">
        <f t="shared" si="7"/>
        <v>-8454.4020179999789</v>
      </c>
      <c r="I33" s="92">
        <f t="shared" si="7"/>
        <v>-2962.5244964999802</v>
      </c>
      <c r="J33" s="92">
        <f t="shared" si="7"/>
        <v>11096.66210500001</v>
      </c>
      <c r="K33" s="92">
        <f t="shared" si="7"/>
        <v>27245.942899499998</v>
      </c>
      <c r="L33" s="92">
        <f t="shared" si="7"/>
        <v>73888.243612500039</v>
      </c>
      <c r="M33" s="92">
        <f t="shared" si="7"/>
        <v>92500.457417500002</v>
      </c>
      <c r="N33" s="92">
        <f>SUM(B33:M33)</f>
        <v>-10955.966381439925</v>
      </c>
      <c r="O33" s="7"/>
      <c r="P33" s="7"/>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-0.01</v>
      </c>
      <c r="Q35" s="8"/>
      <c r="R35" s="44"/>
      <c r="X35" s="51"/>
      <c r="Y35" s="51"/>
      <c r="Z35" s="51"/>
      <c r="AA35" s="52"/>
    </row>
    <row r="36" spans="1:38" x14ac:dyDescent="0.2">
      <c r="A36" s="16"/>
      <c r="B36" s="89"/>
      <c r="C36" s="89"/>
      <c r="D36" s="89"/>
      <c r="E36" s="89"/>
      <c r="F36" s="89"/>
      <c r="G36" s="89"/>
      <c r="H36" s="89"/>
      <c r="I36" s="89"/>
      <c r="J36" s="89"/>
      <c r="K36" s="89"/>
      <c r="L36" s="21"/>
      <c r="M36" s="21" t="s">
        <v>59</v>
      </c>
      <c r="N36" s="81">
        <f>-ROUND(N24/N27,2)</f>
        <v>0.88</v>
      </c>
      <c r="X36" s="51"/>
      <c r="Y36" s="51"/>
      <c r="Z36" s="51"/>
      <c r="AA36" s="44"/>
    </row>
    <row r="37" spans="1:38" x14ac:dyDescent="0.2">
      <c r="A37" s="16"/>
      <c r="J37" s="21"/>
      <c r="K37" s="21"/>
      <c r="L37" s="21"/>
      <c r="M37" s="42" t="s">
        <v>44</v>
      </c>
      <c r="N37" s="18">
        <f>SUM(N35:N36)</f>
        <v>0.87</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f>+'Pacific CPA 1.1.22'!N37</f>
        <v>-0.52</v>
      </c>
      <c r="Q39" s="8"/>
      <c r="R39" s="8"/>
      <c r="S39" s="55"/>
      <c r="X39" s="8"/>
      <c r="Y39" s="8"/>
      <c r="Z39" s="51"/>
    </row>
    <row r="40" spans="1:38" x14ac:dyDescent="0.2">
      <c r="A40" s="10"/>
      <c r="B40" s="21"/>
      <c r="C40" s="21"/>
      <c r="D40" s="21"/>
      <c r="E40" s="21"/>
      <c r="F40" s="21"/>
      <c r="G40" s="21"/>
      <c r="H40" s="21"/>
      <c r="I40" s="21"/>
      <c r="J40" s="21"/>
      <c r="K40" s="21"/>
      <c r="L40" s="21"/>
      <c r="M40" s="21" t="s">
        <v>15</v>
      </c>
      <c r="N40" s="17">
        <f>+N37-N39</f>
        <v>1.3900000000000001</v>
      </c>
      <c r="O40" s="56">
        <f>N40/N39</f>
        <v>-2.6730769230769234</v>
      </c>
      <c r="X40" s="8"/>
      <c r="Y40" s="8"/>
      <c r="Z40" s="51"/>
    </row>
    <row r="41" spans="1:38" x14ac:dyDescent="0.2">
      <c r="A41" s="10"/>
      <c r="B41" s="21"/>
      <c r="C41" s="21"/>
      <c r="D41" s="21"/>
      <c r="E41" s="21"/>
      <c r="F41" s="21"/>
      <c r="G41" s="21"/>
      <c r="H41" s="21"/>
      <c r="I41" s="21"/>
      <c r="J41" s="21"/>
      <c r="K41" s="21"/>
      <c r="L41" s="21"/>
      <c r="M41" s="21" t="s">
        <v>36</v>
      </c>
      <c r="N41" s="9">
        <f>N40*M27*12</f>
        <v>1055877.3600000001</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44501</v>
      </c>
      <c r="C45" s="2">
        <f>B45+31</f>
        <v>44532</v>
      </c>
      <c r="D45" s="2">
        <f t="shared" ref="D45:M45" si="8">C45+31</f>
        <v>44563</v>
      </c>
      <c r="E45" s="2">
        <f t="shared" si="8"/>
        <v>44594</v>
      </c>
      <c r="F45" s="2">
        <f t="shared" si="8"/>
        <v>44625</v>
      </c>
      <c r="G45" s="2">
        <f t="shared" si="8"/>
        <v>44656</v>
      </c>
      <c r="H45" s="2">
        <f t="shared" si="8"/>
        <v>44687</v>
      </c>
      <c r="I45" s="2">
        <f t="shared" si="8"/>
        <v>44718</v>
      </c>
      <c r="J45" s="2">
        <f t="shared" si="8"/>
        <v>44749</v>
      </c>
      <c r="K45" s="2">
        <f t="shared" si="8"/>
        <v>44780</v>
      </c>
      <c r="L45" s="2">
        <f t="shared" si="8"/>
        <v>44811</v>
      </c>
      <c r="M45" s="2">
        <f t="shared" si="8"/>
        <v>44842</v>
      </c>
      <c r="N45" s="2" t="s">
        <v>2</v>
      </c>
      <c r="Y45" s="51"/>
      <c r="Z45" s="51"/>
      <c r="AA45" s="44"/>
    </row>
    <row r="46" spans="1:38" x14ac:dyDescent="0.2">
      <c r="A46" s="25" t="s">
        <v>57</v>
      </c>
      <c r="B46" s="4"/>
      <c r="C46" s="4"/>
      <c r="D46" s="4"/>
      <c r="E46" s="4"/>
      <c r="F46" s="4"/>
      <c r="G46" s="4"/>
      <c r="H46" s="4"/>
      <c r="I46" s="4"/>
      <c r="J46" s="4"/>
      <c r="K46" s="4"/>
      <c r="L46" s="4"/>
      <c r="M46" s="4"/>
      <c r="N46" s="4"/>
      <c r="Y46" s="51"/>
      <c r="Z46" s="51"/>
      <c r="AA46" s="53"/>
    </row>
    <row r="47" spans="1:38" x14ac:dyDescent="0.2">
      <c r="A47" s="22" t="s">
        <v>52</v>
      </c>
      <c r="B47" s="65">
        <f>+'[1]Pacific Comm Credit'!B39</f>
        <v>99.530274000000006</v>
      </c>
      <c r="C47" s="65">
        <f>+'[1]Pacific Comm Credit'!C39</f>
        <v>109.01506200000001</v>
      </c>
      <c r="D47" s="65">
        <f>+'[1]Pacific Comm Credit'!D39</f>
        <v>109.01506200000001</v>
      </c>
      <c r="E47" s="65">
        <f>+'[1]Pacific Comm Credit'!E39</f>
        <v>94.807880000000011</v>
      </c>
      <c r="F47" s="65">
        <f>+'[1]Pacific Comm Credit'!F39</f>
        <v>109.015062</v>
      </c>
      <c r="G47" s="65">
        <f>+'[1]Pacific Comm Credit'!G39</f>
        <v>99.530274000000006</v>
      </c>
      <c r="H47" s="65">
        <f>+'[1]Pacific Comm Credit'!H39</f>
        <v>99.663246000000015</v>
      </c>
      <c r="I47" s="65">
        <f>+'[1]Pacific Comm Credit'!I39</f>
        <v>99.663246000000015</v>
      </c>
      <c r="J47" s="65">
        <f>+'[1]Pacific Comm Credit'!J39</f>
        <v>95.13355300000002</v>
      </c>
      <c r="K47" s="65">
        <f>+'[1]Pacific Comm Credit'!K39</f>
        <v>104.19293900000002</v>
      </c>
      <c r="L47" s="65">
        <f>+'[1]Pacific Comm Credit'!L39</f>
        <v>99.663246000000015</v>
      </c>
      <c r="M47" s="65">
        <f>+'[1]Pacific Comm Credit'!M39</f>
        <v>95.13355300000002</v>
      </c>
      <c r="N47" s="5">
        <f>SUM(B47:M47)</f>
        <v>1214.3633970000003</v>
      </c>
    </row>
    <row r="48" spans="1:38" x14ac:dyDescent="0.2">
      <c r="A48" s="22" t="s">
        <v>6</v>
      </c>
      <c r="B48" s="65">
        <f>+'[1]Pacific Comm Credit'!B40</f>
        <v>19.12</v>
      </c>
      <c r="C48" s="65">
        <f>+'[1]Pacific Comm Credit'!C40</f>
        <v>19.05</v>
      </c>
      <c r="D48" s="65">
        <f>+'[1]Pacific Comm Credit'!D40</f>
        <v>22.36</v>
      </c>
      <c r="E48" s="65">
        <f>+'[1]Pacific Comm Credit'!E40</f>
        <v>18.190000000000001</v>
      </c>
      <c r="F48" s="65">
        <f>+'[1]Pacific Comm Credit'!F40</f>
        <v>21.44</v>
      </c>
      <c r="G48" s="65">
        <f>+'[1]Pacific Comm Credit'!G40</f>
        <v>18.650000000000002</v>
      </c>
      <c r="H48" s="65">
        <f>+'[1]Pacific Comm Credit'!H40</f>
        <v>17.77</v>
      </c>
      <c r="I48" s="65">
        <f>+'[1]Pacific Comm Credit'!I40</f>
        <v>18.579999999999998</v>
      </c>
      <c r="J48" s="65">
        <f>+'[1]Pacific Comm Credit'!J40</f>
        <v>16.78</v>
      </c>
      <c r="K48" s="65">
        <f>+'[1]Pacific Comm Credit'!K40</f>
        <v>18.420000000000002</v>
      </c>
      <c r="L48" s="65">
        <f>+'[1]Pacific Comm Credit'!L40</f>
        <v>17.5</v>
      </c>
      <c r="M48" s="65">
        <f>+'[1]Pacific Comm Credit'!M40</f>
        <v>16.989999999999998</v>
      </c>
      <c r="N48" s="5">
        <f>SUM(B48:M48)</f>
        <v>224.85000000000002</v>
      </c>
    </row>
    <row r="49" spans="1:16" x14ac:dyDescent="0.2">
      <c r="B49" s="11"/>
      <c r="C49" s="11"/>
      <c r="D49" s="11"/>
      <c r="E49" s="11"/>
      <c r="F49" s="11"/>
      <c r="G49" s="11"/>
      <c r="H49" s="11"/>
      <c r="I49" s="11"/>
      <c r="J49" s="11"/>
      <c r="K49" s="11"/>
      <c r="L49" s="11"/>
      <c r="M49" s="11"/>
      <c r="N49" s="5"/>
    </row>
    <row r="50" spans="1:16" s="6" customFormat="1" x14ac:dyDescent="0.2">
      <c r="A50" s="6" t="s">
        <v>7</v>
      </c>
      <c r="B50" s="91">
        <f>SUM(B47:B49)</f>
        <v>118.65027400000001</v>
      </c>
      <c r="C50" s="91">
        <f>SUM(C47:C49)</f>
        <v>128.06506200000001</v>
      </c>
      <c r="D50" s="91">
        <f t="shared" ref="D50:K50" si="9">SUM(D47:D48)</f>
        <v>131.37506200000001</v>
      </c>
      <c r="E50" s="91">
        <f t="shared" si="9"/>
        <v>112.99788000000001</v>
      </c>
      <c r="F50" s="91">
        <f t="shared" si="9"/>
        <v>130.455062</v>
      </c>
      <c r="G50" s="91">
        <f t="shared" si="9"/>
        <v>118.18027400000001</v>
      </c>
      <c r="H50" s="91">
        <f t="shared" si="9"/>
        <v>117.43324600000001</v>
      </c>
      <c r="I50" s="91">
        <f t="shared" si="9"/>
        <v>118.24324600000001</v>
      </c>
      <c r="J50" s="91">
        <f t="shared" si="9"/>
        <v>111.91355300000002</v>
      </c>
      <c r="K50" s="91">
        <f t="shared" si="9"/>
        <v>122.61293900000003</v>
      </c>
      <c r="L50" s="91">
        <f>SUM(L47:L48)</f>
        <v>117.16324600000002</v>
      </c>
      <c r="M50" s="91">
        <f>SUM(M47:M48)</f>
        <v>112.12355300000002</v>
      </c>
      <c r="N50" s="35">
        <f>SUM(N47:N49)</f>
        <v>1439.2133970000004</v>
      </c>
      <c r="P50" s="57">
        <f>+'[1]Pacific Comm Credit'!$N$41-N50</f>
        <v>0</v>
      </c>
    </row>
    <row r="52" spans="1:16" x14ac:dyDescent="0.2">
      <c r="A52" s="26" t="s">
        <v>20</v>
      </c>
    </row>
    <row r="53" spans="1:16" x14ac:dyDescent="0.2">
      <c r="A53" s="22" t="s">
        <v>58</v>
      </c>
      <c r="B53" s="86">
        <f>B17</f>
        <v>-1.0219340000000017</v>
      </c>
      <c r="C53" s="86">
        <f t="shared" ref="C53:M54" si="10">C17</f>
        <v>-27.709969000000001</v>
      </c>
      <c r="D53" s="86">
        <f t="shared" si="10"/>
        <v>-40.545233999999986</v>
      </c>
      <c r="E53" s="86">
        <f t="shared" si="10"/>
        <v>-41.55945000000002</v>
      </c>
      <c r="F53" s="86">
        <f t="shared" si="10"/>
        <v>-29.144149999999996</v>
      </c>
      <c r="G53" s="86">
        <f t="shared" si="10"/>
        <v>-25.152250000000006</v>
      </c>
      <c r="H53" s="86">
        <f t="shared" si="10"/>
        <v>-28.644450000000013</v>
      </c>
      <c r="I53" s="86">
        <f t="shared" si="10"/>
        <v>-35.214650000000013</v>
      </c>
      <c r="J53" s="86">
        <f t="shared" si="10"/>
        <v>-49.875250000000001</v>
      </c>
      <c r="K53" s="86">
        <f t="shared" si="10"/>
        <v>-65.193150000000003</v>
      </c>
      <c r="L53" s="86">
        <f t="shared" si="10"/>
        <v>-115.70665000000002</v>
      </c>
      <c r="M53" s="86">
        <f t="shared" si="10"/>
        <v>-144.03355000000002</v>
      </c>
      <c r="N53" s="8"/>
    </row>
    <row r="54" spans="1:16" x14ac:dyDescent="0.2">
      <c r="A54" s="22" t="s">
        <v>50</v>
      </c>
      <c r="B54" s="86">
        <f>B18</f>
        <v>-33</v>
      </c>
      <c r="C54" s="86">
        <f t="shared" si="10"/>
        <v>-33</v>
      </c>
      <c r="D54" s="86">
        <f t="shared" si="10"/>
        <v>-33</v>
      </c>
      <c r="E54" s="86">
        <f t="shared" si="10"/>
        <v>-33</v>
      </c>
      <c r="F54" s="86">
        <f t="shared" si="10"/>
        <v>-33</v>
      </c>
      <c r="G54" s="86">
        <f t="shared" si="10"/>
        <v>-33</v>
      </c>
      <c r="H54" s="86">
        <f t="shared" si="10"/>
        <v>-33</v>
      </c>
      <c r="I54" s="86">
        <f t="shared" si="10"/>
        <v>-33</v>
      </c>
      <c r="J54" s="86">
        <f t="shared" si="10"/>
        <v>-33</v>
      </c>
      <c r="K54" s="86">
        <f t="shared" si="10"/>
        <v>-33</v>
      </c>
      <c r="L54" s="86">
        <f t="shared" si="10"/>
        <v>-33</v>
      </c>
      <c r="M54" s="86">
        <f t="shared" si="10"/>
        <v>-33</v>
      </c>
      <c r="N54" s="8"/>
    </row>
    <row r="56" spans="1:16" x14ac:dyDescent="0.2">
      <c r="A56" s="26" t="s">
        <v>51</v>
      </c>
    </row>
    <row r="57" spans="1:16" x14ac:dyDescent="0.2">
      <c r="A57" s="22" t="s">
        <v>52</v>
      </c>
      <c r="B57" s="36">
        <f>B47*B53</f>
        <v>-101.71337102991617</v>
      </c>
      <c r="C57" s="36">
        <f t="shared" ref="C57:M58" si="11">C47*C53</f>
        <v>-3020.8039885530784</v>
      </c>
      <c r="D57" s="36">
        <f t="shared" si="11"/>
        <v>-4420.0411983145068</v>
      </c>
      <c r="E57" s="36">
        <f t="shared" si="11"/>
        <v>-3940.1633484660024</v>
      </c>
      <c r="F57" s="36">
        <f t="shared" si="11"/>
        <v>-3177.1513191872996</v>
      </c>
      <c r="G57" s="36">
        <f t="shared" si="11"/>
        <v>-2503.4103342165008</v>
      </c>
      <c r="H57" s="36">
        <f t="shared" si="11"/>
        <v>-2854.798866884702</v>
      </c>
      <c r="I57" s="36">
        <f t="shared" si="11"/>
        <v>-3509.6063257539017</v>
      </c>
      <c r="J57" s="36">
        <f t="shared" si="11"/>
        <v>-4744.8097392632508</v>
      </c>
      <c r="K57" s="36">
        <f t="shared" si="11"/>
        <v>-6792.6659011678521</v>
      </c>
      <c r="L57" s="36">
        <f t="shared" si="11"/>
        <v>-11531.700322785904</v>
      </c>
      <c r="M57" s="36">
        <f t="shared" si="11"/>
        <v>-13702.423362703155</v>
      </c>
      <c r="N57" s="9">
        <f>SUM(B57:M57)</f>
        <v>-60299.28807832607</v>
      </c>
    </row>
    <row r="58" spans="1:16" x14ac:dyDescent="0.2">
      <c r="A58" s="22" t="s">
        <v>6</v>
      </c>
      <c r="B58" s="36">
        <f>B48*B54</f>
        <v>-630.96</v>
      </c>
      <c r="C58" s="36">
        <f t="shared" si="11"/>
        <v>-628.65</v>
      </c>
      <c r="D58" s="36">
        <f t="shared" si="11"/>
        <v>-737.88</v>
      </c>
      <c r="E58" s="36">
        <f t="shared" si="11"/>
        <v>-600.2700000000001</v>
      </c>
      <c r="F58" s="36">
        <f t="shared" si="11"/>
        <v>-707.5200000000001</v>
      </c>
      <c r="G58" s="36">
        <f t="shared" si="11"/>
        <v>-615.45000000000005</v>
      </c>
      <c r="H58" s="36">
        <f t="shared" si="11"/>
        <v>-586.41</v>
      </c>
      <c r="I58" s="36">
        <f t="shared" si="11"/>
        <v>-613.14</v>
      </c>
      <c r="J58" s="36">
        <f t="shared" si="11"/>
        <v>-553.74</v>
      </c>
      <c r="K58" s="36">
        <f t="shared" si="11"/>
        <v>-607.86</v>
      </c>
      <c r="L58" s="36">
        <f t="shared" si="11"/>
        <v>-577.5</v>
      </c>
      <c r="M58" s="36">
        <f t="shared" si="11"/>
        <v>-560.66999999999996</v>
      </c>
      <c r="N58" s="9">
        <f>SUM(B58:M58)</f>
        <v>-7420.05</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2">SUM(B57:B58)</f>
        <v>-732.67337102991621</v>
      </c>
      <c r="C60" s="37">
        <f t="shared" si="12"/>
        <v>-3649.4539885530785</v>
      </c>
      <c r="D60" s="37">
        <f t="shared" si="12"/>
        <v>-5157.9211983145069</v>
      </c>
      <c r="E60" s="37">
        <f t="shared" si="12"/>
        <v>-4540.4333484660028</v>
      </c>
      <c r="F60" s="37">
        <f t="shared" si="12"/>
        <v>-3884.6713191872996</v>
      </c>
      <c r="G60" s="37">
        <f t="shared" si="12"/>
        <v>-3118.8603342165006</v>
      </c>
      <c r="H60" s="37">
        <f t="shared" si="12"/>
        <v>-3441.2088668847018</v>
      </c>
      <c r="I60" s="37">
        <f t="shared" si="12"/>
        <v>-4122.7463257539021</v>
      </c>
      <c r="J60" s="37">
        <f>SUM(J57:J58)</f>
        <v>-5298.5497392632506</v>
      </c>
      <c r="K60" s="37">
        <f>SUM(K57:K58)</f>
        <v>-7400.5259011678518</v>
      </c>
      <c r="L60" s="37">
        <f>SUM(L57:L58)</f>
        <v>-12109.200322785904</v>
      </c>
      <c r="M60" s="37">
        <f>SUM(M57:M58)</f>
        <v>-14263.093362703155</v>
      </c>
      <c r="N60" s="40">
        <f>SUM(N57:N58)</f>
        <v>-67719.338078326065</v>
      </c>
      <c r="O60" s="54"/>
      <c r="P60" s="45">
        <f>+'[2]Pacific Comm Credit'!$N$51-N60</f>
        <v>25402.184158428208</v>
      </c>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+'[1]Pacific Comm Credit'!B53</f>
        <v>12680.419277108433</v>
      </c>
      <c r="C63" s="16">
        <f>+'[1]Pacific Comm Credit'!C53</f>
        <v>12537.999999999998</v>
      </c>
      <c r="D63" s="16">
        <f>+'[1]Pacific Comm Credit'!D53</f>
        <v>12540.997590361445</v>
      </c>
      <c r="E63" s="16">
        <f>+'[1]Pacific Comm Credit'!E53</f>
        <v>12604.440963855419</v>
      </c>
      <c r="F63" s="16">
        <f>+'[1]Pacific Comm Credit'!F53</f>
        <v>13428.267469879516</v>
      </c>
      <c r="G63" s="16">
        <f>+'[1]Pacific Comm Credit'!G53</f>
        <v>13808.404819277108</v>
      </c>
      <c r="H63" s="16">
        <f>+'[1]Pacific Comm Credit'!H53</f>
        <v>13850.221686746989</v>
      </c>
      <c r="I63" s="16">
        <f>+'[1]Pacific Comm Credit'!I53</f>
        <v>13853.708433734939</v>
      </c>
      <c r="J63" s="16">
        <f>+'[1]Pacific Comm Credit'!J53</f>
        <v>13847.72771084337</v>
      </c>
      <c r="K63" s="16">
        <f>+'[1]Pacific Comm Credit'!K53</f>
        <v>13892.662650602408</v>
      </c>
      <c r="L63" s="16">
        <f>+'[1]Pacific Comm Credit'!L53</f>
        <v>14162.612048192768</v>
      </c>
      <c r="M63" s="16">
        <f>+'[1]Pacific Comm Credit'!M53</f>
        <v>14085.043373493972</v>
      </c>
      <c r="N63" s="7">
        <f>SUM(B63:M63)</f>
        <v>161292.50602409634</v>
      </c>
      <c r="P63" s="94">
        <f>+'[1]Pacific Comm Credit'!$N$53-N63</f>
        <v>0</v>
      </c>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53</v>
      </c>
      <c r="B66" s="27">
        <f t="shared" ref="B66:M66" si="13">+IFERROR(B60/B63,0)</f>
        <v>-5.7779901044170419E-2</v>
      </c>
      <c r="C66" s="27">
        <f t="shared" si="13"/>
        <v>-0.29107146184025195</v>
      </c>
      <c r="D66" s="27">
        <f t="shared" si="13"/>
        <v>-0.41128476113245549</v>
      </c>
      <c r="E66" s="27">
        <f t="shared" si="13"/>
        <v>-0.36022488910743289</v>
      </c>
      <c r="F66" s="27">
        <f t="shared" si="13"/>
        <v>-0.28929058256404794</v>
      </c>
      <c r="G66" s="27">
        <f t="shared" si="13"/>
        <v>-0.2258668090221719</v>
      </c>
      <c r="H66" s="27">
        <f t="shared" si="13"/>
        <v>-0.24845875717480598</v>
      </c>
      <c r="I66" s="27">
        <f t="shared" si="13"/>
        <v>-0.29759153265523258</v>
      </c>
      <c r="J66" s="27">
        <f t="shared" si="13"/>
        <v>-0.38262954398751331</v>
      </c>
      <c r="K66" s="27">
        <f t="shared" si="13"/>
        <v>-0.53269312638545596</v>
      </c>
      <c r="L66" s="27">
        <f t="shared" si="13"/>
        <v>-0.85501179313395859</v>
      </c>
      <c r="M66" s="27">
        <f t="shared" si="13"/>
        <v>-1.0126410678680797</v>
      </c>
      <c r="N66" s="5"/>
    </row>
    <row r="67" spans="1:19" x14ac:dyDescent="0.2">
      <c r="A67" s="10" t="s">
        <v>54</v>
      </c>
      <c r="B67" s="69">
        <f>+'Pacific CPA 1.1.22'!$M$67</f>
        <v>-0.71</v>
      </c>
      <c r="C67" s="69">
        <f>+'Pacific CPA 1.1.22'!$M$67</f>
        <v>-0.71</v>
      </c>
      <c r="D67" s="69">
        <f>+'Pacific CPA 1.1.22'!$N$72</f>
        <v>-0.28000000000000003</v>
      </c>
      <c r="E67" s="69">
        <f>+'Pacific CPA 1.1.22'!$N$72</f>
        <v>-0.28000000000000003</v>
      </c>
      <c r="F67" s="69">
        <f>+'Pacific CPA 1.1.22'!$N$72</f>
        <v>-0.28000000000000003</v>
      </c>
      <c r="G67" s="69">
        <f>+'Pacific CPA 1.1.22'!$N$72</f>
        <v>-0.28000000000000003</v>
      </c>
      <c r="H67" s="69">
        <f>+'Pacific CPA 1.1.22'!$N$72</f>
        <v>-0.28000000000000003</v>
      </c>
      <c r="I67" s="69">
        <f>+'Pacific CPA 1.1.22'!$N$72</f>
        <v>-0.28000000000000003</v>
      </c>
      <c r="J67" s="69">
        <f>+'Pacific CPA 1.1.22'!$N$72</f>
        <v>-0.28000000000000003</v>
      </c>
      <c r="K67" s="69">
        <f>+'Pacific CPA 1.1.22'!$N$72</f>
        <v>-0.28000000000000003</v>
      </c>
      <c r="L67" s="69">
        <f>+'Pacific CPA 1.1.22'!$N$72</f>
        <v>-0.28000000000000003</v>
      </c>
      <c r="M67" s="69">
        <f>+'Pacific CPA 1.1.22'!$N$72</f>
        <v>-0.28000000000000003</v>
      </c>
      <c r="N67" s="5"/>
    </row>
    <row r="68" spans="1:19" x14ac:dyDescent="0.2">
      <c r="A68" s="10" t="s">
        <v>56</v>
      </c>
      <c r="B68" s="36">
        <f>+B63*B67</f>
        <v>-9003.0976867469872</v>
      </c>
      <c r="C68" s="36">
        <f t="shared" ref="C68:M68" si="14">+C63*C67</f>
        <v>-8901.9799999999977</v>
      </c>
      <c r="D68" s="36">
        <f t="shared" si="14"/>
        <v>-3511.4793253012049</v>
      </c>
      <c r="E68" s="36">
        <f t="shared" si="14"/>
        <v>-3529.2434698795178</v>
      </c>
      <c r="F68" s="36">
        <f t="shared" si="14"/>
        <v>-3759.9148915662649</v>
      </c>
      <c r="G68" s="36">
        <f t="shared" si="14"/>
        <v>-3866.3533493975906</v>
      </c>
      <c r="H68" s="36">
        <f t="shared" si="14"/>
        <v>-3878.0620722891572</v>
      </c>
      <c r="I68" s="36">
        <f t="shared" si="14"/>
        <v>-3879.0383614457833</v>
      </c>
      <c r="J68" s="36">
        <f t="shared" si="14"/>
        <v>-3877.3637590361441</v>
      </c>
      <c r="K68" s="36">
        <f t="shared" si="14"/>
        <v>-3889.9455421686744</v>
      </c>
      <c r="L68" s="36">
        <f t="shared" si="14"/>
        <v>-3965.5313734939755</v>
      </c>
      <c r="M68" s="36">
        <f t="shared" si="14"/>
        <v>-3943.8121445783127</v>
      </c>
      <c r="N68" s="5"/>
    </row>
    <row r="69" spans="1:19" s="6" customFormat="1" ht="13.5" thickBot="1" x14ac:dyDescent="0.25">
      <c r="A69" s="13" t="s">
        <v>55</v>
      </c>
      <c r="B69" s="92">
        <f>+B68-B60</f>
        <v>-8270.4243157170713</v>
      </c>
      <c r="C69" s="92">
        <f>+C68-C60</f>
        <v>-5252.5260114469193</v>
      </c>
      <c r="D69" s="92">
        <f t="shared" ref="D69:M69" si="15">+D68-D60</f>
        <v>1646.441873013302</v>
      </c>
      <c r="E69" s="92">
        <f t="shared" si="15"/>
        <v>1011.1898785864851</v>
      </c>
      <c r="F69" s="92">
        <f t="shared" si="15"/>
        <v>124.75642762103462</v>
      </c>
      <c r="G69" s="92">
        <f t="shared" si="15"/>
        <v>-747.49301518108996</v>
      </c>
      <c r="H69" s="92">
        <f t="shared" si="15"/>
        <v>-436.85320540445537</v>
      </c>
      <c r="I69" s="92">
        <f t="shared" si="15"/>
        <v>243.70796430811879</v>
      </c>
      <c r="J69" s="92">
        <f t="shared" si="15"/>
        <v>1421.1859802271065</v>
      </c>
      <c r="K69" s="92">
        <f t="shared" si="15"/>
        <v>3510.5803589991774</v>
      </c>
      <c r="L69" s="92">
        <f t="shared" si="15"/>
        <v>8143.6689492919286</v>
      </c>
      <c r="M69" s="92">
        <f t="shared" si="15"/>
        <v>10319.281218124843</v>
      </c>
      <c r="N69" s="92">
        <f>SUM(B69:M69)</f>
        <v>11713.51610242246</v>
      </c>
      <c r="P69" s="90"/>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7.0000000000000007E-2</v>
      </c>
    </row>
    <row r="72" spans="1:19" x14ac:dyDescent="0.2">
      <c r="B72" s="21"/>
      <c r="C72" s="21"/>
      <c r="D72" s="21"/>
      <c r="E72" s="21"/>
      <c r="F72" s="21"/>
      <c r="G72" s="21"/>
      <c r="H72" s="21"/>
      <c r="I72" s="21"/>
      <c r="J72" s="21"/>
      <c r="K72" s="21"/>
      <c r="L72" s="21"/>
      <c r="M72" s="21" t="s">
        <v>59</v>
      </c>
      <c r="N72" s="81">
        <f>-ROUND(N60/N63,2)</f>
        <v>0.42</v>
      </c>
    </row>
    <row r="73" spans="1:19" x14ac:dyDescent="0.2">
      <c r="B73" s="84"/>
      <c r="C73" s="21"/>
      <c r="D73" s="21"/>
      <c r="E73" s="21"/>
      <c r="F73" s="21"/>
      <c r="G73" s="21"/>
      <c r="H73" s="21"/>
      <c r="I73" s="21"/>
      <c r="J73" s="21"/>
      <c r="K73" s="21"/>
      <c r="L73" s="21"/>
      <c r="M73" s="42" t="s">
        <v>44</v>
      </c>
      <c r="N73" s="18">
        <f>+N72+N71</f>
        <v>0.49</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f>+'Pacific CPA 1.1.22'!N73</f>
        <v>-0.13999999999999996</v>
      </c>
      <c r="Q75" s="8"/>
      <c r="R75" s="8"/>
      <c r="S75" s="55"/>
    </row>
    <row r="76" spans="1:19" x14ac:dyDescent="0.2">
      <c r="A76" s="10"/>
      <c r="B76" s="21"/>
      <c r="C76" s="21"/>
      <c r="D76" s="21"/>
      <c r="E76" s="21"/>
      <c r="F76" s="21"/>
      <c r="G76" s="21"/>
      <c r="H76" s="21"/>
      <c r="I76" s="21"/>
      <c r="J76" s="21"/>
      <c r="K76" s="21"/>
      <c r="L76" s="21"/>
      <c r="M76" s="21" t="s">
        <v>15</v>
      </c>
      <c r="N76" s="17">
        <f>+N73-N75</f>
        <v>0.62999999999999989</v>
      </c>
      <c r="O76" s="56">
        <f>N76/N75</f>
        <v>-4.5000000000000009</v>
      </c>
    </row>
    <row r="77" spans="1:19" x14ac:dyDescent="0.2">
      <c r="A77" s="10"/>
      <c r="B77" s="21"/>
      <c r="C77" s="21"/>
      <c r="D77" s="21"/>
      <c r="E77" s="21"/>
      <c r="F77" s="21"/>
      <c r="G77" s="21"/>
      <c r="H77" s="21"/>
      <c r="I77" s="21"/>
      <c r="J77" s="21"/>
      <c r="K77" s="21"/>
      <c r="L77" s="21"/>
      <c r="M77" s="21" t="s">
        <v>36</v>
      </c>
      <c r="N77" s="9">
        <f>N76*M63*12</f>
        <v>106482.92790361441</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62" fitToHeight="0" orientation="landscape"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view="pageBreakPreview" zoomScaleNormal="100" zoomScaleSheetLayoutView="100" workbookViewId="0">
      <pane xSplit="1" ySplit="7" topLeftCell="B41" activePane="bottomRight" state="frozen"/>
      <selection activeCell="B36" sqref="B36"/>
      <selection pane="topRight" activeCell="B36" sqref="B36"/>
      <selection pane="bottomLeft" activeCell="B36" sqref="B36"/>
      <selection pane="bottomRight" activeCell="N73" sqref="N73"/>
    </sheetView>
  </sheetViews>
  <sheetFormatPr defaultRowHeight="12.75" x14ac:dyDescent="0.2"/>
  <cols>
    <col min="1" max="1" width="23.7109375" style="22" customWidth="1"/>
    <col min="2" max="9" width="9.28515625" style="22" bestFit="1" customWidth="1"/>
    <col min="10" max="12" width="9.7109375" style="22" bestFit="1" customWidth="1"/>
    <col min="13" max="13" width="13" style="22" customWidth="1"/>
    <col min="14" max="14" width="12.28515625" style="22" bestFit="1" customWidth="1"/>
    <col min="15" max="15" width="11.28515625" style="22" bestFit="1" customWidth="1"/>
    <col min="16" max="16" width="10.28515625" style="22" bestFit="1" customWidth="1"/>
    <col min="17" max="17" width="13.5703125" style="22" customWidth="1"/>
    <col min="18" max="18" width="11.85546875" style="22" bestFit="1"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47</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44136</v>
      </c>
      <c r="C6" s="2">
        <f>+B6+31</f>
        <v>44167</v>
      </c>
      <c r="D6" s="2">
        <f t="shared" ref="D6:M6" si="0">+C6+31</f>
        <v>44198</v>
      </c>
      <c r="E6" s="2">
        <f t="shared" si="0"/>
        <v>44229</v>
      </c>
      <c r="F6" s="2">
        <f t="shared" si="0"/>
        <v>44260</v>
      </c>
      <c r="G6" s="2">
        <f t="shared" si="0"/>
        <v>44291</v>
      </c>
      <c r="H6" s="2">
        <f t="shared" si="0"/>
        <v>44322</v>
      </c>
      <c r="I6" s="2">
        <f t="shared" si="0"/>
        <v>44353</v>
      </c>
      <c r="J6" s="2">
        <f t="shared" si="0"/>
        <v>44384</v>
      </c>
      <c r="K6" s="2">
        <f t="shared" si="0"/>
        <v>44415</v>
      </c>
      <c r="L6" s="2">
        <f t="shared" si="0"/>
        <v>44446</v>
      </c>
      <c r="M6" s="2">
        <f t="shared" si="0"/>
        <v>44477</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+'[2]Pacific Comm Credit'!B9</f>
        <v>1151.22</v>
      </c>
      <c r="C11" s="11">
        <f>+'[2]Pacific Comm Credit'!C9</f>
        <v>1298.98</v>
      </c>
      <c r="D11" s="11">
        <f>+'[2]Pacific Comm Credit'!D9</f>
        <v>1286.1399999999999</v>
      </c>
      <c r="E11" s="11">
        <f>+'[2]Pacific Comm Credit'!E9</f>
        <v>1010.1600000000002</v>
      </c>
      <c r="F11" s="11">
        <f>+'[2]Pacific Comm Credit'!F9</f>
        <v>1194.5000000000002</v>
      </c>
      <c r="G11" s="11">
        <f>+'[2]Pacific Comm Credit'!G9</f>
        <v>1145.92</v>
      </c>
      <c r="H11" s="11">
        <f>+'[2]Pacific Comm Credit'!H9</f>
        <v>1077.6500000000001</v>
      </c>
      <c r="I11" s="11">
        <f>+'[2]Pacific Comm Credit'!I9</f>
        <v>1133.21</v>
      </c>
      <c r="J11" s="11">
        <f>+'[2]Pacific Comm Credit'!J9</f>
        <v>1091.68</v>
      </c>
      <c r="K11" s="11">
        <f>+'[2]Pacific Comm Credit'!K9</f>
        <v>1048.8799999999999</v>
      </c>
      <c r="L11" s="11">
        <f>+'[2]Pacific Comm Credit'!L9</f>
        <v>1112.4800000000002</v>
      </c>
      <c r="M11" s="11">
        <f>+'[2]Pacific Comm Credit'!M9</f>
        <v>1065.0400000000002</v>
      </c>
      <c r="N11" s="5">
        <f>SUM(B11:M11)</f>
        <v>13615.859999999999</v>
      </c>
      <c r="P11" s="5"/>
      <c r="R11" s="44"/>
      <c r="S11" s="44"/>
      <c r="T11" s="44"/>
      <c r="U11" s="44"/>
      <c r="V11" s="44"/>
      <c r="W11" s="44"/>
      <c r="X11" s="44"/>
      <c r="Y11" s="44"/>
      <c r="Z11" s="44"/>
    </row>
    <row r="12" spans="1:38" x14ac:dyDescent="0.2">
      <c r="A12" s="22" t="s">
        <v>6</v>
      </c>
      <c r="B12" s="11">
        <f>+'[2]Pacific Comm Credit'!B10</f>
        <v>134.56</v>
      </c>
      <c r="C12" s="11">
        <f>+'[2]Pacific Comm Credit'!C10</f>
        <v>156.06</v>
      </c>
      <c r="D12" s="11">
        <f>+'[2]Pacific Comm Credit'!D10</f>
        <v>153.1</v>
      </c>
      <c r="E12" s="11">
        <f>+'[2]Pacific Comm Credit'!E10</f>
        <v>128.26</v>
      </c>
      <c r="F12" s="11">
        <f>+'[2]Pacific Comm Credit'!F10</f>
        <v>137.30000000000001</v>
      </c>
      <c r="G12" s="11">
        <f>+'[2]Pacific Comm Credit'!G10</f>
        <v>138.57</v>
      </c>
      <c r="H12" s="11">
        <f>+'[2]Pacific Comm Credit'!H10</f>
        <v>129.31</v>
      </c>
      <c r="I12" s="11">
        <f>+'[2]Pacific Comm Credit'!I10</f>
        <v>128.06</v>
      </c>
      <c r="J12" s="11">
        <f>+'[2]Pacific Comm Credit'!J10</f>
        <v>150.32</v>
      </c>
      <c r="K12" s="11">
        <f>+'[2]Pacific Comm Credit'!K10</f>
        <v>132.82</v>
      </c>
      <c r="L12" s="11">
        <f>+'[2]Pacific Comm Credit'!L10</f>
        <v>114.76</v>
      </c>
      <c r="M12" s="11">
        <f>+'[2]Pacific Comm Credit'!M10</f>
        <v>117.73</v>
      </c>
      <c r="N12" s="5">
        <f>SUM(B12:M12)</f>
        <v>1620.8499999999997</v>
      </c>
      <c r="P12" s="5"/>
      <c r="R12" s="44"/>
      <c r="S12" s="44"/>
      <c r="T12" s="44"/>
      <c r="U12" s="44"/>
      <c r="V12" s="44"/>
      <c r="W12" s="44"/>
      <c r="X12" s="44"/>
      <c r="Y12" s="44"/>
      <c r="Z12" s="44"/>
    </row>
    <row r="13" spans="1:38" x14ac:dyDescent="0.2">
      <c r="B13" s="11"/>
      <c r="C13" s="11"/>
      <c r="D13" s="11"/>
      <c r="E13" s="11"/>
      <c r="F13" s="11"/>
      <c r="G13" s="11"/>
      <c r="H13" s="11"/>
      <c r="I13" s="11"/>
      <c r="J13" s="11"/>
      <c r="K13" s="11"/>
      <c r="L13" s="11"/>
      <c r="M13" s="11"/>
      <c r="N13" s="5"/>
      <c r="P13" s="5"/>
    </row>
    <row r="14" spans="1:38" s="6" customFormat="1" x14ac:dyDescent="0.2">
      <c r="A14" s="6" t="s">
        <v>7</v>
      </c>
      <c r="B14" s="35">
        <f>SUM(B11:B12)</f>
        <v>1285.78</v>
      </c>
      <c r="C14" s="35">
        <f>SUM(C11:C12)</f>
        <v>1455.04</v>
      </c>
      <c r="D14" s="35">
        <f t="shared" ref="D14:M14" si="1">SUM(D11:D12)</f>
        <v>1439.2399999999998</v>
      </c>
      <c r="E14" s="35">
        <f t="shared" si="1"/>
        <v>1138.42</v>
      </c>
      <c r="F14" s="35">
        <f t="shared" si="1"/>
        <v>1331.8000000000002</v>
      </c>
      <c r="G14" s="35">
        <f t="shared" si="1"/>
        <v>1284.49</v>
      </c>
      <c r="H14" s="35">
        <f t="shared" si="1"/>
        <v>1206.96</v>
      </c>
      <c r="I14" s="35">
        <f t="shared" si="1"/>
        <v>1261.27</v>
      </c>
      <c r="J14" s="35">
        <f t="shared" si="1"/>
        <v>1242</v>
      </c>
      <c r="K14" s="35">
        <f t="shared" si="1"/>
        <v>1181.6999999999998</v>
      </c>
      <c r="L14" s="35">
        <f t="shared" si="1"/>
        <v>1227.2400000000002</v>
      </c>
      <c r="M14" s="35">
        <f t="shared" si="1"/>
        <v>1182.7700000000002</v>
      </c>
      <c r="N14" s="35">
        <f>SUM(N11:N13)</f>
        <v>15236.71</v>
      </c>
      <c r="P14" s="45">
        <f>+'[2]Pacific Comm Credit'!$N$11-N14</f>
        <v>0</v>
      </c>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86">
        <f>+'[2]Pacific Comm Credit'!B15</f>
        <v>-72.580631999999994</v>
      </c>
      <c r="C17" s="86">
        <f>+'[2]Pacific Comm Credit'!C15</f>
        <v>-63.20414199999999</v>
      </c>
      <c r="D17" s="86">
        <f>+'[2]Pacific Comm Credit'!D15</f>
        <v>-60.236732000000003</v>
      </c>
      <c r="E17" s="86">
        <f>+'[2]Pacific Comm Credit'!E15</f>
        <v>-69.997132000000008</v>
      </c>
      <c r="F17" s="86">
        <f>+'[2]Pacific Comm Credit'!F15</f>
        <v>-64.593232</v>
      </c>
      <c r="G17" s="86">
        <f>+'[2]Pacific Comm Credit'!G15</f>
        <v>-47.949632000000015</v>
      </c>
      <c r="H17" s="86">
        <f>+'[2]Pacific Comm Credit'!H15</f>
        <v>-41.422732000000011</v>
      </c>
      <c r="I17" s="86">
        <f>+'[2]Pacific Comm Credit'!I15</f>
        <v>-19.477296000000003</v>
      </c>
      <c r="J17" s="86">
        <f>+'[2]Pacific Comm Credit'!J15</f>
        <v>0.85818399999999884</v>
      </c>
      <c r="K17" s="86">
        <f>+'[2]Pacific Comm Credit'!K15</f>
        <v>14.161643999999999</v>
      </c>
      <c r="L17" s="86">
        <f>+'[2]Pacific Comm Credit'!L15</f>
        <v>19.965324000000006</v>
      </c>
      <c r="M17" s="86">
        <f>+'[2]Pacific Comm Credit'!M15</f>
        <v>17.212044000000002</v>
      </c>
      <c r="N17" s="7"/>
      <c r="P17" s="5"/>
      <c r="R17" s="46"/>
      <c r="S17" s="46"/>
      <c r="T17" s="46"/>
      <c r="U17" s="46"/>
      <c r="V17" s="46"/>
      <c r="W17" s="46"/>
      <c r="X17" s="46"/>
      <c r="Y17" s="46"/>
      <c r="Z17" s="46"/>
    </row>
    <row r="18" spans="1:42" x14ac:dyDescent="0.2">
      <c r="A18" s="22" t="s">
        <v>6</v>
      </c>
      <c r="B18" s="86">
        <f>+'[2]Pacific Comm Credit'!B16</f>
        <v>-33</v>
      </c>
      <c r="C18" s="86">
        <f>+'[2]Pacific Comm Credit'!C16</f>
        <v>-33</v>
      </c>
      <c r="D18" s="86">
        <f>+'[2]Pacific Comm Credit'!D16</f>
        <v>-33</v>
      </c>
      <c r="E18" s="86">
        <f>+'[2]Pacific Comm Credit'!E16</f>
        <v>-33</v>
      </c>
      <c r="F18" s="86">
        <f>+'[2]Pacific Comm Credit'!F16</f>
        <v>-33</v>
      </c>
      <c r="G18" s="86">
        <f>+'[2]Pacific Comm Credit'!G16</f>
        <v>-33</v>
      </c>
      <c r="H18" s="86">
        <f>+'[2]Pacific Comm Credit'!H16</f>
        <v>-33</v>
      </c>
      <c r="I18" s="86">
        <f>+'[2]Pacific Comm Credit'!I16</f>
        <v>-33</v>
      </c>
      <c r="J18" s="86">
        <f>+'[2]Pacific Comm Credit'!J16</f>
        <v>-33</v>
      </c>
      <c r="K18" s="86">
        <f>+'[2]Pacific Comm Credit'!K16</f>
        <v>-33</v>
      </c>
      <c r="L18" s="86">
        <f>+'[2]Pacific Comm Credit'!L16</f>
        <v>-33</v>
      </c>
      <c r="M18" s="86">
        <f>+'[2]Pacific Comm Credit'!M16</f>
        <v>-33</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2">+B11*B17</f>
        <v>-83556.27517103999</v>
      </c>
      <c r="C21" s="36">
        <f t="shared" si="2"/>
        <v>-82100.916375159984</v>
      </c>
      <c r="D21" s="36">
        <f t="shared" si="2"/>
        <v>-77472.870494479997</v>
      </c>
      <c r="E21" s="36">
        <f t="shared" si="2"/>
        <v>-70708.302861120028</v>
      </c>
      <c r="F21" s="36">
        <f t="shared" si="2"/>
        <v>-77156.615624000013</v>
      </c>
      <c r="G21" s="36">
        <f t="shared" si="2"/>
        <v>-54946.442301440024</v>
      </c>
      <c r="H21" s="36">
        <f t="shared" si="2"/>
        <v>-44639.207139800012</v>
      </c>
      <c r="I21" s="36">
        <f t="shared" si="2"/>
        <v>-22071.866600160003</v>
      </c>
      <c r="J21" s="36">
        <f t="shared" si="2"/>
        <v>936.86230911999883</v>
      </c>
      <c r="K21" s="36">
        <f t="shared" si="2"/>
        <v>14853.865158719997</v>
      </c>
      <c r="L21" s="36">
        <f t="shared" si="2"/>
        <v>22211.023643520013</v>
      </c>
      <c r="M21" s="36">
        <f t="shared" si="2"/>
        <v>18331.515341760005</v>
      </c>
      <c r="N21" s="9">
        <f>SUM(B21:M21)</f>
        <v>-456319.23011408007</v>
      </c>
      <c r="P21" s="8"/>
      <c r="R21" s="8"/>
      <c r="S21" s="8"/>
      <c r="T21" s="8"/>
      <c r="U21" s="8"/>
      <c r="V21" s="8"/>
      <c r="W21" s="8"/>
      <c r="X21" s="8"/>
      <c r="Y21" s="8"/>
      <c r="Z21" s="8"/>
    </row>
    <row r="22" spans="1:42" x14ac:dyDescent="0.2">
      <c r="A22" s="22" t="s">
        <v>6</v>
      </c>
      <c r="B22" s="36">
        <f t="shared" ref="B22:M22" si="3">+B18*B12</f>
        <v>-4440.4800000000005</v>
      </c>
      <c r="C22" s="36">
        <f t="shared" si="3"/>
        <v>-5149.9800000000005</v>
      </c>
      <c r="D22" s="36">
        <f t="shared" si="3"/>
        <v>-5052.3</v>
      </c>
      <c r="E22" s="36">
        <f t="shared" si="3"/>
        <v>-4232.58</v>
      </c>
      <c r="F22" s="36">
        <f t="shared" si="3"/>
        <v>-4530.9000000000005</v>
      </c>
      <c r="G22" s="36">
        <f t="shared" si="3"/>
        <v>-4572.8099999999995</v>
      </c>
      <c r="H22" s="36">
        <f t="shared" si="3"/>
        <v>-4267.2300000000005</v>
      </c>
      <c r="I22" s="36">
        <f t="shared" si="3"/>
        <v>-4225.9800000000005</v>
      </c>
      <c r="J22" s="36">
        <f t="shared" si="3"/>
        <v>-4960.5599999999995</v>
      </c>
      <c r="K22" s="36">
        <f t="shared" si="3"/>
        <v>-4383.0599999999995</v>
      </c>
      <c r="L22" s="36">
        <f t="shared" si="3"/>
        <v>-3787.0800000000004</v>
      </c>
      <c r="M22" s="36">
        <f t="shared" si="3"/>
        <v>-3885.09</v>
      </c>
      <c r="N22" s="9">
        <f>SUM(B22:M22)</f>
        <v>-53488.05</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-87996.755171039986</v>
      </c>
      <c r="C24" s="37">
        <f>SUM(C21:C22)</f>
        <v>-87250.89637515998</v>
      </c>
      <c r="D24" s="37">
        <f t="shared" ref="D24:M24" si="4">SUM(D21:D22)</f>
        <v>-82525.17049448</v>
      </c>
      <c r="E24" s="37">
        <f t="shared" si="4"/>
        <v>-74940.88286112003</v>
      </c>
      <c r="F24" s="37">
        <f t="shared" si="4"/>
        <v>-81687.515624000007</v>
      </c>
      <c r="G24" s="37">
        <f t="shared" si="4"/>
        <v>-59519.252301440021</v>
      </c>
      <c r="H24" s="37">
        <f t="shared" si="4"/>
        <v>-48906.437139800015</v>
      </c>
      <c r="I24" s="37">
        <f t="shared" si="4"/>
        <v>-26297.846600160003</v>
      </c>
      <c r="J24" s="37">
        <f t="shared" si="4"/>
        <v>-4023.6976908800007</v>
      </c>
      <c r="K24" s="37">
        <f t="shared" si="4"/>
        <v>10470.805158719997</v>
      </c>
      <c r="L24" s="37">
        <f t="shared" si="4"/>
        <v>18423.943643520011</v>
      </c>
      <c r="M24" s="37">
        <f t="shared" si="4"/>
        <v>14446.425341760005</v>
      </c>
      <c r="N24" s="40">
        <f>SUM(N21:N23)</f>
        <v>-509807.28011408006</v>
      </c>
      <c r="P24" s="45">
        <f>+'[2]Pacific Comm Credit'!$N$21-N24</f>
        <v>0</v>
      </c>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+'[2]Pacific Comm Credit'!B23</f>
        <v>61358</v>
      </c>
      <c r="C27" s="16">
        <f>+'[2]Pacific Comm Credit'!C23</f>
        <v>61419</v>
      </c>
      <c r="D27" s="16">
        <f>+'[2]Pacific Comm Credit'!D23</f>
        <v>61515</v>
      </c>
      <c r="E27" s="16">
        <f>+'[2]Pacific Comm Credit'!E23</f>
        <v>61602</v>
      </c>
      <c r="F27" s="16">
        <f>+'[2]Pacific Comm Credit'!F23</f>
        <v>61749</v>
      </c>
      <c r="G27" s="16">
        <f>+'[2]Pacific Comm Credit'!G23</f>
        <v>61996</v>
      </c>
      <c r="H27" s="16">
        <f>+'[2]Pacific Comm Credit'!H23</f>
        <v>61713</v>
      </c>
      <c r="I27" s="16">
        <f>+'[2]Pacific Comm Credit'!I23</f>
        <v>62340</v>
      </c>
      <c r="J27" s="16">
        <f>+'[2]Pacific Comm Credit'!J23</f>
        <v>62499</v>
      </c>
      <c r="K27" s="16">
        <f>+'[2]Pacific Comm Credit'!K23</f>
        <v>62602</v>
      </c>
      <c r="L27" s="16">
        <f>+'[2]Pacific Comm Credit'!L23</f>
        <v>62541</v>
      </c>
      <c r="M27" s="16">
        <f>+'[2]Pacific Comm Credit'!M23</f>
        <v>62528</v>
      </c>
      <c r="N27" s="19">
        <f>+SUM(B27:M27)</f>
        <v>743862</v>
      </c>
      <c r="P27" s="87">
        <f>+'[2]Pacific Comm Credit'!$N$23-N27</f>
        <v>0</v>
      </c>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27">
        <f>+IFERROR(B24/B27,0)</f>
        <v>-1.4341529249819092</v>
      </c>
      <c r="C30" s="27">
        <f t="shared" ref="C30:M30" si="5">+IFERROR(C24/C27,0)</f>
        <v>-1.420584776293329</v>
      </c>
      <c r="D30" s="27">
        <f t="shared" si="5"/>
        <v>-1.3415454847513615</v>
      </c>
      <c r="E30" s="27">
        <f t="shared" si="5"/>
        <v>-1.2165332758858483</v>
      </c>
      <c r="F30" s="27">
        <f t="shared" si="5"/>
        <v>-1.3228961703671316</v>
      </c>
      <c r="G30" s="27">
        <f t="shared" si="5"/>
        <v>-0.9600498790476808</v>
      </c>
      <c r="H30" s="27">
        <f t="shared" si="5"/>
        <v>-0.79248192665726858</v>
      </c>
      <c r="I30" s="27">
        <f t="shared" si="5"/>
        <v>-0.42184547000577483</v>
      </c>
      <c r="J30" s="27">
        <f t="shared" si="5"/>
        <v>-6.4380193137170208E-2</v>
      </c>
      <c r="K30" s="27">
        <f t="shared" si="5"/>
        <v>0.16725991435928561</v>
      </c>
      <c r="L30" s="27">
        <f t="shared" si="5"/>
        <v>0.29458984735645433</v>
      </c>
      <c r="M30" s="27">
        <f t="shared" si="5"/>
        <v>0.23103929986182198</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14</v>
      </c>
      <c r="B31" s="27">
        <f>+'Pacific CPA 1.1.21'!$M$31</f>
        <v>-1.8069771477324221</v>
      </c>
      <c r="C31" s="27">
        <f>+'Pacific CPA 1.1.21'!$M$31</f>
        <v>-1.8069771477324221</v>
      </c>
      <c r="D31" s="27">
        <f>+'Pacific CPA 1.1.21'!$N$36</f>
        <v>-1.91</v>
      </c>
      <c r="E31" s="27">
        <f>+'Pacific CPA 1.1.21'!$N$36</f>
        <v>-1.91</v>
      </c>
      <c r="F31" s="27">
        <f>+'Pacific CPA 1.1.21'!$N$36</f>
        <v>-1.91</v>
      </c>
      <c r="G31" s="27">
        <f>+'Pacific CPA 1.1.21'!$N$36</f>
        <v>-1.91</v>
      </c>
      <c r="H31" s="27">
        <f>+'Pacific CPA 1.1.21'!$N$36</f>
        <v>-1.91</v>
      </c>
      <c r="I31" s="27">
        <f>+'Pacific CPA 1.1.21'!$N$36</f>
        <v>-1.91</v>
      </c>
      <c r="J31" s="27">
        <f>+'Pacific CPA 1.1.21'!$N$36</f>
        <v>-1.91</v>
      </c>
      <c r="K31" s="27">
        <f>+'Pacific CPA 1.1.21'!$N$36</f>
        <v>-1.91</v>
      </c>
      <c r="L31" s="27">
        <f>+'Pacific CPA 1.1.21'!$N$36</f>
        <v>-1.91</v>
      </c>
      <c r="M31" s="27">
        <f>+'Pacific CPA 1.1.21'!$N$36</f>
        <v>-1.91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27"/>
      <c r="C32" s="27"/>
      <c r="D32" s="27"/>
      <c r="E32" s="27"/>
      <c r="F32" s="27"/>
      <c r="G32" s="27"/>
      <c r="H32" s="27"/>
      <c r="I32" s="27"/>
      <c r="J32" s="27"/>
      <c r="K32" s="27"/>
      <c r="L32" s="27"/>
      <c r="M32" s="27"/>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17</v>
      </c>
      <c r="B33" s="92">
        <f t="shared" ref="B33:M33" si="6">+(B30-B31)*B27</f>
        <v>22875.748659525976</v>
      </c>
      <c r="C33" s="92">
        <f t="shared" si="6"/>
        <v>23731.833061417659</v>
      </c>
      <c r="D33" s="92">
        <f t="shared" si="6"/>
        <v>34968.479505519994</v>
      </c>
      <c r="E33" s="92">
        <f t="shared" si="6"/>
        <v>42718.93713887997</v>
      </c>
      <c r="F33" s="92">
        <f t="shared" si="6"/>
        <v>36253.07437599999</v>
      </c>
      <c r="G33" s="92">
        <f t="shared" si="6"/>
        <v>58893.107698559979</v>
      </c>
      <c r="H33" s="92">
        <f t="shared" si="6"/>
        <v>68965.39286019998</v>
      </c>
      <c r="I33" s="92">
        <f t="shared" si="6"/>
        <v>92771.553399839991</v>
      </c>
      <c r="J33" s="92">
        <f t="shared" si="6"/>
        <v>115349.39230912</v>
      </c>
      <c r="K33" s="92">
        <f t="shared" si="6"/>
        <v>130040.62515871998</v>
      </c>
      <c r="L33" s="92">
        <f t="shared" si="6"/>
        <v>137877.25364352</v>
      </c>
      <c r="M33" s="92">
        <f t="shared" si="6"/>
        <v>133874.90534175999</v>
      </c>
      <c r="N33" s="92">
        <f>SUM(B33:M33)</f>
        <v>898320.30315306364</v>
      </c>
      <c r="O33" s="7"/>
      <c r="P33" s="7"/>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1.21</v>
      </c>
      <c r="Q35" s="8"/>
      <c r="R35" s="44"/>
      <c r="X35" s="51"/>
      <c r="Y35" s="51"/>
      <c r="Z35" s="51"/>
      <c r="AA35" s="52"/>
    </row>
    <row r="36" spans="1:38" x14ac:dyDescent="0.2">
      <c r="A36" s="16"/>
      <c r="B36" s="89"/>
      <c r="C36" s="89"/>
      <c r="D36" s="89"/>
      <c r="E36" s="89"/>
      <c r="F36" s="89"/>
      <c r="G36" s="89"/>
      <c r="H36" s="89"/>
      <c r="I36" s="89"/>
      <c r="J36" s="89"/>
      <c r="K36" s="89"/>
      <c r="L36" s="21"/>
      <c r="M36" s="21" t="s">
        <v>48</v>
      </c>
      <c r="N36" s="81">
        <f>ROUND(N24/N27,2)</f>
        <v>-0.69</v>
      </c>
      <c r="X36" s="51"/>
      <c r="Y36" s="51"/>
      <c r="Z36" s="51"/>
      <c r="AA36" s="44"/>
    </row>
    <row r="37" spans="1:38" x14ac:dyDescent="0.2">
      <c r="A37" s="16"/>
      <c r="J37" s="21"/>
      <c r="K37" s="21"/>
      <c r="L37" s="21"/>
      <c r="M37" s="42" t="s">
        <v>44</v>
      </c>
      <c r="N37" s="18">
        <f>-N35-N36</f>
        <v>-0.52</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f>+'Pacific CPA 1.1.21'!N37</f>
        <v>2.04</v>
      </c>
      <c r="Q39" s="8"/>
      <c r="R39" s="8"/>
      <c r="S39" s="55"/>
      <c r="X39" s="8"/>
      <c r="Y39" s="8"/>
      <c r="Z39" s="51"/>
    </row>
    <row r="40" spans="1:38" x14ac:dyDescent="0.2">
      <c r="A40" s="10"/>
      <c r="B40" s="21"/>
      <c r="C40" s="21"/>
      <c r="D40" s="21"/>
      <c r="E40" s="21"/>
      <c r="F40" s="21"/>
      <c r="G40" s="21"/>
      <c r="H40" s="21"/>
      <c r="I40" s="21"/>
      <c r="J40" s="21"/>
      <c r="K40" s="21"/>
      <c r="L40" s="21"/>
      <c r="M40" s="21" t="s">
        <v>15</v>
      </c>
      <c r="N40" s="17">
        <f>+N37-N39</f>
        <v>-2.56</v>
      </c>
      <c r="O40" s="56">
        <f>N40/N39</f>
        <v>-1.2549019607843137</v>
      </c>
      <c r="X40" s="8"/>
      <c r="Y40" s="8"/>
      <c r="Z40" s="51"/>
    </row>
    <row r="41" spans="1:38" x14ac:dyDescent="0.2">
      <c r="A41" s="10"/>
      <c r="B41" s="21"/>
      <c r="C41" s="21"/>
      <c r="D41" s="21"/>
      <c r="E41" s="21"/>
      <c r="F41" s="21"/>
      <c r="G41" s="21"/>
      <c r="H41" s="21"/>
      <c r="I41" s="21"/>
      <c r="J41" s="21"/>
      <c r="K41" s="21"/>
      <c r="L41" s="21"/>
      <c r="M41" s="21" t="s">
        <v>36</v>
      </c>
      <c r="N41" s="9">
        <f>N40*M27*12</f>
        <v>-1920860.1599999999</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44136</v>
      </c>
      <c r="C45" s="2">
        <f>B45+31</f>
        <v>44167</v>
      </c>
      <c r="D45" s="2">
        <f t="shared" ref="D45:M45" si="7">C45+31</f>
        <v>44198</v>
      </c>
      <c r="E45" s="2">
        <f t="shared" si="7"/>
        <v>44229</v>
      </c>
      <c r="F45" s="2">
        <f t="shared" si="7"/>
        <v>44260</v>
      </c>
      <c r="G45" s="2">
        <f t="shared" si="7"/>
        <v>44291</v>
      </c>
      <c r="H45" s="2">
        <f t="shared" si="7"/>
        <v>44322</v>
      </c>
      <c r="I45" s="2">
        <f t="shared" si="7"/>
        <v>44353</v>
      </c>
      <c r="J45" s="2">
        <f t="shared" si="7"/>
        <v>44384</v>
      </c>
      <c r="K45" s="2">
        <f t="shared" si="7"/>
        <v>44415</v>
      </c>
      <c r="L45" s="2">
        <f t="shared" si="7"/>
        <v>44446</v>
      </c>
      <c r="M45" s="2">
        <f t="shared" si="7"/>
        <v>44477</v>
      </c>
      <c r="N45" s="2" t="s">
        <v>2</v>
      </c>
      <c r="Y45" s="51"/>
      <c r="Z45" s="51"/>
      <c r="AA45" s="44"/>
    </row>
    <row r="46" spans="1:38" x14ac:dyDescent="0.2">
      <c r="A46" s="25" t="s">
        <v>4</v>
      </c>
      <c r="B46" s="4"/>
      <c r="C46" s="4"/>
      <c r="D46" s="4"/>
      <c r="E46" s="4"/>
      <c r="F46" s="4"/>
      <c r="G46" s="4"/>
      <c r="H46" s="4"/>
      <c r="I46" s="4"/>
      <c r="J46" s="4"/>
      <c r="K46" s="4"/>
      <c r="L46" s="4"/>
      <c r="M46" s="4"/>
      <c r="N46" s="4"/>
      <c r="Y46" s="51"/>
      <c r="Z46" s="51"/>
      <c r="AA46" s="53"/>
    </row>
    <row r="47" spans="1:38" x14ac:dyDescent="0.2">
      <c r="A47" s="22" t="s">
        <v>5</v>
      </c>
      <c r="B47" s="11">
        <f>+'[2]Pacific Comm Credit'!B39</f>
        <v>86.939999999999969</v>
      </c>
      <c r="C47" s="11">
        <f>+'[2]Pacific Comm Credit'!C39</f>
        <v>95.220000000000027</v>
      </c>
      <c r="D47" s="11">
        <f>+'[2]Pacific Comm Credit'!D39</f>
        <v>95.220000000000027</v>
      </c>
      <c r="E47" s="11">
        <f>+'[2]Pacific Comm Credit'!E39</f>
        <v>82.8</v>
      </c>
      <c r="F47" s="11">
        <f>+'[2]Pacific Comm Credit'!F39</f>
        <v>91.090000000000018</v>
      </c>
      <c r="G47" s="11">
        <f>+'[2]Pacific Comm Credit'!G39</f>
        <v>91.090000000000018</v>
      </c>
      <c r="H47" s="11">
        <f>+'[2]Pacific Comm Credit'!H39</f>
        <v>98.909999999999968</v>
      </c>
      <c r="I47" s="11">
        <f>+'[2]Pacific Comm Credit'!I39</f>
        <v>103.60999999999997</v>
      </c>
      <c r="J47" s="11">
        <f>+'[2]Pacific Comm Credit'!J39</f>
        <v>108.32000000000002</v>
      </c>
      <c r="K47" s="11">
        <f>+'[2]Pacific Comm Credit'!K39</f>
        <v>98.91</v>
      </c>
      <c r="L47" s="11">
        <f>+'[2]Pacific Comm Credit'!L39</f>
        <v>103.61240799999999</v>
      </c>
      <c r="M47" s="11">
        <f>+'[2]Pacific Comm Credit'!M39</f>
        <v>103.61240799999999</v>
      </c>
      <c r="N47" s="5">
        <f>SUM(B47:M47)</f>
        <v>1159.334816</v>
      </c>
    </row>
    <row r="48" spans="1:38" x14ac:dyDescent="0.2">
      <c r="A48" s="22" t="s">
        <v>6</v>
      </c>
      <c r="B48" s="11">
        <f>+'[2]Pacific Comm Credit'!B40</f>
        <v>14.32</v>
      </c>
      <c r="C48" s="11">
        <f>+'[2]Pacific Comm Credit'!C40</f>
        <v>16.03</v>
      </c>
      <c r="D48" s="11">
        <f>+'[2]Pacific Comm Credit'!D40</f>
        <v>15.9</v>
      </c>
      <c r="E48" s="11">
        <f>+'[2]Pacific Comm Credit'!E40</f>
        <v>13.620000000000001</v>
      </c>
      <c r="F48" s="11">
        <f>+'[2]Pacific Comm Credit'!F40</f>
        <v>14.82</v>
      </c>
      <c r="G48" s="11">
        <f>+'[2]Pacific Comm Credit'!G40</f>
        <v>14.850000000000001</v>
      </c>
      <c r="H48" s="11">
        <f>+'[2]Pacific Comm Credit'!H40</f>
        <v>22.05</v>
      </c>
      <c r="I48" s="11">
        <f>+'[2]Pacific Comm Credit'!I40</f>
        <v>22.740000000000002</v>
      </c>
      <c r="J48" s="11">
        <f>+'[2]Pacific Comm Credit'!J40</f>
        <v>24.44</v>
      </c>
      <c r="K48" s="11">
        <f>+'[2]Pacific Comm Credit'!K40</f>
        <v>22.12</v>
      </c>
      <c r="L48" s="11">
        <f>+'[2]Pacific Comm Credit'!L40</f>
        <v>22.160000000000004</v>
      </c>
      <c r="M48" s="11">
        <f>+'[2]Pacific Comm Credit'!M40</f>
        <v>22.290000000000003</v>
      </c>
      <c r="N48" s="5">
        <f>SUM(B48:M48)</f>
        <v>225.33999999999997</v>
      </c>
    </row>
    <row r="49" spans="1:16" x14ac:dyDescent="0.2">
      <c r="B49" s="11"/>
      <c r="C49" s="11"/>
      <c r="D49" s="11"/>
      <c r="E49" s="11"/>
      <c r="F49" s="11"/>
      <c r="G49" s="11"/>
      <c r="H49" s="11"/>
      <c r="I49" s="11"/>
      <c r="J49" s="11"/>
      <c r="K49" s="11"/>
      <c r="L49" s="11"/>
      <c r="M49" s="11"/>
      <c r="N49" s="5"/>
    </row>
    <row r="50" spans="1:16" s="6" customFormat="1" x14ac:dyDescent="0.2">
      <c r="A50" s="6" t="s">
        <v>2</v>
      </c>
      <c r="B50" s="91">
        <f>SUM(B47:B49)</f>
        <v>101.25999999999996</v>
      </c>
      <c r="C50" s="91">
        <f>SUM(C47:C49)</f>
        <v>111.25000000000003</v>
      </c>
      <c r="D50" s="91">
        <f t="shared" ref="D50:K50" si="8">SUM(D47:D48)</f>
        <v>111.12000000000003</v>
      </c>
      <c r="E50" s="91">
        <f t="shared" si="8"/>
        <v>96.42</v>
      </c>
      <c r="F50" s="91">
        <f t="shared" si="8"/>
        <v>105.91000000000003</v>
      </c>
      <c r="G50" s="91">
        <f t="shared" si="8"/>
        <v>105.94000000000003</v>
      </c>
      <c r="H50" s="91">
        <f t="shared" si="8"/>
        <v>120.95999999999997</v>
      </c>
      <c r="I50" s="91">
        <f t="shared" si="8"/>
        <v>126.34999999999997</v>
      </c>
      <c r="J50" s="91">
        <f t="shared" si="8"/>
        <v>132.76000000000002</v>
      </c>
      <c r="K50" s="91">
        <f t="shared" si="8"/>
        <v>121.03</v>
      </c>
      <c r="L50" s="91">
        <f>SUM(L47:L48)</f>
        <v>125.77240799999998</v>
      </c>
      <c r="M50" s="91">
        <f>SUM(M47:M48)</f>
        <v>125.90240799999999</v>
      </c>
      <c r="N50" s="35">
        <f>SUM(N47:N49)</f>
        <v>1384.674816</v>
      </c>
      <c r="P50" s="57">
        <f>+'[2]Pacific Comm Credit'!$N$41-N50</f>
        <v>0</v>
      </c>
    </row>
    <row r="52" spans="1:16" x14ac:dyDescent="0.2">
      <c r="A52" s="26" t="s">
        <v>20</v>
      </c>
    </row>
    <row r="53" spans="1:16" x14ac:dyDescent="0.2">
      <c r="A53" s="22" t="s">
        <v>5</v>
      </c>
      <c r="B53" s="86">
        <f>B17</f>
        <v>-72.580631999999994</v>
      </c>
      <c r="C53" s="86">
        <f t="shared" ref="C53:M53" si="9">C17</f>
        <v>-63.20414199999999</v>
      </c>
      <c r="D53" s="86">
        <f t="shared" si="9"/>
        <v>-60.236732000000003</v>
      </c>
      <c r="E53" s="86">
        <f t="shared" si="9"/>
        <v>-69.997132000000008</v>
      </c>
      <c r="F53" s="86">
        <f t="shared" si="9"/>
        <v>-64.593232</v>
      </c>
      <c r="G53" s="86">
        <f t="shared" si="9"/>
        <v>-47.949632000000015</v>
      </c>
      <c r="H53" s="86">
        <f t="shared" si="9"/>
        <v>-41.422732000000011</v>
      </c>
      <c r="I53" s="86">
        <f t="shared" si="9"/>
        <v>-19.477296000000003</v>
      </c>
      <c r="J53" s="86">
        <f t="shared" si="9"/>
        <v>0.85818399999999884</v>
      </c>
      <c r="K53" s="86">
        <f t="shared" si="9"/>
        <v>14.161643999999999</v>
      </c>
      <c r="L53" s="86">
        <f t="shared" si="9"/>
        <v>19.965324000000006</v>
      </c>
      <c r="M53" s="86">
        <f t="shared" si="9"/>
        <v>17.212044000000002</v>
      </c>
      <c r="N53" s="8"/>
    </row>
    <row r="54" spans="1:16" x14ac:dyDescent="0.2">
      <c r="A54" s="22" t="s">
        <v>6</v>
      </c>
      <c r="B54" s="86">
        <f>B18</f>
        <v>-33</v>
      </c>
      <c r="C54" s="86">
        <f t="shared" ref="C54:M54" si="10">C18</f>
        <v>-33</v>
      </c>
      <c r="D54" s="86">
        <f t="shared" si="10"/>
        <v>-33</v>
      </c>
      <c r="E54" s="86">
        <f t="shared" si="10"/>
        <v>-33</v>
      </c>
      <c r="F54" s="86">
        <f t="shared" si="10"/>
        <v>-33</v>
      </c>
      <c r="G54" s="86">
        <f t="shared" si="10"/>
        <v>-33</v>
      </c>
      <c r="H54" s="86">
        <f t="shared" si="10"/>
        <v>-33</v>
      </c>
      <c r="I54" s="86">
        <f t="shared" si="10"/>
        <v>-33</v>
      </c>
      <c r="J54" s="86">
        <f t="shared" si="10"/>
        <v>-33</v>
      </c>
      <c r="K54" s="86">
        <f t="shared" si="10"/>
        <v>-33</v>
      </c>
      <c r="L54" s="86">
        <f t="shared" si="10"/>
        <v>-33</v>
      </c>
      <c r="M54" s="86">
        <f t="shared" si="10"/>
        <v>-33</v>
      </c>
      <c r="N54" s="8"/>
    </row>
    <row r="56" spans="1:16" x14ac:dyDescent="0.2">
      <c r="A56" s="26" t="s">
        <v>8</v>
      </c>
    </row>
    <row r="57" spans="1:16" x14ac:dyDescent="0.2">
      <c r="A57" s="22" t="s">
        <v>5</v>
      </c>
      <c r="B57" s="36">
        <f>B47*B53</f>
        <v>-6310.1601460799975</v>
      </c>
      <c r="C57" s="36">
        <f t="shared" ref="C57:M57" si="11">C47*C53</f>
        <v>-6018.2984012400011</v>
      </c>
      <c r="D57" s="36">
        <f t="shared" si="11"/>
        <v>-5735.7416210400024</v>
      </c>
      <c r="E57" s="36">
        <f t="shared" si="11"/>
        <v>-5795.7625296000006</v>
      </c>
      <c r="F57" s="36">
        <f t="shared" si="11"/>
        <v>-5883.797502880001</v>
      </c>
      <c r="G57" s="36">
        <f t="shared" si="11"/>
        <v>-4367.7319788800023</v>
      </c>
      <c r="H57" s="36">
        <f t="shared" si="11"/>
        <v>-4097.12242212</v>
      </c>
      <c r="I57" s="36">
        <f t="shared" si="11"/>
        <v>-2018.0426385599997</v>
      </c>
      <c r="J57" s="36">
        <f t="shared" si="11"/>
        <v>92.958490879999886</v>
      </c>
      <c r="K57" s="36">
        <f t="shared" si="11"/>
        <v>1400.7282080399998</v>
      </c>
      <c r="L57" s="36">
        <f t="shared" si="11"/>
        <v>2068.6552961401926</v>
      </c>
      <c r="M57" s="36">
        <f t="shared" si="11"/>
        <v>1783.381325441952</v>
      </c>
      <c r="N57" s="9">
        <f>SUM(B57:M57)</f>
        <v>-34880.933919897871</v>
      </c>
    </row>
    <row r="58" spans="1:16" x14ac:dyDescent="0.2">
      <c r="A58" s="22" t="s">
        <v>6</v>
      </c>
      <c r="B58" s="36">
        <f>B48*B54</f>
        <v>-472.56</v>
      </c>
      <c r="C58" s="36">
        <f t="shared" ref="C58:M58" si="12">C48*C54</f>
        <v>-528.99</v>
      </c>
      <c r="D58" s="36">
        <f t="shared" si="12"/>
        <v>-524.70000000000005</v>
      </c>
      <c r="E58" s="36">
        <f t="shared" si="12"/>
        <v>-449.46000000000004</v>
      </c>
      <c r="F58" s="36">
        <f t="shared" si="12"/>
        <v>-489.06</v>
      </c>
      <c r="G58" s="36">
        <f t="shared" si="12"/>
        <v>-490.05000000000007</v>
      </c>
      <c r="H58" s="36">
        <f t="shared" si="12"/>
        <v>-727.65</v>
      </c>
      <c r="I58" s="36">
        <f t="shared" si="12"/>
        <v>-750.42000000000007</v>
      </c>
      <c r="J58" s="36">
        <f t="shared" si="12"/>
        <v>-806.5200000000001</v>
      </c>
      <c r="K58" s="36">
        <f t="shared" si="12"/>
        <v>-729.96</v>
      </c>
      <c r="L58" s="36">
        <f t="shared" si="12"/>
        <v>-731.28000000000009</v>
      </c>
      <c r="M58" s="36">
        <f t="shared" si="12"/>
        <v>-735.57</v>
      </c>
      <c r="N58" s="9">
        <f>SUM(B58:M58)</f>
        <v>-7436.22</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3">SUM(B57:B58)</f>
        <v>-6782.7201460799979</v>
      </c>
      <c r="C60" s="37">
        <f t="shared" si="13"/>
        <v>-6547.2884012400009</v>
      </c>
      <c r="D60" s="37">
        <f t="shared" si="13"/>
        <v>-6260.4416210400022</v>
      </c>
      <c r="E60" s="37">
        <f t="shared" si="13"/>
        <v>-6245.2225296000006</v>
      </c>
      <c r="F60" s="37">
        <f t="shared" si="13"/>
        <v>-6372.8575028800014</v>
      </c>
      <c r="G60" s="37">
        <f t="shared" si="13"/>
        <v>-4857.7819788800025</v>
      </c>
      <c r="H60" s="37">
        <f t="shared" si="13"/>
        <v>-4824.7724221199996</v>
      </c>
      <c r="I60" s="37">
        <f t="shared" si="13"/>
        <v>-2768.4626385599995</v>
      </c>
      <c r="J60" s="37">
        <f>SUM(J57:J58)</f>
        <v>-713.56150912000021</v>
      </c>
      <c r="K60" s="37">
        <f>SUM(K57:K58)</f>
        <v>670.76820803999976</v>
      </c>
      <c r="L60" s="37">
        <f>SUM(L57:L58)</f>
        <v>1337.3752961401924</v>
      </c>
      <c r="M60" s="37">
        <f>SUM(M57:M58)</f>
        <v>1047.8113254419518</v>
      </c>
      <c r="N60" s="40">
        <f>SUM(N57:N58)</f>
        <v>-42317.153919897872</v>
      </c>
      <c r="O60" s="54"/>
      <c r="P60" s="45">
        <f>+'[2]Pacific Comm Credit'!$N$51-N60</f>
        <v>0</v>
      </c>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+'[2]Pacific Comm Credit'!B53</f>
        <v>12343.88834951456</v>
      </c>
      <c r="C63" s="16">
        <f>+'[2]Pacific Comm Credit'!C53</f>
        <v>12388.099514563104</v>
      </c>
      <c r="D63" s="16">
        <f>+'[2]Pacific Comm Credit'!D53</f>
        <v>12401.033980582522</v>
      </c>
      <c r="E63" s="16">
        <f>+'[2]Pacific Comm Credit'!E53</f>
        <v>12364.512135922329</v>
      </c>
      <c r="F63" s="16">
        <f>+'[2]Pacific Comm Credit'!F53</f>
        <v>12469.694174757284</v>
      </c>
      <c r="G63" s="16">
        <f>+'[2]Pacific Comm Credit'!G53</f>
        <v>12488.031553398059</v>
      </c>
      <c r="H63" s="16">
        <f>+'[2]Pacific Comm Credit'!H53</f>
        <v>12508.271844660194</v>
      </c>
      <c r="I63" s="16">
        <f>+'[2]Pacific Comm Credit'!I53</f>
        <v>12507.407766990291</v>
      </c>
      <c r="J63" s="16">
        <f>+'[2]Pacific Comm Credit'!J53</f>
        <v>12508.781553398056</v>
      </c>
      <c r="K63" s="16">
        <f>+'[2]Pacific Comm Credit'!K53</f>
        <v>12504.266990291262</v>
      </c>
      <c r="L63" s="16">
        <f>+'[2]Pacific Comm Credit'!L53</f>
        <v>12470.722891566262</v>
      </c>
      <c r="M63" s="16">
        <f>+'[2]Pacific Comm Credit'!M53</f>
        <v>12471.49879518072</v>
      </c>
      <c r="N63" s="7">
        <f>SUM(B63:M63)</f>
        <v>149426.20955082466</v>
      </c>
      <c r="P63" s="87">
        <f>+'[2]Pacific Comm Credit'!$N$53-N63</f>
        <v>0</v>
      </c>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13</v>
      </c>
      <c r="B66" s="27">
        <f t="shared" ref="B66:M66" si="14">+IFERROR(B60/B63,0)</f>
        <v>-0.54948003044330329</v>
      </c>
      <c r="C66" s="27">
        <f t="shared" si="14"/>
        <v>-0.52851435311309791</v>
      </c>
      <c r="D66" s="27">
        <f t="shared" si="14"/>
        <v>-0.50483222857405041</v>
      </c>
      <c r="E66" s="27">
        <f t="shared" si="14"/>
        <v>-0.50509251484786866</v>
      </c>
      <c r="F66" s="27">
        <f t="shared" si="14"/>
        <v>-0.51106766642126134</v>
      </c>
      <c r="G66" s="27">
        <f t="shared" si="14"/>
        <v>-0.38899501159237337</v>
      </c>
      <c r="H66" s="27">
        <f t="shared" si="14"/>
        <v>-0.38572654016787333</v>
      </c>
      <c r="I66" s="27">
        <f t="shared" si="14"/>
        <v>-0.22134583681412875</v>
      </c>
      <c r="J66" s="27">
        <f t="shared" si="14"/>
        <v>-5.7044845341164239E-2</v>
      </c>
      <c r="K66" s="27">
        <f t="shared" si="14"/>
        <v>5.3643145060866586E-2</v>
      </c>
      <c r="L66" s="27">
        <f t="shared" si="14"/>
        <v>0.10724120067206662</v>
      </c>
      <c r="M66" s="27">
        <f t="shared" si="14"/>
        <v>8.4016471688779751E-2</v>
      </c>
      <c r="N66" s="5"/>
    </row>
    <row r="67" spans="1:19" x14ac:dyDescent="0.2">
      <c r="A67" s="10" t="s">
        <v>14</v>
      </c>
      <c r="B67" s="27">
        <f>+'Pacific CPA 1.1.21'!$M$67</f>
        <v>-0.69697730765535149</v>
      </c>
      <c r="C67" s="27">
        <f>+'Pacific CPA 1.1.21'!$M$67</f>
        <v>-0.69697730765535149</v>
      </c>
      <c r="D67" s="27">
        <f>+'Pacific CPA 1.1.21'!$N$72</f>
        <v>-0.71</v>
      </c>
      <c r="E67" s="27">
        <f>+'Pacific CPA 1.1.21'!$N$72</f>
        <v>-0.71</v>
      </c>
      <c r="F67" s="27">
        <f>+'Pacific CPA 1.1.21'!$N$72</f>
        <v>-0.71</v>
      </c>
      <c r="G67" s="27">
        <f>+'Pacific CPA 1.1.21'!$N$72</f>
        <v>-0.71</v>
      </c>
      <c r="H67" s="27">
        <f>+'Pacific CPA 1.1.21'!$N$72</f>
        <v>-0.71</v>
      </c>
      <c r="I67" s="27">
        <f>+'Pacific CPA 1.1.21'!$N$72</f>
        <v>-0.71</v>
      </c>
      <c r="J67" s="27">
        <f>+'Pacific CPA 1.1.21'!$N$72</f>
        <v>-0.71</v>
      </c>
      <c r="K67" s="27">
        <f>+'Pacific CPA 1.1.21'!$N$72</f>
        <v>-0.71</v>
      </c>
      <c r="L67" s="27">
        <f>+'Pacific CPA 1.1.21'!$N$72</f>
        <v>-0.71</v>
      </c>
      <c r="M67" s="27">
        <f>+'Pacific CPA 1.1.21'!$N$72</f>
        <v>-0.71</v>
      </c>
      <c r="N67" s="5"/>
    </row>
    <row r="68" spans="1:19" x14ac:dyDescent="0.2">
      <c r="A68" s="10"/>
      <c r="B68" s="27"/>
      <c r="C68" s="27"/>
      <c r="D68" s="27"/>
      <c r="E68" s="27"/>
      <c r="F68" s="27"/>
      <c r="G68" s="27"/>
      <c r="H68" s="27"/>
      <c r="I68" s="27"/>
      <c r="J68" s="27"/>
      <c r="K68" s="27"/>
      <c r="L68" s="27"/>
      <c r="M68" s="27"/>
      <c r="N68" s="5"/>
    </row>
    <row r="69" spans="1:19" s="6" customFormat="1" ht="13.5" thickBot="1" x14ac:dyDescent="0.25">
      <c r="A69" s="13" t="s">
        <v>17</v>
      </c>
      <c r="B69" s="92">
        <f t="shared" ref="B69:M69" si="15">+(B66-B67)*B63</f>
        <v>1820.6899217629211</v>
      </c>
      <c r="C69" s="92">
        <f t="shared" si="15"/>
        <v>2086.9358453867576</v>
      </c>
      <c r="D69" s="92">
        <f t="shared" si="15"/>
        <v>2544.2925051735883</v>
      </c>
      <c r="E69" s="92">
        <f t="shared" si="15"/>
        <v>2533.5810869048519</v>
      </c>
      <c r="F69" s="92">
        <f t="shared" si="15"/>
        <v>2480.6253611976699</v>
      </c>
      <c r="G69" s="92">
        <f t="shared" si="15"/>
        <v>4008.7204240326191</v>
      </c>
      <c r="H69" s="92">
        <f t="shared" si="15"/>
        <v>4056.1005875887377</v>
      </c>
      <c r="I69" s="92">
        <f t="shared" si="15"/>
        <v>6111.7968760031063</v>
      </c>
      <c r="J69" s="92">
        <f t="shared" si="15"/>
        <v>8167.6733937926183</v>
      </c>
      <c r="K69" s="92">
        <f t="shared" si="15"/>
        <v>9548.7977711467956</v>
      </c>
      <c r="L69" s="92">
        <f t="shared" si="15"/>
        <v>10191.588549152239</v>
      </c>
      <c r="M69" s="92">
        <f t="shared" si="15"/>
        <v>9902.5754700202633</v>
      </c>
      <c r="N69" s="92">
        <f>SUM(B69:M69)</f>
        <v>63453.377792162166</v>
      </c>
      <c r="P69" s="90"/>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0.42</v>
      </c>
    </row>
    <row r="72" spans="1:19" x14ac:dyDescent="0.2">
      <c r="B72" s="21"/>
      <c r="C72" s="21"/>
      <c r="D72" s="21"/>
      <c r="E72" s="21"/>
      <c r="F72" s="21"/>
      <c r="G72" s="21"/>
      <c r="H72" s="21"/>
      <c r="I72" s="21"/>
      <c r="J72" s="21"/>
      <c r="K72" s="21"/>
      <c r="L72" s="21"/>
      <c r="M72" s="21" t="s">
        <v>48</v>
      </c>
      <c r="N72" s="81">
        <f>ROUND(N60/N63,2)</f>
        <v>-0.28000000000000003</v>
      </c>
    </row>
    <row r="73" spans="1:19" x14ac:dyDescent="0.2">
      <c r="B73" s="84"/>
      <c r="C73" s="21"/>
      <c r="D73" s="21"/>
      <c r="E73" s="21"/>
      <c r="F73" s="21"/>
      <c r="G73" s="21"/>
      <c r="H73" s="21"/>
      <c r="I73" s="21"/>
      <c r="J73" s="21"/>
      <c r="K73" s="21"/>
      <c r="L73" s="21"/>
      <c r="M73" s="42" t="s">
        <v>44</v>
      </c>
      <c r="N73" s="18">
        <f>-N71-N72</f>
        <v>-0.13999999999999996</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f>+'Pacific CPA 1.1.21'!N73</f>
        <v>0.73</v>
      </c>
      <c r="Q75" s="8"/>
      <c r="R75" s="8"/>
      <c r="S75" s="55"/>
    </row>
    <row r="76" spans="1:19" x14ac:dyDescent="0.2">
      <c r="A76" s="10"/>
      <c r="B76" s="21"/>
      <c r="C76" s="21"/>
      <c r="D76" s="21"/>
      <c r="E76" s="21"/>
      <c r="F76" s="21"/>
      <c r="G76" s="21"/>
      <c r="H76" s="21"/>
      <c r="I76" s="21"/>
      <c r="J76" s="21"/>
      <c r="K76" s="21"/>
      <c r="L76" s="21"/>
      <c r="M76" s="21" t="s">
        <v>15</v>
      </c>
      <c r="N76" s="17">
        <f>+N73-N75</f>
        <v>-0.86999999999999988</v>
      </c>
      <c r="O76" s="56">
        <f>N76/N75</f>
        <v>-1.1917808219178081</v>
      </c>
    </row>
    <row r="77" spans="1:19" x14ac:dyDescent="0.2">
      <c r="A77" s="10"/>
      <c r="B77" s="21"/>
      <c r="C77" s="21"/>
      <c r="D77" s="21"/>
      <c r="E77" s="21"/>
      <c r="F77" s="21"/>
      <c r="G77" s="21"/>
      <c r="H77" s="21"/>
      <c r="I77" s="21"/>
      <c r="J77" s="21"/>
      <c r="K77" s="21"/>
      <c r="L77" s="21"/>
      <c r="M77" s="21" t="s">
        <v>36</v>
      </c>
      <c r="N77" s="9">
        <f>N76*M63*12</f>
        <v>-130202.44742168669</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75" fitToHeight="0" orientation="landscape" r:id="rId1"/>
  <rowBreaks count="1" manualBreakCount="1">
    <brk id="4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view="pageBreakPreview" zoomScaleNormal="100" zoomScaleSheetLayoutView="100" workbookViewId="0">
      <pane xSplit="1" ySplit="7" topLeftCell="B8" activePane="bottomRight" state="frozen"/>
      <selection activeCell="B36" sqref="B36"/>
      <selection pane="topRight" activeCell="B36" sqref="B36"/>
      <selection pane="bottomLeft" activeCell="B36" sqref="B36"/>
      <selection pane="bottomRight" activeCell="N36" sqref="N36"/>
    </sheetView>
  </sheetViews>
  <sheetFormatPr defaultRowHeight="12.75" x14ac:dyDescent="0.2"/>
  <cols>
    <col min="1" max="1" width="23.7109375" style="22" customWidth="1"/>
    <col min="2" max="2" width="12.85546875" style="22" bestFit="1" customWidth="1"/>
    <col min="3" max="4" width="11.85546875" style="22" bestFit="1" customWidth="1"/>
    <col min="5" max="5" width="10.28515625" style="22" bestFit="1" customWidth="1"/>
    <col min="6" max="6" width="10.85546875" style="22" bestFit="1" customWidth="1"/>
    <col min="7" max="7" width="11.85546875" style="22" bestFit="1" customWidth="1"/>
    <col min="8" max="8" width="10.28515625" style="22" bestFit="1" customWidth="1"/>
    <col min="9" max="10" width="11.85546875" style="22" bestFit="1" customWidth="1"/>
    <col min="11" max="11" width="10.28515625" style="22" bestFit="1" customWidth="1"/>
    <col min="12" max="12" width="11.7109375" style="22" customWidth="1"/>
    <col min="13" max="13" width="13.85546875" style="22" customWidth="1"/>
    <col min="14" max="14" width="11.85546875" style="22" bestFit="1" customWidth="1"/>
    <col min="15" max="15" width="11.28515625" style="22" bestFit="1" customWidth="1"/>
    <col min="16" max="16" width="9.5703125" style="22" bestFit="1" customWidth="1"/>
    <col min="17" max="17" width="13.5703125" style="22" customWidth="1"/>
    <col min="18" max="18" width="11" style="22"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42</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43770</v>
      </c>
      <c r="C6" s="2">
        <f>+B6+31</f>
        <v>43801</v>
      </c>
      <c r="D6" s="2">
        <f t="shared" ref="D6:M6" si="0">+C6+31</f>
        <v>43832</v>
      </c>
      <c r="E6" s="2">
        <f t="shared" si="0"/>
        <v>43863</v>
      </c>
      <c r="F6" s="2">
        <f t="shared" si="0"/>
        <v>43894</v>
      </c>
      <c r="G6" s="2">
        <f t="shared" si="0"/>
        <v>43925</v>
      </c>
      <c r="H6" s="2">
        <f t="shared" si="0"/>
        <v>43956</v>
      </c>
      <c r="I6" s="2">
        <f t="shared" si="0"/>
        <v>43987</v>
      </c>
      <c r="J6" s="2">
        <f t="shared" si="0"/>
        <v>44018</v>
      </c>
      <c r="K6" s="2">
        <f t="shared" si="0"/>
        <v>44049</v>
      </c>
      <c r="L6" s="2">
        <f t="shared" si="0"/>
        <v>44080</v>
      </c>
      <c r="M6" s="2">
        <f t="shared" si="0"/>
        <v>44111</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+'[3]Pacific Comm Credit'!B9</f>
        <v>990.0200000000001</v>
      </c>
      <c r="C11" s="11">
        <f>+'[3]Pacific Comm Credit'!C9</f>
        <v>1076.76</v>
      </c>
      <c r="D11" s="11">
        <f>+'[3]Pacific Comm Credit'!D9</f>
        <v>1258.1199999999999</v>
      </c>
      <c r="E11" s="11">
        <f>+'[3]Pacific Comm Credit'!E9</f>
        <v>966.62000000000023</v>
      </c>
      <c r="F11" s="11">
        <f>+'[3]Pacific Comm Credit'!F9</f>
        <v>1048.43</v>
      </c>
      <c r="G11" s="11">
        <f>+'[3]Pacific Comm Credit'!G9</f>
        <v>1208.2400000000002</v>
      </c>
      <c r="H11" s="11">
        <f>+'[3]Pacific Comm Credit'!H9</f>
        <v>1142.6999999999998</v>
      </c>
      <c r="I11" s="11">
        <f>+'[3]Pacific Comm Credit'!I9</f>
        <v>1160.28</v>
      </c>
      <c r="J11" s="11">
        <f>+'[3]Pacific Comm Credit'!J9</f>
        <v>1136.94</v>
      </c>
      <c r="K11" s="11">
        <f>+'[3]Pacific Comm Credit'!K9</f>
        <v>1065.7699999999998</v>
      </c>
      <c r="L11" s="11">
        <f>+'[3]Pacific Comm Credit'!L9</f>
        <v>1143.3000000000002</v>
      </c>
      <c r="M11" s="11">
        <f>+'[3]Pacific Comm Credit'!M9</f>
        <v>1156.3499999999997</v>
      </c>
      <c r="N11" s="5">
        <f>SUM(B11:M11)</f>
        <v>13353.53</v>
      </c>
      <c r="P11" s="5"/>
      <c r="R11" s="44"/>
      <c r="S11" s="44"/>
      <c r="T11" s="44"/>
      <c r="U11" s="44"/>
      <c r="V11" s="44"/>
      <c r="W11" s="44"/>
      <c r="X11" s="44"/>
      <c r="Y11" s="44"/>
      <c r="Z11" s="44"/>
    </row>
    <row r="12" spans="1:38" x14ac:dyDescent="0.2">
      <c r="A12" s="22" t="s">
        <v>6</v>
      </c>
      <c r="B12" s="11">
        <f>+'[3]Pacific Comm Credit'!B10</f>
        <v>99.960000000000008</v>
      </c>
      <c r="C12" s="11">
        <f>+'[3]Pacific Comm Credit'!C10</f>
        <v>169.2</v>
      </c>
      <c r="D12" s="11">
        <f>+'[3]Pacific Comm Credit'!D10</f>
        <v>138.44999999999999</v>
      </c>
      <c r="E12" s="11">
        <f>+'[3]Pacific Comm Credit'!E10</f>
        <v>112.05</v>
      </c>
      <c r="F12" s="11">
        <f>+'[3]Pacific Comm Credit'!F10</f>
        <v>120.75</v>
      </c>
      <c r="G12" s="11">
        <f>+'[3]Pacific Comm Credit'!G10</f>
        <v>191.52</v>
      </c>
      <c r="H12" s="11">
        <f>+'[3]Pacific Comm Credit'!H10</f>
        <v>230</v>
      </c>
      <c r="I12" s="11">
        <f>+'[3]Pacific Comm Credit'!I10</f>
        <v>172.82</v>
      </c>
      <c r="J12" s="11">
        <f>+'[3]Pacific Comm Credit'!J10</f>
        <v>165.77</v>
      </c>
      <c r="K12" s="11">
        <f>+'[3]Pacific Comm Credit'!K10</f>
        <v>153.66999999999999</v>
      </c>
      <c r="L12" s="11">
        <f>+'[3]Pacific Comm Credit'!L10</f>
        <v>160.32</v>
      </c>
      <c r="M12" s="11">
        <f>+'[3]Pacific Comm Credit'!M10</f>
        <v>134.51</v>
      </c>
      <c r="N12" s="5">
        <f>SUM(B12:M12)</f>
        <v>1849.0199999999998</v>
      </c>
      <c r="P12" s="5"/>
      <c r="R12" s="44"/>
      <c r="S12" s="44"/>
      <c r="T12" s="44"/>
      <c r="U12" s="44"/>
      <c r="V12" s="44"/>
      <c r="W12" s="44"/>
      <c r="X12" s="44"/>
      <c r="Y12" s="44"/>
      <c r="Z12" s="44"/>
    </row>
    <row r="13" spans="1:38" x14ac:dyDescent="0.2">
      <c r="B13" s="11"/>
      <c r="C13" s="11"/>
      <c r="D13" s="11"/>
      <c r="E13" s="11"/>
      <c r="F13" s="11"/>
      <c r="G13" s="11"/>
      <c r="H13" s="11"/>
      <c r="I13" s="11"/>
      <c r="J13" s="11"/>
      <c r="K13" s="11"/>
      <c r="L13" s="11"/>
      <c r="M13" s="11"/>
      <c r="N13" s="5"/>
      <c r="P13" s="5"/>
    </row>
    <row r="14" spans="1:38" s="6" customFormat="1" x14ac:dyDescent="0.2">
      <c r="A14" s="6" t="s">
        <v>7</v>
      </c>
      <c r="B14" s="35">
        <f>SUM(B11:B12)</f>
        <v>1089.98</v>
      </c>
      <c r="C14" s="35">
        <f>SUM(C11:C12)</f>
        <v>1245.96</v>
      </c>
      <c r="D14" s="35">
        <f t="shared" ref="D14:M14" si="1">SUM(D11:D12)</f>
        <v>1396.57</v>
      </c>
      <c r="E14" s="35">
        <f t="shared" si="1"/>
        <v>1078.6700000000003</v>
      </c>
      <c r="F14" s="35">
        <f t="shared" si="1"/>
        <v>1169.18</v>
      </c>
      <c r="G14" s="35">
        <f t="shared" si="1"/>
        <v>1399.7600000000002</v>
      </c>
      <c r="H14" s="35">
        <f t="shared" si="1"/>
        <v>1372.6999999999998</v>
      </c>
      <c r="I14" s="35">
        <f t="shared" si="1"/>
        <v>1333.1</v>
      </c>
      <c r="J14" s="35">
        <f t="shared" si="1"/>
        <v>1302.71</v>
      </c>
      <c r="K14" s="35">
        <f t="shared" si="1"/>
        <v>1219.4399999999998</v>
      </c>
      <c r="L14" s="35">
        <f t="shared" si="1"/>
        <v>1303.6200000000001</v>
      </c>
      <c r="M14" s="35">
        <f t="shared" si="1"/>
        <v>1290.8599999999997</v>
      </c>
      <c r="N14" s="35">
        <f>SUM(N11:N13)</f>
        <v>15202.550000000001</v>
      </c>
      <c r="P14" s="45"/>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86">
        <f>+'[3]Pacific Comm Credit'!B15</f>
        <v>-112.07739999999998</v>
      </c>
      <c r="C17" s="86">
        <f>+'[3]Pacific Comm Credit'!C15</f>
        <v>-111.72239999999998</v>
      </c>
      <c r="D17" s="86">
        <f>+'[3]Pacific Comm Credit'!D15</f>
        <v>-105.466292</v>
      </c>
      <c r="E17" s="86">
        <f>+'[3]Pacific Comm Credit'!E15</f>
        <v>-103.51889199999999</v>
      </c>
      <c r="F17" s="86">
        <f>+'[3]Pacific Comm Credit'!F15</f>
        <v>-102.62899200000001</v>
      </c>
      <c r="G17" s="86">
        <f>+'[3]Pacific Comm Credit'!G15</f>
        <v>-103.82879199999999</v>
      </c>
      <c r="H17" s="86">
        <f>+'[3]Pacific Comm Credit'!H15</f>
        <v>-87.989891999999998</v>
      </c>
      <c r="I17" s="86">
        <f>+'[3]Pacific Comm Credit'!I15</f>
        <v>-99.692811999999989</v>
      </c>
      <c r="J17" s="86">
        <f>+'[3]Pacific Comm Credit'!J15</f>
        <v>-101.05185199999997</v>
      </c>
      <c r="K17" s="86">
        <f>+'[3]Pacific Comm Credit'!K15</f>
        <v>-94.481131999999988</v>
      </c>
      <c r="L17" s="86">
        <f>+'[3]Pacific Comm Credit'!L15</f>
        <v>-87.155441999999994</v>
      </c>
      <c r="M17" s="86">
        <f>+'[3]Pacific Comm Credit'!M15</f>
        <v>-83.977722</v>
      </c>
      <c r="N17" s="7"/>
      <c r="P17" s="5"/>
      <c r="R17" s="46"/>
      <c r="S17" s="46"/>
      <c r="T17" s="46"/>
      <c r="U17" s="46"/>
      <c r="V17" s="46"/>
      <c r="W17" s="46"/>
      <c r="X17" s="46"/>
      <c r="Y17" s="46"/>
      <c r="Z17" s="46"/>
    </row>
    <row r="18" spans="1:42" x14ac:dyDescent="0.2">
      <c r="A18" s="22" t="s">
        <v>6</v>
      </c>
      <c r="B18" s="86">
        <f>+'[3]Pacific Comm Credit'!B16</f>
        <v>-30</v>
      </c>
      <c r="C18" s="86">
        <f>+'[3]Pacific Comm Credit'!C16</f>
        <v>-30</v>
      </c>
      <c r="D18" s="86">
        <f>+'[3]Pacific Comm Credit'!D16</f>
        <v>-33</v>
      </c>
      <c r="E18" s="86">
        <f>+'[3]Pacific Comm Credit'!E16</f>
        <v>-33</v>
      </c>
      <c r="F18" s="86">
        <f>+'[3]Pacific Comm Credit'!F16</f>
        <v>-33</v>
      </c>
      <c r="G18" s="86">
        <f>+'[3]Pacific Comm Credit'!G16</f>
        <v>-33</v>
      </c>
      <c r="H18" s="86">
        <f>+'[3]Pacific Comm Credit'!H16</f>
        <v>-33</v>
      </c>
      <c r="I18" s="86">
        <f>+'[3]Pacific Comm Credit'!I16</f>
        <v>-33</v>
      </c>
      <c r="J18" s="86">
        <f>+'[3]Pacific Comm Credit'!J16</f>
        <v>-33</v>
      </c>
      <c r="K18" s="86">
        <f>+'[3]Pacific Comm Credit'!K16</f>
        <v>-33</v>
      </c>
      <c r="L18" s="86">
        <f>+'[3]Pacific Comm Credit'!L16</f>
        <v>-33</v>
      </c>
      <c r="M18" s="86">
        <f>+'[3]Pacific Comm Credit'!M16</f>
        <v>-33</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2">+B11*B17</f>
        <v>-110958.86754799999</v>
      </c>
      <c r="C21" s="36">
        <f t="shared" si="2"/>
        <v>-120298.21142399998</v>
      </c>
      <c r="D21" s="36">
        <f t="shared" si="2"/>
        <v>-132689.25129103998</v>
      </c>
      <c r="E21" s="36">
        <f t="shared" si="2"/>
        <v>-100063.43138504002</v>
      </c>
      <c r="F21" s="36">
        <f t="shared" si="2"/>
        <v>-107599.31408256001</v>
      </c>
      <c r="G21" s="36">
        <f t="shared" si="2"/>
        <v>-125450.09964608001</v>
      </c>
      <c r="H21" s="36">
        <f t="shared" si="2"/>
        <v>-100546.04958839998</v>
      </c>
      <c r="I21" s="36">
        <f t="shared" si="2"/>
        <v>-115671.57590735999</v>
      </c>
      <c r="J21" s="11">
        <f t="shared" si="2"/>
        <v>-114889.89261287996</v>
      </c>
      <c r="K21" s="36">
        <f t="shared" si="2"/>
        <v>-100695.15605163996</v>
      </c>
      <c r="L21" s="36">
        <f t="shared" si="2"/>
        <v>-99644.816838600003</v>
      </c>
      <c r="M21" s="36">
        <f t="shared" si="2"/>
        <v>-97107.638834699974</v>
      </c>
      <c r="N21" s="9">
        <f>SUM(B21:M21)</f>
        <v>-1325614.3052102998</v>
      </c>
      <c r="P21" s="8"/>
      <c r="R21" s="8"/>
      <c r="S21" s="8"/>
      <c r="T21" s="8"/>
      <c r="U21" s="8"/>
      <c r="V21" s="8"/>
      <c r="W21" s="8"/>
      <c r="X21" s="8"/>
      <c r="Y21" s="8"/>
      <c r="Z21" s="8"/>
    </row>
    <row r="22" spans="1:42" x14ac:dyDescent="0.2">
      <c r="A22" s="22" t="s">
        <v>6</v>
      </c>
      <c r="B22" s="36">
        <f t="shared" ref="B22:K22" si="3">+B18*B12</f>
        <v>-2998.8</v>
      </c>
      <c r="C22" s="36">
        <f t="shared" si="3"/>
        <v>-5076</v>
      </c>
      <c r="D22" s="36">
        <f t="shared" si="3"/>
        <v>-4568.8499999999995</v>
      </c>
      <c r="E22" s="36">
        <f t="shared" si="3"/>
        <v>-3697.65</v>
      </c>
      <c r="F22" s="36">
        <f t="shared" si="3"/>
        <v>-3984.75</v>
      </c>
      <c r="G22" s="36">
        <f t="shared" si="3"/>
        <v>-6320.1600000000008</v>
      </c>
      <c r="H22" s="36">
        <f t="shared" si="3"/>
        <v>-7590</v>
      </c>
      <c r="I22" s="36">
        <f t="shared" si="3"/>
        <v>-5703.0599999999995</v>
      </c>
      <c r="J22" s="36">
        <f t="shared" si="3"/>
        <v>-5470.4100000000008</v>
      </c>
      <c r="K22" s="36">
        <f t="shared" si="3"/>
        <v>-5071.1099999999997</v>
      </c>
      <c r="L22" s="36">
        <f>+L18*L12</f>
        <v>-5290.5599999999995</v>
      </c>
      <c r="M22" s="36">
        <f>+M18*M12</f>
        <v>-4438.83</v>
      </c>
      <c r="N22" s="9">
        <f>SUM(B22:M22)</f>
        <v>-60210.18</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-113957.667548</v>
      </c>
      <c r="C24" s="37">
        <f>SUM(C21:C22)</f>
        <v>-125374.21142399998</v>
      </c>
      <c r="D24" s="37">
        <f t="shared" ref="D24:M24" si="4">SUM(D21:D22)</f>
        <v>-137258.10129103999</v>
      </c>
      <c r="E24" s="37">
        <f t="shared" si="4"/>
        <v>-103761.08138504002</v>
      </c>
      <c r="F24" s="37">
        <f t="shared" si="4"/>
        <v>-111584.06408256001</v>
      </c>
      <c r="G24" s="37">
        <f t="shared" si="4"/>
        <v>-131770.25964608</v>
      </c>
      <c r="H24" s="37">
        <f t="shared" si="4"/>
        <v>-108136.04958839998</v>
      </c>
      <c r="I24" s="37">
        <f t="shared" si="4"/>
        <v>-121374.63590735999</v>
      </c>
      <c r="J24" s="37">
        <f t="shared" si="4"/>
        <v>-120360.30261287997</v>
      </c>
      <c r="K24" s="37">
        <f t="shared" si="4"/>
        <v>-105766.26605163996</v>
      </c>
      <c r="L24" s="37">
        <f t="shared" si="4"/>
        <v>-104935.3768386</v>
      </c>
      <c r="M24" s="37">
        <f t="shared" si="4"/>
        <v>-101546.46883469998</v>
      </c>
      <c r="N24" s="40">
        <f>SUM(N21:N23)</f>
        <v>-1385824.4852102997</v>
      </c>
      <c r="P24" s="20"/>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+'[3]Pacific Comm Credit'!B23</f>
        <v>59677</v>
      </c>
      <c r="C27" s="16">
        <f>+'[3]Pacific Comm Credit'!C23</f>
        <v>59667</v>
      </c>
      <c r="D27" s="16">
        <f>+'[3]Pacific Comm Credit'!D23</f>
        <v>59735</v>
      </c>
      <c r="E27" s="16">
        <f>+'[3]Pacific Comm Credit'!E23</f>
        <v>59768</v>
      </c>
      <c r="F27" s="16">
        <f>+'[3]Pacific Comm Credit'!F23</f>
        <v>60042</v>
      </c>
      <c r="G27" s="16">
        <f>+'[3]Pacific Comm Credit'!G23</f>
        <v>60497</v>
      </c>
      <c r="H27" s="16">
        <f>+'[3]Pacific Comm Credit'!H23</f>
        <v>60831</v>
      </c>
      <c r="I27" s="16">
        <f>+'[3]Pacific Comm Credit'!I23</f>
        <v>60760</v>
      </c>
      <c r="J27" s="16">
        <f>+'[3]Pacific Comm Credit'!J23</f>
        <v>61009</v>
      </c>
      <c r="K27" s="16">
        <f>+'[3]Pacific Comm Credit'!K23</f>
        <v>61225</v>
      </c>
      <c r="L27" s="16">
        <f>+'[3]Pacific Comm Credit'!L23</f>
        <v>61287</v>
      </c>
      <c r="M27" s="16">
        <f>+'[3]Pacific Comm Credit'!M23</f>
        <v>61261</v>
      </c>
      <c r="N27" s="19">
        <f>+'[3]Pacific Comm Credit'!N23</f>
        <v>725759</v>
      </c>
      <c r="P27" s="87"/>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27">
        <f>+IFERROR(B24/B27,0)</f>
        <v>-1.9095743342996463</v>
      </c>
      <c r="C30" s="27">
        <f t="shared" ref="C30:M30" si="5">+IFERROR(C24/C27,0)</f>
        <v>-2.1012320281562671</v>
      </c>
      <c r="D30" s="27">
        <f t="shared" si="5"/>
        <v>-2.2977835655987273</v>
      </c>
      <c r="E30" s="27">
        <f t="shared" si="5"/>
        <v>-1.7360641377499668</v>
      </c>
      <c r="F30" s="27">
        <f t="shared" si="5"/>
        <v>-1.8584334979274511</v>
      </c>
      <c r="G30" s="27">
        <f t="shared" si="5"/>
        <v>-2.1781288269844787</v>
      </c>
      <c r="H30" s="27">
        <f t="shared" si="5"/>
        <v>-1.7776470810672187</v>
      </c>
      <c r="I30" s="27">
        <f t="shared" si="5"/>
        <v>-1.9976075692455562</v>
      </c>
      <c r="J30" s="27">
        <f t="shared" si="5"/>
        <v>-1.9728286418869343</v>
      </c>
      <c r="K30" s="27">
        <f t="shared" si="5"/>
        <v>-1.7275012829994276</v>
      </c>
      <c r="L30" s="27">
        <f t="shared" si="5"/>
        <v>-1.7121963359048411</v>
      </c>
      <c r="M30" s="27">
        <f t="shared" si="5"/>
        <v>-1.6576038398769197</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14</v>
      </c>
      <c r="B31" s="69">
        <f>+'Pacific CPA Eff. 1.1.20'!$G$33</f>
        <v>-1.6378750991793303</v>
      </c>
      <c r="C31" s="69">
        <f>+'Pacific CPA Eff. 1.1.20'!$G$33</f>
        <v>-1.6378750991793303</v>
      </c>
      <c r="D31" s="69">
        <f>+'Pacific CPA Eff. 1.1.20'!$H$38</f>
        <v>-1.8069771477324221</v>
      </c>
      <c r="E31" s="69">
        <f>+'Pacific CPA Eff. 1.1.20'!$H$38</f>
        <v>-1.8069771477324221</v>
      </c>
      <c r="F31" s="69">
        <f>+'Pacific CPA Eff. 1.1.20'!$H$38</f>
        <v>-1.8069771477324221</v>
      </c>
      <c r="G31" s="69">
        <f>+'Pacific CPA Eff. 1.1.20'!$H$38</f>
        <v>-1.8069771477324221</v>
      </c>
      <c r="H31" s="69">
        <f>+'Pacific CPA Eff. 1.1.20'!$H$38</f>
        <v>-1.8069771477324221</v>
      </c>
      <c r="I31" s="69">
        <f>+'Pacific CPA Eff. 1.1.20'!$H$38</f>
        <v>-1.8069771477324221</v>
      </c>
      <c r="J31" s="69">
        <f>+'Pacific CPA Eff. 1.1.20'!$H$38</f>
        <v>-1.8069771477324221</v>
      </c>
      <c r="K31" s="69">
        <f>+'Pacific CPA Eff. 1.1.20'!$H$38</f>
        <v>-1.8069771477324221</v>
      </c>
      <c r="L31" s="69">
        <f>+'Pacific CPA Eff. 1.1.20'!$H$38</f>
        <v>-1.8069771477324221</v>
      </c>
      <c r="M31" s="69">
        <f>+'Pacific CPA Eff. 1.1.20'!$H$38</f>
        <v>-1.8069771477324221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27"/>
      <c r="C32" s="27"/>
      <c r="D32" s="27"/>
      <c r="E32" s="27"/>
      <c r="F32" s="27"/>
      <c r="G32" s="27"/>
      <c r="H32" s="27"/>
      <c r="I32" s="27"/>
      <c r="J32" s="27"/>
      <c r="K32" s="27"/>
      <c r="L32" s="27"/>
      <c r="M32" s="27"/>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x14ac:dyDescent="0.2">
      <c r="A33" s="13" t="s">
        <v>17</v>
      </c>
      <c r="B33" s="83">
        <f t="shared" ref="B33:M33" si="6">+(B30-B31)*B27</f>
        <v>-16214.195254275099</v>
      </c>
      <c r="C33" s="83">
        <f t="shared" si="6"/>
        <v>-27647.117881266888</v>
      </c>
      <c r="D33" s="83">
        <f t="shared" si="6"/>
        <v>-29318.321371243739</v>
      </c>
      <c r="E33" s="83">
        <f t="shared" si="6"/>
        <v>4238.3287806313892</v>
      </c>
      <c r="F33" s="83">
        <f t="shared" si="6"/>
        <v>-3089.5421784099267</v>
      </c>
      <c r="G33" s="83">
        <f t="shared" si="6"/>
        <v>-22453.56313971167</v>
      </c>
      <c r="H33" s="83">
        <f t="shared" si="6"/>
        <v>1784.1772853109901</v>
      </c>
      <c r="I33" s="83">
        <f t="shared" si="6"/>
        <v>-11582.704411138024</v>
      </c>
      <c r="J33" s="83">
        <f t="shared" si="6"/>
        <v>-10118.433806872634</v>
      </c>
      <c r="K33" s="83">
        <f t="shared" si="6"/>
        <v>4865.9098182775888</v>
      </c>
      <c r="L33" s="83">
        <f t="shared" si="6"/>
        <v>5808.8316144769578</v>
      </c>
      <c r="M33" s="83">
        <f t="shared" si="6"/>
        <v>9150.7582125359331</v>
      </c>
      <c r="N33" s="18">
        <f>SUM(B33:M33)</f>
        <v>-94575.872331685125</v>
      </c>
      <c r="O33" s="7"/>
      <c r="P33" s="7"/>
      <c r="Q33" s="7"/>
      <c r="R33" s="7">
        <f>-SUM(B33:L33)</f>
        <v>103726.63054422106</v>
      </c>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f>-SUM(B69:L69)</f>
        <v>3935.9563833884531</v>
      </c>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-0.13</v>
      </c>
      <c r="Q35" s="8"/>
      <c r="R35" s="44">
        <f>R33+R34+'[4]Pacific CPA Eff. 1.1.20'!$M$34</f>
        <v>132926.59813908458</v>
      </c>
      <c r="X35" s="51"/>
      <c r="Y35" s="51"/>
      <c r="Z35" s="51"/>
      <c r="AA35" s="52"/>
    </row>
    <row r="36" spans="1:38" x14ac:dyDescent="0.2">
      <c r="A36" s="16"/>
      <c r="B36" s="89"/>
      <c r="C36" s="89"/>
      <c r="D36" s="89"/>
      <c r="E36" s="89"/>
      <c r="F36" s="89"/>
      <c r="G36" s="89"/>
      <c r="H36" s="89"/>
      <c r="I36" s="89"/>
      <c r="J36" s="89"/>
      <c r="K36" s="89"/>
      <c r="L36" s="21"/>
      <c r="M36" s="21" t="s">
        <v>41</v>
      </c>
      <c r="N36" s="81">
        <f>ROUND(N24/N27,2)</f>
        <v>-1.91</v>
      </c>
      <c r="X36" s="51"/>
      <c r="Y36" s="51"/>
      <c r="Z36" s="51"/>
      <c r="AA36" s="44"/>
    </row>
    <row r="37" spans="1:38" x14ac:dyDescent="0.2">
      <c r="A37" s="16"/>
      <c r="J37" s="21"/>
      <c r="K37" s="21"/>
      <c r="L37" s="21"/>
      <c r="M37" s="42" t="s">
        <v>44</v>
      </c>
      <c r="N37" s="18">
        <f>-N35-N36</f>
        <v>2.04</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v>1.95</v>
      </c>
      <c r="Q39" s="8"/>
      <c r="R39" s="8"/>
      <c r="S39" s="55"/>
      <c r="X39" s="8"/>
      <c r="Y39" s="8"/>
      <c r="Z39" s="51"/>
    </row>
    <row r="40" spans="1:38" x14ac:dyDescent="0.2">
      <c r="A40" s="10"/>
      <c r="B40" s="21"/>
      <c r="C40" s="21"/>
      <c r="D40" s="21"/>
      <c r="E40" s="21"/>
      <c r="F40" s="21"/>
      <c r="G40" s="21"/>
      <c r="H40" s="21"/>
      <c r="I40" s="21"/>
      <c r="J40" s="21"/>
      <c r="K40" s="21"/>
      <c r="L40" s="21"/>
      <c r="M40" s="21" t="s">
        <v>15</v>
      </c>
      <c r="N40" s="17">
        <f>+N37-N39</f>
        <v>9.000000000000008E-2</v>
      </c>
      <c r="O40" s="56">
        <f>N40/N39</f>
        <v>4.6153846153846198E-2</v>
      </c>
      <c r="X40" s="8"/>
      <c r="Y40" s="8"/>
      <c r="Z40" s="51"/>
    </row>
    <row r="41" spans="1:38" x14ac:dyDescent="0.2">
      <c r="A41" s="10"/>
      <c r="B41" s="21"/>
      <c r="C41" s="21"/>
      <c r="D41" s="21"/>
      <c r="E41" s="21"/>
      <c r="F41" s="21"/>
      <c r="G41" s="21"/>
      <c r="H41" s="21"/>
      <c r="I41" s="21"/>
      <c r="J41" s="21"/>
      <c r="K41" s="21"/>
      <c r="L41" s="21"/>
      <c r="M41" s="21" t="s">
        <v>36</v>
      </c>
      <c r="N41" s="9">
        <f>N40*M27*12</f>
        <v>66161.880000000063</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43770</v>
      </c>
      <c r="C45" s="2">
        <f>B45+31</f>
        <v>43801</v>
      </c>
      <c r="D45" s="2">
        <f t="shared" ref="D45:M45" si="7">C45+31</f>
        <v>43832</v>
      </c>
      <c r="E45" s="2">
        <f t="shared" si="7"/>
        <v>43863</v>
      </c>
      <c r="F45" s="2">
        <f t="shared" si="7"/>
        <v>43894</v>
      </c>
      <c r="G45" s="2">
        <f t="shared" si="7"/>
        <v>43925</v>
      </c>
      <c r="H45" s="2">
        <f t="shared" si="7"/>
        <v>43956</v>
      </c>
      <c r="I45" s="2">
        <f t="shared" si="7"/>
        <v>43987</v>
      </c>
      <c r="J45" s="2">
        <f t="shared" si="7"/>
        <v>44018</v>
      </c>
      <c r="K45" s="2">
        <f t="shared" si="7"/>
        <v>44049</v>
      </c>
      <c r="L45" s="2">
        <f t="shared" si="7"/>
        <v>44080</v>
      </c>
      <c r="M45" s="2">
        <f t="shared" si="7"/>
        <v>44111</v>
      </c>
      <c r="N45" s="2" t="s">
        <v>2</v>
      </c>
      <c r="Y45" s="51"/>
      <c r="Z45" s="51"/>
      <c r="AA45" s="44"/>
    </row>
    <row r="46" spans="1:38" x14ac:dyDescent="0.2">
      <c r="A46" s="25" t="s">
        <v>4</v>
      </c>
      <c r="B46" s="4"/>
      <c r="C46" s="4"/>
      <c r="D46" s="4"/>
      <c r="E46" s="4"/>
      <c r="F46" s="4"/>
      <c r="G46" s="4"/>
      <c r="H46" s="4"/>
      <c r="I46" s="4"/>
      <c r="J46" s="4"/>
      <c r="K46" s="4"/>
      <c r="L46" s="4"/>
      <c r="M46" s="4"/>
      <c r="N46" s="4"/>
      <c r="Y46" s="51"/>
      <c r="Z46" s="51"/>
      <c r="AA46" s="53"/>
    </row>
    <row r="47" spans="1:38" x14ac:dyDescent="0.2">
      <c r="A47" s="22" t="s">
        <v>5</v>
      </c>
      <c r="B47" s="11">
        <f>+'[3]Pacific Comm Credit'!B39</f>
        <v>67.960000000000022</v>
      </c>
      <c r="C47" s="11">
        <f>+'[3]Pacific Comm Credit'!C39</f>
        <v>71.209999999999994</v>
      </c>
      <c r="D47" s="11">
        <f>+'[3]Pacific Comm Credit'!D39</f>
        <v>81.41</v>
      </c>
      <c r="E47" s="11">
        <f>+'[3]Pacific Comm Credit'!E39</f>
        <v>70.8</v>
      </c>
      <c r="F47" s="11">
        <f>+'[3]Pacific Comm Credit'!F39</f>
        <v>77.869999999999976</v>
      </c>
      <c r="G47" s="11">
        <f>+'[3]Pacific Comm Credit'!G39</f>
        <v>77.87</v>
      </c>
      <c r="H47" s="11">
        <f>+'[3]Pacific Comm Credit'!H39</f>
        <v>79.59</v>
      </c>
      <c r="I47" s="11">
        <f>+'[3]Pacific Comm Credit'!I39</f>
        <v>83.389999999999986</v>
      </c>
      <c r="J47" s="11">
        <f>+'[3]Pacific Comm Credit'!J39</f>
        <v>87.170000000000016</v>
      </c>
      <c r="K47" s="11">
        <f>+'[3]Pacific Comm Credit'!K39</f>
        <v>79.59</v>
      </c>
      <c r="L47" s="11">
        <f>+'[3]Pacific Comm Credit'!L39</f>
        <v>83.39</v>
      </c>
      <c r="M47" s="11">
        <f>+'[3]Pacific Comm Credit'!M39</f>
        <v>83.39</v>
      </c>
      <c r="N47" s="5">
        <f>SUM(B47:M47)</f>
        <v>943.64</v>
      </c>
    </row>
    <row r="48" spans="1:38" x14ac:dyDescent="0.2">
      <c r="A48" s="22" t="s">
        <v>6</v>
      </c>
      <c r="B48" s="11">
        <f>+'[3]Pacific Comm Credit'!B40</f>
        <v>12.860000000000001</v>
      </c>
      <c r="C48" s="11">
        <f>+'[3]Pacific Comm Credit'!C40</f>
        <v>16.340000000000003</v>
      </c>
      <c r="D48" s="11">
        <f>+'[3]Pacific Comm Credit'!D40</f>
        <v>15.14</v>
      </c>
      <c r="E48" s="11">
        <f>+'[3]Pacific Comm Credit'!E40</f>
        <v>12.8</v>
      </c>
      <c r="F48" s="11">
        <f>+'[3]Pacific Comm Credit'!F40</f>
        <v>13.950000000000001</v>
      </c>
      <c r="G48" s="11">
        <f>+'[3]Pacific Comm Credit'!G40</f>
        <v>16.91</v>
      </c>
      <c r="H48" s="11">
        <f>+'[3]Pacific Comm Credit'!H40</f>
        <v>17.920000000000002</v>
      </c>
      <c r="I48" s="11">
        <f>+'[3]Pacific Comm Credit'!I40</f>
        <v>15.96</v>
      </c>
      <c r="J48" s="11">
        <f>+'[3]Pacific Comm Credit'!J40</f>
        <v>6.84</v>
      </c>
      <c r="K48" s="11">
        <f>+'[3]Pacific Comm Credit'!K40</f>
        <v>14.72</v>
      </c>
      <c r="L48" s="11">
        <f>+'[3]Pacific Comm Credit'!L40</f>
        <v>15.38</v>
      </c>
      <c r="M48" s="11">
        <f>+'[3]Pacific Comm Credit'!M40</f>
        <v>14.330000000000002</v>
      </c>
      <c r="N48" s="5">
        <f>SUM(B48:M48)</f>
        <v>173.15</v>
      </c>
    </row>
    <row r="49" spans="1:16" x14ac:dyDescent="0.2">
      <c r="B49" s="11"/>
      <c r="C49" s="11"/>
      <c r="D49" s="11"/>
      <c r="E49" s="11"/>
      <c r="F49" s="11"/>
      <c r="G49" s="11"/>
      <c r="H49" s="11"/>
      <c r="I49" s="11"/>
      <c r="J49" s="11"/>
      <c r="K49" s="11"/>
      <c r="L49" s="11"/>
      <c r="M49" s="11"/>
      <c r="N49" s="5"/>
    </row>
    <row r="50" spans="1:16" s="6" customFormat="1" x14ac:dyDescent="0.2">
      <c r="A50" s="6" t="s">
        <v>2</v>
      </c>
      <c r="B50" s="35">
        <f>SUM(B47:B49)</f>
        <v>80.820000000000022</v>
      </c>
      <c r="C50" s="35">
        <f>SUM(C47:C49)</f>
        <v>87.55</v>
      </c>
      <c r="D50" s="35">
        <f t="shared" ref="D50:K50" si="8">SUM(D47:D48)</f>
        <v>96.55</v>
      </c>
      <c r="E50" s="35">
        <f t="shared" si="8"/>
        <v>83.6</v>
      </c>
      <c r="F50" s="35">
        <f t="shared" si="8"/>
        <v>91.819999999999979</v>
      </c>
      <c r="G50" s="35">
        <f t="shared" si="8"/>
        <v>94.78</v>
      </c>
      <c r="H50" s="35">
        <f t="shared" si="8"/>
        <v>97.51</v>
      </c>
      <c r="I50" s="35">
        <f t="shared" si="8"/>
        <v>99.35</v>
      </c>
      <c r="J50" s="35">
        <f t="shared" si="8"/>
        <v>94.010000000000019</v>
      </c>
      <c r="K50" s="35">
        <f t="shared" si="8"/>
        <v>94.31</v>
      </c>
      <c r="L50" s="35">
        <f>SUM(L47:L48)</f>
        <v>98.77</v>
      </c>
      <c r="M50" s="35">
        <f>SUM(M47:M48)</f>
        <v>97.72</v>
      </c>
      <c r="N50" s="35">
        <f>SUM(N47:N49)</f>
        <v>1116.79</v>
      </c>
    </row>
    <row r="52" spans="1:16" x14ac:dyDescent="0.2">
      <c r="A52" s="26" t="s">
        <v>20</v>
      </c>
    </row>
    <row r="53" spans="1:16" x14ac:dyDescent="0.2">
      <c r="A53" s="22" t="s">
        <v>5</v>
      </c>
      <c r="B53" s="27">
        <f>B17</f>
        <v>-112.07739999999998</v>
      </c>
      <c r="C53" s="27">
        <f t="shared" ref="C53:M53" si="9">C17</f>
        <v>-111.72239999999998</v>
      </c>
      <c r="D53" s="27">
        <f t="shared" si="9"/>
        <v>-105.466292</v>
      </c>
      <c r="E53" s="27">
        <f t="shared" si="9"/>
        <v>-103.51889199999999</v>
      </c>
      <c r="F53" s="27">
        <f t="shared" si="9"/>
        <v>-102.62899200000001</v>
      </c>
      <c r="G53" s="27">
        <f t="shared" si="9"/>
        <v>-103.82879199999999</v>
      </c>
      <c r="H53" s="27">
        <f t="shared" si="9"/>
        <v>-87.989891999999998</v>
      </c>
      <c r="I53" s="27">
        <f t="shared" si="9"/>
        <v>-99.692811999999989</v>
      </c>
      <c r="J53" s="27">
        <f t="shared" si="9"/>
        <v>-101.05185199999997</v>
      </c>
      <c r="K53" s="27">
        <f t="shared" si="9"/>
        <v>-94.481131999999988</v>
      </c>
      <c r="L53" s="27">
        <f t="shared" si="9"/>
        <v>-87.155441999999994</v>
      </c>
      <c r="M53" s="27">
        <f t="shared" si="9"/>
        <v>-83.977722</v>
      </c>
      <c r="N53" s="8"/>
    </row>
    <row r="54" spans="1:16" x14ac:dyDescent="0.2">
      <c r="A54" s="22" t="s">
        <v>6</v>
      </c>
      <c r="B54" s="27">
        <f>B18</f>
        <v>-30</v>
      </c>
      <c r="C54" s="27">
        <f t="shared" ref="C54:M54" si="10">C18</f>
        <v>-30</v>
      </c>
      <c r="D54" s="27">
        <f t="shared" si="10"/>
        <v>-33</v>
      </c>
      <c r="E54" s="27">
        <f t="shared" si="10"/>
        <v>-33</v>
      </c>
      <c r="F54" s="27">
        <f t="shared" si="10"/>
        <v>-33</v>
      </c>
      <c r="G54" s="27">
        <f t="shared" si="10"/>
        <v>-33</v>
      </c>
      <c r="H54" s="27">
        <f t="shared" si="10"/>
        <v>-33</v>
      </c>
      <c r="I54" s="27">
        <f t="shared" si="10"/>
        <v>-33</v>
      </c>
      <c r="J54" s="27">
        <f t="shared" si="10"/>
        <v>-33</v>
      </c>
      <c r="K54" s="27">
        <f t="shared" si="10"/>
        <v>-33</v>
      </c>
      <c r="L54" s="27">
        <f t="shared" si="10"/>
        <v>-33</v>
      </c>
      <c r="M54" s="27">
        <f t="shared" si="10"/>
        <v>-33</v>
      </c>
      <c r="N54" s="8"/>
    </row>
    <row r="56" spans="1:16" x14ac:dyDescent="0.2">
      <c r="A56" s="26" t="s">
        <v>8</v>
      </c>
    </row>
    <row r="57" spans="1:16" x14ac:dyDescent="0.2">
      <c r="A57" s="22" t="s">
        <v>5</v>
      </c>
      <c r="B57" s="36">
        <f>B47*B53</f>
        <v>-7616.7801040000013</v>
      </c>
      <c r="C57" s="36">
        <f>C47*C53</f>
        <v>-7955.7521039999974</v>
      </c>
      <c r="D57" s="36">
        <f t="shared" ref="D57:M57" si="11">+D47*D53</f>
        <v>-8586.0108317199993</v>
      </c>
      <c r="E57" s="36">
        <f t="shared" si="11"/>
        <v>-7329.1375535999996</v>
      </c>
      <c r="F57" s="36">
        <f t="shared" si="11"/>
        <v>-7991.7196070399987</v>
      </c>
      <c r="G57" s="36">
        <f t="shared" si="11"/>
        <v>-8085.14803304</v>
      </c>
      <c r="H57" s="36">
        <f t="shared" si="11"/>
        <v>-7003.1155042800001</v>
      </c>
      <c r="I57" s="36">
        <f t="shared" si="11"/>
        <v>-8313.3835926799984</v>
      </c>
      <c r="J57" s="36">
        <f t="shared" si="11"/>
        <v>-8808.6899388399997</v>
      </c>
      <c r="K57" s="36">
        <f t="shared" si="11"/>
        <v>-7519.7532958799993</v>
      </c>
      <c r="L57" s="36">
        <f t="shared" si="11"/>
        <v>-7267.8923083799991</v>
      </c>
      <c r="M57" s="36">
        <f t="shared" si="11"/>
        <v>-7002.9022375800005</v>
      </c>
      <c r="N57" s="9">
        <f>SUM(B57:M57)</f>
        <v>-93480.285111039993</v>
      </c>
    </row>
    <row r="58" spans="1:16" x14ac:dyDescent="0.2">
      <c r="A58" s="22" t="s">
        <v>6</v>
      </c>
      <c r="B58" s="36">
        <f>B48*B54</f>
        <v>-385.8</v>
      </c>
      <c r="C58" s="36">
        <f>C48*C54</f>
        <v>-490.2000000000001</v>
      </c>
      <c r="D58" s="36">
        <f>+D54*D48</f>
        <v>-499.62</v>
      </c>
      <c r="E58" s="36">
        <f t="shared" ref="E58:M58" si="12">+E54*E48</f>
        <v>-422.40000000000003</v>
      </c>
      <c r="F58" s="36">
        <f t="shared" si="12"/>
        <v>-460.35</v>
      </c>
      <c r="G58" s="36">
        <f t="shared" si="12"/>
        <v>-558.03</v>
      </c>
      <c r="H58" s="36">
        <f t="shared" si="12"/>
        <v>-591.36</v>
      </c>
      <c r="I58" s="36">
        <f t="shared" si="12"/>
        <v>-526.68000000000006</v>
      </c>
      <c r="J58" s="36">
        <f t="shared" si="12"/>
        <v>-225.72</v>
      </c>
      <c r="K58" s="36">
        <f t="shared" si="12"/>
        <v>-485.76000000000005</v>
      </c>
      <c r="L58" s="36">
        <f t="shared" si="12"/>
        <v>-507.54</v>
      </c>
      <c r="M58" s="36">
        <f t="shared" si="12"/>
        <v>-472.89000000000004</v>
      </c>
      <c r="N58" s="9">
        <f>SUM(B58:M58)</f>
        <v>-5626.3500000000013</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3">SUM(B57:B58)</f>
        <v>-8002.5801040000015</v>
      </c>
      <c r="C60" s="37">
        <f t="shared" si="13"/>
        <v>-8445.9521039999981</v>
      </c>
      <c r="D60" s="37">
        <f t="shared" si="13"/>
        <v>-9085.6308317200001</v>
      </c>
      <c r="E60" s="37">
        <f t="shared" si="13"/>
        <v>-7751.5375535999992</v>
      </c>
      <c r="F60" s="37">
        <f t="shared" si="13"/>
        <v>-8452.069607039999</v>
      </c>
      <c r="G60" s="37">
        <f t="shared" si="13"/>
        <v>-8643.1780330399997</v>
      </c>
      <c r="H60" s="37">
        <f t="shared" si="13"/>
        <v>-7594.4755042799998</v>
      </c>
      <c r="I60" s="37">
        <f t="shared" si="13"/>
        <v>-8840.0635926799987</v>
      </c>
      <c r="J60" s="37">
        <f>SUM(J57:J58)</f>
        <v>-9034.4099388399991</v>
      </c>
      <c r="K60" s="37">
        <f>SUM(K57:K58)</f>
        <v>-8005.5132958799995</v>
      </c>
      <c r="L60" s="37">
        <f>SUM(L57:L58)</f>
        <v>-7775.4323083799991</v>
      </c>
      <c r="M60" s="37">
        <f>SUM(M57:M58)</f>
        <v>-7475.7922375800008</v>
      </c>
      <c r="N60" s="40">
        <f>SUM(N57:N58)</f>
        <v>-99106.635111039999</v>
      </c>
      <c r="O60" s="54"/>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+'[3]Pacific Comm Credit'!B53</f>
        <v>11551.298336798336</v>
      </c>
      <c r="C63" s="16">
        <f>+'[3]Pacific Comm Credit'!C53</f>
        <v>11530.5</v>
      </c>
      <c r="D63" s="16">
        <f>+'[3]Pacific Comm Credit'!D53</f>
        <v>11554.500000000002</v>
      </c>
      <c r="E63" s="16">
        <f>+'[3]Pacific Comm Credit'!E53</f>
        <v>11585.067961165048</v>
      </c>
      <c r="F63" s="16">
        <f>+'[3]Pacific Comm Credit'!F53</f>
        <v>11590</v>
      </c>
      <c r="G63" s="16">
        <f>+'[3]Pacific Comm Credit'!G53</f>
        <v>11596.334951456311</v>
      </c>
      <c r="H63" s="16">
        <f>+'[3]Pacific Comm Credit'!H53</f>
        <v>11623</v>
      </c>
      <c r="I63" s="16">
        <f>+'[3]Pacific Comm Credit'!I53</f>
        <v>11617.002079002079</v>
      </c>
      <c r="J63" s="16">
        <f>+'[3]Pacific Comm Credit'!J53</f>
        <v>11614.800970873786</v>
      </c>
      <c r="K63" s="16">
        <f>+'[3]Pacific Comm Credit'!K53</f>
        <v>11637.128640776698</v>
      </c>
      <c r="L63" s="16">
        <f>+'[3]Pacific Comm Credit'!L53</f>
        <v>11754.643203883494</v>
      </c>
      <c r="M63" s="16">
        <f>+'[3]Pacific Comm Credit'!M53</f>
        <v>12262.029126213591</v>
      </c>
      <c r="N63" s="7">
        <f>SUM(B63:M63)</f>
        <v>139916.30527016934</v>
      </c>
      <c r="P63" s="87"/>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13</v>
      </c>
      <c r="B66" s="27">
        <f t="shared" ref="B66:M66" si="14">+IFERROR(B60/B63,0)</f>
        <v>-0.69278620209354491</v>
      </c>
      <c r="C66" s="27">
        <f t="shared" si="14"/>
        <v>-0.73248793235332366</v>
      </c>
      <c r="D66" s="27">
        <f t="shared" si="14"/>
        <v>-0.7863283423531956</v>
      </c>
      <c r="E66" s="27">
        <f t="shared" si="14"/>
        <v>-0.6690972879558722</v>
      </c>
      <c r="F66" s="27">
        <f t="shared" si="14"/>
        <v>-0.72925535867471947</v>
      </c>
      <c r="G66" s="27">
        <f t="shared" si="14"/>
        <v>-0.74533704564600878</v>
      </c>
      <c r="H66" s="27">
        <f t="shared" si="14"/>
        <v>-0.65340062843327884</v>
      </c>
      <c r="I66" s="27">
        <f t="shared" si="14"/>
        <v>-0.76095911256300441</v>
      </c>
      <c r="J66" s="27">
        <f t="shared" si="14"/>
        <v>-0.77783596649614706</v>
      </c>
      <c r="K66" s="27">
        <f t="shared" si="14"/>
        <v>-0.68792857267458085</v>
      </c>
      <c r="L66" s="27">
        <f t="shared" si="14"/>
        <v>-0.66147752624351497</v>
      </c>
      <c r="M66" s="27">
        <f t="shared" si="14"/>
        <v>-0.60967007667583817</v>
      </c>
      <c r="N66" s="5"/>
    </row>
    <row r="67" spans="1:19" x14ac:dyDescent="0.2">
      <c r="A67" s="10" t="s">
        <v>14</v>
      </c>
      <c r="B67" s="69">
        <f>+'Pacific CPA Eff. 1.1.20'!$G$71</f>
        <v>-0.6416416189538674</v>
      </c>
      <c r="C67" s="69">
        <f>+'Pacific CPA Eff. 1.1.20'!$G$71</f>
        <v>-0.6416416189538674</v>
      </c>
      <c r="D67" s="69">
        <f>+'Pacific CPA Eff. 1.1.20'!$H$76</f>
        <v>-0.69697730765535149</v>
      </c>
      <c r="E67" s="69">
        <f>+'Pacific CPA Eff. 1.1.20'!$H$76</f>
        <v>-0.69697730765535149</v>
      </c>
      <c r="F67" s="69">
        <f>+'Pacific CPA Eff. 1.1.20'!$H$76</f>
        <v>-0.69697730765535149</v>
      </c>
      <c r="G67" s="69">
        <f>+'Pacific CPA Eff. 1.1.20'!$H$76</f>
        <v>-0.69697730765535149</v>
      </c>
      <c r="H67" s="69">
        <f>+'Pacific CPA Eff. 1.1.20'!$H$76</f>
        <v>-0.69697730765535149</v>
      </c>
      <c r="I67" s="69">
        <f>+'Pacific CPA Eff. 1.1.20'!$H$76</f>
        <v>-0.69697730765535149</v>
      </c>
      <c r="J67" s="69">
        <f>+'Pacific CPA Eff. 1.1.20'!$H$76</f>
        <v>-0.69697730765535149</v>
      </c>
      <c r="K67" s="69">
        <f>+'Pacific CPA Eff. 1.1.20'!$H$76</f>
        <v>-0.69697730765535149</v>
      </c>
      <c r="L67" s="69">
        <f>+'Pacific CPA Eff. 1.1.20'!$H$76</f>
        <v>-0.69697730765535149</v>
      </c>
      <c r="M67" s="69">
        <f>+'Pacific CPA Eff. 1.1.20'!$H$76</f>
        <v>-0.69697730765535149</v>
      </c>
      <c r="N67" s="5"/>
    </row>
    <row r="68" spans="1:19" x14ac:dyDescent="0.2">
      <c r="A68" s="10"/>
      <c r="B68" s="27"/>
      <c r="C68" s="27"/>
      <c r="D68" s="27"/>
      <c r="E68" s="27"/>
      <c r="F68" s="27"/>
      <c r="G68" s="27"/>
      <c r="H68" s="27"/>
      <c r="I68" s="27"/>
      <c r="J68" s="27"/>
      <c r="K68" s="27"/>
      <c r="L68" s="27"/>
      <c r="M68" s="27"/>
      <c r="N68" s="5"/>
    </row>
    <row r="69" spans="1:19" s="6" customFormat="1" x14ac:dyDescent="0.2">
      <c r="A69" s="13" t="s">
        <v>17</v>
      </c>
      <c r="B69" s="83">
        <f t="shared" ref="B69:M69" si="15">+(B66-B67)*B63</f>
        <v>-590.78633815760111</v>
      </c>
      <c r="C69" s="83">
        <f t="shared" si="15"/>
        <v>-1047.5034166524304</v>
      </c>
      <c r="D69" s="83">
        <f t="shared" si="15"/>
        <v>-1032.40653041624</v>
      </c>
      <c r="E69" s="83">
        <f t="shared" si="15"/>
        <v>322.99192297708788</v>
      </c>
      <c r="F69" s="83">
        <f t="shared" si="15"/>
        <v>-374.10261131447493</v>
      </c>
      <c r="G69" s="83">
        <f t="shared" si="15"/>
        <v>-560.79571990432873</v>
      </c>
      <c r="H69" s="83">
        <f t="shared" si="15"/>
        <v>506.49174259815038</v>
      </c>
      <c r="I69" s="83">
        <f t="shared" si="15"/>
        <v>-743.27676063050944</v>
      </c>
      <c r="J69" s="83">
        <f t="shared" si="15"/>
        <v>-939.15722920762471</v>
      </c>
      <c r="K69" s="83">
        <f t="shared" si="15"/>
        <v>105.30129300752394</v>
      </c>
      <c r="L69" s="83">
        <f t="shared" si="15"/>
        <v>417.28726431199368</v>
      </c>
      <c r="M69" s="83">
        <f t="shared" si="15"/>
        <v>1070.5638091998499</v>
      </c>
      <c r="N69" s="18">
        <f>SUM(B69:M69)</f>
        <v>-2865.3925741886032</v>
      </c>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-0.02</v>
      </c>
    </row>
    <row r="72" spans="1:19" x14ac:dyDescent="0.2">
      <c r="B72" s="21"/>
      <c r="C72" s="21"/>
      <c r="D72" s="21"/>
      <c r="E72" s="21"/>
      <c r="F72" s="21"/>
      <c r="G72" s="21"/>
      <c r="H72" s="21"/>
      <c r="I72" s="21"/>
      <c r="J72" s="21"/>
      <c r="K72" s="21"/>
      <c r="L72" s="21"/>
      <c r="M72" s="21" t="s">
        <v>41</v>
      </c>
      <c r="N72" s="81">
        <f>ROUND(N60/N63,2)</f>
        <v>-0.71</v>
      </c>
    </row>
    <row r="73" spans="1:19" x14ac:dyDescent="0.2">
      <c r="B73" s="84"/>
      <c r="C73" s="21"/>
      <c r="D73" s="21"/>
      <c r="E73" s="21"/>
      <c r="F73" s="21"/>
      <c r="G73" s="21"/>
      <c r="H73" s="21"/>
      <c r="I73" s="21"/>
      <c r="J73" s="21"/>
      <c r="K73" s="21"/>
      <c r="L73" s="21"/>
      <c r="M73" s="42" t="s">
        <v>44</v>
      </c>
      <c r="N73" s="18">
        <f>-N71-N72</f>
        <v>0.73</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v>0.77</v>
      </c>
      <c r="Q75" s="8"/>
      <c r="R75" s="8"/>
      <c r="S75" s="55"/>
    </row>
    <row r="76" spans="1:19" x14ac:dyDescent="0.2">
      <c r="A76" s="10"/>
      <c r="B76" s="21"/>
      <c r="C76" s="21"/>
      <c r="D76" s="21"/>
      <c r="E76" s="21"/>
      <c r="F76" s="21"/>
      <c r="G76" s="21"/>
      <c r="H76" s="21"/>
      <c r="I76" s="21"/>
      <c r="J76" s="21"/>
      <c r="K76" s="21"/>
      <c r="L76" s="21"/>
      <c r="M76" s="21" t="s">
        <v>15</v>
      </c>
      <c r="N76" s="17">
        <f>+N73-N75</f>
        <v>-4.0000000000000036E-2</v>
      </c>
      <c r="O76" s="56">
        <f>N76/N75</f>
        <v>-5.1948051948051993E-2</v>
      </c>
    </row>
    <row r="77" spans="1:19" x14ac:dyDescent="0.2">
      <c r="A77" s="10"/>
      <c r="B77" s="21"/>
      <c r="C77" s="21"/>
      <c r="D77" s="21"/>
      <c r="E77" s="21"/>
      <c r="F77" s="21"/>
      <c r="G77" s="21"/>
      <c r="H77" s="21"/>
      <c r="I77" s="21"/>
      <c r="J77" s="21"/>
      <c r="K77" s="21"/>
      <c r="L77" s="21"/>
      <c r="M77" s="21" t="s">
        <v>36</v>
      </c>
      <c r="N77" s="9">
        <f>N76*M63*12</f>
        <v>-5885.7739805825295</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66" fitToHeight="0" orientation="landscape" r:id="rId1"/>
  <rowBreaks count="1" manualBreakCount="1">
    <brk id="43"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view="pageBreakPreview" zoomScale="80" zoomScaleNormal="85" zoomScaleSheetLayoutView="80" workbookViewId="0">
      <pane xSplit="1" ySplit="7" topLeftCell="B41" activePane="bottomRight" state="frozen"/>
      <selection activeCell="B36" sqref="B36"/>
      <selection pane="topRight" activeCell="B36" sqref="B36"/>
      <selection pane="bottomLeft" activeCell="B36" sqref="B36"/>
      <selection pane="bottomRight" activeCell="H79" sqref="H79"/>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39</v>
      </c>
      <c r="B4" s="11"/>
      <c r="C4" s="11"/>
      <c r="D4" s="11"/>
      <c r="E4" s="11"/>
      <c r="F4" s="11"/>
      <c r="G4" s="11"/>
      <c r="H4" s="12"/>
      <c r="I4" s="5"/>
      <c r="J4" s="6"/>
    </row>
    <row r="5" spans="1:32" s="31" customFormat="1" x14ac:dyDescent="0.2">
      <c r="B5" s="1"/>
      <c r="C5" s="1"/>
      <c r="D5" s="1"/>
      <c r="E5" s="1"/>
      <c r="F5" s="1"/>
      <c r="G5" s="1"/>
      <c r="H5" s="1" t="s">
        <v>23</v>
      </c>
      <c r="J5" s="5"/>
    </row>
    <row r="6" spans="1:32" s="32" customFormat="1" x14ac:dyDescent="0.2">
      <c r="B6" s="2">
        <v>43586</v>
      </c>
      <c r="C6" s="2">
        <f>+B6+31</f>
        <v>43617</v>
      </c>
      <c r="D6" s="2">
        <f>+C6+31</f>
        <v>43648</v>
      </c>
      <c r="E6" s="2">
        <f>+D6+31</f>
        <v>43679</v>
      </c>
      <c r="F6" s="2">
        <f>+E6+31</f>
        <v>43710</v>
      </c>
      <c r="G6" s="2">
        <f>+F6+31</f>
        <v>43741</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v>913.59000000000015</v>
      </c>
      <c r="C11" s="65">
        <v>771.7800000000002</v>
      </c>
      <c r="D11" s="65">
        <v>882.74000000000024</v>
      </c>
      <c r="E11" s="65">
        <v>792.76999999999987</v>
      </c>
      <c r="F11" s="65">
        <v>783.15</v>
      </c>
      <c r="G11" s="65">
        <v>825.7</v>
      </c>
      <c r="H11" s="5">
        <f>SUM(B11:G11)</f>
        <v>4969.7300000000005</v>
      </c>
      <c r="J11" s="5"/>
      <c r="L11" s="44"/>
      <c r="M11" s="44"/>
      <c r="N11" s="44"/>
      <c r="O11" s="44"/>
      <c r="P11" s="44"/>
      <c r="Q11" s="44"/>
      <c r="R11" s="44"/>
      <c r="S11" s="44"/>
      <c r="T11" s="44"/>
    </row>
    <row r="12" spans="1:32" x14ac:dyDescent="0.2">
      <c r="A12" s="22" t="s">
        <v>6</v>
      </c>
      <c r="B12" s="65">
        <v>108.77</v>
      </c>
      <c r="C12" s="65">
        <v>114.91</v>
      </c>
      <c r="D12" s="65">
        <v>136.28</v>
      </c>
      <c r="E12" s="65">
        <v>103.36</v>
      </c>
      <c r="F12" s="65">
        <v>103.75999999999999</v>
      </c>
      <c r="G12" s="65">
        <v>97.45</v>
      </c>
      <c r="H12" s="5">
        <f>SUM(B12:G12)</f>
        <v>664.53000000000009</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1022.3600000000001</v>
      </c>
      <c r="C14" s="35">
        <f t="shared" si="0"/>
        <v>886.69000000000017</v>
      </c>
      <c r="D14" s="35">
        <f t="shared" si="0"/>
        <v>1019.0200000000002</v>
      </c>
      <c r="E14" s="35">
        <f t="shared" si="0"/>
        <v>896.12999999999988</v>
      </c>
      <c r="F14" s="35">
        <f t="shared" si="0"/>
        <v>886.91</v>
      </c>
      <c r="G14" s="35">
        <f t="shared" si="0"/>
        <v>923.15000000000009</v>
      </c>
      <c r="H14" s="35">
        <f>SUM(H11:H13)</f>
        <v>5634.26</v>
      </c>
      <c r="J14" s="45"/>
      <c r="K14" s="57">
        <f>H14+'[5]Rural CPA Eff. 1.1.20'!$H$11</f>
        <v>6507.77</v>
      </c>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v>-108.96529999999998</v>
      </c>
      <c r="C17" s="66">
        <v>-107.6056</v>
      </c>
      <c r="D17" s="66">
        <v>-105.66560000000001</v>
      </c>
      <c r="E17" s="66">
        <v>-105.90090000000001</v>
      </c>
      <c r="F17" s="66">
        <v>-109.95339999999999</v>
      </c>
      <c r="G17" s="66">
        <v>-111.9259</v>
      </c>
      <c r="H17" s="7"/>
      <c r="J17" s="5"/>
      <c r="L17" s="46"/>
      <c r="M17" s="46"/>
      <c r="N17" s="46"/>
      <c r="O17" s="46"/>
      <c r="P17" s="46"/>
      <c r="Q17" s="46"/>
      <c r="R17" s="46"/>
      <c r="S17" s="46"/>
      <c r="T17" s="46"/>
    </row>
    <row r="18" spans="1:36" x14ac:dyDescent="0.2">
      <c r="A18" s="22" t="s">
        <v>6</v>
      </c>
      <c r="B18" s="66">
        <v>-30</v>
      </c>
      <c r="C18" s="66">
        <v>-30</v>
      </c>
      <c r="D18" s="66">
        <v>-30</v>
      </c>
      <c r="E18" s="66">
        <v>-30</v>
      </c>
      <c r="F18" s="66">
        <v>-30</v>
      </c>
      <c r="G18" s="66">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-99549.608426999999</v>
      </c>
      <c r="C21" s="36">
        <f t="shared" ref="C21:G21" si="1">+C11*C17</f>
        <v>-83047.849968000024</v>
      </c>
      <c r="D21" s="16">
        <f t="shared" si="1"/>
        <v>-93275.251744000037</v>
      </c>
      <c r="E21" s="36">
        <f t="shared" si="1"/>
        <v>-83955.056492999996</v>
      </c>
      <c r="F21" s="36">
        <f t="shared" si="1"/>
        <v>-86110.005209999988</v>
      </c>
      <c r="G21" s="36">
        <f t="shared" si="1"/>
        <v>-92417.215630000006</v>
      </c>
      <c r="H21" s="9">
        <f>SUM(B21:G21)</f>
        <v>-538354.98747200007</v>
      </c>
      <c r="J21" s="8"/>
      <c r="L21" s="8"/>
      <c r="M21" s="8"/>
      <c r="N21" s="8"/>
      <c r="O21" s="8"/>
      <c r="P21" s="8"/>
      <c r="Q21" s="8"/>
      <c r="R21" s="8"/>
      <c r="S21" s="8"/>
      <c r="T21" s="8"/>
    </row>
    <row r="22" spans="1:36" x14ac:dyDescent="0.2">
      <c r="A22" s="22" t="s">
        <v>6</v>
      </c>
      <c r="B22" s="36">
        <f t="shared" ref="B22:E22" si="2">+B18*B12</f>
        <v>-3263.1</v>
      </c>
      <c r="C22" s="36">
        <f t="shared" si="2"/>
        <v>-3447.2999999999997</v>
      </c>
      <c r="D22" s="58">
        <f t="shared" si="2"/>
        <v>-4088.4</v>
      </c>
      <c r="E22" s="36">
        <f t="shared" si="2"/>
        <v>-3100.8</v>
      </c>
      <c r="F22" s="36">
        <f>+F18*F12</f>
        <v>-3112.7999999999997</v>
      </c>
      <c r="G22" s="36">
        <f>+G18*G12</f>
        <v>-2923.5</v>
      </c>
      <c r="H22" s="9">
        <f>SUM(B22:G22)</f>
        <v>-19935.899999999998</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3">SUM(B21:B22)</f>
        <v>-102812.70842700001</v>
      </c>
      <c r="C24" s="37">
        <f t="shared" si="3"/>
        <v>-86495.149968000027</v>
      </c>
      <c r="D24" s="37">
        <f t="shared" si="3"/>
        <v>-97363.651744000032</v>
      </c>
      <c r="E24" s="37">
        <f t="shared" si="3"/>
        <v>-87055.856492999999</v>
      </c>
      <c r="F24" s="37">
        <f t="shared" si="3"/>
        <v>-89222.805209999991</v>
      </c>
      <c r="G24" s="37">
        <f t="shared" si="3"/>
        <v>-95340.715630000006</v>
      </c>
      <c r="H24" s="40">
        <f>SUM(H21:H23)</f>
        <v>-558290.88747200009</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v>47870</v>
      </c>
      <c r="C27" s="67">
        <v>47940</v>
      </c>
      <c r="D27" s="67">
        <v>48155</v>
      </c>
      <c r="E27" s="67">
        <v>48422</v>
      </c>
      <c r="F27" s="67">
        <v>48558</v>
      </c>
      <c r="G27" s="67">
        <v>48586</v>
      </c>
      <c r="H27" s="8">
        <f>SUM(B27:G27)</f>
        <v>289531</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v>3459</v>
      </c>
      <c r="C28" s="67">
        <v>3372</v>
      </c>
      <c r="D28" s="67">
        <v>3292</v>
      </c>
      <c r="E28" s="67">
        <v>3189</v>
      </c>
      <c r="F28" s="67">
        <v>3108</v>
      </c>
      <c r="G28" s="67">
        <v>3013</v>
      </c>
      <c r="H28" s="8">
        <f>SUM(B28:G28)</f>
        <v>19433</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4">+B27+B28</f>
        <v>51329</v>
      </c>
      <c r="C30" s="38">
        <f t="shared" si="4"/>
        <v>51312</v>
      </c>
      <c r="D30" s="38">
        <f>+D27+D28</f>
        <v>51447</v>
      </c>
      <c r="E30" s="38">
        <f>+E27+E28</f>
        <v>51611</v>
      </c>
      <c r="F30" s="38">
        <f>+F27+F28</f>
        <v>51666</v>
      </c>
      <c r="G30" s="38">
        <f>+G27+G28</f>
        <v>51599</v>
      </c>
      <c r="H30" s="41">
        <f>SUM(H27:H28)</f>
        <v>308964</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5">+IFERROR(B24/B30,0)</f>
        <v>-2.0030140549591851</v>
      </c>
      <c r="C32" s="27">
        <f t="shared" si="5"/>
        <v>-1.6856709925163709</v>
      </c>
      <c r="D32" s="27">
        <f t="shared" si="5"/>
        <v>-1.8925039699885324</v>
      </c>
      <c r="E32" s="27">
        <f t="shared" si="5"/>
        <v>-1.6867694191742071</v>
      </c>
      <c r="F32" s="27">
        <f t="shared" si="5"/>
        <v>-1.7269152868424107</v>
      </c>
      <c r="G32" s="27">
        <f t="shared" si="5"/>
        <v>-1.8477240960096126</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69">
        <f>'Pacific CPA Eff. 7.1.19'!$G$33</f>
        <v>-1.2259697247382961</v>
      </c>
      <c r="C33" s="69">
        <f>'Pacific CPA Eff. 7.1.19'!$G$33</f>
        <v>-1.2259697247382961</v>
      </c>
      <c r="D33" s="69">
        <f>'Pacific CPA Eff. 7.1.19'!$H$38</f>
        <v>-1.6378750991793303</v>
      </c>
      <c r="E33" s="69">
        <f>'Pacific CPA Eff. 7.1.19'!$H$38</f>
        <v>-1.6378750991793303</v>
      </c>
      <c r="F33" s="69">
        <f>'Pacific CPA Eff. 7.1.19'!$H$38</f>
        <v>-1.6378750991793303</v>
      </c>
      <c r="G33" s="69">
        <f>'Pacific CPA Eff. 7.1.19'!$H$38</f>
        <v>-1.6378750991793303</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+(B32-B33)*B30</f>
        <v>-39884.908425908005</v>
      </c>
      <c r="C35" s="59">
        <f t="shared" ref="C35" si="6">+(C32-C33)*C30</f>
        <v>-23588.19145222857</v>
      </c>
      <c r="D35" s="59">
        <f>+(D32-D33)*D30</f>
        <v>-13099.891516521024</v>
      </c>
      <c r="E35" s="59">
        <f>+(E32-E33)*E30</f>
        <v>-2523.4847492555873</v>
      </c>
      <c r="F35" s="59">
        <f>+(F32-F33)*F30</f>
        <v>-4600.3503358007129</v>
      </c>
      <c r="G35" s="59">
        <f>+(G32-G33)*G30</f>
        <v>-10827.998387445739</v>
      </c>
      <c r="H35" s="60">
        <f>SUM(B35:G35)</f>
        <v>-94524.824867159638</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ROUND(H35/H30/2,2)</f>
        <v>-0.15</v>
      </c>
      <c r="I37" s="5"/>
      <c r="K37" s="8"/>
      <c r="R37" s="51"/>
      <c r="S37" s="51"/>
      <c r="T37" s="51"/>
      <c r="U37" s="52"/>
    </row>
    <row r="38" spans="1:32" x14ac:dyDescent="0.2">
      <c r="A38" s="61"/>
      <c r="B38" s="21"/>
      <c r="C38" s="21"/>
      <c r="D38" s="21"/>
      <c r="E38" s="21"/>
      <c r="F38" s="21"/>
      <c r="G38" s="21" t="s">
        <v>21</v>
      </c>
      <c r="H38" s="81">
        <f>SUM(B24:G24)/SUM(B30:G30)</f>
        <v>-1.8069771477324221</v>
      </c>
      <c r="I38" s="44"/>
      <c r="R38" s="51"/>
      <c r="S38" s="51"/>
      <c r="T38" s="51"/>
      <c r="U38" s="44"/>
    </row>
    <row r="39" spans="1:32" x14ac:dyDescent="0.2">
      <c r="A39" s="62"/>
      <c r="D39" s="21"/>
      <c r="E39" s="21"/>
      <c r="F39" s="21"/>
      <c r="G39" s="42" t="s">
        <v>25</v>
      </c>
      <c r="H39" s="18">
        <f>SUM(H37:H38)</f>
        <v>-1.956977147732422</v>
      </c>
      <c r="R39" s="51"/>
      <c r="S39" s="51"/>
      <c r="T39" s="51"/>
      <c r="U39" s="53"/>
    </row>
    <row r="40" spans="1:32" x14ac:dyDescent="0.2">
      <c r="A40" s="62"/>
      <c r="B40" s="21"/>
      <c r="C40" s="21"/>
      <c r="D40" s="21"/>
      <c r="E40" s="21"/>
      <c r="F40" s="21"/>
      <c r="G40" s="21"/>
      <c r="H40" s="20"/>
      <c r="R40" s="51"/>
      <c r="S40" s="51"/>
      <c r="T40" s="51"/>
      <c r="U40" s="53"/>
    </row>
    <row r="41" spans="1:32" x14ac:dyDescent="0.2">
      <c r="A41" s="62"/>
      <c r="B41" s="39"/>
      <c r="C41" s="39"/>
      <c r="D41" s="21"/>
      <c r="E41" s="21"/>
      <c r="F41" s="21"/>
      <c r="G41" s="21" t="s">
        <v>26</v>
      </c>
      <c r="H41" s="70">
        <f>'Pacific CPA Eff. 7.1.19'!H40</f>
        <v>-2.725116445679471</v>
      </c>
      <c r="K41" s="8"/>
      <c r="L41" s="8"/>
      <c r="M41" s="55"/>
      <c r="R41" s="8"/>
      <c r="S41" s="8"/>
      <c r="T41" s="51"/>
    </row>
    <row r="42" spans="1:32" x14ac:dyDescent="0.2">
      <c r="A42" s="63"/>
      <c r="B42" s="21"/>
      <c r="C42" s="21"/>
      <c r="D42" s="21"/>
      <c r="E42" s="21"/>
      <c r="F42" s="21"/>
      <c r="G42" s="21" t="s">
        <v>15</v>
      </c>
      <c r="H42" s="5">
        <f>H41-H39</f>
        <v>-0.76813929794704894</v>
      </c>
      <c r="I42" s="56">
        <f>H42/H41</f>
        <v>0.2818739357596603</v>
      </c>
      <c r="R42" s="8"/>
      <c r="S42" s="8"/>
      <c r="T42" s="51"/>
    </row>
    <row r="43" spans="1:32" x14ac:dyDescent="0.2">
      <c r="A43" s="10"/>
      <c r="B43" s="21"/>
      <c r="C43" s="21"/>
      <c r="D43" s="21"/>
      <c r="E43" s="21"/>
      <c r="F43" s="21"/>
      <c r="G43" s="21" t="s">
        <v>24</v>
      </c>
      <c r="H43" s="8">
        <f>H42*G30*12</f>
        <v>-475622.63561723731</v>
      </c>
      <c r="J43" s="44"/>
      <c r="L43" s="44"/>
      <c r="M43" s="44"/>
      <c r="N43" s="44"/>
      <c r="O43" s="44"/>
      <c r="P43" s="44"/>
      <c r="Q43" s="44"/>
      <c r="R43" s="44"/>
      <c r="S43" s="44"/>
      <c r="T43" s="44"/>
    </row>
    <row r="44" spans="1:32" x14ac:dyDescent="0.2">
      <c r="A44" s="10"/>
      <c r="B44" s="21"/>
      <c r="C44" s="21"/>
      <c r="D44" s="21"/>
      <c r="E44" s="21"/>
      <c r="F44" s="21"/>
      <c r="G44" s="21"/>
      <c r="H44" s="8"/>
      <c r="J44" s="44"/>
      <c r="L44" s="44"/>
      <c r="M44" s="44"/>
      <c r="N44" s="44"/>
      <c r="O44" s="44"/>
      <c r="P44" s="44"/>
      <c r="Q44" s="44"/>
      <c r="R44" s="44"/>
      <c r="S44" s="44"/>
      <c r="T44" s="44"/>
    </row>
    <row r="45" spans="1:32" x14ac:dyDescent="0.2">
      <c r="A45" s="10"/>
      <c r="B45" s="11"/>
      <c r="C45" s="11"/>
      <c r="D45" s="11"/>
      <c r="E45" s="11"/>
      <c r="F45" s="11"/>
      <c r="G45" s="11"/>
      <c r="H45" s="8"/>
    </row>
    <row r="46" spans="1:32" x14ac:dyDescent="0.2">
      <c r="A46" s="29"/>
      <c r="B46" s="1"/>
      <c r="C46" s="1"/>
      <c r="D46" s="1"/>
      <c r="E46" s="1"/>
      <c r="F46" s="1"/>
      <c r="G46" s="1"/>
      <c r="H46" s="1" t="str">
        <f>H5</f>
        <v>6-Month</v>
      </c>
      <c r="S46" s="51"/>
      <c r="T46" s="51"/>
      <c r="U46" s="52"/>
    </row>
    <row r="47" spans="1:32" x14ac:dyDescent="0.2">
      <c r="A47" s="29" t="s">
        <v>16</v>
      </c>
      <c r="B47" s="2">
        <f t="shared" ref="B47:G47" si="7">B6</f>
        <v>43586</v>
      </c>
      <c r="C47" s="2">
        <f t="shared" si="7"/>
        <v>43617</v>
      </c>
      <c r="D47" s="2">
        <f t="shared" si="7"/>
        <v>43648</v>
      </c>
      <c r="E47" s="2">
        <f t="shared" si="7"/>
        <v>43679</v>
      </c>
      <c r="F47" s="2">
        <f t="shared" si="7"/>
        <v>43710</v>
      </c>
      <c r="G47" s="2">
        <f t="shared" si="7"/>
        <v>43741</v>
      </c>
      <c r="H47" s="2" t="s">
        <v>2</v>
      </c>
      <c r="S47" s="51"/>
      <c r="T47" s="51"/>
      <c r="U47" s="44"/>
    </row>
    <row r="48" spans="1:32" x14ac:dyDescent="0.2">
      <c r="A48" s="25" t="s">
        <v>4</v>
      </c>
      <c r="B48" s="4"/>
      <c r="C48" s="4"/>
      <c r="D48" s="4"/>
      <c r="E48" s="4"/>
      <c r="F48" s="4"/>
      <c r="G48" s="4"/>
      <c r="H48" s="4"/>
      <c r="S48" s="51"/>
      <c r="T48" s="51"/>
      <c r="U48" s="53"/>
    </row>
    <row r="49" spans="1:9" x14ac:dyDescent="0.2">
      <c r="A49" s="22" t="s">
        <v>5</v>
      </c>
      <c r="B49" s="65">
        <v>70.42</v>
      </c>
      <c r="C49" s="65">
        <v>61.230000000000011</v>
      </c>
      <c r="D49" s="65">
        <v>70.419999999999973</v>
      </c>
      <c r="E49" s="65">
        <v>67.369999999999976</v>
      </c>
      <c r="F49" s="65">
        <v>64.309999999999988</v>
      </c>
      <c r="G49" s="65">
        <v>70.420000000000016</v>
      </c>
      <c r="H49" s="5">
        <f>SUM(B49:G49)</f>
        <v>404.16999999999996</v>
      </c>
    </row>
    <row r="50" spans="1:9" x14ac:dyDescent="0.2">
      <c r="A50" s="22" t="s">
        <v>6</v>
      </c>
      <c r="B50" s="65">
        <v>14.989999999999998</v>
      </c>
      <c r="C50" s="65">
        <v>13.96</v>
      </c>
      <c r="D50" s="65">
        <v>16.21</v>
      </c>
      <c r="E50" s="65">
        <v>14.29</v>
      </c>
      <c r="F50" s="65">
        <v>13.86</v>
      </c>
      <c r="G50" s="65">
        <v>14.459999999999999</v>
      </c>
      <c r="H50" s="5">
        <f>SUM(B50:G50)</f>
        <v>87.77</v>
      </c>
    </row>
    <row r="51" spans="1:9" x14ac:dyDescent="0.2">
      <c r="B51" s="11"/>
      <c r="C51" s="11"/>
      <c r="D51" s="11"/>
      <c r="E51" s="11"/>
      <c r="F51" s="11"/>
      <c r="G51" s="11"/>
      <c r="H51" s="5"/>
    </row>
    <row r="52" spans="1:9" s="6" customFormat="1" x14ac:dyDescent="0.2">
      <c r="A52" s="6" t="s">
        <v>2</v>
      </c>
      <c r="B52" s="35">
        <f t="shared" ref="B52:E52" si="8">SUM(B49:B50)</f>
        <v>85.41</v>
      </c>
      <c r="C52" s="35">
        <f t="shared" si="8"/>
        <v>75.190000000000012</v>
      </c>
      <c r="D52" s="35">
        <f t="shared" si="8"/>
        <v>86.629999999999967</v>
      </c>
      <c r="E52" s="35">
        <f t="shared" si="8"/>
        <v>81.659999999999968</v>
      </c>
      <c r="F52" s="35">
        <f>SUM(F49:F50)</f>
        <v>78.169999999999987</v>
      </c>
      <c r="G52" s="35">
        <f>SUM(G49:G50)</f>
        <v>84.88000000000001</v>
      </c>
      <c r="H52" s="35">
        <f>SUM(H49:H51)</f>
        <v>491.93999999999994</v>
      </c>
    </row>
    <row r="54" spans="1:9" x14ac:dyDescent="0.2">
      <c r="A54" s="26" t="s">
        <v>20</v>
      </c>
    </row>
    <row r="55" spans="1:9" x14ac:dyDescent="0.2">
      <c r="A55" s="22" t="s">
        <v>5</v>
      </c>
      <c r="B55" s="27">
        <f t="shared" ref="B55:G56" si="9">B17</f>
        <v>-108.96529999999998</v>
      </c>
      <c r="C55" s="27">
        <f t="shared" si="9"/>
        <v>-107.6056</v>
      </c>
      <c r="D55" s="27">
        <f t="shared" si="9"/>
        <v>-105.66560000000001</v>
      </c>
      <c r="E55" s="27">
        <f t="shared" si="9"/>
        <v>-105.90090000000001</v>
      </c>
      <c r="F55" s="27">
        <f t="shared" si="9"/>
        <v>-109.95339999999999</v>
      </c>
      <c r="G55" s="27">
        <f t="shared" si="9"/>
        <v>-111.9259</v>
      </c>
      <c r="H55" s="8"/>
    </row>
    <row r="56" spans="1:9" x14ac:dyDescent="0.2">
      <c r="A56" s="22" t="s">
        <v>6</v>
      </c>
      <c r="B56" s="27">
        <f t="shared" si="9"/>
        <v>-30</v>
      </c>
      <c r="C56" s="27">
        <f t="shared" si="9"/>
        <v>-30</v>
      </c>
      <c r="D56" s="27">
        <f t="shared" si="9"/>
        <v>-30</v>
      </c>
      <c r="E56" s="27">
        <f t="shared" si="9"/>
        <v>-30</v>
      </c>
      <c r="F56" s="27">
        <f t="shared" si="9"/>
        <v>-30</v>
      </c>
      <c r="G56" s="27">
        <f t="shared" si="9"/>
        <v>-30</v>
      </c>
      <c r="H56" s="8"/>
    </row>
    <row r="58" spans="1:9" x14ac:dyDescent="0.2">
      <c r="A58" s="26" t="s">
        <v>8</v>
      </c>
    </row>
    <row r="59" spans="1:9" x14ac:dyDescent="0.2">
      <c r="A59" s="22" t="s">
        <v>5</v>
      </c>
      <c r="B59" s="36">
        <f t="shared" ref="B59:G59" si="10">+B49*B55</f>
        <v>-7673.3364259999989</v>
      </c>
      <c r="C59" s="36">
        <f t="shared" si="10"/>
        <v>-6588.690888000001</v>
      </c>
      <c r="D59" s="36">
        <f t="shared" si="10"/>
        <v>-7440.9715519999982</v>
      </c>
      <c r="E59" s="36">
        <f t="shared" si="10"/>
        <v>-7134.5436329999975</v>
      </c>
      <c r="F59" s="36">
        <f t="shared" si="10"/>
        <v>-7071.1031539999976</v>
      </c>
      <c r="G59" s="36">
        <f t="shared" si="10"/>
        <v>-7881.8218780000016</v>
      </c>
      <c r="H59" s="9">
        <f>SUM(B59:G59)</f>
        <v>-43790.467530999995</v>
      </c>
    </row>
    <row r="60" spans="1:9" x14ac:dyDescent="0.2">
      <c r="A60" s="22" t="s">
        <v>6</v>
      </c>
      <c r="B60" s="36">
        <f t="shared" ref="B60:G60" si="11">+B56*B50</f>
        <v>-449.69999999999993</v>
      </c>
      <c r="C60" s="36">
        <f t="shared" si="11"/>
        <v>-418.8</v>
      </c>
      <c r="D60" s="36">
        <f t="shared" si="11"/>
        <v>-486.3</v>
      </c>
      <c r="E60" s="36">
        <f t="shared" si="11"/>
        <v>-428.7</v>
      </c>
      <c r="F60" s="36">
        <f t="shared" si="11"/>
        <v>-415.79999999999995</v>
      </c>
      <c r="G60" s="36">
        <f t="shared" si="11"/>
        <v>-433.79999999999995</v>
      </c>
      <c r="H60" s="9">
        <f>SUM(B60:G60)</f>
        <v>-2633.1000000000004</v>
      </c>
    </row>
    <row r="61" spans="1:9" x14ac:dyDescent="0.2">
      <c r="B61" s="16"/>
      <c r="C61" s="16"/>
      <c r="D61" s="16"/>
      <c r="E61" s="16"/>
      <c r="F61" s="16"/>
      <c r="G61" s="16"/>
      <c r="H61" s="8"/>
    </row>
    <row r="62" spans="1:9" s="6" customFormat="1" x14ac:dyDescent="0.2">
      <c r="A62" s="6" t="s">
        <v>9</v>
      </c>
      <c r="B62" s="37">
        <f t="shared" ref="B62:C62" si="12">SUM(B59:B60)</f>
        <v>-8123.0364259999988</v>
      </c>
      <c r="C62" s="37">
        <f t="shared" si="12"/>
        <v>-7007.4908880000012</v>
      </c>
      <c r="D62" s="37">
        <f>SUM(D59:D60)</f>
        <v>-7927.2715519999983</v>
      </c>
      <c r="E62" s="37">
        <f>SUM(E59:E60)</f>
        <v>-7563.2436329999973</v>
      </c>
      <c r="F62" s="37">
        <f>SUM(F59:F60)</f>
        <v>-7486.9031539999978</v>
      </c>
      <c r="G62" s="37">
        <f>SUM(G59:G60)</f>
        <v>-8315.6218780000017</v>
      </c>
      <c r="H62" s="40">
        <f>SUM(H59:H60)</f>
        <v>-46423.567530999993</v>
      </c>
      <c r="I62" s="54"/>
    </row>
    <row r="63" spans="1:9" x14ac:dyDescent="0.2">
      <c r="B63" s="16"/>
      <c r="C63" s="16"/>
      <c r="D63" s="16"/>
      <c r="E63" s="16"/>
      <c r="F63" s="16"/>
      <c r="G63" s="16"/>
      <c r="H63" s="8"/>
    </row>
    <row r="64" spans="1:9" x14ac:dyDescent="0.2">
      <c r="B64" s="16"/>
      <c r="C64" s="16"/>
      <c r="D64" s="16"/>
      <c r="E64" s="16"/>
      <c r="F64" s="16"/>
      <c r="G64" s="16"/>
      <c r="H64" s="8"/>
    </row>
    <row r="65" spans="1:13" x14ac:dyDescent="0.2">
      <c r="A65" s="10" t="s">
        <v>10</v>
      </c>
      <c r="B65" s="67">
        <v>9722</v>
      </c>
      <c r="C65" s="67">
        <v>10239</v>
      </c>
      <c r="D65" s="67">
        <v>10396</v>
      </c>
      <c r="E65" s="67">
        <v>11295</v>
      </c>
      <c r="F65" s="67">
        <v>11288</v>
      </c>
      <c r="G65" s="67">
        <v>11300</v>
      </c>
      <c r="H65" s="8">
        <f>SUM(B65:G65)</f>
        <v>64240</v>
      </c>
      <c r="I65" s="6"/>
      <c r="J65" s="68"/>
    </row>
    <row r="66" spans="1:13" x14ac:dyDescent="0.2">
      <c r="A66" s="10" t="s">
        <v>11</v>
      </c>
      <c r="B66" s="67">
        <v>387</v>
      </c>
      <c r="C66" s="67">
        <v>385</v>
      </c>
      <c r="D66" s="67">
        <v>385</v>
      </c>
      <c r="E66" s="67">
        <v>411</v>
      </c>
      <c r="F66" s="67">
        <v>411</v>
      </c>
      <c r="G66" s="67">
        <v>388</v>
      </c>
      <c r="H66" s="8">
        <f>SUM(B66:G66)</f>
        <v>2367</v>
      </c>
    </row>
    <row r="67" spans="1:13" x14ac:dyDescent="0.2">
      <c r="A67" s="10"/>
      <c r="B67" s="16"/>
      <c r="C67" s="16"/>
      <c r="D67" s="16"/>
      <c r="E67" s="16"/>
      <c r="F67" s="16"/>
      <c r="G67" s="16"/>
      <c r="H67" s="8"/>
    </row>
    <row r="68" spans="1:13" s="6" customFormat="1" x14ac:dyDescent="0.2">
      <c r="A68" s="13" t="s">
        <v>12</v>
      </c>
      <c r="B68" s="38">
        <f t="shared" ref="B68:G68" si="13">+B65+B66</f>
        <v>10109</v>
      </c>
      <c r="C68" s="38">
        <f t="shared" si="13"/>
        <v>10624</v>
      </c>
      <c r="D68" s="38">
        <f t="shared" si="13"/>
        <v>10781</v>
      </c>
      <c r="E68" s="38">
        <f t="shared" si="13"/>
        <v>11706</v>
      </c>
      <c r="F68" s="38">
        <f t="shared" si="13"/>
        <v>11699</v>
      </c>
      <c r="G68" s="38">
        <f t="shared" si="13"/>
        <v>11688</v>
      </c>
      <c r="H68" s="41">
        <f>SUM(H65:H66)</f>
        <v>66607</v>
      </c>
      <c r="I68" s="57"/>
      <c r="K68" s="57"/>
    </row>
    <row r="69" spans="1:13" x14ac:dyDescent="0.2">
      <c r="A69" s="10"/>
      <c r="B69" s="16"/>
      <c r="C69" s="16"/>
      <c r="D69" s="16"/>
      <c r="E69" s="16"/>
      <c r="F69" s="16"/>
      <c r="G69" s="16"/>
      <c r="H69" s="15"/>
    </row>
    <row r="70" spans="1:13" x14ac:dyDescent="0.2">
      <c r="A70" s="10" t="s">
        <v>13</v>
      </c>
      <c r="B70" s="27">
        <f t="shared" ref="B70:G70" si="14">+IFERROR(B62/B68,0)</f>
        <v>-0.80354500207735668</v>
      </c>
      <c r="C70" s="27">
        <f t="shared" si="14"/>
        <v>-0.65959063328313261</v>
      </c>
      <c r="D70" s="27">
        <f t="shared" si="14"/>
        <v>-0.735300208886003</v>
      </c>
      <c r="E70" s="27">
        <f t="shared" si="14"/>
        <v>-0.6460997465402355</v>
      </c>
      <c r="F70" s="27">
        <f t="shared" si="14"/>
        <v>-0.63996094999572595</v>
      </c>
      <c r="G70" s="27">
        <f t="shared" si="14"/>
        <v>-0.71146662200547583</v>
      </c>
      <c r="H70" s="5"/>
    </row>
    <row r="71" spans="1:13" x14ac:dyDescent="0.2">
      <c r="A71" s="10" t="s">
        <v>14</v>
      </c>
      <c r="B71" s="69">
        <f>'Pacific CPA Eff. 7.1.19'!$G$72</f>
        <v>-0.50439781625282021</v>
      </c>
      <c r="C71" s="69">
        <f>'Pacific CPA Eff. 7.1.19'!$G$72</f>
        <v>-0.50439781625282021</v>
      </c>
      <c r="D71" s="69">
        <f>'Pacific CPA Eff. 7.1.19'!$H$77</f>
        <v>-0.6416416189538674</v>
      </c>
      <c r="E71" s="69">
        <f>'Pacific CPA Eff. 7.1.19'!$H$77</f>
        <v>-0.6416416189538674</v>
      </c>
      <c r="F71" s="69">
        <f>'Pacific CPA Eff. 7.1.19'!$H$77</f>
        <v>-0.6416416189538674</v>
      </c>
      <c r="G71" s="69">
        <f>'Pacific CPA Eff. 7.1.19'!$H$77</f>
        <v>-0.6416416189538674</v>
      </c>
      <c r="H71" s="5"/>
    </row>
    <row r="72" spans="1:13" x14ac:dyDescent="0.2">
      <c r="A72" s="10"/>
      <c r="B72" s="27"/>
      <c r="C72" s="27"/>
      <c r="D72" s="27"/>
      <c r="E72" s="27"/>
      <c r="F72" s="27"/>
      <c r="G72" s="27"/>
      <c r="H72" s="5"/>
    </row>
    <row r="73" spans="1:13" s="6" customFormat="1" x14ac:dyDescent="0.2">
      <c r="A73" s="13" t="s">
        <v>17</v>
      </c>
      <c r="B73" s="59">
        <f t="shared" ref="B73:C73" si="15">+(B70-B71)*B68</f>
        <v>-3024.0789015002392</v>
      </c>
      <c r="C73" s="59">
        <f t="shared" si="15"/>
        <v>-1648.768488130039</v>
      </c>
      <c r="D73" s="59">
        <f>+(D70-D71)*D68</f>
        <v>-1009.733258058354</v>
      </c>
      <c r="E73" s="59">
        <f>+(E70-E71)*E68</f>
        <v>-52.186841526024971</v>
      </c>
      <c r="F73" s="59">
        <f>+(F70-F71)*F68</f>
        <v>19.662146141296841</v>
      </c>
      <c r="G73" s="59">
        <f>+(G70-G71)*G68</f>
        <v>-816.11463566719942</v>
      </c>
      <c r="H73" s="60">
        <f>SUM(B73:G73)</f>
        <v>-6531.2199787405607</v>
      </c>
    </row>
    <row r="74" spans="1:13" x14ac:dyDescent="0.2">
      <c r="A74" s="10"/>
      <c r="B74" s="11"/>
      <c r="C74" s="11"/>
      <c r="D74" s="11"/>
      <c r="E74" s="11"/>
      <c r="F74" s="11"/>
      <c r="G74" s="11"/>
      <c r="H74" s="8"/>
    </row>
    <row r="75" spans="1:13" x14ac:dyDescent="0.2">
      <c r="A75" s="16"/>
      <c r="B75" s="28"/>
      <c r="C75" s="28"/>
      <c r="D75" s="28"/>
      <c r="E75" s="28"/>
      <c r="F75" s="28"/>
      <c r="G75" s="21" t="s">
        <v>18</v>
      </c>
      <c r="H75" s="17">
        <f>ROUND(H73/H68/2,2)</f>
        <v>-0.05</v>
      </c>
    </row>
    <row r="76" spans="1:13" x14ac:dyDescent="0.2">
      <c r="A76" s="61"/>
      <c r="B76" s="21"/>
      <c r="C76" s="21"/>
      <c r="D76" s="21"/>
      <c r="E76" s="21"/>
      <c r="F76" s="21"/>
      <c r="G76" s="21" t="s">
        <v>21</v>
      </c>
      <c r="H76" s="81">
        <f>SUM(B62:G62)/SUM(B68:G68)</f>
        <v>-0.69697730765535149</v>
      </c>
    </row>
    <row r="77" spans="1:13" x14ac:dyDescent="0.2">
      <c r="A77" s="62"/>
      <c r="B77" s="21"/>
      <c r="C77" s="21"/>
      <c r="D77" s="21"/>
      <c r="E77" s="21"/>
      <c r="F77" s="21"/>
      <c r="G77" s="42" t="s">
        <v>25</v>
      </c>
      <c r="H77" s="18">
        <f>+H76+H75</f>
        <v>-0.74697730765535153</v>
      </c>
    </row>
    <row r="78" spans="1:13" x14ac:dyDescent="0.2">
      <c r="A78" s="62"/>
      <c r="B78" s="21"/>
      <c r="C78" s="21"/>
      <c r="D78" s="21"/>
      <c r="E78" s="21"/>
      <c r="F78" s="21"/>
      <c r="G78" s="21"/>
      <c r="H78" s="20"/>
    </row>
    <row r="79" spans="1:13" x14ac:dyDescent="0.2">
      <c r="A79" s="63"/>
      <c r="B79" s="21"/>
      <c r="C79" s="21"/>
      <c r="D79" s="21"/>
      <c r="E79" s="21"/>
      <c r="F79" s="21"/>
      <c r="G79" s="21" t="s">
        <v>26</v>
      </c>
      <c r="H79" s="70">
        <f>'Pacific CPA Eff. 7.1.19'!H79</f>
        <v>-1.1493160570455123</v>
      </c>
      <c r="K79" s="8"/>
      <c r="L79" s="8"/>
      <c r="M79" s="55"/>
    </row>
    <row r="80" spans="1:13" x14ac:dyDescent="0.2">
      <c r="A80" s="64"/>
      <c r="B80" s="21"/>
      <c r="C80" s="21"/>
      <c r="D80" s="21"/>
      <c r="E80" s="21"/>
      <c r="F80" s="21"/>
      <c r="G80" s="21" t="s">
        <v>15</v>
      </c>
      <c r="H80" s="5">
        <f>+H79-H77</f>
        <v>-0.40233874939016079</v>
      </c>
      <c r="I80" s="56">
        <f>H80/H79</f>
        <v>0.35006797905915654</v>
      </c>
    </row>
    <row r="81" spans="1:9" x14ac:dyDescent="0.2">
      <c r="A81" s="10"/>
      <c r="B81" s="21"/>
      <c r="C81" s="21"/>
      <c r="D81" s="21"/>
      <c r="E81" s="21"/>
      <c r="F81" s="21"/>
      <c r="G81" s="21" t="s">
        <v>24</v>
      </c>
      <c r="H81" s="8">
        <f>H80*G68*12</f>
        <v>-56430.423634466395</v>
      </c>
    </row>
    <row r="82" spans="1:9" x14ac:dyDescent="0.2">
      <c r="A82" s="10"/>
      <c r="B82" s="21"/>
      <c r="C82" s="21"/>
      <c r="D82" s="21"/>
      <c r="E82" s="21"/>
      <c r="F82" s="21"/>
      <c r="G82" s="21"/>
      <c r="I82" s="5"/>
    </row>
  </sheetData>
  <pageMargins left="0.7" right="0.7" top="0.75" bottom="0.75" header="0.3" footer="0.3"/>
  <pageSetup scale="95" fitToHeight="0" orientation="landscape" r:id="rId1"/>
  <rowBreaks count="1" manualBreakCount="1">
    <brk id="43"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4"/>
  <sheetViews>
    <sheetView showGridLines="0" view="pageBreakPreview" zoomScale="80" zoomScaleNormal="85" zoomScaleSheetLayoutView="80" workbookViewId="0">
      <pane xSplit="1" ySplit="7" topLeftCell="B38" activePane="bottomRight" state="frozen"/>
      <selection activeCell="B36" sqref="B36"/>
      <selection pane="topRight" activeCell="B36" sqref="B36"/>
      <selection pane="bottomLeft" activeCell="B36" sqref="B36"/>
      <selection pane="bottomRight" activeCell="H79" sqref="H79"/>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22</v>
      </c>
      <c r="B4" s="11"/>
      <c r="C4" s="11"/>
      <c r="D4" s="11"/>
      <c r="E4" s="11"/>
      <c r="F4" s="11"/>
      <c r="G4" s="11"/>
      <c r="H4" s="12"/>
      <c r="I4" s="5"/>
      <c r="J4" s="6"/>
    </row>
    <row r="5" spans="1:32" s="31" customFormat="1" x14ac:dyDescent="0.2">
      <c r="B5" s="1"/>
      <c r="C5" s="1"/>
      <c r="D5" s="1"/>
      <c r="E5" s="1"/>
      <c r="F5" s="1"/>
      <c r="G5" s="1"/>
      <c r="H5" s="1" t="s">
        <v>23</v>
      </c>
      <c r="J5" s="5"/>
    </row>
    <row r="6" spans="1:32" s="32" customFormat="1" x14ac:dyDescent="0.2">
      <c r="B6" s="2">
        <v>43405</v>
      </c>
      <c r="C6" s="2">
        <f>+B6+31</f>
        <v>43436</v>
      </c>
      <c r="D6" s="2">
        <f>+C6+31</f>
        <v>43467</v>
      </c>
      <c r="E6" s="2">
        <f>+D6+31</f>
        <v>43498</v>
      </c>
      <c r="F6" s="2">
        <f>+E6+31</f>
        <v>43529</v>
      </c>
      <c r="G6" s="2">
        <f>+F6+31</f>
        <v>43560</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f>+'[6]Pacific Comm Credit'!B9</f>
        <v>998.53999999999985</v>
      </c>
      <c r="C11" s="65">
        <f>+'[6]Pacific Comm Credit'!C9</f>
        <v>919.38</v>
      </c>
      <c r="D11" s="65">
        <f>+'[6]Pacific Comm Credit'!D9</f>
        <v>1024.75</v>
      </c>
      <c r="E11" s="65">
        <f>+'[6]Pacific Comm Credit'!E9</f>
        <v>698.68000000000006</v>
      </c>
      <c r="F11" s="65">
        <f>+'[6]Pacific Comm Credit'!F9</f>
        <v>797.05</v>
      </c>
      <c r="G11" s="65">
        <f>+'[6]Pacific Comm Credit'!G9</f>
        <v>843.68999999999994</v>
      </c>
      <c r="H11" s="5">
        <f>SUM(B11:G11)</f>
        <v>5282.09</v>
      </c>
      <c r="J11" s="5"/>
      <c r="L11" s="44"/>
      <c r="M11" s="44"/>
      <c r="N11" s="44"/>
      <c r="O11" s="44"/>
      <c r="P11" s="44"/>
      <c r="Q11" s="44"/>
      <c r="R11" s="44"/>
      <c r="S11" s="44"/>
      <c r="T11" s="44"/>
    </row>
    <row r="12" spans="1:32" x14ac:dyDescent="0.2">
      <c r="A12" s="22" t="s">
        <v>6</v>
      </c>
      <c r="B12" s="65">
        <f>+'[6]Pacific Comm Credit'!B10</f>
        <v>145.38</v>
      </c>
      <c r="C12" s="65">
        <f>+'[6]Pacific Comm Credit'!C10</f>
        <v>96.17</v>
      </c>
      <c r="D12" s="65">
        <f>+'[6]Pacific Comm Credit'!D10</f>
        <v>145.78</v>
      </c>
      <c r="E12" s="65">
        <f>+'[6]Pacific Comm Credit'!E10</f>
        <v>100.68</v>
      </c>
      <c r="F12" s="65">
        <f>+'[6]Pacific Comm Credit'!F10</f>
        <v>124.57</v>
      </c>
      <c r="G12" s="65">
        <f>+'[6]Pacific Comm Credit'!G10</f>
        <v>121.51</v>
      </c>
      <c r="H12" s="5">
        <f>SUM(B12:G12)</f>
        <v>734.09</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1143.9199999999998</v>
      </c>
      <c r="C14" s="35">
        <f t="shared" si="0"/>
        <v>1015.55</v>
      </c>
      <c r="D14" s="35">
        <f t="shared" si="0"/>
        <v>1170.53</v>
      </c>
      <c r="E14" s="35">
        <f t="shared" si="0"/>
        <v>799.36000000000013</v>
      </c>
      <c r="F14" s="35">
        <f t="shared" si="0"/>
        <v>921.61999999999989</v>
      </c>
      <c r="G14" s="35">
        <f t="shared" si="0"/>
        <v>965.19999999999993</v>
      </c>
      <c r="H14" s="35">
        <f>SUM(H11:H13)</f>
        <v>6016.18</v>
      </c>
      <c r="J14" s="45"/>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f>+'[6]Pacific Comm Credit'!B15</f>
        <v>-75.002049999999997</v>
      </c>
      <c r="C17" s="66">
        <f>+'[6]Pacific Comm Credit'!C15</f>
        <v>-79.117450000000005</v>
      </c>
      <c r="D17" s="66">
        <f>+'[6]Pacific Comm Credit'!D15</f>
        <v>-87.291550000000001</v>
      </c>
      <c r="E17" s="66">
        <f>+'[6]Pacific Comm Credit'!E15</f>
        <v>-98.354199999999977</v>
      </c>
      <c r="F17" s="66">
        <f>+'[6]Pacific Comm Credit'!F15</f>
        <v>-100.63679999999999</v>
      </c>
      <c r="G17" s="66">
        <f>+'[6]Pacific Comm Credit'!G15</f>
        <v>-106.56739999999999</v>
      </c>
      <c r="H17" s="7"/>
      <c r="J17" s="5"/>
      <c r="L17" s="46"/>
      <c r="M17" s="46"/>
      <c r="N17" s="46"/>
      <c r="O17" s="46"/>
      <c r="P17" s="46"/>
      <c r="Q17" s="46"/>
      <c r="R17" s="46"/>
      <c r="S17" s="46"/>
      <c r="T17" s="46"/>
    </row>
    <row r="18" spans="1:36" x14ac:dyDescent="0.2">
      <c r="A18" s="22" t="s">
        <v>6</v>
      </c>
      <c r="B18" s="66">
        <f>+'[6]Pacific Comm Credit'!B16</f>
        <v>-30</v>
      </c>
      <c r="C18" s="66">
        <f>+'[6]Pacific Comm Credit'!C16</f>
        <v>-30</v>
      </c>
      <c r="D18" s="66">
        <f>+'[6]Pacific Comm Credit'!D16</f>
        <v>-30</v>
      </c>
      <c r="E18" s="66">
        <f>+'[6]Pacific Comm Credit'!E16</f>
        <v>-30</v>
      </c>
      <c r="F18" s="66">
        <f>+'[6]Pacific Comm Credit'!F16</f>
        <v>-30</v>
      </c>
      <c r="G18" s="66">
        <f>+'[6]Pacific Comm Credit'!G16</f>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-74892.547006999986</v>
      </c>
      <c r="C21" s="36">
        <f t="shared" ref="C21:G21" si="1">+C11*C17</f>
        <v>-72739.001181</v>
      </c>
      <c r="D21" s="16">
        <f t="shared" si="1"/>
        <v>-89452.015862500004</v>
      </c>
      <c r="E21" s="36">
        <f t="shared" si="1"/>
        <v>-68718.112455999988</v>
      </c>
      <c r="F21" s="36">
        <f t="shared" si="1"/>
        <v>-80212.56143999999</v>
      </c>
      <c r="G21" s="36">
        <f t="shared" si="1"/>
        <v>-89909.849705999994</v>
      </c>
      <c r="H21" s="9">
        <f>SUM(B21:G21)</f>
        <v>-475924.08765249996</v>
      </c>
      <c r="J21" s="8"/>
      <c r="L21" s="8"/>
      <c r="M21" s="8"/>
      <c r="N21" s="8"/>
      <c r="O21" s="8"/>
      <c r="P21" s="8"/>
      <c r="Q21" s="8"/>
      <c r="R21" s="8"/>
      <c r="S21" s="8"/>
      <c r="T21" s="8"/>
    </row>
    <row r="22" spans="1:36" x14ac:dyDescent="0.2">
      <c r="A22" s="22" t="s">
        <v>6</v>
      </c>
      <c r="B22" s="36">
        <f t="shared" ref="B22:D22" si="2">+B18*B12</f>
        <v>-4361.3999999999996</v>
      </c>
      <c r="C22" s="36">
        <f t="shared" si="2"/>
        <v>-2885.1</v>
      </c>
      <c r="D22" s="58">
        <f t="shared" si="2"/>
        <v>-4373.3999999999996</v>
      </c>
      <c r="E22" s="36">
        <f t="shared" ref="E22" si="3">+E18*E12</f>
        <v>-3020.4</v>
      </c>
      <c r="F22" s="36">
        <f>+F18*F12</f>
        <v>-3737.1</v>
      </c>
      <c r="G22" s="36">
        <f>+G18*G12</f>
        <v>-3645.3</v>
      </c>
      <c r="H22" s="9">
        <f>SUM(B22:G22)</f>
        <v>-22022.699999999997</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4">SUM(B21:B22)</f>
        <v>-79253.947006999981</v>
      </c>
      <c r="C24" s="37">
        <f t="shared" si="4"/>
        <v>-75624.101181000005</v>
      </c>
      <c r="D24" s="37">
        <f t="shared" si="4"/>
        <v>-93825.415862499998</v>
      </c>
      <c r="E24" s="37">
        <f t="shared" si="4"/>
        <v>-71738.512455999982</v>
      </c>
      <c r="F24" s="37">
        <f t="shared" si="4"/>
        <v>-83949.661439999996</v>
      </c>
      <c r="G24" s="37">
        <f t="shared" si="4"/>
        <v>-93555.149705999997</v>
      </c>
      <c r="H24" s="40">
        <f>SUM(H21:H23)</f>
        <v>-497946.78765249997</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f>+'[6]Pacific Comm Credit'!B23</f>
        <v>47053</v>
      </c>
      <c r="C27" s="67">
        <f>+'[6]Pacific Comm Credit'!C23</f>
        <v>47021</v>
      </c>
      <c r="D27" s="67">
        <f>+'[6]Pacific Comm Credit'!D23</f>
        <v>47071</v>
      </c>
      <c r="E27" s="67">
        <f>+'[6]Pacific Comm Credit'!E23</f>
        <v>47096</v>
      </c>
      <c r="F27" s="67">
        <f>+'[6]Pacific Comm Credit'!F23</f>
        <v>47319</v>
      </c>
      <c r="G27" s="67">
        <f>+'[6]Pacific Comm Credit'!G23</f>
        <v>47644</v>
      </c>
      <c r="H27" s="8">
        <f>SUM(B27:G27)</f>
        <v>283204</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f>+'[6]Pacific Comm Credit'!B24</f>
        <v>3489</v>
      </c>
      <c r="C28" s="67">
        <f>+'[6]Pacific Comm Credit'!C24</f>
        <v>3477</v>
      </c>
      <c r="D28" s="67">
        <f>+'[6]Pacific Comm Credit'!D24</f>
        <v>3466</v>
      </c>
      <c r="E28" s="67">
        <f>+'[6]Pacific Comm Credit'!E24</f>
        <v>3463</v>
      </c>
      <c r="F28" s="67">
        <f>+'[6]Pacific Comm Credit'!F24</f>
        <v>3447</v>
      </c>
      <c r="G28" s="67">
        <f>+'[6]Pacific Comm Credit'!G24</f>
        <v>3474</v>
      </c>
      <c r="H28" s="8">
        <f>SUM(B28:G28)</f>
        <v>20816</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5">+B27+B28</f>
        <v>50542</v>
      </c>
      <c r="C30" s="38">
        <f t="shared" si="5"/>
        <v>50498</v>
      </c>
      <c r="D30" s="38">
        <f>+D27+D28</f>
        <v>50537</v>
      </c>
      <c r="E30" s="38">
        <f>+E27+E28</f>
        <v>50559</v>
      </c>
      <c r="F30" s="38">
        <f>+F27+F28</f>
        <v>50766</v>
      </c>
      <c r="G30" s="38">
        <f>+G27+G28</f>
        <v>51118</v>
      </c>
      <c r="H30" s="41">
        <f>SUM(H27:H28)</f>
        <v>304020</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6">+IFERROR(B24/B30,0)</f>
        <v>-1.568080942720905</v>
      </c>
      <c r="C32" s="27">
        <f t="shared" si="6"/>
        <v>-1.4975662636342035</v>
      </c>
      <c r="D32" s="27">
        <f t="shared" si="6"/>
        <v>-1.8565687686744365</v>
      </c>
      <c r="E32" s="27">
        <f t="shared" si="6"/>
        <v>-1.4189068703099346</v>
      </c>
      <c r="F32" s="27">
        <f t="shared" si="6"/>
        <v>-1.6536591703108379</v>
      </c>
      <c r="G32" s="27">
        <f t="shared" si="6"/>
        <v>-1.8301801656168082</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69">
        <f>+'[7]Pacific Comm Credit'!$N$38</f>
        <v>-1.1456429004883295</v>
      </c>
      <c r="C33" s="69">
        <f>+'[7]Pacific Comm Credit'!$N$38</f>
        <v>-1.1456429004883295</v>
      </c>
      <c r="D33" s="69">
        <f>'Pacific CPA Eff. 1.1.19'!$H$38</f>
        <v>-1.2259697247382961</v>
      </c>
      <c r="E33" s="69">
        <f>'Pacific CPA Eff. 1.1.19'!$H$38</f>
        <v>-1.2259697247382961</v>
      </c>
      <c r="F33" s="69">
        <f>'Pacific CPA Eff. 1.1.19'!$H$38</f>
        <v>-1.2259697247382961</v>
      </c>
      <c r="G33" s="69">
        <f>'Pacific CPA Eff. 1.1.19'!$H$38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+(B32-B33)*B30</f>
        <v>-21350.863530518833</v>
      </c>
      <c r="C35" s="59">
        <f t="shared" ref="C35" si="7">+(C32-C33)*C30</f>
        <v>-17771.425992140346</v>
      </c>
      <c r="D35" s="59">
        <f>+(D32-D33)*D30</f>
        <v>-31868.583883400726</v>
      </c>
      <c r="E35" s="59">
        <f>+(E32-E33)*E30</f>
        <v>-9754.709142956468</v>
      </c>
      <c r="F35" s="59">
        <f>+(F32-F33)*F30</f>
        <v>-21712.082393935652</v>
      </c>
      <c r="G35" s="59">
        <f>+(G32-G33)*G30</f>
        <v>-30886.029316827779</v>
      </c>
      <c r="H35" s="60">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f>
        <v>-0.44</v>
      </c>
      <c r="I37" s="5"/>
      <c r="K37" s="8"/>
      <c r="R37" s="51"/>
      <c r="S37" s="51"/>
      <c r="T37" s="51"/>
      <c r="U37" s="52"/>
    </row>
    <row r="38" spans="1:32" x14ac:dyDescent="0.2">
      <c r="A38" s="61"/>
      <c r="B38" s="21"/>
      <c r="C38" s="21"/>
      <c r="D38" s="21"/>
      <c r="E38" s="21"/>
      <c r="F38" s="21"/>
      <c r="G38" s="21" t="s">
        <v>21</v>
      </c>
      <c r="H38" s="17">
        <f>SUM(B24:G24)/SUM(B30:G30)</f>
        <v>-1.6378750991793303</v>
      </c>
      <c r="I38" s="44"/>
      <c r="R38" s="51"/>
      <c r="S38" s="51"/>
      <c r="T38" s="51"/>
      <c r="U38" s="44"/>
    </row>
    <row r="39" spans="1:32" x14ac:dyDescent="0.2">
      <c r="A39" s="61"/>
      <c r="B39" s="21"/>
      <c r="C39" s="21"/>
      <c r="D39" s="21"/>
      <c r="E39" s="21"/>
      <c r="F39" s="21"/>
      <c r="G39" s="21" t="s">
        <v>38</v>
      </c>
      <c r="H39" s="17">
        <f>-(('Pacific CPA 7.1.18'!N37*H30)-'Pacific CPA 7.1.18'!N35)/H30</f>
        <v>-0.64724134650014065</v>
      </c>
      <c r="I39" s="44"/>
      <c r="R39" s="51"/>
      <c r="S39" s="51"/>
      <c r="T39" s="51"/>
      <c r="U39" s="44"/>
    </row>
    <row r="40" spans="1:32" x14ac:dyDescent="0.2">
      <c r="A40" s="62"/>
      <c r="D40" s="21"/>
      <c r="E40" s="21"/>
      <c r="F40" s="21"/>
      <c r="G40" s="42" t="s">
        <v>25</v>
      </c>
      <c r="H40" s="18">
        <f>SUM(H37:H39)</f>
        <v>-2.725116445679471</v>
      </c>
      <c r="R40" s="51"/>
      <c r="S40" s="51"/>
      <c r="T40" s="51"/>
      <c r="U40" s="53"/>
    </row>
    <row r="41" spans="1:32" x14ac:dyDescent="0.2">
      <c r="A41" s="62"/>
      <c r="B41" s="21"/>
      <c r="C41" s="21"/>
      <c r="D41" s="21"/>
      <c r="E41" s="21"/>
      <c r="F41" s="21"/>
      <c r="G41" s="21"/>
      <c r="H41" s="20"/>
      <c r="R41" s="51"/>
      <c r="S41" s="51"/>
      <c r="T41" s="51"/>
      <c r="U41" s="53"/>
    </row>
    <row r="42" spans="1:32" x14ac:dyDescent="0.2">
      <c r="A42" s="62"/>
      <c r="B42" s="39"/>
      <c r="C42" s="39"/>
      <c r="D42" s="21"/>
      <c r="E42" s="21"/>
      <c r="F42" s="21"/>
      <c r="G42" s="21" t="s">
        <v>26</v>
      </c>
      <c r="H42" s="70">
        <f>'Pacific CPA Eff. 1.1.19'!H40</f>
        <v>-2.2111507911768475</v>
      </c>
      <c r="K42" s="8"/>
      <c r="L42" s="8"/>
      <c r="M42" s="55"/>
      <c r="R42" s="8"/>
      <c r="S42" s="8"/>
      <c r="T42" s="51"/>
    </row>
    <row r="43" spans="1:32" x14ac:dyDescent="0.2">
      <c r="A43" s="63"/>
      <c r="B43" s="21"/>
      <c r="C43" s="21"/>
      <c r="D43" s="21"/>
      <c r="E43" s="21"/>
      <c r="F43" s="21"/>
      <c r="G43" s="21" t="s">
        <v>15</v>
      </c>
      <c r="H43" s="5">
        <f>H42-H40</f>
        <v>0.51396565450262344</v>
      </c>
      <c r="I43" s="56">
        <f>H43/H42</f>
        <v>-0.23244260705940997</v>
      </c>
      <c r="R43" s="8"/>
      <c r="S43" s="8"/>
      <c r="T43" s="51"/>
    </row>
    <row r="44" spans="1:32" x14ac:dyDescent="0.2">
      <c r="A44" s="10"/>
      <c r="B44" s="21"/>
      <c r="C44" s="21"/>
      <c r="D44" s="21"/>
      <c r="E44" s="21"/>
      <c r="F44" s="21"/>
      <c r="G44" s="21" t="s">
        <v>24</v>
      </c>
      <c r="H44" s="8">
        <f>H43*G30*12</f>
        <v>315274.7559223813</v>
      </c>
      <c r="J44" s="44"/>
      <c r="L44" s="44"/>
      <c r="M44" s="44"/>
      <c r="N44" s="44"/>
      <c r="O44" s="44"/>
      <c r="P44" s="44"/>
      <c r="Q44" s="44"/>
      <c r="R44" s="44"/>
      <c r="S44" s="44"/>
      <c r="T44" s="44"/>
    </row>
    <row r="45" spans="1:32" x14ac:dyDescent="0.2">
      <c r="A45" s="10"/>
      <c r="B45" s="21"/>
      <c r="C45" s="21"/>
      <c r="D45" s="21"/>
      <c r="E45" s="21"/>
      <c r="F45" s="21"/>
      <c r="G45" s="21"/>
      <c r="H45" s="8"/>
      <c r="J45" s="44"/>
      <c r="L45" s="44"/>
      <c r="M45" s="44"/>
      <c r="N45" s="44"/>
      <c r="O45" s="44"/>
      <c r="P45" s="44"/>
      <c r="Q45" s="44"/>
      <c r="R45" s="44"/>
      <c r="S45" s="44"/>
      <c r="T45" s="44"/>
    </row>
    <row r="46" spans="1:32" x14ac:dyDescent="0.2">
      <c r="A46" s="10"/>
      <c r="B46" s="11"/>
      <c r="C46" s="11"/>
      <c r="D46" s="11"/>
      <c r="E46" s="11"/>
      <c r="F46" s="11"/>
      <c r="G46" s="11"/>
      <c r="H46" s="8"/>
    </row>
    <row r="47" spans="1:32" x14ac:dyDescent="0.2">
      <c r="A47" s="29"/>
      <c r="B47" s="1"/>
      <c r="C47" s="1"/>
      <c r="D47" s="1"/>
      <c r="E47" s="1"/>
      <c r="F47" s="1"/>
      <c r="G47" s="1"/>
      <c r="H47" s="1" t="str">
        <f>H5</f>
        <v>6-Month</v>
      </c>
      <c r="S47" s="51"/>
      <c r="T47" s="51"/>
      <c r="U47" s="52"/>
    </row>
    <row r="48" spans="1:32" x14ac:dyDescent="0.2">
      <c r="A48" s="29" t="s">
        <v>16</v>
      </c>
      <c r="B48" s="2">
        <f>B6</f>
        <v>43405</v>
      </c>
      <c r="C48" s="2">
        <f t="shared" ref="C48:G48" si="8">C6</f>
        <v>43436</v>
      </c>
      <c r="D48" s="2">
        <f t="shared" si="8"/>
        <v>43467</v>
      </c>
      <c r="E48" s="2">
        <f t="shared" si="8"/>
        <v>43498</v>
      </c>
      <c r="F48" s="2">
        <f t="shared" si="8"/>
        <v>43529</v>
      </c>
      <c r="G48" s="2">
        <f t="shared" si="8"/>
        <v>43560</v>
      </c>
      <c r="H48" s="2" t="s">
        <v>2</v>
      </c>
      <c r="S48" s="51"/>
      <c r="T48" s="51"/>
      <c r="U48" s="44"/>
    </row>
    <row r="49" spans="1:21" x14ac:dyDescent="0.2">
      <c r="A49" s="25" t="s">
        <v>4</v>
      </c>
      <c r="B49" s="4"/>
      <c r="C49" s="4"/>
      <c r="D49" s="4"/>
      <c r="E49" s="4"/>
      <c r="F49" s="4"/>
      <c r="G49" s="4"/>
      <c r="H49" s="4"/>
      <c r="S49" s="51"/>
      <c r="T49" s="51"/>
      <c r="U49" s="53"/>
    </row>
    <row r="50" spans="1:21" x14ac:dyDescent="0.2">
      <c r="A50" s="22" t="s">
        <v>5</v>
      </c>
      <c r="B50" s="65">
        <f>+'[6]Pacific Comm Credit'!B41</f>
        <v>71.37</v>
      </c>
      <c r="C50" s="65">
        <f>+'[6]Pacific Comm Credit'!C41</f>
        <v>68.140000000000015</v>
      </c>
      <c r="D50" s="65">
        <f>+'[6]Pacific Comm Credit'!D41</f>
        <v>74.650000000000006</v>
      </c>
      <c r="E50" s="65">
        <f>+'[6]Pacific Comm Credit'!E41</f>
        <v>64.899999999999977</v>
      </c>
      <c r="F50" s="65">
        <f>+'[6]Pacific Comm Credit'!F41</f>
        <v>68.140000000000015</v>
      </c>
      <c r="G50" s="65">
        <f>+'[6]Pacific Comm Credit'!G41</f>
        <v>71.37</v>
      </c>
      <c r="H50" s="5">
        <f>SUM(B50:G50)</f>
        <v>418.57000000000005</v>
      </c>
    </row>
    <row r="51" spans="1:21" x14ac:dyDescent="0.2">
      <c r="A51" s="22" t="s">
        <v>6</v>
      </c>
      <c r="B51" s="65">
        <f>+'[6]Pacific Comm Credit'!B42</f>
        <v>15.86</v>
      </c>
      <c r="C51" s="65">
        <f>+'[6]Pacific Comm Credit'!C42</f>
        <v>13.2</v>
      </c>
      <c r="D51" s="65">
        <f>+'[6]Pacific Comm Credit'!D42</f>
        <v>16.510000000000002</v>
      </c>
      <c r="E51" s="65">
        <f>+'[6]Pacific Comm Credit'!E42</f>
        <v>12.98</v>
      </c>
      <c r="F51" s="65">
        <f>+'[6]Pacific Comm Credit'!F42</f>
        <v>14.47</v>
      </c>
      <c r="G51" s="65">
        <f>+'[6]Pacific Comm Credit'!G42</f>
        <v>14.71</v>
      </c>
      <c r="H51" s="5">
        <f>SUM(B51:G51)</f>
        <v>87.72999999999999</v>
      </c>
    </row>
    <row r="52" spans="1:21" x14ac:dyDescent="0.2">
      <c r="B52" s="11"/>
      <c r="C52" s="11"/>
      <c r="D52" s="11"/>
      <c r="E52" s="11"/>
      <c r="F52" s="11"/>
      <c r="G52" s="11"/>
      <c r="H52" s="5"/>
    </row>
    <row r="53" spans="1:21" s="6" customFormat="1" x14ac:dyDescent="0.2">
      <c r="A53" s="6" t="s">
        <v>2</v>
      </c>
      <c r="B53" s="35">
        <f t="shared" ref="B53:E53" si="9">SUM(B50:B51)</f>
        <v>87.23</v>
      </c>
      <c r="C53" s="35">
        <f t="shared" si="9"/>
        <v>81.340000000000018</v>
      </c>
      <c r="D53" s="35">
        <f t="shared" si="9"/>
        <v>91.160000000000011</v>
      </c>
      <c r="E53" s="35">
        <f t="shared" si="9"/>
        <v>77.879999999999981</v>
      </c>
      <c r="F53" s="35">
        <f>SUM(F50:F51)</f>
        <v>82.610000000000014</v>
      </c>
      <c r="G53" s="35">
        <f>SUM(G50:G51)</f>
        <v>86.080000000000013</v>
      </c>
      <c r="H53" s="35">
        <f>SUM(H50:H52)</f>
        <v>506.30000000000007</v>
      </c>
    </row>
    <row r="55" spans="1:21" x14ac:dyDescent="0.2">
      <c r="A55" s="26" t="s">
        <v>20</v>
      </c>
    </row>
    <row r="56" spans="1:21" x14ac:dyDescent="0.2">
      <c r="A56" s="22" t="s">
        <v>5</v>
      </c>
      <c r="B56" s="27">
        <f t="shared" ref="B56:G57" si="10">B17</f>
        <v>-75.002049999999997</v>
      </c>
      <c r="C56" s="27">
        <f t="shared" si="10"/>
        <v>-79.117450000000005</v>
      </c>
      <c r="D56" s="27">
        <f t="shared" si="10"/>
        <v>-87.291550000000001</v>
      </c>
      <c r="E56" s="27">
        <f t="shared" si="10"/>
        <v>-98.354199999999977</v>
      </c>
      <c r="F56" s="27">
        <f t="shared" si="10"/>
        <v>-100.63679999999999</v>
      </c>
      <c r="G56" s="27">
        <f t="shared" si="10"/>
        <v>-106.56739999999999</v>
      </c>
      <c r="H56" s="8"/>
    </row>
    <row r="57" spans="1:21" x14ac:dyDescent="0.2">
      <c r="A57" s="22" t="s">
        <v>6</v>
      </c>
      <c r="B57" s="27">
        <f t="shared" si="10"/>
        <v>-30</v>
      </c>
      <c r="C57" s="27">
        <f t="shared" si="10"/>
        <v>-30</v>
      </c>
      <c r="D57" s="27">
        <f t="shared" si="10"/>
        <v>-30</v>
      </c>
      <c r="E57" s="27">
        <f t="shared" si="10"/>
        <v>-30</v>
      </c>
      <c r="F57" s="27">
        <f t="shared" si="10"/>
        <v>-30</v>
      </c>
      <c r="G57" s="27">
        <f t="shared" si="10"/>
        <v>-30</v>
      </c>
      <c r="H57" s="8"/>
    </row>
    <row r="59" spans="1:21" x14ac:dyDescent="0.2">
      <c r="A59" s="26" t="s">
        <v>8</v>
      </c>
    </row>
    <row r="60" spans="1:21" x14ac:dyDescent="0.2">
      <c r="A60" s="22" t="s">
        <v>5</v>
      </c>
      <c r="B60" s="36">
        <f t="shared" ref="B60:G60" si="11">+B50*B56</f>
        <v>-5352.8963085000005</v>
      </c>
      <c r="C60" s="36">
        <f t="shared" si="11"/>
        <v>-5391.0630430000019</v>
      </c>
      <c r="D60" s="36">
        <f t="shared" si="11"/>
        <v>-6516.3142075000005</v>
      </c>
      <c r="E60" s="36">
        <f t="shared" si="11"/>
        <v>-6383.1875799999962</v>
      </c>
      <c r="F60" s="36">
        <f t="shared" si="11"/>
        <v>-6857.391552000001</v>
      </c>
      <c r="G60" s="36">
        <f t="shared" si="11"/>
        <v>-7605.715338</v>
      </c>
      <c r="H60" s="9">
        <f>SUM(B60:G60)</f>
        <v>-38106.568029000002</v>
      </c>
    </row>
    <row r="61" spans="1:21" x14ac:dyDescent="0.2">
      <c r="A61" s="22" t="s">
        <v>6</v>
      </c>
      <c r="B61" s="36">
        <f t="shared" ref="B61:G61" si="12">+B57*B51</f>
        <v>-475.79999999999995</v>
      </c>
      <c r="C61" s="36">
        <f t="shared" si="12"/>
        <v>-396</v>
      </c>
      <c r="D61" s="36">
        <f t="shared" si="12"/>
        <v>-495.30000000000007</v>
      </c>
      <c r="E61" s="36">
        <f t="shared" si="12"/>
        <v>-389.40000000000003</v>
      </c>
      <c r="F61" s="36">
        <f t="shared" si="12"/>
        <v>-434.1</v>
      </c>
      <c r="G61" s="36">
        <f t="shared" si="12"/>
        <v>-441.3</v>
      </c>
      <c r="H61" s="9">
        <f>SUM(B61:G61)</f>
        <v>-2631.9</v>
      </c>
    </row>
    <row r="62" spans="1:21" x14ac:dyDescent="0.2">
      <c r="B62" s="16"/>
      <c r="C62" s="16"/>
      <c r="D62" s="16"/>
      <c r="E62" s="16"/>
      <c r="F62" s="16"/>
      <c r="G62" s="16"/>
      <c r="H62" s="8"/>
    </row>
    <row r="63" spans="1:21" s="6" customFormat="1" x14ac:dyDescent="0.2">
      <c r="A63" s="6" t="s">
        <v>9</v>
      </c>
      <c r="B63" s="37">
        <f t="shared" ref="B63:C63" si="13">SUM(B60:B61)</f>
        <v>-5828.6963085000007</v>
      </c>
      <c r="C63" s="37">
        <f t="shared" si="13"/>
        <v>-5787.0630430000019</v>
      </c>
      <c r="D63" s="37">
        <f>SUM(D60:D61)</f>
        <v>-7011.6142075000007</v>
      </c>
      <c r="E63" s="37">
        <f>SUM(E60:E61)</f>
        <v>-6772.5875799999958</v>
      </c>
      <c r="F63" s="37">
        <f>SUM(F60:F61)</f>
        <v>-7291.4915520000013</v>
      </c>
      <c r="G63" s="37">
        <f>SUM(G60:G61)</f>
        <v>-8047.0153380000002</v>
      </c>
      <c r="H63" s="40">
        <f>SUM(H60:H61)</f>
        <v>-40738.468029000003</v>
      </c>
      <c r="I63" s="54"/>
    </row>
    <row r="64" spans="1:21" x14ac:dyDescent="0.2">
      <c r="B64" s="16"/>
      <c r="C64" s="16"/>
      <c r="D64" s="16"/>
      <c r="E64" s="16"/>
      <c r="F64" s="16"/>
      <c r="G64" s="16"/>
      <c r="H64" s="8"/>
    </row>
    <row r="65" spans="1:11" x14ac:dyDescent="0.2">
      <c r="B65" s="16"/>
      <c r="C65" s="16"/>
      <c r="D65" s="16"/>
      <c r="E65" s="16"/>
      <c r="F65" s="16"/>
      <c r="G65" s="16"/>
      <c r="H65" s="8"/>
    </row>
    <row r="66" spans="1:11" x14ac:dyDescent="0.2">
      <c r="A66" s="10" t="s">
        <v>10</v>
      </c>
      <c r="B66" s="67">
        <f>+'[6]Pacific Comm Credit'!B55</f>
        <v>10039</v>
      </c>
      <c r="C66" s="67">
        <f>+'[6]Pacific Comm Credit'!C55</f>
        <v>10039</v>
      </c>
      <c r="D66" s="67">
        <f>+'[6]Pacific Comm Credit'!D55</f>
        <v>10217</v>
      </c>
      <c r="E66" s="67">
        <f>+'[6]Pacific Comm Credit'!E55</f>
        <v>10200</v>
      </c>
      <c r="F66" s="67">
        <f>+'[6]Pacific Comm Credit'!F55</f>
        <v>10290</v>
      </c>
      <c r="G66" s="67">
        <f>+'[6]Pacific Comm Credit'!G55</f>
        <v>10364</v>
      </c>
      <c r="H66" s="8">
        <f>SUM(B66:G66)</f>
        <v>61149</v>
      </c>
      <c r="I66" s="6"/>
      <c r="J66" s="68"/>
    </row>
    <row r="67" spans="1:11" x14ac:dyDescent="0.2">
      <c r="A67" s="10" t="s">
        <v>11</v>
      </c>
      <c r="B67" s="67">
        <f>+'[6]Pacific Comm Credit'!B56</f>
        <v>392</v>
      </c>
      <c r="C67" s="67">
        <f>+'[6]Pacific Comm Credit'!C56</f>
        <v>390</v>
      </c>
      <c r="D67" s="67">
        <f>+'[6]Pacific Comm Credit'!D56</f>
        <v>390</v>
      </c>
      <c r="E67" s="67">
        <f>+'[6]Pacific Comm Credit'!E56</f>
        <v>390</v>
      </c>
      <c r="F67" s="67">
        <f>+'[6]Pacific Comm Credit'!F56</f>
        <v>390</v>
      </c>
      <c r="G67" s="67">
        <f>+'[6]Pacific Comm Credit'!G56</f>
        <v>390</v>
      </c>
      <c r="H67" s="8">
        <f>SUM(B67:G67)</f>
        <v>2342</v>
      </c>
    </row>
    <row r="68" spans="1:11" x14ac:dyDescent="0.2">
      <c r="A68" s="10"/>
      <c r="B68" s="16"/>
      <c r="C68" s="16"/>
      <c r="D68" s="16"/>
      <c r="E68" s="16"/>
      <c r="F68" s="16"/>
      <c r="G68" s="16"/>
      <c r="H68" s="8"/>
    </row>
    <row r="69" spans="1:11" s="6" customFormat="1" x14ac:dyDescent="0.2">
      <c r="A69" s="13" t="s">
        <v>12</v>
      </c>
      <c r="B69" s="38">
        <f t="shared" ref="B69:G69" si="14">+B66+B67</f>
        <v>10431</v>
      </c>
      <c r="C69" s="38">
        <f t="shared" si="14"/>
        <v>10429</v>
      </c>
      <c r="D69" s="38">
        <f t="shared" si="14"/>
        <v>10607</v>
      </c>
      <c r="E69" s="38">
        <f t="shared" si="14"/>
        <v>10590</v>
      </c>
      <c r="F69" s="38">
        <f t="shared" si="14"/>
        <v>10680</v>
      </c>
      <c r="G69" s="38">
        <f t="shared" si="14"/>
        <v>10754</v>
      </c>
      <c r="H69" s="41">
        <f>SUM(H66:H67)</f>
        <v>63491</v>
      </c>
      <c r="I69" s="57"/>
      <c r="K69" s="57"/>
    </row>
    <row r="70" spans="1:11" x14ac:dyDescent="0.2">
      <c r="A70" s="10"/>
      <c r="B70" s="16"/>
      <c r="C70" s="16"/>
      <c r="D70" s="16"/>
      <c r="E70" s="16"/>
      <c r="F70" s="16"/>
      <c r="G70" s="16"/>
      <c r="H70" s="15"/>
    </row>
    <row r="71" spans="1:11" x14ac:dyDescent="0.2">
      <c r="A71" s="10" t="s">
        <v>13</v>
      </c>
      <c r="B71" s="27">
        <f t="shared" ref="B71:G71" si="15">+IFERROR(B63/B69,0)</f>
        <v>-0.55878595614035098</v>
      </c>
      <c r="C71" s="27">
        <f t="shared" si="15"/>
        <v>-0.55490104928564599</v>
      </c>
      <c r="D71" s="27">
        <f t="shared" si="15"/>
        <v>-0.66103650490242305</v>
      </c>
      <c r="E71" s="27">
        <f t="shared" si="15"/>
        <v>-0.63952668366383336</v>
      </c>
      <c r="F71" s="27">
        <f t="shared" si="15"/>
        <v>-0.6827239280898878</v>
      </c>
      <c r="G71" s="27">
        <f t="shared" si="15"/>
        <v>-0.74828113613539149</v>
      </c>
      <c r="H71" s="5"/>
    </row>
    <row r="72" spans="1:11" x14ac:dyDescent="0.2">
      <c r="A72" s="10" t="s">
        <v>14</v>
      </c>
      <c r="B72" s="69">
        <f>+'[7]Pacific Comm Credit'!$N$76</f>
        <v>-0.45344397557530808</v>
      </c>
      <c r="C72" s="69">
        <f>+'[7]Pacific Comm Credit'!$N$76</f>
        <v>-0.45344397557530808</v>
      </c>
      <c r="D72" s="69">
        <f>'Pacific CPA Eff. 1.1.19'!$H$77</f>
        <v>-0.50439781625282021</v>
      </c>
      <c r="E72" s="69">
        <f>'Pacific CPA Eff. 1.1.19'!$H$77</f>
        <v>-0.50439781625282021</v>
      </c>
      <c r="F72" s="69">
        <f>'Pacific CPA Eff. 1.1.19'!$H$77</f>
        <v>-0.50439781625282021</v>
      </c>
      <c r="G72" s="69">
        <f>'Pacific CPA Eff. 1.1.19'!$H$77</f>
        <v>-0.50439781625282021</v>
      </c>
      <c r="H72" s="5"/>
    </row>
    <row r="73" spans="1:11" x14ac:dyDescent="0.2">
      <c r="A73" s="10"/>
      <c r="B73" s="27"/>
      <c r="C73" s="27"/>
      <c r="D73" s="27"/>
      <c r="E73" s="27"/>
      <c r="F73" s="27"/>
      <c r="G73" s="27"/>
      <c r="H73" s="5"/>
    </row>
    <row r="74" spans="1:11" s="6" customFormat="1" x14ac:dyDescent="0.2">
      <c r="A74" s="13" t="s">
        <v>17</v>
      </c>
      <c r="B74" s="59">
        <f t="shared" ref="B74:C74" si="16">+(B71-B72)*B69</f>
        <v>-1098.8221992739625</v>
      </c>
      <c r="C74" s="59">
        <f t="shared" si="16"/>
        <v>-1058.0958217251141</v>
      </c>
      <c r="D74" s="59">
        <f>+(D71-D72)*D69</f>
        <v>-1661.4665705063373</v>
      </c>
      <c r="E74" s="59">
        <f>+(E71-E72)*E69</f>
        <v>-1431.0147058826292</v>
      </c>
      <c r="F74" s="59">
        <f>+(F71-F72)*F69</f>
        <v>-1904.5228744198819</v>
      </c>
      <c r="G74" s="59">
        <f>+(G71-G72)*G69</f>
        <v>-2622.7212220171714</v>
      </c>
      <c r="H74" s="60">
        <f>SUM(B74:G74)</f>
        <v>-9776.6433938250957</v>
      </c>
    </row>
    <row r="75" spans="1:11" x14ac:dyDescent="0.2">
      <c r="A75" s="10"/>
      <c r="B75" s="11"/>
      <c r="C75" s="11"/>
      <c r="D75" s="11"/>
      <c r="E75" s="11"/>
      <c r="F75" s="11"/>
      <c r="G75" s="11"/>
      <c r="H75" s="8"/>
    </row>
    <row r="76" spans="1:11" x14ac:dyDescent="0.2">
      <c r="A76" s="16"/>
      <c r="B76" s="28"/>
      <c r="C76" s="28"/>
      <c r="D76" s="28"/>
      <c r="E76" s="28"/>
      <c r="F76" s="28"/>
      <c r="G76" s="21" t="s">
        <v>18</v>
      </c>
      <c r="H76" s="17">
        <f>ROUND(H74/H69,2)</f>
        <v>-0.15</v>
      </c>
    </row>
    <row r="77" spans="1:11" x14ac:dyDescent="0.2">
      <c r="A77" s="61"/>
      <c r="B77" s="21"/>
      <c r="C77" s="21"/>
      <c r="D77" s="21"/>
      <c r="E77" s="21"/>
      <c r="F77" s="21"/>
      <c r="G77" s="21" t="s">
        <v>21</v>
      </c>
      <c r="H77" s="17">
        <f>SUM(B63:G63)/SUM(B69:G69)</f>
        <v>-0.6416416189538674</v>
      </c>
    </row>
    <row r="78" spans="1:11" x14ac:dyDescent="0.2">
      <c r="A78" s="61"/>
      <c r="B78" s="21"/>
      <c r="C78" s="21"/>
      <c r="D78" s="21"/>
      <c r="E78" s="21"/>
      <c r="F78" s="21"/>
      <c r="G78" s="21" t="s">
        <v>38</v>
      </c>
      <c r="H78" s="17">
        <f>-(('Pacific CPA 7.1.18'!N75*H69)-'Pacific CPA 7.1.18'!N73)/H69</f>
        <v>-0.35767443809164495</v>
      </c>
    </row>
    <row r="79" spans="1:11" x14ac:dyDescent="0.2">
      <c r="A79" s="62"/>
      <c r="B79" s="21"/>
      <c r="C79" s="21"/>
      <c r="D79" s="21"/>
      <c r="E79" s="21"/>
      <c r="F79" s="21"/>
      <c r="G79" s="42" t="s">
        <v>25</v>
      </c>
      <c r="H79" s="18">
        <f>+H77+H76+H78</f>
        <v>-1.1493160570455123</v>
      </c>
    </row>
    <row r="80" spans="1:11" x14ac:dyDescent="0.2">
      <c r="A80" s="62"/>
      <c r="B80" s="21"/>
      <c r="C80" s="21"/>
      <c r="D80" s="21"/>
      <c r="E80" s="21"/>
      <c r="F80" s="21"/>
      <c r="G80" s="21"/>
      <c r="H80" s="20"/>
    </row>
    <row r="81" spans="1:13" x14ac:dyDescent="0.2">
      <c r="A81" s="63"/>
      <c r="B81" s="21"/>
      <c r="C81" s="21"/>
      <c r="D81" s="21"/>
      <c r="E81" s="21"/>
      <c r="F81" s="21"/>
      <c r="G81" s="21" t="s">
        <v>26</v>
      </c>
      <c r="H81" s="70">
        <f>'Pacific CPA Eff. 1.1.19'!H79</f>
        <v>-0.99957888269137163</v>
      </c>
      <c r="K81" s="8"/>
      <c r="L81" s="8"/>
      <c r="M81" s="55"/>
    </row>
    <row r="82" spans="1:13" x14ac:dyDescent="0.2">
      <c r="A82" s="64"/>
      <c r="B82" s="21"/>
      <c r="C82" s="21"/>
      <c r="D82" s="21"/>
      <c r="E82" s="21"/>
      <c r="F82" s="21"/>
      <c r="G82" s="21" t="s">
        <v>15</v>
      </c>
      <c r="H82" s="5">
        <f>+H81-H79</f>
        <v>0.14973717435414069</v>
      </c>
      <c r="I82" s="56">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5" fitToHeight="0" orientation="landscape" r:id="rId1"/>
  <rowBreaks count="1" manualBreakCount="1">
    <brk id="44"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showGridLines="0" zoomScale="85" zoomScaleNormal="85" zoomScaleSheetLayoutView="80" workbookViewId="0">
      <pane xSplit="1" ySplit="7" topLeftCell="B44" activePane="bottomRight" state="frozen"/>
      <selection activeCell="E21" sqref="E21"/>
      <selection pane="topRight" activeCell="E21" sqref="E21"/>
      <selection pane="bottomLeft" activeCell="E21" sqref="E21"/>
      <selection pane="bottomRight" activeCell="H79" sqref="H79"/>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22</v>
      </c>
      <c r="B4" s="11"/>
      <c r="C4" s="11"/>
      <c r="D4" s="11"/>
      <c r="E4" s="11"/>
      <c r="F4" s="11"/>
      <c r="G4" s="11"/>
      <c r="H4" s="12"/>
      <c r="I4" s="5"/>
    </row>
    <row r="5" spans="1:32" s="31" customFormat="1" x14ac:dyDescent="0.2">
      <c r="B5" s="1"/>
      <c r="C5" s="1"/>
      <c r="D5" s="1"/>
      <c r="E5" s="1"/>
      <c r="F5" s="1"/>
      <c r="G5" s="1"/>
      <c r="H5" s="1" t="s">
        <v>23</v>
      </c>
      <c r="J5" s="5"/>
    </row>
    <row r="6" spans="1:32" s="32" customFormat="1" x14ac:dyDescent="0.2">
      <c r="B6" s="2">
        <v>43250</v>
      </c>
      <c r="C6" s="2">
        <v>43281</v>
      </c>
      <c r="D6" s="2">
        <v>43311</v>
      </c>
      <c r="E6" s="2">
        <v>43342</v>
      </c>
      <c r="F6" s="2">
        <v>43373</v>
      </c>
      <c r="G6" s="2">
        <v>43403</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f>'[8]Pacific Comm Credit'!B9</f>
        <v>971.3900000000001</v>
      </c>
      <c r="C11" s="65">
        <f>'[8]Pacific Comm Credit'!C9</f>
        <v>897.8900000000001</v>
      </c>
      <c r="D11" s="65">
        <f>'[8]Pacific Comm Credit'!D9</f>
        <v>897.69000000000017</v>
      </c>
      <c r="E11" s="65">
        <f>'[8]Pacific Comm Credit'!E9</f>
        <v>957.0200000000001</v>
      </c>
      <c r="F11" s="65">
        <f>'[8]Pacific Comm Credit'!F9</f>
        <v>831.45999999999992</v>
      </c>
      <c r="G11" s="65">
        <f>'[8]Pacific Comm Credit'!G9</f>
        <v>930.10000000000014</v>
      </c>
      <c r="H11" s="5">
        <f>SUM(B11:G11)</f>
        <v>5485.55</v>
      </c>
      <c r="I11" s="44"/>
      <c r="J11" s="82"/>
      <c r="L11" s="44"/>
      <c r="M11" s="44"/>
      <c r="N11" s="44"/>
      <c r="O11" s="44"/>
      <c r="P11" s="44"/>
      <c r="Q11" s="44"/>
      <c r="R11" s="44"/>
      <c r="S11" s="44"/>
      <c r="T11" s="44"/>
    </row>
    <row r="12" spans="1:32" x14ac:dyDescent="0.2">
      <c r="A12" s="22" t="s">
        <v>6</v>
      </c>
      <c r="B12" s="65">
        <f>'[8]Pacific Comm Credit'!B10</f>
        <v>123.86</v>
      </c>
      <c r="C12" s="65">
        <f>'[8]Pacific Comm Credit'!C10</f>
        <v>119.36999999999999</v>
      </c>
      <c r="D12" s="65">
        <f>'[8]Pacific Comm Credit'!D10</f>
        <v>124.41999999999999</v>
      </c>
      <c r="E12" s="65">
        <f>'[8]Pacific Comm Credit'!E10</f>
        <v>127.82000000000001</v>
      </c>
      <c r="F12" s="65">
        <f>'[8]Pacific Comm Credit'!F10</f>
        <v>110.49</v>
      </c>
      <c r="G12" s="65">
        <f>'[8]Pacific Comm Credit'!G10</f>
        <v>113.05</v>
      </c>
      <c r="H12" s="5">
        <f>SUM(B12:G12)</f>
        <v>719.00999999999988</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1095.25</v>
      </c>
      <c r="C14" s="35">
        <f t="shared" si="0"/>
        <v>1017.2600000000001</v>
      </c>
      <c r="D14" s="35">
        <f t="shared" si="0"/>
        <v>1022.1100000000001</v>
      </c>
      <c r="E14" s="35">
        <f t="shared" si="0"/>
        <v>1084.8400000000001</v>
      </c>
      <c r="F14" s="35">
        <f t="shared" si="0"/>
        <v>941.94999999999993</v>
      </c>
      <c r="G14" s="35">
        <f t="shared" si="0"/>
        <v>1043.1500000000001</v>
      </c>
      <c r="H14" s="35">
        <f>SUM(H11:H13)</f>
        <v>6204.56</v>
      </c>
      <c r="J14" s="45"/>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f>'[8]Pacific Comm Credit'!B15</f>
        <v>-49.361342000000008</v>
      </c>
      <c r="C17" s="66">
        <f>'[8]Pacific Comm Credit'!C15</f>
        <v>-39.01424200000001</v>
      </c>
      <c r="D17" s="66">
        <f>'[8]Pacific Comm Credit'!D15</f>
        <v>-75.69984199999999</v>
      </c>
      <c r="E17" s="66">
        <f>'[8]Pacific Comm Credit'!E15</f>
        <v>-70.12384200000001</v>
      </c>
      <c r="F17" s="66">
        <f>'[8]Pacific Comm Credit'!F15</f>
        <v>-75.034980000000004</v>
      </c>
      <c r="G17" s="66">
        <f>'[8]Pacific Comm Credit'!G15</f>
        <v>-73.294049999999999</v>
      </c>
      <c r="H17" s="7"/>
      <c r="J17" s="5"/>
      <c r="L17" s="46"/>
      <c r="M17" s="46"/>
      <c r="N17" s="46"/>
      <c r="O17" s="46"/>
      <c r="P17" s="46"/>
      <c r="Q17" s="46"/>
      <c r="R17" s="46"/>
      <c r="S17" s="46"/>
      <c r="T17" s="46"/>
    </row>
    <row r="18" spans="1:36" x14ac:dyDescent="0.2">
      <c r="A18" s="22" t="s">
        <v>6</v>
      </c>
      <c r="B18" s="66">
        <f>'[8]Pacific Comm Credit'!B16</f>
        <v>-30</v>
      </c>
      <c r="C18" s="66">
        <f>'[8]Pacific Comm Credit'!C16</f>
        <v>-30</v>
      </c>
      <c r="D18" s="66">
        <f>'[8]Pacific Comm Credit'!D16</f>
        <v>-30</v>
      </c>
      <c r="E18" s="66">
        <f>'[8]Pacific Comm Credit'!E16</f>
        <v>-30</v>
      </c>
      <c r="F18" s="66">
        <f>'[8]Pacific Comm Credit'!F16</f>
        <v>-30</v>
      </c>
      <c r="G18" s="66">
        <f>'[8]Pacific Comm Credit'!G16</f>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-47949.114005380012</v>
      </c>
      <c r="C21" s="36">
        <f t="shared" ref="C21:G21" si="1">+C11*C17</f>
        <v>-35030.497749380011</v>
      </c>
      <c r="D21" s="16">
        <f t="shared" si="1"/>
        <v>-67954.991164980005</v>
      </c>
      <c r="E21" s="36">
        <f t="shared" si="1"/>
        <v>-67109.919270840022</v>
      </c>
      <c r="F21" s="36">
        <f t="shared" si="1"/>
        <v>-62388.5844708</v>
      </c>
      <c r="G21" s="36">
        <f t="shared" si="1"/>
        <v>-68170.795905000006</v>
      </c>
      <c r="H21" s="9">
        <f>SUM(B21:G21)</f>
        <v>-348603.90256638004</v>
      </c>
      <c r="J21" s="8"/>
      <c r="L21" s="8"/>
      <c r="M21" s="8"/>
      <c r="N21" s="8"/>
      <c r="O21" s="8"/>
      <c r="P21" s="8"/>
      <c r="Q21" s="8"/>
      <c r="R21" s="8"/>
      <c r="S21" s="8"/>
      <c r="T21" s="8"/>
    </row>
    <row r="22" spans="1:36" x14ac:dyDescent="0.2">
      <c r="A22" s="22" t="s">
        <v>6</v>
      </c>
      <c r="B22" s="36">
        <f t="shared" ref="B22:E22" si="2">+B18*B12</f>
        <v>-3715.8</v>
      </c>
      <c r="C22" s="36">
        <f t="shared" si="2"/>
        <v>-3581.1</v>
      </c>
      <c r="D22" s="58">
        <f t="shared" si="2"/>
        <v>-3732.5999999999995</v>
      </c>
      <c r="E22" s="36">
        <f t="shared" si="2"/>
        <v>-3834.6000000000004</v>
      </c>
      <c r="F22" s="36">
        <f>+F18*F12</f>
        <v>-3314.7</v>
      </c>
      <c r="G22" s="36">
        <f>+G18*G12</f>
        <v>-3391.5</v>
      </c>
      <c r="H22" s="9">
        <f>SUM(B22:G22)</f>
        <v>-21570.3</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3">SUM(B21:B22)</f>
        <v>-51664.914005380015</v>
      </c>
      <c r="C24" s="37">
        <f t="shared" si="3"/>
        <v>-38611.597749380009</v>
      </c>
      <c r="D24" s="37">
        <f t="shared" si="3"/>
        <v>-71687.591164980011</v>
      </c>
      <c r="E24" s="37">
        <f t="shared" si="3"/>
        <v>-70944.519270840028</v>
      </c>
      <c r="F24" s="37">
        <f t="shared" si="3"/>
        <v>-65703.284470800005</v>
      </c>
      <c r="G24" s="37">
        <f t="shared" si="3"/>
        <v>-71562.295905000006</v>
      </c>
      <c r="H24" s="40">
        <f>SUM(H21:H23)</f>
        <v>-370174.20256638003</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f>'[8]Pacific Comm Credit'!B23</f>
        <v>46541</v>
      </c>
      <c r="C27" s="67">
        <f>'[8]Pacific Comm Credit'!C23</f>
        <v>46615</v>
      </c>
      <c r="D27" s="67">
        <f>'[8]Pacific Comm Credit'!D23</f>
        <v>46754</v>
      </c>
      <c r="E27" s="67">
        <f>'[8]Pacific Comm Credit'!E23</f>
        <v>46959</v>
      </c>
      <c r="F27" s="67">
        <f>'[8]Pacific Comm Credit'!F23</f>
        <v>47021</v>
      </c>
      <c r="G27" s="67">
        <f>'[8]Pacific Comm Credit'!G23</f>
        <v>46518</v>
      </c>
      <c r="H27" s="8">
        <f>SUM(B27:G27)</f>
        <v>280408</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f>'[8]Pacific Comm Credit'!B24</f>
        <v>3643</v>
      </c>
      <c r="C28" s="67">
        <f>'[8]Pacific Comm Credit'!C24</f>
        <v>3645</v>
      </c>
      <c r="D28" s="67">
        <f>'[8]Pacific Comm Credit'!D24</f>
        <v>3665</v>
      </c>
      <c r="E28" s="67">
        <f>'[8]Pacific Comm Credit'!E24</f>
        <v>3563</v>
      </c>
      <c r="F28" s="67">
        <f>'[8]Pacific Comm Credit'!F24</f>
        <v>3530</v>
      </c>
      <c r="G28" s="67">
        <f>'[8]Pacific Comm Credit'!G24</f>
        <v>3490</v>
      </c>
      <c r="H28" s="8">
        <f>SUM(B28:G28)</f>
        <v>21536</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4">+B27+B28</f>
        <v>50184</v>
      </c>
      <c r="C30" s="38">
        <f t="shared" si="4"/>
        <v>50260</v>
      </c>
      <c r="D30" s="38">
        <f>+D27+D28</f>
        <v>50419</v>
      </c>
      <c r="E30" s="38">
        <f>+E27+E28</f>
        <v>50522</v>
      </c>
      <c r="F30" s="38">
        <f>+F27+F28</f>
        <v>50551</v>
      </c>
      <c r="G30" s="38">
        <f>+G27+G28</f>
        <v>50008</v>
      </c>
      <c r="H30" s="41">
        <f>SUM(H27:H28)</f>
        <v>301944</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5">+IFERROR(B24/B30,0)</f>
        <v>-1.0295096844687552</v>
      </c>
      <c r="C32" s="27">
        <f t="shared" si="5"/>
        <v>-0.76823712195344229</v>
      </c>
      <c r="D32" s="27">
        <f t="shared" si="5"/>
        <v>-1.4218368306586804</v>
      </c>
      <c r="E32" s="27">
        <f t="shared" si="5"/>
        <v>-1.4042302219001628</v>
      </c>
      <c r="F32" s="27">
        <f t="shared" si="5"/>
        <v>-1.2997425267709839</v>
      </c>
      <c r="G32" s="27">
        <f t="shared" si="5"/>
        <v>-1.4310169553871381</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79">
        <f>'[8]Pacific Comm Credit'!B28</f>
        <v>1.35</v>
      </c>
      <c r="C33" s="79">
        <f>'[8]Pacific Comm Credit'!C28</f>
        <v>1.35</v>
      </c>
      <c r="D33" s="79">
        <f>'[8]Pacific Comm Credit'!D28</f>
        <v>-1.1499999999999999</v>
      </c>
      <c r="E33" s="79">
        <f>'[8]Pacific Comm Credit'!E28</f>
        <v>-1.1499999999999999</v>
      </c>
      <c r="F33" s="79">
        <f>'[8]Pacific Comm Credit'!F28</f>
        <v>-1.1499999999999999</v>
      </c>
      <c r="G33" s="79">
        <f>'[8]Pacific Comm Credit'!G28</f>
        <v>-1.1499999999999999</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 t="shared" ref="B35:C35" si="6">+(B32-B33)*B30</f>
        <v>-119413.31400538</v>
      </c>
      <c r="C35" s="59">
        <f t="shared" si="6"/>
        <v>-106462.59774938003</v>
      </c>
      <c r="D35" s="59">
        <f>+(D32-D33)*D30</f>
        <v>-13705.741164980011</v>
      </c>
      <c r="E35" s="59">
        <f>+(E32-E33)*E30</f>
        <v>-12844.219270840029</v>
      </c>
      <c r="F35" s="59">
        <f>+(F32-F33)*F30</f>
        <v>-7569.6344708000115</v>
      </c>
      <c r="G35" s="59">
        <f>+(G32-G33)*G30</f>
        <v>-14053.095905000007</v>
      </c>
      <c r="H35" s="60">
        <f>SUM(B35:G35)</f>
        <v>-274048.60256638011</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f>
        <v>-0.91</v>
      </c>
      <c r="I37" s="5"/>
      <c r="K37" s="8"/>
      <c r="R37" s="51"/>
      <c r="S37" s="51"/>
      <c r="T37" s="51"/>
      <c r="U37" s="52"/>
    </row>
    <row r="38" spans="1:32" x14ac:dyDescent="0.2">
      <c r="A38" s="61"/>
      <c r="B38" s="21"/>
      <c r="C38" s="21"/>
      <c r="D38" s="21"/>
      <c r="E38" s="21"/>
      <c r="F38" s="21"/>
      <c r="G38" s="21" t="s">
        <v>21</v>
      </c>
      <c r="H38" s="17">
        <f>SUM(B24:G24)/SUM(B30:G30)</f>
        <v>-1.2259697247382961</v>
      </c>
      <c r="I38" s="44"/>
      <c r="R38" s="51"/>
      <c r="S38" s="51"/>
      <c r="T38" s="51"/>
      <c r="U38" s="44"/>
    </row>
    <row r="39" spans="1:32" x14ac:dyDescent="0.2">
      <c r="A39" s="61"/>
      <c r="B39" s="21"/>
      <c r="C39" s="21"/>
      <c r="D39" s="21"/>
      <c r="E39" s="21"/>
      <c r="F39" s="21"/>
      <c r="G39" s="21" t="s">
        <v>40</v>
      </c>
      <c r="H39" s="17">
        <f>-'[9]Printing &amp; Postage'!J6</f>
        <v>-7.5181066438551464E-2</v>
      </c>
      <c r="I39" s="44"/>
      <c r="R39" s="51"/>
      <c r="S39" s="51"/>
      <c r="T39" s="51"/>
      <c r="U39" s="44"/>
    </row>
    <row r="40" spans="1:32" x14ac:dyDescent="0.2">
      <c r="A40" s="62"/>
      <c r="D40" s="21"/>
      <c r="E40" s="21"/>
      <c r="F40" s="21"/>
      <c r="G40" s="42" t="s">
        <v>25</v>
      </c>
      <c r="H40" s="80">
        <f>SUM(H37:H39)</f>
        <v>-2.2111507911768475</v>
      </c>
      <c r="R40" s="51"/>
      <c r="S40" s="51"/>
      <c r="T40" s="51"/>
      <c r="U40" s="53"/>
    </row>
    <row r="41" spans="1:32" x14ac:dyDescent="0.2">
      <c r="A41" s="62"/>
      <c r="B41" s="21"/>
      <c r="C41" s="21"/>
      <c r="D41" s="21"/>
      <c r="E41" s="21"/>
      <c r="F41" s="21"/>
      <c r="G41" s="21"/>
      <c r="H41" s="20"/>
      <c r="R41" s="51"/>
      <c r="S41" s="51"/>
      <c r="T41" s="51"/>
      <c r="U41" s="53"/>
    </row>
    <row r="42" spans="1:32" x14ac:dyDescent="0.2">
      <c r="A42" s="62"/>
      <c r="B42" s="39"/>
      <c r="C42" s="39"/>
      <c r="D42" s="21"/>
      <c r="E42" s="21"/>
      <c r="F42" s="21"/>
      <c r="G42" s="21" t="s">
        <v>26</v>
      </c>
      <c r="H42" s="70">
        <f>'[8]Pacific Comm Credit'!$H$35</f>
        <v>-1.83</v>
      </c>
      <c r="K42" s="8"/>
      <c r="L42" s="8"/>
      <c r="M42" s="55"/>
      <c r="R42" s="8"/>
      <c r="S42" s="8"/>
      <c r="T42" s="51"/>
    </row>
    <row r="43" spans="1:32" x14ac:dyDescent="0.2">
      <c r="A43" s="63"/>
      <c r="B43" s="21"/>
      <c r="C43" s="21"/>
      <c r="D43" s="21"/>
      <c r="E43" s="21"/>
      <c r="F43" s="21"/>
      <c r="G43" s="21" t="s">
        <v>15</v>
      </c>
      <c r="H43" s="5">
        <f>H42-H40</f>
        <v>0.38115079117684747</v>
      </c>
      <c r="I43" s="56">
        <f>H43/H42</f>
        <v>-0.20827912086166528</v>
      </c>
      <c r="R43" s="8"/>
      <c r="S43" s="8"/>
      <c r="T43" s="51"/>
    </row>
    <row r="44" spans="1:32" x14ac:dyDescent="0.2">
      <c r="A44" s="10"/>
      <c r="B44" s="21"/>
      <c r="C44" s="21"/>
      <c r="D44" s="21"/>
      <c r="E44" s="21"/>
      <c r="F44" s="21"/>
      <c r="G44" s="21" t="s">
        <v>24</v>
      </c>
      <c r="H44" s="8">
        <f>H43*G30*12</f>
        <v>228727.06518206146</v>
      </c>
      <c r="J44" s="44"/>
      <c r="L44" s="44"/>
      <c r="M44" s="44"/>
      <c r="N44" s="44"/>
      <c r="O44" s="44"/>
      <c r="P44" s="44"/>
      <c r="Q44" s="44"/>
      <c r="R44" s="44"/>
      <c r="S44" s="44"/>
      <c r="T44" s="44"/>
    </row>
    <row r="45" spans="1:32" x14ac:dyDescent="0.2">
      <c r="A45" s="10"/>
      <c r="B45" s="21"/>
      <c r="C45" s="21"/>
      <c r="D45" s="21"/>
      <c r="E45" s="21"/>
      <c r="F45" s="21"/>
      <c r="G45" s="21"/>
      <c r="H45" s="8"/>
      <c r="J45" s="44"/>
      <c r="L45" s="44"/>
      <c r="M45" s="44"/>
      <c r="N45" s="44"/>
      <c r="O45" s="44"/>
      <c r="P45" s="44"/>
      <c r="Q45" s="44"/>
      <c r="R45" s="44"/>
      <c r="S45" s="44"/>
      <c r="T45" s="44"/>
    </row>
    <row r="46" spans="1:32" x14ac:dyDescent="0.2">
      <c r="A46" s="10"/>
      <c r="B46" s="11"/>
      <c r="C46" s="11"/>
      <c r="D46" s="11"/>
      <c r="E46" s="11"/>
      <c r="F46" s="11"/>
      <c r="G46" s="11"/>
      <c r="H46" s="8"/>
    </row>
    <row r="47" spans="1:32" x14ac:dyDescent="0.2">
      <c r="A47" s="29"/>
      <c r="B47" s="1"/>
      <c r="C47" s="1"/>
      <c r="D47" s="1"/>
      <c r="E47" s="1"/>
      <c r="F47" s="1"/>
      <c r="G47" s="1"/>
      <c r="H47" s="1" t="str">
        <f>H5</f>
        <v>6-Month</v>
      </c>
      <c r="S47" s="51"/>
      <c r="T47" s="51"/>
      <c r="U47" s="52"/>
    </row>
    <row r="48" spans="1:32" x14ac:dyDescent="0.2">
      <c r="A48" s="29" t="s">
        <v>16</v>
      </c>
      <c r="B48" s="2">
        <f>B6</f>
        <v>43250</v>
      </c>
      <c r="C48" s="2">
        <f t="shared" ref="C48:G48" si="7">C6</f>
        <v>43281</v>
      </c>
      <c r="D48" s="2">
        <f t="shared" si="7"/>
        <v>43311</v>
      </c>
      <c r="E48" s="2">
        <f t="shared" si="7"/>
        <v>43342</v>
      </c>
      <c r="F48" s="2">
        <f t="shared" si="7"/>
        <v>43373</v>
      </c>
      <c r="G48" s="2">
        <f t="shared" si="7"/>
        <v>43403</v>
      </c>
      <c r="H48" s="2" t="s">
        <v>2</v>
      </c>
      <c r="S48" s="51"/>
      <c r="T48" s="51"/>
      <c r="U48" s="44"/>
    </row>
    <row r="49" spans="1:21" x14ac:dyDescent="0.2">
      <c r="A49" s="25" t="s">
        <v>4</v>
      </c>
      <c r="B49" s="4"/>
      <c r="C49" s="4"/>
      <c r="D49" s="4"/>
      <c r="E49" s="4"/>
      <c r="F49" s="4"/>
      <c r="G49" s="4"/>
      <c r="H49" s="4"/>
      <c r="S49" s="51"/>
      <c r="T49" s="51"/>
      <c r="U49" s="53"/>
    </row>
    <row r="50" spans="1:21" x14ac:dyDescent="0.2">
      <c r="A50" s="22" t="s">
        <v>5</v>
      </c>
      <c r="B50" s="65">
        <f>'[8]Pacific Comm Credit'!B41</f>
        <v>81.350000000000037</v>
      </c>
      <c r="C50" s="65">
        <f>'[8]Pacific Comm Credit'!C41</f>
        <v>74.280000000000015</v>
      </c>
      <c r="D50" s="65">
        <f>'[8]Pacific Comm Credit'!D41</f>
        <v>77.819999999999979</v>
      </c>
      <c r="E50" s="65">
        <f>'[8]Pacific Comm Credit'!E41</f>
        <v>81.359999999999971</v>
      </c>
      <c r="F50" s="65">
        <f>'[8]Pacific Comm Credit'!F41</f>
        <v>70.749999999999972</v>
      </c>
      <c r="G50" s="65">
        <f>'[8]Pacific Comm Credit'!G41</f>
        <v>74.650000000000006</v>
      </c>
      <c r="H50" s="5">
        <f>SUM(B50:G50)</f>
        <v>460.20999999999992</v>
      </c>
    </row>
    <row r="51" spans="1:21" x14ac:dyDescent="0.2">
      <c r="A51" s="22" t="s">
        <v>6</v>
      </c>
      <c r="B51" s="65">
        <f>'[8]Pacific Comm Credit'!B42</f>
        <v>17.119999999999997</v>
      </c>
      <c r="C51" s="65">
        <f>'[8]Pacific Comm Credit'!C42</f>
        <v>15.91</v>
      </c>
      <c r="D51" s="65">
        <f>'[8]Pacific Comm Credit'!D42</f>
        <v>16.619999999999997</v>
      </c>
      <c r="E51" s="65">
        <f>'[8]Pacific Comm Credit'!E42</f>
        <v>17.260000000000002</v>
      </c>
      <c r="F51" s="65">
        <f>'[8]Pacific Comm Credit'!F42</f>
        <v>14.98</v>
      </c>
      <c r="G51" s="65">
        <f>'[8]Pacific Comm Credit'!G42</f>
        <v>14.870000000000001</v>
      </c>
      <c r="H51" s="5">
        <f>SUM(B51:G51)</f>
        <v>96.76</v>
      </c>
    </row>
    <row r="52" spans="1:21" x14ac:dyDescent="0.2">
      <c r="B52" s="11"/>
      <c r="C52" s="11"/>
      <c r="D52" s="11"/>
      <c r="E52" s="11"/>
      <c r="F52" s="11"/>
      <c r="G52" s="11"/>
      <c r="H52" s="5"/>
    </row>
    <row r="53" spans="1:21" s="6" customFormat="1" x14ac:dyDescent="0.2">
      <c r="A53" s="6" t="s">
        <v>2</v>
      </c>
      <c r="B53" s="35">
        <f t="shared" ref="B53:E53" si="8">SUM(B50:B51)</f>
        <v>98.470000000000027</v>
      </c>
      <c r="C53" s="35">
        <f t="shared" si="8"/>
        <v>90.190000000000012</v>
      </c>
      <c r="D53" s="35">
        <f t="shared" si="8"/>
        <v>94.439999999999969</v>
      </c>
      <c r="E53" s="35">
        <f t="shared" si="8"/>
        <v>98.619999999999976</v>
      </c>
      <c r="F53" s="35">
        <f>SUM(F50:F51)</f>
        <v>85.729999999999976</v>
      </c>
      <c r="G53" s="35">
        <f>SUM(G50:G51)</f>
        <v>89.52000000000001</v>
      </c>
      <c r="H53" s="35">
        <f>SUM(H50:H52)</f>
        <v>556.96999999999991</v>
      </c>
    </row>
    <row r="55" spans="1:21" x14ac:dyDescent="0.2">
      <c r="A55" s="26" t="s">
        <v>20</v>
      </c>
    </row>
    <row r="56" spans="1:21" x14ac:dyDescent="0.2">
      <c r="A56" s="22" t="s">
        <v>5</v>
      </c>
      <c r="B56" s="27">
        <f t="shared" ref="B56:G57" si="9">B17</f>
        <v>-49.361342000000008</v>
      </c>
      <c r="C56" s="27">
        <f t="shared" si="9"/>
        <v>-39.01424200000001</v>
      </c>
      <c r="D56" s="27">
        <f t="shared" si="9"/>
        <v>-75.69984199999999</v>
      </c>
      <c r="E56" s="27">
        <f t="shared" si="9"/>
        <v>-70.12384200000001</v>
      </c>
      <c r="F56" s="27">
        <f t="shared" si="9"/>
        <v>-75.034980000000004</v>
      </c>
      <c r="G56" s="27">
        <f t="shared" si="9"/>
        <v>-73.294049999999999</v>
      </c>
      <c r="H56" s="8"/>
    </row>
    <row r="57" spans="1:21" x14ac:dyDescent="0.2">
      <c r="A57" s="22" t="s">
        <v>6</v>
      </c>
      <c r="B57" s="27">
        <f t="shared" si="9"/>
        <v>-30</v>
      </c>
      <c r="C57" s="27">
        <f t="shared" si="9"/>
        <v>-30</v>
      </c>
      <c r="D57" s="27">
        <f t="shared" si="9"/>
        <v>-30</v>
      </c>
      <c r="E57" s="27">
        <f t="shared" si="9"/>
        <v>-30</v>
      </c>
      <c r="F57" s="27">
        <f t="shared" si="9"/>
        <v>-30</v>
      </c>
      <c r="G57" s="27">
        <f t="shared" si="9"/>
        <v>-30</v>
      </c>
      <c r="H57" s="8"/>
    </row>
    <row r="59" spans="1:21" x14ac:dyDescent="0.2">
      <c r="A59" s="26" t="s">
        <v>8</v>
      </c>
    </row>
    <row r="60" spans="1:21" x14ac:dyDescent="0.2">
      <c r="A60" s="22" t="s">
        <v>5</v>
      </c>
      <c r="B60" s="36">
        <f t="shared" ref="B60:G60" si="10">+B50*B56</f>
        <v>-4015.5451717000024</v>
      </c>
      <c r="C60" s="36">
        <f t="shared" si="10"/>
        <v>-2897.9778957600015</v>
      </c>
      <c r="D60" s="36">
        <f t="shared" si="10"/>
        <v>-5890.9617044399974</v>
      </c>
      <c r="E60" s="36">
        <f t="shared" si="10"/>
        <v>-5705.2757851199985</v>
      </c>
      <c r="F60" s="36">
        <f t="shared" si="10"/>
        <v>-5308.7248349999982</v>
      </c>
      <c r="G60" s="36">
        <f t="shared" si="10"/>
        <v>-5471.4008325000004</v>
      </c>
      <c r="H60" s="9">
        <f>SUM(B60:G60)</f>
        <v>-29289.88622452</v>
      </c>
    </row>
    <row r="61" spans="1:21" x14ac:dyDescent="0.2">
      <c r="A61" s="22" t="s">
        <v>6</v>
      </c>
      <c r="B61" s="36">
        <f t="shared" ref="B61:G61" si="11">+B57*B51</f>
        <v>-513.59999999999991</v>
      </c>
      <c r="C61" s="36">
        <f t="shared" si="11"/>
        <v>-477.3</v>
      </c>
      <c r="D61" s="36">
        <f t="shared" si="11"/>
        <v>-498.59999999999991</v>
      </c>
      <c r="E61" s="36">
        <f t="shared" si="11"/>
        <v>-517.80000000000007</v>
      </c>
      <c r="F61" s="36">
        <f t="shared" si="11"/>
        <v>-449.40000000000003</v>
      </c>
      <c r="G61" s="36">
        <f t="shared" si="11"/>
        <v>-446.1</v>
      </c>
      <c r="H61" s="9">
        <f>SUM(B61:G61)</f>
        <v>-2902.7999999999997</v>
      </c>
    </row>
    <row r="62" spans="1:21" x14ac:dyDescent="0.2">
      <c r="B62" s="16"/>
      <c r="C62" s="16"/>
      <c r="D62" s="16"/>
      <c r="E62" s="16"/>
      <c r="F62" s="16"/>
      <c r="G62" s="16"/>
      <c r="H62" s="8"/>
    </row>
    <row r="63" spans="1:21" s="6" customFormat="1" x14ac:dyDescent="0.2">
      <c r="A63" s="6" t="s">
        <v>9</v>
      </c>
      <c r="B63" s="37">
        <f t="shared" ref="B63:C63" si="12">SUM(B60:B61)</f>
        <v>-4529.1451717000018</v>
      </c>
      <c r="C63" s="37">
        <f t="shared" si="12"/>
        <v>-3375.2778957600017</v>
      </c>
      <c r="D63" s="37">
        <f>SUM(D60:D61)</f>
        <v>-6389.5617044399969</v>
      </c>
      <c r="E63" s="37">
        <f>SUM(E60:E61)</f>
        <v>-6223.0757851199987</v>
      </c>
      <c r="F63" s="37">
        <f>SUM(F60:F61)</f>
        <v>-5758.1248349999978</v>
      </c>
      <c r="G63" s="37">
        <f>SUM(G60:G61)</f>
        <v>-5917.5008325000008</v>
      </c>
      <c r="H63" s="40">
        <f>SUM(H60:H61)</f>
        <v>-32192.686224519999</v>
      </c>
      <c r="I63" s="54"/>
    </row>
    <row r="64" spans="1:21" x14ac:dyDescent="0.2">
      <c r="B64" s="16"/>
      <c r="C64" s="16"/>
      <c r="D64" s="16"/>
      <c r="E64" s="16"/>
      <c r="F64" s="16"/>
      <c r="G64" s="16"/>
      <c r="H64" s="8"/>
    </row>
    <row r="65" spans="1:11" x14ac:dyDescent="0.2">
      <c r="B65" s="16"/>
      <c r="C65" s="16"/>
      <c r="D65" s="16"/>
      <c r="E65" s="16"/>
      <c r="F65" s="16"/>
      <c r="G65" s="16"/>
      <c r="H65" s="8"/>
    </row>
    <row r="66" spans="1:11" x14ac:dyDescent="0.2">
      <c r="A66" s="10" t="s">
        <v>10</v>
      </c>
      <c r="B66" s="67">
        <f>'[8]Pacific Comm Credit'!B55</f>
        <v>10237</v>
      </c>
      <c r="C66" s="67">
        <f>'[8]Pacific Comm Credit'!C55</f>
        <v>10234</v>
      </c>
      <c r="D66" s="67">
        <f>'[8]Pacific Comm Credit'!D55</f>
        <v>10244</v>
      </c>
      <c r="E66" s="67">
        <f>'[8]Pacific Comm Credit'!E55</f>
        <v>10254</v>
      </c>
      <c r="F66" s="67">
        <f>'[8]Pacific Comm Credit'!F55</f>
        <v>10241</v>
      </c>
      <c r="G66" s="67">
        <f>'[8]Pacific Comm Credit'!G55</f>
        <v>10242</v>
      </c>
      <c r="H66" s="8">
        <f>SUM(B66:G66)</f>
        <v>61452</v>
      </c>
    </row>
    <row r="67" spans="1:11" x14ac:dyDescent="0.2">
      <c r="A67" s="10" t="s">
        <v>11</v>
      </c>
      <c r="B67" s="67">
        <f>'[8]Pacific Comm Credit'!B56</f>
        <v>401</v>
      </c>
      <c r="C67" s="67">
        <f>'[8]Pacific Comm Credit'!C56</f>
        <v>401</v>
      </c>
      <c r="D67" s="67">
        <f>'[8]Pacific Comm Credit'!D56</f>
        <v>400</v>
      </c>
      <c r="E67" s="67">
        <f>'[8]Pacific Comm Credit'!E56</f>
        <v>390</v>
      </c>
      <c r="F67" s="67">
        <f>'[8]Pacific Comm Credit'!F56</f>
        <v>390</v>
      </c>
      <c r="G67" s="67">
        <f>'[8]Pacific Comm Credit'!G56</f>
        <v>390</v>
      </c>
      <c r="H67" s="8">
        <f>SUM(B67:G67)</f>
        <v>2372</v>
      </c>
    </row>
    <row r="68" spans="1:11" x14ac:dyDescent="0.2">
      <c r="A68" s="10"/>
      <c r="B68" s="16"/>
      <c r="C68" s="16"/>
      <c r="D68" s="16"/>
      <c r="E68" s="16"/>
      <c r="F68" s="16"/>
      <c r="G68" s="16"/>
      <c r="H68" s="8"/>
    </row>
    <row r="69" spans="1:11" s="6" customFormat="1" x14ac:dyDescent="0.2">
      <c r="A69" s="13" t="s">
        <v>12</v>
      </c>
      <c r="B69" s="38">
        <f t="shared" ref="B69:G69" si="13">+B66+B67</f>
        <v>10638</v>
      </c>
      <c r="C69" s="38">
        <f t="shared" si="13"/>
        <v>10635</v>
      </c>
      <c r="D69" s="38">
        <f t="shared" si="13"/>
        <v>10644</v>
      </c>
      <c r="E69" s="38">
        <f t="shared" si="13"/>
        <v>10644</v>
      </c>
      <c r="F69" s="38">
        <f t="shared" si="13"/>
        <v>10631</v>
      </c>
      <c r="G69" s="38">
        <f t="shared" si="13"/>
        <v>10632</v>
      </c>
      <c r="H69" s="41">
        <f>SUM(H66:H67)</f>
        <v>63824</v>
      </c>
      <c r="I69" s="57"/>
      <c r="K69" s="57"/>
    </row>
    <row r="70" spans="1:11" x14ac:dyDescent="0.2">
      <c r="A70" s="10"/>
      <c r="B70" s="16"/>
      <c r="C70" s="16"/>
      <c r="D70" s="16"/>
      <c r="E70" s="16"/>
      <c r="F70" s="16"/>
      <c r="G70" s="16"/>
      <c r="H70" s="15"/>
    </row>
    <row r="71" spans="1:11" x14ac:dyDescent="0.2">
      <c r="A71" s="10" t="s">
        <v>13</v>
      </c>
      <c r="B71" s="27">
        <f t="shared" ref="B71:G71" si="14">+IFERROR(B63/B69,0)</f>
        <v>-0.42575156718368129</v>
      </c>
      <c r="C71" s="27">
        <f t="shared" si="14"/>
        <v>-0.31737450829901287</v>
      </c>
      <c r="D71" s="27">
        <f t="shared" si="14"/>
        <v>-0.60029704100338188</v>
      </c>
      <c r="E71" s="27">
        <f t="shared" si="14"/>
        <v>-0.5846557483201803</v>
      </c>
      <c r="F71" s="27">
        <f t="shared" si="14"/>
        <v>-0.54163529630326379</v>
      </c>
      <c r="G71" s="27">
        <f t="shared" si="14"/>
        <v>-0.55657457040067726</v>
      </c>
      <c r="H71" s="5"/>
    </row>
    <row r="72" spans="1:11" x14ac:dyDescent="0.2">
      <c r="A72" s="10" t="s">
        <v>14</v>
      </c>
      <c r="B72" s="79">
        <f>'[8]Pacific Comm Credit'!B60</f>
        <v>0.64</v>
      </c>
      <c r="C72" s="79">
        <f>'[8]Pacific Comm Credit'!C60</f>
        <v>0.64</v>
      </c>
      <c r="D72" s="79">
        <f>'[8]Pacific Comm Credit'!D60</f>
        <v>-0.45</v>
      </c>
      <c r="E72" s="79">
        <f>'[8]Pacific Comm Credit'!E60</f>
        <v>-0.45</v>
      </c>
      <c r="F72" s="79">
        <f>'[8]Pacific Comm Credit'!F60</f>
        <v>-0.45</v>
      </c>
      <c r="G72" s="79">
        <f>'[8]Pacific Comm Credit'!G60</f>
        <v>-0.45</v>
      </c>
      <c r="H72" s="5"/>
    </row>
    <row r="73" spans="1:11" x14ac:dyDescent="0.2">
      <c r="A73" s="10"/>
      <c r="B73" s="27"/>
      <c r="C73" s="27"/>
      <c r="D73" s="27"/>
      <c r="E73" s="27"/>
      <c r="F73" s="27"/>
      <c r="G73" s="27"/>
      <c r="H73" s="5"/>
    </row>
    <row r="74" spans="1:11" s="6" customFormat="1" x14ac:dyDescent="0.2">
      <c r="A74" s="13" t="s">
        <v>17</v>
      </c>
      <c r="B74" s="59">
        <f t="shared" ref="B74:C74" si="15">+(B71-B72)*B69</f>
        <v>-11337.465171700002</v>
      </c>
      <c r="C74" s="59">
        <f t="shared" si="15"/>
        <v>-10181.677895760002</v>
      </c>
      <c r="D74" s="59">
        <f>+(D71-D72)*D69</f>
        <v>-1599.7617044399967</v>
      </c>
      <c r="E74" s="59">
        <f>+(E71-E72)*E69</f>
        <v>-1433.275785119999</v>
      </c>
      <c r="F74" s="59">
        <f>+(F71-F72)*F69</f>
        <v>-974.1748349999973</v>
      </c>
      <c r="G74" s="59">
        <f>+(G71-G72)*G69</f>
        <v>-1133.1008325000005</v>
      </c>
      <c r="H74" s="60">
        <f>SUM(B74:G74)</f>
        <v>-26659.45622452</v>
      </c>
    </row>
    <row r="75" spans="1:11" x14ac:dyDescent="0.2">
      <c r="A75" s="10"/>
      <c r="B75" s="11"/>
      <c r="C75" s="11"/>
      <c r="D75" s="11"/>
      <c r="E75" s="11"/>
      <c r="F75" s="11"/>
      <c r="G75" s="11"/>
      <c r="H75" s="8"/>
    </row>
    <row r="76" spans="1:11" x14ac:dyDescent="0.2">
      <c r="A76" s="16"/>
      <c r="B76" s="28"/>
      <c r="C76" s="28"/>
      <c r="D76" s="28"/>
      <c r="E76" s="28"/>
      <c r="F76" s="28"/>
      <c r="G76" s="21" t="s">
        <v>18</v>
      </c>
      <c r="H76" s="17">
        <f>ROUND(H74/H69,2)</f>
        <v>-0.42</v>
      </c>
    </row>
    <row r="77" spans="1:11" x14ac:dyDescent="0.2">
      <c r="A77" s="61"/>
      <c r="B77" s="21"/>
      <c r="C77" s="21"/>
      <c r="D77" s="21"/>
      <c r="E77" s="21"/>
      <c r="F77" s="21"/>
      <c r="G77" s="21" t="s">
        <v>21</v>
      </c>
      <c r="H77" s="17">
        <f>SUM(B63:G63)/SUM(B69:G69)</f>
        <v>-0.50439781625282021</v>
      </c>
    </row>
    <row r="78" spans="1:11" x14ac:dyDescent="0.2">
      <c r="A78" s="61"/>
      <c r="B78" s="21"/>
      <c r="C78" s="21"/>
      <c r="D78" s="21"/>
      <c r="E78" s="21"/>
      <c r="F78" s="21"/>
      <c r="G78" s="21" t="s">
        <v>40</v>
      </c>
      <c r="H78" s="17">
        <f>-'[9]Printing &amp; Postage'!J7</f>
        <v>-7.5181066438551478E-2</v>
      </c>
    </row>
    <row r="79" spans="1:11" x14ac:dyDescent="0.2">
      <c r="A79" s="62"/>
      <c r="B79" s="21"/>
      <c r="C79" s="21"/>
      <c r="D79" s="21"/>
      <c r="E79" s="21"/>
      <c r="F79" s="21"/>
      <c r="G79" s="42" t="s">
        <v>25</v>
      </c>
      <c r="H79" s="80">
        <f>SUM(H76:H78)</f>
        <v>-0.99957888269137163</v>
      </c>
    </row>
    <row r="80" spans="1:11" x14ac:dyDescent="0.2">
      <c r="A80" s="62"/>
      <c r="B80" s="21"/>
      <c r="C80" s="21"/>
      <c r="D80" s="21"/>
      <c r="E80" s="21"/>
      <c r="F80" s="21"/>
      <c r="G80" s="21"/>
      <c r="H80" s="20"/>
    </row>
    <row r="81" spans="1:13" x14ac:dyDescent="0.2">
      <c r="A81" s="63"/>
      <c r="B81" s="21"/>
      <c r="C81" s="21"/>
      <c r="D81" s="21"/>
      <c r="E81" s="21"/>
      <c r="F81" s="21"/>
      <c r="G81" s="21" t="s">
        <v>26</v>
      </c>
      <c r="H81" s="70">
        <f>'[8]Pacific Comm Credit'!$H$67</f>
        <v>-0.82</v>
      </c>
      <c r="K81" s="8"/>
      <c r="L81" s="8"/>
      <c r="M81" s="55"/>
    </row>
    <row r="82" spans="1:13" x14ac:dyDescent="0.2">
      <c r="A82" s="64"/>
      <c r="B82" s="21"/>
      <c r="C82" s="21"/>
      <c r="D82" s="21"/>
      <c r="E82" s="21"/>
      <c r="F82" s="21"/>
      <c r="G82" s="21" t="s">
        <v>15</v>
      </c>
      <c r="H82" s="5">
        <f>+H81-H79</f>
        <v>0.17957888269137168</v>
      </c>
      <c r="I82" s="56">
        <f>H82/H81</f>
        <v>-0.21899863742850206</v>
      </c>
    </row>
    <row r="83" spans="1:13" x14ac:dyDescent="0.2">
      <c r="A83" s="10"/>
      <c r="B83" s="21"/>
      <c r="C83" s="21"/>
      <c r="D83" s="21"/>
      <c r="E83" s="21"/>
      <c r="F83" s="21"/>
      <c r="G83" s="21" t="s">
        <v>24</v>
      </c>
      <c r="H83" s="8">
        <f>H82*G69*12</f>
        <v>22911.392169295963</v>
      </c>
    </row>
    <row r="84" spans="1:13" x14ac:dyDescent="0.2">
      <c r="A84" s="10"/>
      <c r="B84" s="21"/>
      <c r="C84" s="21"/>
      <c r="D84" s="21"/>
      <c r="E84" s="21"/>
      <c r="F84" s="21"/>
      <c r="G84" s="21"/>
      <c r="I84" s="5"/>
    </row>
  </sheetData>
  <pageMargins left="0.7" right="0.7" top="0.75" bottom="0.75" header="0.3" footer="0.3"/>
  <pageSetup scale="89" fitToHeight="2" orientation="landscape" r:id="rId1"/>
  <rowBreaks count="1" manualBreakCount="1">
    <brk id="46" max="8"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B32" sqref="B32"/>
    </sheetView>
  </sheetViews>
  <sheetFormatPr defaultRowHeight="12.75" x14ac:dyDescent="0.2"/>
  <cols>
    <col min="1" max="1" width="32.5703125" style="22"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22" bestFit="1" customWidth="1"/>
    <col min="16" max="16" width="10.28515625" style="22" bestFit="1" customWidth="1"/>
    <col min="17" max="17" width="13.5703125" style="22" customWidth="1"/>
    <col min="18" max="18" width="11" style="22"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0</v>
      </c>
      <c r="G2" s="78" t="s">
        <v>37</v>
      </c>
      <c r="N2" s="30"/>
    </row>
    <row r="3" spans="1:38" x14ac:dyDescent="0.2">
      <c r="A3" s="6" t="s">
        <v>1</v>
      </c>
      <c r="B3" s="11"/>
      <c r="C3" s="11"/>
      <c r="D3" s="11"/>
      <c r="E3" s="11"/>
      <c r="F3" s="11"/>
      <c r="G3" s="11"/>
      <c r="H3" s="11"/>
      <c r="I3" s="11"/>
      <c r="J3" s="11"/>
      <c r="K3" s="11"/>
      <c r="L3" s="11"/>
      <c r="M3" s="11"/>
      <c r="N3" s="12"/>
      <c r="O3" s="5"/>
    </row>
    <row r="4" spans="1:38" x14ac:dyDescent="0.2">
      <c r="A4" s="6" t="s">
        <v>27</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42886</v>
      </c>
      <c r="C6" s="2">
        <v>42916</v>
      </c>
      <c r="D6" s="2">
        <v>42947</v>
      </c>
      <c r="E6" s="2">
        <v>42978</v>
      </c>
      <c r="F6" s="2">
        <v>43008</v>
      </c>
      <c r="G6" s="2">
        <v>43039</v>
      </c>
      <c r="H6" s="2">
        <v>43069</v>
      </c>
      <c r="I6" s="2">
        <v>43100</v>
      </c>
      <c r="J6" s="2">
        <v>43131</v>
      </c>
      <c r="K6" s="2">
        <v>43159</v>
      </c>
      <c r="L6" s="2">
        <v>43190</v>
      </c>
      <c r="M6" s="2">
        <v>43220</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'[10]Pacific Comm Credit'!B9</f>
        <v>1042.6900000000003</v>
      </c>
      <c r="C11" s="11">
        <f>'[10]Pacific Comm Credit'!C9</f>
        <v>995.99999999999989</v>
      </c>
      <c r="D11" s="11">
        <f>'[10]Pacific Comm Credit'!D9</f>
        <v>925.58</v>
      </c>
      <c r="E11" s="11">
        <f>'[10]Pacific Comm Credit'!E9</f>
        <v>989.97000000000014</v>
      </c>
      <c r="F11" s="11">
        <f>'[10]Pacific Comm Credit'!F9</f>
        <v>928.02</v>
      </c>
      <c r="G11" s="11">
        <f>'[10]Pacific Comm Credit'!G9</f>
        <v>934.42999999999972</v>
      </c>
      <c r="H11" s="11">
        <f>'[10]Pacific Comm Credit'!H9</f>
        <v>1025.8800000000001</v>
      </c>
      <c r="I11" s="11">
        <f>'[10]Pacific Comm Credit'!I9</f>
        <v>1036.6799999999998</v>
      </c>
      <c r="J11" s="11">
        <f>'[10]Pacific Comm Credit'!J9</f>
        <v>1129.6716880000001</v>
      </c>
      <c r="K11" s="11">
        <f>'[10]Pacific Comm Credit'!K9</f>
        <v>808.91343600000016</v>
      </c>
      <c r="L11" s="11">
        <f>'[10]Pacific Comm Credit'!L9</f>
        <v>1058.0130359999996</v>
      </c>
      <c r="M11" s="11">
        <f>'[10]Pacific Comm Credit'!M9</f>
        <v>923.55285099999992</v>
      </c>
      <c r="N11" s="5">
        <f>SUM(B11:M11)</f>
        <v>11799.401011000002</v>
      </c>
      <c r="P11" s="5"/>
      <c r="R11" s="44"/>
      <c r="S11" s="44"/>
      <c r="T11" s="44"/>
      <c r="U11" s="44"/>
      <c r="V11" s="44"/>
      <c r="W11" s="44"/>
      <c r="X11" s="44"/>
      <c r="Y11" s="44"/>
      <c r="Z11" s="44"/>
    </row>
    <row r="12" spans="1:38" x14ac:dyDescent="0.2">
      <c r="A12" s="22" t="s">
        <v>6</v>
      </c>
      <c r="B12" s="11">
        <f>'[10]Pacific Comm Credit'!B10</f>
        <v>148.13999999999999</v>
      </c>
      <c r="C12" s="11">
        <f>'[10]Pacific Comm Credit'!C10</f>
        <v>131.29</v>
      </c>
      <c r="D12" s="11">
        <f>'[10]Pacific Comm Credit'!D10</f>
        <v>149.47</v>
      </c>
      <c r="E12" s="11">
        <f>'[10]Pacific Comm Credit'!E10</f>
        <v>154.04000000000002</v>
      </c>
      <c r="F12" s="11">
        <f>'[10]Pacific Comm Credit'!F10</f>
        <v>136.63</v>
      </c>
      <c r="G12" s="11">
        <f>'[10]Pacific Comm Credit'!G10</f>
        <v>132.31</v>
      </c>
      <c r="H12" s="11">
        <f>'[10]Pacific Comm Credit'!H10</f>
        <v>114.27000000000001</v>
      </c>
      <c r="I12" s="11">
        <f>'[10]Pacific Comm Credit'!I10</f>
        <v>128.38999999999999</v>
      </c>
      <c r="J12" s="11">
        <f>'[10]Pacific Comm Credit'!J10</f>
        <v>147.63</v>
      </c>
      <c r="K12" s="11">
        <f>'[10]Pacific Comm Credit'!K10</f>
        <v>97.610000000000014</v>
      </c>
      <c r="L12" s="11">
        <f>'[10]Pacific Comm Credit'!L10</f>
        <v>118.82</v>
      </c>
      <c r="M12" s="11">
        <f>'[10]Pacific Comm Credit'!M10</f>
        <v>112.94</v>
      </c>
      <c r="N12" s="5">
        <f>SUM(B12:M12)</f>
        <v>1571.5400000000002</v>
      </c>
      <c r="P12" s="5"/>
      <c r="R12" s="44"/>
      <c r="S12" s="44"/>
      <c r="T12" s="44"/>
      <c r="U12" s="44"/>
      <c r="V12" s="44"/>
      <c r="W12" s="44"/>
      <c r="X12" s="44"/>
      <c r="Y12" s="44"/>
      <c r="Z12" s="44"/>
    </row>
    <row r="13" spans="1:38" ht="6" customHeight="1" x14ac:dyDescent="0.2">
      <c r="B13" s="11"/>
      <c r="C13" s="11"/>
      <c r="D13" s="11"/>
      <c r="E13" s="11"/>
      <c r="F13" s="11"/>
      <c r="G13" s="11"/>
      <c r="H13" s="11"/>
      <c r="I13" s="11"/>
      <c r="J13" s="11"/>
      <c r="K13" s="11"/>
      <c r="L13" s="11"/>
      <c r="M13" s="11"/>
      <c r="N13" s="5"/>
      <c r="P13" s="5"/>
    </row>
    <row r="14" spans="1:38" s="6" customFormat="1" x14ac:dyDescent="0.2">
      <c r="A14" s="6" t="s">
        <v>7</v>
      </c>
      <c r="B14" s="35">
        <f>SUM(B11:B12)</f>
        <v>1190.8300000000004</v>
      </c>
      <c r="C14" s="35">
        <f>SUM(C11:C12)</f>
        <v>1127.29</v>
      </c>
      <c r="D14" s="35">
        <f t="shared" ref="D14:M14" si="0">SUM(D11:D12)</f>
        <v>1075.05</v>
      </c>
      <c r="E14" s="35">
        <f t="shared" si="0"/>
        <v>1144.0100000000002</v>
      </c>
      <c r="F14" s="35">
        <f t="shared" si="0"/>
        <v>1064.6500000000001</v>
      </c>
      <c r="G14" s="35">
        <f t="shared" si="0"/>
        <v>1066.7399999999998</v>
      </c>
      <c r="H14" s="35">
        <f t="shared" si="0"/>
        <v>1140.1500000000001</v>
      </c>
      <c r="I14" s="35">
        <f t="shared" si="0"/>
        <v>1165.0699999999997</v>
      </c>
      <c r="J14" s="35">
        <f t="shared" si="0"/>
        <v>1277.301688</v>
      </c>
      <c r="K14" s="35">
        <f t="shared" si="0"/>
        <v>906.52343600000017</v>
      </c>
      <c r="L14" s="35">
        <f t="shared" si="0"/>
        <v>1176.8330359999995</v>
      </c>
      <c r="M14" s="35">
        <f t="shared" si="0"/>
        <v>1036.492851</v>
      </c>
      <c r="N14" s="35">
        <f>SUM(N11:N13)</f>
        <v>13370.941011000003</v>
      </c>
      <c r="O14" s="57"/>
      <c r="P14" s="45"/>
      <c r="Q14" s="57"/>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27">
        <f>'[10]Pacific Comm Credit'!B15</f>
        <v>62.714999999999996</v>
      </c>
      <c r="C17" s="27">
        <f>'[10]Pacific Comm Credit'!C15</f>
        <v>85.117999999999995</v>
      </c>
      <c r="D17" s="27">
        <f>'[10]Pacific Comm Credit'!D15</f>
        <v>94.094999999999999</v>
      </c>
      <c r="E17" s="27">
        <f>'[10]Pacific Comm Credit'!E15</f>
        <v>80.64</v>
      </c>
      <c r="F17" s="27">
        <f>'[10]Pacific Comm Credit'!F15</f>
        <v>61.322000000000017</v>
      </c>
      <c r="G17" s="27">
        <f>'[10]Pacific Comm Credit'!G15</f>
        <v>22.388999999999996</v>
      </c>
      <c r="H17" s="27">
        <f>'[10]Pacific Comm Credit'!H15</f>
        <v>35.187000000000005</v>
      </c>
      <c r="I17" s="27">
        <f>'[10]Pacific Comm Credit'!I15</f>
        <v>32.935000000000024</v>
      </c>
      <c r="J17" s="27">
        <f>'[10]Pacific Comm Credit'!J15</f>
        <v>-18.190220000000004</v>
      </c>
      <c r="K17" s="27">
        <f>'[10]Pacific Comm Credit'!K15</f>
        <v>-33.529720000000005</v>
      </c>
      <c r="L17" s="27">
        <f>'[10]Pacific Comm Credit'!L15</f>
        <v>-38.297619999999981</v>
      </c>
      <c r="M17" s="27">
        <f>'[10]Pacific Comm Credit'!M15</f>
        <v>-50.726408000000006</v>
      </c>
      <c r="N17" s="7"/>
      <c r="P17" s="5"/>
      <c r="R17" s="46"/>
      <c r="S17" s="46"/>
      <c r="T17" s="46"/>
      <c r="U17" s="46"/>
      <c r="V17" s="46"/>
      <c r="W17" s="46"/>
      <c r="X17" s="46"/>
      <c r="Y17" s="46"/>
      <c r="Z17" s="46"/>
    </row>
    <row r="18" spans="1:42" x14ac:dyDescent="0.2">
      <c r="A18" s="22" t="s">
        <v>6</v>
      </c>
      <c r="B18" s="27">
        <f>'[10]Pacific Comm Credit'!B16</f>
        <v>30</v>
      </c>
      <c r="C18" s="27">
        <f>'[10]Pacific Comm Credit'!C16</f>
        <v>30</v>
      </c>
      <c r="D18" s="27">
        <f>'[10]Pacific Comm Credit'!D16</f>
        <v>30</v>
      </c>
      <c r="E18" s="27">
        <f>'[10]Pacific Comm Credit'!E16</f>
        <v>30</v>
      </c>
      <c r="F18" s="27">
        <f>'[10]Pacific Comm Credit'!F16</f>
        <v>30</v>
      </c>
      <c r="G18" s="27">
        <f>'[10]Pacific Comm Credit'!G16</f>
        <v>30</v>
      </c>
      <c r="H18" s="27">
        <f>'[10]Pacific Comm Credit'!H16</f>
        <v>30</v>
      </c>
      <c r="I18" s="27">
        <f>'[10]Pacific Comm Credit'!I16</f>
        <v>30</v>
      </c>
      <c r="J18" s="27">
        <f>'[10]Pacific Comm Credit'!J16</f>
        <v>-30</v>
      </c>
      <c r="K18" s="27">
        <f>'[10]Pacific Comm Credit'!K16</f>
        <v>-30</v>
      </c>
      <c r="L18" s="27">
        <f>'[10]Pacific Comm Credit'!L16</f>
        <v>-30</v>
      </c>
      <c r="M18" s="27">
        <f>'[10]Pacific Comm Credit'!M16</f>
        <v>-30</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1">+B11*B17</f>
        <v>65392.303350000017</v>
      </c>
      <c r="C21" s="36">
        <f t="shared" si="1"/>
        <v>84777.527999999991</v>
      </c>
      <c r="D21" s="36">
        <f t="shared" si="1"/>
        <v>87092.450100000002</v>
      </c>
      <c r="E21" s="36">
        <f t="shared" si="1"/>
        <v>79831.180800000016</v>
      </c>
      <c r="F21" s="36">
        <f t="shared" si="1"/>
        <v>56908.042440000012</v>
      </c>
      <c r="G21" s="36">
        <f t="shared" si="1"/>
        <v>20920.953269999991</v>
      </c>
      <c r="H21" s="36">
        <f>+H11*H17</f>
        <v>36097.639560000011</v>
      </c>
      <c r="I21" s="36">
        <f t="shared" si="1"/>
        <v>34143.055800000016</v>
      </c>
      <c r="J21" s="16">
        <f t="shared" si="1"/>
        <v>-20548.976532491368</v>
      </c>
      <c r="K21" s="36">
        <f t="shared" si="1"/>
        <v>-27122.641013317931</v>
      </c>
      <c r="L21" s="36">
        <f t="shared" si="1"/>
        <v>-40519.381207774284</v>
      </c>
      <c r="M21" s="36">
        <f t="shared" si="1"/>
        <v>-46848.518729389209</v>
      </c>
      <c r="N21" s="9">
        <f>SUM(B21:M21)</f>
        <v>330123.63583702734</v>
      </c>
      <c r="P21" s="8"/>
      <c r="R21" s="8"/>
      <c r="S21" s="8"/>
      <c r="T21" s="8"/>
      <c r="U21" s="8"/>
      <c r="V21" s="8"/>
      <c r="W21" s="8"/>
      <c r="X21" s="8"/>
      <c r="Y21" s="8"/>
      <c r="Z21" s="8"/>
    </row>
    <row r="22" spans="1:42" x14ac:dyDescent="0.2">
      <c r="A22" s="22" t="s">
        <v>6</v>
      </c>
      <c r="B22" s="36">
        <f t="shared" ref="B22:K22" si="2">+B18*B12</f>
        <v>4444.2</v>
      </c>
      <c r="C22" s="36">
        <f t="shared" si="2"/>
        <v>3938.7</v>
      </c>
      <c r="D22" s="36">
        <f t="shared" si="2"/>
        <v>4484.1000000000004</v>
      </c>
      <c r="E22" s="36">
        <f t="shared" si="2"/>
        <v>4621.2000000000007</v>
      </c>
      <c r="F22" s="36">
        <f t="shared" si="2"/>
        <v>4098.8999999999996</v>
      </c>
      <c r="G22" s="36">
        <f t="shared" si="2"/>
        <v>3969.3</v>
      </c>
      <c r="H22" s="36">
        <f t="shared" si="2"/>
        <v>3428.1000000000004</v>
      </c>
      <c r="I22" s="36">
        <f t="shared" si="2"/>
        <v>3851.7</v>
      </c>
      <c r="J22" s="58">
        <f t="shared" si="2"/>
        <v>-4428.8999999999996</v>
      </c>
      <c r="K22" s="36">
        <f t="shared" si="2"/>
        <v>-2928.3</v>
      </c>
      <c r="L22" s="36">
        <f>+L18*L12</f>
        <v>-3564.6</v>
      </c>
      <c r="M22" s="36">
        <f>+M18*M12</f>
        <v>-3388.2</v>
      </c>
      <c r="N22" s="9">
        <f>SUM(B22:M22)</f>
        <v>18526.199999999997</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69836.503350000014</v>
      </c>
      <c r="C24" s="37">
        <f>SUM(C21:C22)</f>
        <v>88716.227999999988</v>
      </c>
      <c r="D24" s="37">
        <f t="shared" ref="D24:M24" si="3">SUM(D21:D22)</f>
        <v>91576.550100000008</v>
      </c>
      <c r="E24" s="37">
        <f t="shared" si="3"/>
        <v>84452.380800000014</v>
      </c>
      <c r="F24" s="37">
        <f t="shared" si="3"/>
        <v>61006.942440000013</v>
      </c>
      <c r="G24" s="37">
        <f t="shared" si="3"/>
        <v>24890.25326999999</v>
      </c>
      <c r="H24" s="37">
        <f t="shared" si="3"/>
        <v>39525.739560000009</v>
      </c>
      <c r="I24" s="37">
        <f t="shared" si="3"/>
        <v>37994.755800000014</v>
      </c>
      <c r="J24" s="37">
        <f t="shared" si="3"/>
        <v>-24977.876532491369</v>
      </c>
      <c r="K24" s="37">
        <f t="shared" si="3"/>
        <v>-30050.94101331793</v>
      </c>
      <c r="L24" s="37">
        <f t="shared" si="3"/>
        <v>-44083.981207774283</v>
      </c>
      <c r="M24" s="37">
        <f t="shared" si="3"/>
        <v>-50236.718729389206</v>
      </c>
      <c r="N24" s="40">
        <f>SUM(N21:N23)</f>
        <v>348649.83583702735</v>
      </c>
      <c r="P24" s="20"/>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'[10]Pacific Comm Credit'!B23</f>
        <v>45797</v>
      </c>
      <c r="C27" s="16">
        <f>'[10]Pacific Comm Credit'!C23</f>
        <v>45900</v>
      </c>
      <c r="D27" s="16">
        <f>'[10]Pacific Comm Credit'!D23</f>
        <v>45900</v>
      </c>
      <c r="E27" s="16">
        <f>'[10]Pacific Comm Credit'!E23</f>
        <v>46228</v>
      </c>
      <c r="F27" s="16">
        <f>'[10]Pacific Comm Credit'!F23</f>
        <v>46274</v>
      </c>
      <c r="G27" s="16">
        <f>'[10]Pacific Comm Credit'!G23</f>
        <v>45845</v>
      </c>
      <c r="H27" s="16">
        <f>'[10]Pacific Comm Credit'!H23</f>
        <v>45870</v>
      </c>
      <c r="I27" s="16">
        <f>'[10]Pacific Comm Credit'!I23</f>
        <v>45877</v>
      </c>
      <c r="J27" s="16">
        <f>'[10]Pacific Comm Credit'!J23</f>
        <v>45952</v>
      </c>
      <c r="K27" s="16">
        <f>'[10]Pacific Comm Credit'!K23</f>
        <v>45920</v>
      </c>
      <c r="L27" s="16">
        <f>'[10]Pacific Comm Credit'!L23</f>
        <v>46147</v>
      </c>
      <c r="M27" s="16">
        <f>'[10]Pacific Comm Credit'!M23</f>
        <v>46391</v>
      </c>
      <c r="N27" s="8">
        <f>SUM(B27:M27)</f>
        <v>552101</v>
      </c>
      <c r="O27" s="5"/>
      <c r="P27" s="45"/>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t="s">
        <v>11</v>
      </c>
      <c r="B28" s="16">
        <f>'[10]Pacific Comm Credit'!B24</f>
        <v>3581</v>
      </c>
      <c r="C28" s="16">
        <f>'[10]Pacific Comm Credit'!C24</f>
        <v>3602</v>
      </c>
      <c r="D28" s="16">
        <f>'[10]Pacific Comm Credit'!D24</f>
        <v>3602</v>
      </c>
      <c r="E28" s="16">
        <f>'[10]Pacific Comm Credit'!E24</f>
        <v>3620</v>
      </c>
      <c r="F28" s="16">
        <f>'[10]Pacific Comm Credit'!F24</f>
        <v>3622</v>
      </c>
      <c r="G28" s="16">
        <f>'[10]Pacific Comm Credit'!G24</f>
        <v>3576</v>
      </c>
      <c r="H28" s="16">
        <f>'[10]Pacific Comm Credit'!H24</f>
        <v>3574</v>
      </c>
      <c r="I28" s="16">
        <f>'[10]Pacific Comm Credit'!I24</f>
        <v>3575</v>
      </c>
      <c r="J28" s="16">
        <f>'[10]Pacific Comm Credit'!J24</f>
        <v>3583</v>
      </c>
      <c r="K28" s="16">
        <f>'[10]Pacific Comm Credit'!K24</f>
        <v>3586</v>
      </c>
      <c r="L28" s="16">
        <f>'[10]Pacific Comm Credit'!L24</f>
        <v>3603</v>
      </c>
      <c r="M28" s="16">
        <f>'[10]Pacific Comm Credit'!M24</f>
        <v>3616</v>
      </c>
      <c r="N28" s="8">
        <f>SUM(B28:M28)</f>
        <v>43140</v>
      </c>
      <c r="O28" s="5"/>
      <c r="P28" s="45"/>
      <c r="Q28" s="5"/>
      <c r="R28" s="48"/>
      <c r="S28" s="48"/>
      <c r="T28" s="48"/>
      <c r="U28" s="48"/>
      <c r="V28" s="48"/>
      <c r="W28" s="48"/>
      <c r="X28" s="48"/>
      <c r="Y28" s="48"/>
      <c r="Z28" s="48"/>
      <c r="AA28" s="5"/>
      <c r="AB28" s="5"/>
      <c r="AC28" s="5"/>
      <c r="AD28" s="5"/>
      <c r="AE28" s="5"/>
      <c r="AF28" s="5"/>
      <c r="AG28" s="5"/>
      <c r="AH28" s="5"/>
      <c r="AI28" s="5"/>
      <c r="AJ28" s="5"/>
      <c r="AK28" s="5"/>
      <c r="AL28" s="5"/>
    </row>
    <row r="29" spans="1:42" s="11" customFormat="1" x14ac:dyDescent="0.2">
      <c r="A29" s="10"/>
      <c r="N29" s="8"/>
      <c r="O29" s="5"/>
      <c r="P29" s="45"/>
      <c r="Q29" s="5"/>
      <c r="R29" s="48"/>
      <c r="S29" s="48"/>
      <c r="T29" s="48"/>
      <c r="U29" s="48"/>
      <c r="V29" s="48"/>
      <c r="W29" s="48"/>
      <c r="X29" s="48"/>
      <c r="Y29" s="48"/>
      <c r="Z29" s="48"/>
      <c r="AA29" s="5"/>
      <c r="AB29" s="5"/>
      <c r="AC29" s="5"/>
      <c r="AD29" s="5"/>
      <c r="AE29" s="5"/>
      <c r="AF29" s="5"/>
      <c r="AG29" s="5"/>
      <c r="AH29" s="5"/>
      <c r="AI29" s="5"/>
      <c r="AJ29" s="5"/>
      <c r="AK29" s="5"/>
      <c r="AL29" s="5"/>
    </row>
    <row r="30" spans="1:42" s="14" customFormat="1" x14ac:dyDescent="0.2">
      <c r="A30" s="13" t="s">
        <v>12</v>
      </c>
      <c r="B30" s="38">
        <f>+B27+B28</f>
        <v>49378</v>
      </c>
      <c r="C30" s="38">
        <f t="shared" ref="C30:I30" si="4">+C27+C28</f>
        <v>49502</v>
      </c>
      <c r="D30" s="38">
        <f t="shared" si="4"/>
        <v>49502</v>
      </c>
      <c r="E30" s="38">
        <f t="shared" si="4"/>
        <v>49848</v>
      </c>
      <c r="F30" s="38">
        <f t="shared" si="4"/>
        <v>49896</v>
      </c>
      <c r="G30" s="38">
        <f t="shared" si="4"/>
        <v>49421</v>
      </c>
      <c r="H30" s="38">
        <f t="shared" si="4"/>
        <v>49444</v>
      </c>
      <c r="I30" s="38">
        <f t="shared" si="4"/>
        <v>49452</v>
      </c>
      <c r="J30" s="38">
        <f>+J27+J28</f>
        <v>49535</v>
      </c>
      <c r="K30" s="38">
        <f>+K27+K28</f>
        <v>49506</v>
      </c>
      <c r="L30" s="38">
        <f>+L27+L28</f>
        <v>49750</v>
      </c>
      <c r="M30" s="38">
        <f>+M27+M28</f>
        <v>50007</v>
      </c>
      <c r="N30" s="41">
        <f>SUM(N27:N28)</f>
        <v>595241</v>
      </c>
      <c r="O30" s="45"/>
      <c r="P30" s="45"/>
      <c r="Q30" s="45"/>
      <c r="R30" s="49"/>
      <c r="S30" s="49"/>
      <c r="T30" s="49"/>
      <c r="U30" s="49"/>
      <c r="V30" s="49"/>
      <c r="W30" s="49"/>
      <c r="X30" s="49"/>
      <c r="Y30" s="49"/>
      <c r="Z30" s="49"/>
      <c r="AA30" s="45"/>
      <c r="AB30" s="45"/>
      <c r="AC30" s="45"/>
      <c r="AD30" s="45"/>
      <c r="AE30" s="45"/>
      <c r="AF30" s="45"/>
      <c r="AG30" s="45"/>
      <c r="AH30" s="45"/>
      <c r="AI30" s="45"/>
      <c r="AJ30" s="45"/>
      <c r="AK30" s="45"/>
      <c r="AL30" s="45"/>
    </row>
    <row r="31" spans="1:42" s="16" customFormat="1" x14ac:dyDescent="0.2">
      <c r="A31" s="10"/>
      <c r="N31" s="15"/>
      <c r="O31" s="8"/>
      <c r="P31" s="45"/>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27">
        <f>+IFERROR(B24/B30,0)</f>
        <v>1.4143242608044071</v>
      </c>
      <c r="C32" s="27">
        <f t="shared" ref="C32:M32" si="5">+IFERROR(C24/C30,0)</f>
        <v>1.7921746192073045</v>
      </c>
      <c r="D32" s="27">
        <f t="shared" si="5"/>
        <v>1.8499565694315383</v>
      </c>
      <c r="E32" s="27">
        <f t="shared" si="5"/>
        <v>1.6941979778526723</v>
      </c>
      <c r="F32" s="27">
        <f t="shared" si="5"/>
        <v>1.2226820274170276</v>
      </c>
      <c r="G32" s="27">
        <f t="shared" si="5"/>
        <v>0.50363718399061108</v>
      </c>
      <c r="H32" s="27">
        <f t="shared" si="5"/>
        <v>0.79940416552058913</v>
      </c>
      <c r="I32" s="27">
        <f t="shared" si="5"/>
        <v>0.7683158578015048</v>
      </c>
      <c r="J32" s="27">
        <f t="shared" si="5"/>
        <v>-0.50424702801032339</v>
      </c>
      <c r="K32" s="27">
        <f t="shared" si="5"/>
        <v>-0.60701613972685997</v>
      </c>
      <c r="L32" s="27">
        <f t="shared" si="5"/>
        <v>-0.88611017503063882</v>
      </c>
      <c r="M32" s="27">
        <f t="shared" si="5"/>
        <v>-1.004593731465379</v>
      </c>
      <c r="N32" s="17"/>
      <c r="O32" s="8"/>
      <c r="P32" s="5"/>
      <c r="Q32" s="8"/>
      <c r="R32" s="5"/>
      <c r="S32" s="5"/>
      <c r="T32" s="5"/>
      <c r="U32" s="5"/>
      <c r="V32" s="5"/>
      <c r="W32" s="5"/>
      <c r="X32" s="5"/>
      <c r="Y32" s="5"/>
      <c r="Z32" s="5"/>
      <c r="AA32" s="50"/>
      <c r="AB32" s="8"/>
      <c r="AC32" s="8"/>
      <c r="AD32" s="8"/>
      <c r="AE32" s="8"/>
      <c r="AF32" s="8"/>
      <c r="AG32" s="8"/>
      <c r="AH32" s="8"/>
      <c r="AI32" s="8"/>
      <c r="AJ32" s="8"/>
      <c r="AK32" s="8"/>
      <c r="AL32" s="8"/>
    </row>
    <row r="33" spans="1:38" s="16" customFormat="1" x14ac:dyDescent="0.2">
      <c r="A33" s="10" t="s">
        <v>14</v>
      </c>
      <c r="B33" s="27">
        <f>'[11]Pacific Comm Credit'!$M$33</f>
        <v>0.83</v>
      </c>
      <c r="C33" s="27">
        <f>'[11]Pacific Comm Credit'!$M$33</f>
        <v>0.83</v>
      </c>
      <c r="D33" s="27">
        <f>'[11]Pacific Comm Credit'!$N$38</f>
        <v>1.35</v>
      </c>
      <c r="E33" s="27">
        <f>'[11]Pacific Comm Credit'!$N$38</f>
        <v>1.35</v>
      </c>
      <c r="F33" s="27">
        <f>'[11]Pacific Comm Credit'!$N$38</f>
        <v>1.35</v>
      </c>
      <c r="G33" s="27">
        <f>'[11]Pacific Comm Credit'!$N$38</f>
        <v>1.35</v>
      </c>
      <c r="H33" s="27">
        <f>'[11]Pacific Comm Credit'!$N$38</f>
        <v>1.35</v>
      </c>
      <c r="I33" s="27">
        <f>'[11]Pacific Comm Credit'!$N$38</f>
        <v>1.35</v>
      </c>
      <c r="J33" s="27">
        <f>'[11]Pacific Comm Credit'!$N$38</f>
        <v>1.35</v>
      </c>
      <c r="K33" s="27">
        <f>'[11]Pacific Comm Credit'!$N$38</f>
        <v>1.35</v>
      </c>
      <c r="L33" s="27">
        <f>'[11]Pacific Comm Credit'!$N$38</f>
        <v>1.35</v>
      </c>
      <c r="M33" s="27">
        <f>'[11]Pacific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27"/>
      <c r="C34" s="27"/>
      <c r="D34" s="27"/>
      <c r="E34" s="27"/>
      <c r="F34" s="27"/>
      <c r="G34" s="27"/>
      <c r="H34" s="27"/>
      <c r="I34" s="27"/>
      <c r="J34" s="27"/>
      <c r="K34" s="27"/>
      <c r="L34" s="27"/>
      <c r="M34" s="27"/>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59">
        <f t="shared" ref="B35:I35" si="6">+(B32-B33)*B30</f>
        <v>28852.763350000016</v>
      </c>
      <c r="C35" s="59">
        <f>+(C32-C33)*C30</f>
        <v>47629.567999999985</v>
      </c>
      <c r="D35" s="59">
        <f t="shared" si="6"/>
        <v>24748.850100000003</v>
      </c>
      <c r="E35" s="59">
        <f t="shared" si="6"/>
        <v>17157.580800000007</v>
      </c>
      <c r="F35" s="59">
        <f t="shared" si="6"/>
        <v>-6352.657559999996</v>
      </c>
      <c r="G35" s="59">
        <f t="shared" si="6"/>
        <v>-41828.096730000012</v>
      </c>
      <c r="H35" s="59">
        <f t="shared" si="6"/>
        <v>-27223.660439999996</v>
      </c>
      <c r="I35" s="59">
        <f t="shared" si="6"/>
        <v>-28765.444199999991</v>
      </c>
      <c r="J35" s="59">
        <f>+(J32-J33)*J30</f>
        <v>-91850.126532491369</v>
      </c>
      <c r="K35" s="59">
        <f>+(K32-K33)*K30</f>
        <v>-96884.041013317939</v>
      </c>
      <c r="L35" s="59">
        <f>+(L32-L33)*L30</f>
        <v>-111246.48120777428</v>
      </c>
      <c r="M35" s="59">
        <f>+(M32-M33)*M30</f>
        <v>-117746.16872938922</v>
      </c>
      <c r="N35" s="60">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28"/>
      <c r="C37" s="28"/>
      <c r="D37" s="28"/>
      <c r="E37" s="28"/>
      <c r="F37" s="28"/>
      <c r="G37" s="28"/>
      <c r="H37" s="28"/>
      <c r="I37" s="28"/>
      <c r="J37" s="28"/>
      <c r="K37" s="28"/>
      <c r="L37" s="28"/>
      <c r="M37" s="21" t="s">
        <v>18</v>
      </c>
      <c r="N37" s="17">
        <f>ROUND(N35/N30,2)</f>
        <v>-0.68</v>
      </c>
      <c r="O37" s="5"/>
      <c r="Q37" s="8"/>
      <c r="X37" s="51"/>
      <c r="Y37" s="51"/>
      <c r="Z37" s="51"/>
      <c r="AA37" s="52"/>
    </row>
    <row r="38" spans="1:38" x14ac:dyDescent="0.2">
      <c r="A38" s="71" t="s">
        <v>29</v>
      </c>
      <c r="B38" s="2">
        <v>43069</v>
      </c>
      <c r="C38" s="2">
        <v>43100</v>
      </c>
      <c r="D38" s="2">
        <v>43131</v>
      </c>
      <c r="E38" s="2">
        <v>43159</v>
      </c>
      <c r="F38" s="2">
        <v>43190</v>
      </c>
      <c r="G38" s="2">
        <v>43220</v>
      </c>
      <c r="H38" s="21"/>
      <c r="I38" s="21"/>
      <c r="J38" s="21"/>
      <c r="K38" s="21"/>
      <c r="L38" s="21"/>
      <c r="M38" s="21" t="s">
        <v>21</v>
      </c>
      <c r="N38" s="17">
        <f>SUM(B42:G42)/SUM(H30:M30)</f>
        <v>-1.1456429004883295</v>
      </c>
      <c r="O38" s="44"/>
      <c r="X38" s="51"/>
      <c r="Y38" s="51"/>
      <c r="Z38" s="51"/>
      <c r="AA38" s="44"/>
    </row>
    <row r="39" spans="1:38" ht="25.5" x14ac:dyDescent="0.2">
      <c r="A39" s="62" t="s">
        <v>30</v>
      </c>
      <c r="B39" s="46">
        <f>H17-45</f>
        <v>-9.8129999999999953</v>
      </c>
      <c r="C39" s="46">
        <f t="shared" ref="C39:G39" si="7">I17-45</f>
        <v>-12.064999999999976</v>
      </c>
      <c r="D39" s="46">
        <f t="shared" si="7"/>
        <v>-63.190220000000004</v>
      </c>
      <c r="E39" s="46">
        <f t="shared" si="7"/>
        <v>-78.529719999999998</v>
      </c>
      <c r="F39" s="46">
        <f t="shared" si="7"/>
        <v>-83.297619999999981</v>
      </c>
      <c r="G39" s="46">
        <f t="shared" si="7"/>
        <v>-95.726408000000006</v>
      </c>
      <c r="J39" s="21"/>
      <c r="K39" s="21"/>
      <c r="L39" s="21"/>
      <c r="M39" s="42" t="s">
        <v>31</v>
      </c>
      <c r="N39" s="18">
        <f>SUM(N37:N38)</f>
        <v>-1.8256429004883294</v>
      </c>
      <c r="X39" s="51"/>
      <c r="Y39" s="51"/>
      <c r="Z39" s="51"/>
      <c r="AA39" s="53"/>
    </row>
    <row r="40" spans="1:38" ht="25.5" x14ac:dyDescent="0.2">
      <c r="A40" s="62" t="s">
        <v>32</v>
      </c>
      <c r="B40" s="36">
        <f>H11*B39</f>
        <v>-10066.960439999997</v>
      </c>
      <c r="C40" s="36">
        <f t="shared" ref="C40:G40" si="8">I11*C39</f>
        <v>-12507.544199999973</v>
      </c>
      <c r="D40" s="36">
        <f t="shared" si="8"/>
        <v>-71384.202492491371</v>
      </c>
      <c r="E40" s="36">
        <f t="shared" si="8"/>
        <v>-63523.745633317929</v>
      </c>
      <c r="F40" s="36">
        <f t="shared" si="8"/>
        <v>-88129.967827774264</v>
      </c>
      <c r="G40" s="36">
        <f t="shared" si="8"/>
        <v>-88408.397024389211</v>
      </c>
      <c r="H40" s="21"/>
      <c r="I40" s="21"/>
      <c r="J40" s="21"/>
      <c r="K40" s="21"/>
      <c r="L40" s="21"/>
      <c r="M40" s="21"/>
      <c r="N40" s="20"/>
      <c r="X40" s="51"/>
      <c r="Y40" s="51"/>
      <c r="Z40" s="51"/>
      <c r="AA40" s="53"/>
    </row>
    <row r="41" spans="1:38" x14ac:dyDescent="0.2">
      <c r="A41" s="62" t="s">
        <v>33</v>
      </c>
      <c r="B41" s="72">
        <f>H12*H18</f>
        <v>3428.1000000000004</v>
      </c>
      <c r="C41" s="72">
        <f t="shared" ref="C41:G41" si="9">I12*I18</f>
        <v>3851.7</v>
      </c>
      <c r="D41" s="72">
        <f t="shared" si="9"/>
        <v>-4428.8999999999996</v>
      </c>
      <c r="E41" s="72">
        <f t="shared" si="9"/>
        <v>-2928.3</v>
      </c>
      <c r="F41" s="72">
        <f t="shared" si="9"/>
        <v>-3564.6</v>
      </c>
      <c r="G41" s="72">
        <f t="shared" si="9"/>
        <v>-3388.2</v>
      </c>
      <c r="H41" s="39"/>
      <c r="I41" s="39"/>
      <c r="J41" s="21"/>
      <c r="K41" s="21"/>
      <c r="L41" s="21"/>
      <c r="M41" s="21" t="s">
        <v>34</v>
      </c>
      <c r="N41" s="5">
        <v>1.81</v>
      </c>
      <c r="Q41" s="8"/>
      <c r="R41" s="8"/>
      <c r="S41" s="55"/>
      <c r="X41" s="8"/>
      <c r="Y41" s="8"/>
      <c r="Z41" s="51"/>
    </row>
    <row r="42" spans="1:38" x14ac:dyDescent="0.2">
      <c r="A42" s="73" t="s">
        <v>35</v>
      </c>
      <c r="B42" s="74">
        <f>SUM(B40:B41)</f>
        <v>-6638.8604399999967</v>
      </c>
      <c r="C42" s="74">
        <f t="shared" ref="C42:G42" si="10">SUM(C40:C41)</f>
        <v>-8655.8441999999741</v>
      </c>
      <c r="D42" s="74">
        <f t="shared" si="10"/>
        <v>-75813.102492491365</v>
      </c>
      <c r="E42" s="74">
        <f t="shared" si="10"/>
        <v>-66452.045633317932</v>
      </c>
      <c r="F42" s="74">
        <f t="shared" si="10"/>
        <v>-91694.56782777427</v>
      </c>
      <c r="G42" s="74">
        <f t="shared" si="10"/>
        <v>-91796.597024389208</v>
      </c>
      <c r="H42" s="21"/>
      <c r="I42" s="21"/>
      <c r="J42" s="21"/>
      <c r="K42" s="21"/>
      <c r="L42" s="21"/>
      <c r="M42" s="21" t="s">
        <v>15</v>
      </c>
      <c r="N42" s="5">
        <f>N41-N39</f>
        <v>3.6356429004883295</v>
      </c>
      <c r="O42" s="56">
        <f>N42/N41</f>
        <v>2.0086424864576404</v>
      </c>
      <c r="X42" s="8"/>
      <c r="Y42" s="8"/>
      <c r="Z42" s="51"/>
    </row>
    <row r="43" spans="1:38" x14ac:dyDescent="0.2">
      <c r="A43" s="10"/>
      <c r="B43" s="21"/>
      <c r="C43" s="21"/>
      <c r="D43" s="21"/>
      <c r="E43" s="21"/>
      <c r="F43" s="21"/>
      <c r="G43" s="21"/>
      <c r="H43" s="21"/>
      <c r="I43" s="21"/>
      <c r="J43" s="21"/>
      <c r="K43" s="21"/>
      <c r="L43" s="21"/>
      <c r="M43" s="21" t="s">
        <v>36</v>
      </c>
      <c r="N43" s="8">
        <f>N42*M30*12</f>
        <v>2181691.1342966389</v>
      </c>
      <c r="P43" s="44"/>
      <c r="R43" s="44"/>
      <c r="S43" s="44"/>
      <c r="T43" s="44"/>
      <c r="U43" s="44"/>
      <c r="V43" s="44"/>
      <c r="W43" s="44"/>
      <c r="X43" s="44"/>
      <c r="Y43" s="44"/>
      <c r="Z43" s="44"/>
    </row>
    <row r="44" spans="1:38" x14ac:dyDescent="0.2">
      <c r="A44" s="10"/>
      <c r="B44" s="21"/>
      <c r="C44" s="21"/>
      <c r="D44" s="21"/>
      <c r="E44" s="21"/>
      <c r="F44" s="21"/>
      <c r="G44" s="21"/>
      <c r="H44" s="21"/>
      <c r="I44" s="21"/>
      <c r="J44" s="21"/>
      <c r="K44" s="21"/>
      <c r="L44" s="21"/>
      <c r="M44" s="21"/>
      <c r="N44" s="8"/>
      <c r="P44" s="44"/>
      <c r="R44" s="44"/>
      <c r="S44" s="44"/>
      <c r="T44" s="44"/>
      <c r="U44" s="44"/>
      <c r="V44" s="44"/>
      <c r="W44" s="44"/>
      <c r="X44" s="44"/>
      <c r="Y44" s="44"/>
      <c r="Z44" s="44"/>
    </row>
    <row r="45" spans="1:38" x14ac:dyDescent="0.2">
      <c r="A45" s="10"/>
      <c r="B45" s="11"/>
      <c r="C45" s="11"/>
      <c r="D45" s="11"/>
      <c r="E45" s="11"/>
      <c r="F45" s="11"/>
      <c r="G45" s="11"/>
      <c r="H45" s="11"/>
      <c r="I45" s="11"/>
      <c r="J45" s="11"/>
      <c r="K45" s="11"/>
      <c r="L45" s="11"/>
      <c r="M45" s="11"/>
      <c r="N45" s="8"/>
    </row>
    <row r="46" spans="1:38" x14ac:dyDescent="0.2">
      <c r="A46" s="29"/>
      <c r="B46" s="1"/>
      <c r="C46" s="1"/>
      <c r="D46" s="1"/>
      <c r="E46" s="1"/>
      <c r="F46" s="1"/>
      <c r="G46" s="1"/>
      <c r="H46" s="1"/>
      <c r="I46" s="1"/>
      <c r="J46" s="1"/>
      <c r="K46" s="1"/>
      <c r="L46" s="1"/>
      <c r="M46" s="1"/>
      <c r="N46" s="1" t="s">
        <v>28</v>
      </c>
      <c r="Y46" s="51"/>
      <c r="Z46" s="51"/>
      <c r="AA46" s="52"/>
    </row>
    <row r="47" spans="1:38" x14ac:dyDescent="0.2">
      <c r="A47" s="29"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51"/>
      <c r="Z47" s="51"/>
      <c r="AA47" s="44"/>
    </row>
    <row r="48" spans="1:38" x14ac:dyDescent="0.2">
      <c r="A48" s="25" t="s">
        <v>4</v>
      </c>
      <c r="B48" s="4"/>
      <c r="C48" s="4"/>
      <c r="D48" s="4"/>
      <c r="E48" s="4"/>
      <c r="F48" s="4"/>
      <c r="G48" s="4"/>
      <c r="H48" s="4"/>
      <c r="I48" s="4"/>
      <c r="J48" s="4"/>
      <c r="K48" s="4"/>
      <c r="L48" s="4"/>
      <c r="M48" s="4"/>
      <c r="N48" s="4"/>
      <c r="Y48" s="51"/>
      <c r="Z48" s="51"/>
      <c r="AA48" s="53"/>
    </row>
    <row r="49" spans="1:17" x14ac:dyDescent="0.2">
      <c r="A49" s="22" t="s">
        <v>5</v>
      </c>
      <c r="B49" s="11">
        <f>'[10]Pacific Comm Credit'!B41</f>
        <v>86.26</v>
      </c>
      <c r="C49" s="11">
        <f>'[10]Pacific Comm Credit'!C41</f>
        <v>82.469999999999985</v>
      </c>
      <c r="D49" s="11">
        <f>'[10]Pacific Comm Credit'!D41</f>
        <v>78.75</v>
      </c>
      <c r="E49" s="11">
        <f>'[10]Pacific Comm Credit'!E41</f>
        <v>86.26</v>
      </c>
      <c r="F49" s="11">
        <f>'[10]Pacific Comm Credit'!F41</f>
        <v>78.75</v>
      </c>
      <c r="G49" s="11">
        <f>'[10]Pacific Comm Credit'!G41</f>
        <v>82.46999999999997</v>
      </c>
      <c r="H49" s="11">
        <f>'[10]Pacific Comm Credit'!H41</f>
        <v>82.469999999999985</v>
      </c>
      <c r="I49" s="11">
        <f>'[10]Pacific Comm Credit'!I41</f>
        <v>78.75</v>
      </c>
      <c r="J49" s="11">
        <f>'[10]Pacific Comm Credit'!J41</f>
        <v>81.952767999999992</v>
      </c>
      <c r="K49" s="11">
        <f>'[10]Pacific Comm Credit'!K41</f>
        <v>75.019995999999992</v>
      </c>
      <c r="L49" s="11">
        <f>'[10]Pacific Comm Credit'!L41</f>
        <v>82.532999999999987</v>
      </c>
      <c r="M49" s="11">
        <f>'[10]Pacific Comm Credit'!M41</f>
        <v>81.245619000000005</v>
      </c>
      <c r="N49" s="5">
        <f>SUM(B49:M49)</f>
        <v>976.93138299999998</v>
      </c>
    </row>
    <row r="50" spans="1:17" x14ac:dyDescent="0.2">
      <c r="A50" s="22" t="s">
        <v>6</v>
      </c>
      <c r="B50" s="11">
        <f>'[10]Pacific Comm Credit'!B42</f>
        <v>23.49</v>
      </c>
      <c r="C50" s="11">
        <f>'[10]Pacific Comm Credit'!C42</f>
        <v>21.91</v>
      </c>
      <c r="D50" s="11">
        <f>'[10]Pacific Comm Credit'!D42</f>
        <v>22.130000000000003</v>
      </c>
      <c r="E50" s="11">
        <f>'[10]Pacific Comm Credit'!E42</f>
        <v>23.669999999999998</v>
      </c>
      <c r="F50" s="11">
        <f>'[10]Pacific Comm Credit'!F42</f>
        <v>21.419999999999998</v>
      </c>
      <c r="G50" s="11">
        <f>'[10]Pacific Comm Credit'!G42</f>
        <v>21.98</v>
      </c>
      <c r="H50" s="11">
        <f>'[10]Pacific Comm Credit'!H42</f>
        <v>21.11</v>
      </c>
      <c r="I50" s="11">
        <f>'[10]Pacific Comm Credit'!I42</f>
        <v>21.08</v>
      </c>
      <c r="J50" s="11">
        <f>'[10]Pacific Comm Credit'!J42</f>
        <v>23.409999999999997</v>
      </c>
      <c r="K50" s="11">
        <f>'[10]Pacific Comm Credit'!K42</f>
        <v>18.88</v>
      </c>
      <c r="L50" s="11">
        <f>'[10]Pacific Comm Credit'!L42</f>
        <v>21.29</v>
      </c>
      <c r="M50" s="11">
        <f>'[10]Pacific Comm Credit'!M42</f>
        <v>15.64</v>
      </c>
      <c r="N50" s="5">
        <f>SUM(B50:M50)</f>
        <v>256.00999999999993</v>
      </c>
    </row>
    <row r="51" spans="1:17" x14ac:dyDescent="0.2">
      <c r="B51" s="11"/>
      <c r="C51" s="11"/>
      <c r="D51" s="11"/>
      <c r="E51" s="11"/>
      <c r="F51" s="11"/>
      <c r="G51" s="11"/>
      <c r="H51" s="11"/>
      <c r="I51" s="11"/>
      <c r="J51" s="11"/>
      <c r="K51" s="11"/>
      <c r="L51" s="11"/>
      <c r="M51" s="11"/>
      <c r="N51" s="5"/>
    </row>
    <row r="52" spans="1:17" s="6" customFormat="1" x14ac:dyDescent="0.2">
      <c r="A52" s="6" t="s">
        <v>2</v>
      </c>
      <c r="B52" s="35">
        <f>SUM(B49:B51)</f>
        <v>109.75</v>
      </c>
      <c r="C52" s="35">
        <f>SUM(C49:C51)</f>
        <v>104.37999999999998</v>
      </c>
      <c r="D52" s="35">
        <f t="shared" ref="D52:K52" si="12">SUM(D49:D50)</f>
        <v>100.88</v>
      </c>
      <c r="E52" s="35">
        <f t="shared" si="12"/>
        <v>109.93</v>
      </c>
      <c r="F52" s="35">
        <f t="shared" si="12"/>
        <v>100.17</v>
      </c>
      <c r="G52" s="35">
        <f t="shared" si="12"/>
        <v>104.44999999999997</v>
      </c>
      <c r="H52" s="35">
        <f t="shared" si="12"/>
        <v>103.57999999999998</v>
      </c>
      <c r="I52" s="35">
        <f t="shared" si="12"/>
        <v>99.83</v>
      </c>
      <c r="J52" s="35">
        <f t="shared" si="12"/>
        <v>105.36276799999999</v>
      </c>
      <c r="K52" s="35">
        <f t="shared" si="12"/>
        <v>93.899995999999987</v>
      </c>
      <c r="L52" s="35">
        <f>SUM(L49:L50)</f>
        <v>103.82299999999998</v>
      </c>
      <c r="M52" s="35">
        <f>SUM(M49:M50)</f>
        <v>96.885619000000005</v>
      </c>
      <c r="N52" s="35">
        <f>SUM(N49:N51)</f>
        <v>1232.9413829999999</v>
      </c>
      <c r="O52" s="57"/>
      <c r="P52" s="45"/>
      <c r="Q52" s="57"/>
    </row>
    <row r="54" spans="1:17" x14ac:dyDescent="0.2">
      <c r="A54" s="26" t="s">
        <v>20</v>
      </c>
    </row>
    <row r="55" spans="1:17" x14ac:dyDescent="0.2">
      <c r="A55" s="22" t="s">
        <v>5</v>
      </c>
      <c r="B55" s="27">
        <f>B17</f>
        <v>62.714999999999996</v>
      </c>
      <c r="C55" s="27">
        <f t="shared" ref="C55:M56" si="13">C17</f>
        <v>85.117999999999995</v>
      </c>
      <c r="D55" s="27">
        <f t="shared" si="13"/>
        <v>94.094999999999999</v>
      </c>
      <c r="E55" s="27">
        <f t="shared" si="13"/>
        <v>80.64</v>
      </c>
      <c r="F55" s="27">
        <f t="shared" si="13"/>
        <v>61.322000000000017</v>
      </c>
      <c r="G55" s="27">
        <f t="shared" si="13"/>
        <v>22.388999999999996</v>
      </c>
      <c r="H55" s="27">
        <f t="shared" si="13"/>
        <v>35.187000000000005</v>
      </c>
      <c r="I55" s="27">
        <f t="shared" si="13"/>
        <v>32.935000000000024</v>
      </c>
      <c r="J55" s="27">
        <f t="shared" si="13"/>
        <v>-18.190220000000004</v>
      </c>
      <c r="K55" s="27">
        <f t="shared" si="13"/>
        <v>-33.529720000000005</v>
      </c>
      <c r="L55" s="27">
        <f t="shared" si="13"/>
        <v>-38.297619999999981</v>
      </c>
      <c r="M55" s="27">
        <f t="shared" si="13"/>
        <v>-50.726408000000006</v>
      </c>
      <c r="N55" s="8"/>
    </row>
    <row r="56" spans="1:17" x14ac:dyDescent="0.2">
      <c r="A56" s="22" t="s">
        <v>6</v>
      </c>
      <c r="B56" s="27">
        <f>B18</f>
        <v>30</v>
      </c>
      <c r="C56" s="27">
        <f t="shared" si="13"/>
        <v>30</v>
      </c>
      <c r="D56" s="27">
        <f t="shared" si="13"/>
        <v>30</v>
      </c>
      <c r="E56" s="27">
        <f t="shared" si="13"/>
        <v>30</v>
      </c>
      <c r="F56" s="27">
        <f t="shared" si="13"/>
        <v>30</v>
      </c>
      <c r="G56" s="27">
        <f t="shared" si="13"/>
        <v>30</v>
      </c>
      <c r="H56" s="27">
        <f t="shared" si="13"/>
        <v>30</v>
      </c>
      <c r="I56" s="27">
        <f t="shared" si="13"/>
        <v>30</v>
      </c>
      <c r="J56" s="27">
        <f t="shared" si="13"/>
        <v>-30</v>
      </c>
      <c r="K56" s="27">
        <f t="shared" si="13"/>
        <v>-30</v>
      </c>
      <c r="L56" s="27">
        <f t="shared" si="13"/>
        <v>-30</v>
      </c>
      <c r="M56" s="27">
        <f t="shared" si="13"/>
        <v>-30</v>
      </c>
      <c r="N56" s="8"/>
    </row>
    <row r="58" spans="1:17" x14ac:dyDescent="0.2">
      <c r="A58" s="26" t="s">
        <v>8</v>
      </c>
    </row>
    <row r="59" spans="1:17" x14ac:dyDescent="0.2">
      <c r="A59" s="22" t="s">
        <v>5</v>
      </c>
      <c r="B59" s="36">
        <f>B49*B55</f>
        <v>5409.7959000000001</v>
      </c>
      <c r="C59" s="36">
        <f>C49*C55</f>
        <v>7019.681459999998</v>
      </c>
      <c r="D59" s="36">
        <f t="shared" ref="D59:M59" si="14">+D49*D55</f>
        <v>7409.9812499999998</v>
      </c>
      <c r="E59" s="36">
        <f t="shared" si="14"/>
        <v>6956.0064000000002</v>
      </c>
      <c r="F59" s="36">
        <f t="shared" si="14"/>
        <v>4829.107500000001</v>
      </c>
      <c r="G59" s="36">
        <f t="shared" si="14"/>
        <v>1846.4208299999989</v>
      </c>
      <c r="H59" s="36">
        <f t="shared" si="14"/>
        <v>2901.8718899999999</v>
      </c>
      <c r="I59" s="36">
        <f t="shared" si="14"/>
        <v>2593.6312500000017</v>
      </c>
      <c r="J59" s="36">
        <f t="shared" si="14"/>
        <v>-1490.7388795289601</v>
      </c>
      <c r="K59" s="36">
        <f t="shared" si="14"/>
        <v>-2515.3994602811199</v>
      </c>
      <c r="L59" s="36">
        <f t="shared" si="14"/>
        <v>-3160.8174714599977</v>
      </c>
      <c r="M59" s="36">
        <f t="shared" si="14"/>
        <v>-4121.2984176065529</v>
      </c>
      <c r="N59" s="9">
        <f>SUM(B59:M59)</f>
        <v>27678.242251123367</v>
      </c>
    </row>
    <row r="60" spans="1:17" x14ac:dyDescent="0.2">
      <c r="A60" s="22" t="s">
        <v>6</v>
      </c>
      <c r="B60" s="36">
        <f>B50*B56</f>
        <v>704.69999999999993</v>
      </c>
      <c r="C60" s="36">
        <f>C50*C56</f>
        <v>657.3</v>
      </c>
      <c r="D60" s="36">
        <f>+D56*D50</f>
        <v>663.90000000000009</v>
      </c>
      <c r="E60" s="36">
        <f t="shared" ref="E60:M60" si="15">+E56*E50</f>
        <v>710.09999999999991</v>
      </c>
      <c r="F60" s="36">
        <f t="shared" si="15"/>
        <v>642.59999999999991</v>
      </c>
      <c r="G60" s="36">
        <f t="shared" si="15"/>
        <v>659.4</v>
      </c>
      <c r="H60" s="36">
        <f t="shared" si="15"/>
        <v>633.29999999999995</v>
      </c>
      <c r="I60" s="36">
        <f t="shared" si="15"/>
        <v>632.4</v>
      </c>
      <c r="J60" s="36">
        <f t="shared" si="15"/>
        <v>-702.3</v>
      </c>
      <c r="K60" s="36">
        <f t="shared" si="15"/>
        <v>-566.4</v>
      </c>
      <c r="L60" s="36">
        <f t="shared" si="15"/>
        <v>-638.69999999999993</v>
      </c>
      <c r="M60" s="36">
        <f t="shared" si="15"/>
        <v>-469.20000000000005</v>
      </c>
      <c r="N60" s="9">
        <f>SUM(B60:M60)</f>
        <v>2927.0999999999995</v>
      </c>
    </row>
    <row r="61" spans="1:17" x14ac:dyDescent="0.2">
      <c r="B61" s="16"/>
      <c r="C61" s="16"/>
      <c r="D61" s="16"/>
      <c r="E61" s="16"/>
      <c r="F61" s="16"/>
      <c r="G61" s="16"/>
      <c r="H61" s="16"/>
      <c r="I61" s="16"/>
      <c r="J61" s="16"/>
      <c r="K61" s="16"/>
      <c r="L61" s="16"/>
      <c r="M61" s="16"/>
      <c r="N61" s="8"/>
    </row>
    <row r="62" spans="1:17" s="6" customFormat="1" x14ac:dyDescent="0.2">
      <c r="A62" s="6" t="s">
        <v>9</v>
      </c>
      <c r="B62" s="37">
        <f>SUM(B59:B60)</f>
        <v>6114.4958999999999</v>
      </c>
      <c r="C62" s="37">
        <f t="shared" ref="C62:I62" si="16">SUM(C59:C60)</f>
        <v>7676.9814599999982</v>
      </c>
      <c r="D62" s="37">
        <f t="shared" si="16"/>
        <v>8073.8812500000004</v>
      </c>
      <c r="E62" s="37">
        <f t="shared" si="16"/>
        <v>7666.1064000000006</v>
      </c>
      <c r="F62" s="37">
        <f t="shared" si="16"/>
        <v>5471.7075000000004</v>
      </c>
      <c r="G62" s="37">
        <f t="shared" si="16"/>
        <v>2505.8208299999988</v>
      </c>
      <c r="H62" s="37">
        <f t="shared" si="16"/>
        <v>3535.1718899999996</v>
      </c>
      <c r="I62" s="37">
        <f t="shared" si="16"/>
        <v>3226.0312500000018</v>
      </c>
      <c r="J62" s="37">
        <f>SUM(J59:J60)</f>
        <v>-2193.03887952896</v>
      </c>
      <c r="K62" s="37">
        <f>SUM(K59:K60)</f>
        <v>-3081.79946028112</v>
      </c>
      <c r="L62" s="37">
        <f>SUM(L59:L60)</f>
        <v>-3799.5174714599975</v>
      </c>
      <c r="M62" s="37">
        <f>SUM(M59:M60)</f>
        <v>-4590.4984176065527</v>
      </c>
      <c r="N62" s="40">
        <f>SUM(N59:N60)</f>
        <v>30605.342251123366</v>
      </c>
      <c r="O62" s="54"/>
    </row>
    <row r="63" spans="1:17" x14ac:dyDescent="0.2">
      <c r="B63" s="16"/>
      <c r="C63" s="16"/>
      <c r="D63" s="16"/>
      <c r="E63" s="16"/>
      <c r="F63" s="16"/>
      <c r="G63" s="16"/>
      <c r="H63" s="16"/>
      <c r="I63" s="16"/>
      <c r="J63" s="16"/>
      <c r="K63" s="16"/>
      <c r="L63" s="16"/>
      <c r="M63" s="16"/>
      <c r="N63" s="8"/>
    </row>
    <row r="64" spans="1:17" x14ac:dyDescent="0.2">
      <c r="B64" s="16"/>
      <c r="C64" s="16"/>
      <c r="D64" s="16"/>
      <c r="E64" s="16"/>
      <c r="F64" s="16"/>
      <c r="G64" s="16"/>
      <c r="H64" s="16"/>
      <c r="I64" s="16"/>
      <c r="J64" s="16"/>
      <c r="K64" s="16"/>
      <c r="L64" s="16"/>
      <c r="M64" s="16"/>
      <c r="N64" s="8"/>
    </row>
    <row r="65" spans="1:19" x14ac:dyDescent="0.2">
      <c r="A65" s="10" t="s">
        <v>10</v>
      </c>
      <c r="B65" s="16">
        <f>'[10]Pacific Comm Credit'!B55</f>
        <v>9727</v>
      </c>
      <c r="C65" s="16">
        <f>'[10]Pacific Comm Credit'!C55</f>
        <v>9727</v>
      </c>
      <c r="D65" s="16">
        <f>'[10]Pacific Comm Credit'!D55</f>
        <v>9711</v>
      </c>
      <c r="E65" s="16">
        <f>'[10]Pacific Comm Credit'!E55</f>
        <v>9880</v>
      </c>
      <c r="F65" s="16">
        <f>'[10]Pacific Comm Credit'!F55</f>
        <v>9954</v>
      </c>
      <c r="G65" s="16">
        <f>'[10]Pacific Comm Credit'!G55</f>
        <v>9954</v>
      </c>
      <c r="H65" s="16">
        <f>'[10]Pacific Comm Credit'!H55</f>
        <v>9916</v>
      </c>
      <c r="I65" s="16">
        <f>'[10]Pacific Comm Credit'!I55</f>
        <v>10129</v>
      </c>
      <c r="J65" s="16">
        <f>'[10]Pacific Comm Credit'!J55</f>
        <v>10127</v>
      </c>
      <c r="K65" s="16">
        <f>'[10]Pacific Comm Credit'!K55</f>
        <v>10131</v>
      </c>
      <c r="L65" s="16">
        <f>'[10]Pacific Comm Credit'!L55</f>
        <v>10081</v>
      </c>
      <c r="M65" s="16">
        <f>'[10]Pacific Comm Credit'!M55</f>
        <v>10240</v>
      </c>
      <c r="N65" s="8">
        <f>SUM(B65:M65)</f>
        <v>119577</v>
      </c>
    </row>
    <row r="66" spans="1:19" x14ac:dyDescent="0.2">
      <c r="A66" s="10" t="s">
        <v>11</v>
      </c>
      <c r="B66" s="16">
        <f>'[10]Pacific Comm Credit'!B56</f>
        <v>397</v>
      </c>
      <c r="C66" s="16">
        <f>'[10]Pacific Comm Credit'!C56</f>
        <v>407</v>
      </c>
      <c r="D66" s="16">
        <f>'[10]Pacific Comm Credit'!D56</f>
        <v>407</v>
      </c>
      <c r="E66" s="16">
        <f>'[10]Pacific Comm Credit'!E56</f>
        <v>407</v>
      </c>
      <c r="F66" s="16">
        <f>'[10]Pacific Comm Credit'!F56</f>
        <v>407</v>
      </c>
      <c r="G66" s="16">
        <f>'[10]Pacific Comm Credit'!G56</f>
        <v>407</v>
      </c>
      <c r="H66" s="16">
        <f>'[10]Pacific Comm Credit'!H56</f>
        <v>407</v>
      </c>
      <c r="I66" s="16">
        <f>'[10]Pacific Comm Credit'!I56</f>
        <v>405</v>
      </c>
      <c r="J66" s="16">
        <f>'[10]Pacific Comm Credit'!J56</f>
        <v>405</v>
      </c>
      <c r="K66" s="16">
        <f>'[10]Pacific Comm Credit'!K56</f>
        <v>405</v>
      </c>
      <c r="L66" s="16">
        <f>'[10]Pacific Comm Credit'!L56</f>
        <v>405</v>
      </c>
      <c r="M66" s="16">
        <f>'[10]Pacific Comm Credit'!M56</f>
        <v>405</v>
      </c>
      <c r="N66" s="8">
        <f>SUM(B66:M66)</f>
        <v>4864</v>
      </c>
    </row>
    <row r="67" spans="1:19" x14ac:dyDescent="0.2">
      <c r="A67" s="10"/>
      <c r="B67" s="16"/>
      <c r="C67" s="16"/>
      <c r="D67" s="16"/>
      <c r="E67" s="16"/>
      <c r="F67" s="16"/>
      <c r="G67" s="16"/>
      <c r="H67" s="16"/>
      <c r="I67" s="16"/>
      <c r="J67" s="16"/>
      <c r="K67" s="16"/>
      <c r="L67" s="16"/>
      <c r="M67" s="16"/>
      <c r="N67" s="8"/>
    </row>
    <row r="68" spans="1:19" s="6" customFormat="1" x14ac:dyDescent="0.2">
      <c r="A68" s="13" t="s">
        <v>12</v>
      </c>
      <c r="B68" s="38">
        <f>+B65+B66</f>
        <v>10124</v>
      </c>
      <c r="C68" s="38">
        <f>+C65+C66</f>
        <v>10134</v>
      </c>
      <c r="D68" s="38">
        <f t="shared" ref="D68:M68" si="17">+D65+D66</f>
        <v>10118</v>
      </c>
      <c r="E68" s="38">
        <f>+E65+E66</f>
        <v>10287</v>
      </c>
      <c r="F68" s="38">
        <f>+F65+F66</f>
        <v>10361</v>
      </c>
      <c r="G68" s="38">
        <f t="shared" si="17"/>
        <v>10361</v>
      </c>
      <c r="H68" s="38">
        <f t="shared" si="17"/>
        <v>10323</v>
      </c>
      <c r="I68" s="38">
        <f t="shared" si="17"/>
        <v>10534</v>
      </c>
      <c r="J68" s="38">
        <f t="shared" si="17"/>
        <v>10532</v>
      </c>
      <c r="K68" s="38">
        <f t="shared" si="17"/>
        <v>10536</v>
      </c>
      <c r="L68" s="38">
        <f t="shared" si="17"/>
        <v>10486</v>
      </c>
      <c r="M68" s="38">
        <f t="shared" si="17"/>
        <v>10645</v>
      </c>
      <c r="N68" s="41">
        <f>SUM(N65:N66)</f>
        <v>124441</v>
      </c>
      <c r="O68" s="57"/>
      <c r="P68" s="45"/>
      <c r="Q68" s="57"/>
    </row>
    <row r="69" spans="1:19" x14ac:dyDescent="0.2">
      <c r="A69" s="10"/>
      <c r="B69" s="16"/>
      <c r="C69" s="16"/>
      <c r="D69" s="16"/>
      <c r="E69" s="16"/>
      <c r="F69" s="16"/>
      <c r="G69" s="16"/>
      <c r="H69" s="16"/>
      <c r="I69" s="16"/>
      <c r="J69" s="16"/>
      <c r="K69" s="16"/>
      <c r="L69" s="16"/>
      <c r="M69" s="16"/>
      <c r="N69" s="15"/>
    </row>
    <row r="70" spans="1:19" x14ac:dyDescent="0.2">
      <c r="A70" s="10" t="s">
        <v>13</v>
      </c>
      <c r="B70" s="27">
        <f>+IFERROR(B62/B68,0)</f>
        <v>0.6039604800474121</v>
      </c>
      <c r="C70" s="27">
        <f t="shared" ref="C70:M70" si="18">+IFERROR(C62/C68,0)</f>
        <v>0.75754701598579022</v>
      </c>
      <c r="D70" s="27">
        <f t="shared" si="18"/>
        <v>0.79797205475390398</v>
      </c>
      <c r="E70" s="27">
        <f t="shared" si="18"/>
        <v>0.74522274715660553</v>
      </c>
      <c r="F70" s="27">
        <f t="shared" si="18"/>
        <v>0.528106119100473</v>
      </c>
      <c r="G70" s="27">
        <f t="shared" si="18"/>
        <v>0.24185125277482855</v>
      </c>
      <c r="H70" s="27">
        <f t="shared" si="18"/>
        <v>0.34245586457425164</v>
      </c>
      <c r="I70" s="27">
        <f t="shared" si="18"/>
        <v>0.30624940668312151</v>
      </c>
      <c r="J70" s="27">
        <f t="shared" si="18"/>
        <v>-0.20822625137950626</v>
      </c>
      <c r="K70" s="27">
        <f t="shared" si="18"/>
        <v>-0.29250184702744114</v>
      </c>
      <c r="L70" s="27">
        <f t="shared" si="18"/>
        <v>-0.36234192937821835</v>
      </c>
      <c r="M70" s="27">
        <f t="shared" si="18"/>
        <v>-0.43123517309596548</v>
      </c>
      <c r="N70" s="5"/>
    </row>
    <row r="71" spans="1:19" x14ac:dyDescent="0.2">
      <c r="A71" s="10" t="s">
        <v>14</v>
      </c>
      <c r="B71" s="27">
        <f>'[11]Pacific Comm Credit'!$M$71</f>
        <v>0.5</v>
      </c>
      <c r="C71" s="27">
        <f>'[11]Pacific Comm Credit'!$M$71</f>
        <v>0.5</v>
      </c>
      <c r="D71" s="27">
        <f>'[11]Pacific Comm Credit'!$N$76</f>
        <v>0.64</v>
      </c>
      <c r="E71" s="27">
        <f>'[11]Pacific Comm Credit'!$N$76</f>
        <v>0.64</v>
      </c>
      <c r="F71" s="27">
        <f>'[11]Pacific Comm Credit'!$N$76</f>
        <v>0.64</v>
      </c>
      <c r="G71" s="27">
        <f>'[11]Pacific Comm Credit'!$N$76</f>
        <v>0.64</v>
      </c>
      <c r="H71" s="27">
        <f>'[11]Pacific Comm Credit'!$N$76</f>
        <v>0.64</v>
      </c>
      <c r="I71" s="27">
        <f>'[11]Pacific Comm Credit'!$N$76</f>
        <v>0.64</v>
      </c>
      <c r="J71" s="27">
        <f>'[11]Pacific Comm Credit'!$N$76</f>
        <v>0.64</v>
      </c>
      <c r="K71" s="27">
        <f>'[11]Pacific Comm Credit'!$N$76</f>
        <v>0.64</v>
      </c>
      <c r="L71" s="27">
        <f>'[11]Pacific Comm Credit'!$N$76</f>
        <v>0.64</v>
      </c>
      <c r="M71" s="27">
        <f>'[11]Pacific Comm Credit'!$N$76</f>
        <v>0.64</v>
      </c>
      <c r="N71" s="5"/>
    </row>
    <row r="72" spans="1:19" x14ac:dyDescent="0.2">
      <c r="A72" s="10"/>
      <c r="B72" s="27"/>
      <c r="C72" s="27"/>
      <c r="D72" s="27"/>
      <c r="E72" s="27"/>
      <c r="F72" s="27"/>
      <c r="G72" s="27"/>
      <c r="H72" s="27"/>
      <c r="I72" s="27"/>
      <c r="J72" s="27"/>
      <c r="K72" s="27"/>
      <c r="L72" s="27"/>
      <c r="M72" s="27"/>
      <c r="N72" s="5"/>
    </row>
    <row r="73" spans="1:19" s="6" customFormat="1" x14ac:dyDescent="0.2">
      <c r="A73" s="13" t="s">
        <v>17</v>
      </c>
      <c r="B73" s="59">
        <f t="shared" ref="B73:I73" si="19">+(B70-B71)*B68</f>
        <v>1052.4959000000001</v>
      </c>
      <c r="C73" s="59">
        <f t="shared" si="19"/>
        <v>2609.9814599999982</v>
      </c>
      <c r="D73" s="59">
        <f t="shared" si="19"/>
        <v>1598.3612500000004</v>
      </c>
      <c r="E73" s="59">
        <f t="shared" si="19"/>
        <v>1082.426400000001</v>
      </c>
      <c r="F73" s="59">
        <f t="shared" si="19"/>
        <v>-1159.3324999999993</v>
      </c>
      <c r="G73" s="59">
        <f t="shared" si="19"/>
        <v>-4125.2191700000012</v>
      </c>
      <c r="H73" s="59">
        <f t="shared" si="19"/>
        <v>-3071.5481100000006</v>
      </c>
      <c r="I73" s="59">
        <f t="shared" si="19"/>
        <v>-3515.7287499999984</v>
      </c>
      <c r="J73" s="59">
        <f>+(J70-J71)*J68</f>
        <v>-8933.5188795289596</v>
      </c>
      <c r="K73" s="59">
        <f>+(K70-K71)*K68</f>
        <v>-9824.8394602811186</v>
      </c>
      <c r="L73" s="59">
        <f>+(L70-L71)*L68</f>
        <v>-10510.557471459997</v>
      </c>
      <c r="M73" s="59">
        <f>+(M70-M71)*M68</f>
        <v>-11403.298417606553</v>
      </c>
      <c r="N73" s="60">
        <f>SUM(B73:M73)</f>
        <v>-46200.77774887663</v>
      </c>
    </row>
    <row r="74" spans="1:19" x14ac:dyDescent="0.2">
      <c r="A74" s="10"/>
      <c r="B74" s="11"/>
      <c r="C74" s="11"/>
      <c r="D74" s="11"/>
      <c r="E74" s="11"/>
      <c r="F74" s="11"/>
      <c r="G74" s="11"/>
      <c r="H74" s="11"/>
      <c r="I74" s="11"/>
      <c r="J74" s="11"/>
      <c r="K74" s="11"/>
      <c r="L74" s="11"/>
      <c r="M74" s="11"/>
      <c r="N74" s="8"/>
    </row>
    <row r="75" spans="1:19" x14ac:dyDescent="0.2">
      <c r="A75" s="16"/>
      <c r="B75" s="28"/>
      <c r="C75" s="28"/>
      <c r="D75" s="28"/>
      <c r="E75" s="28"/>
      <c r="F75" s="28"/>
      <c r="G75" s="28"/>
      <c r="H75" s="28"/>
      <c r="I75" s="28"/>
      <c r="J75" s="28"/>
      <c r="K75" s="28"/>
      <c r="L75" s="28"/>
      <c r="M75" s="21" t="s">
        <v>18</v>
      </c>
      <c r="N75" s="17">
        <f>ROUND(N73/N68,2)</f>
        <v>-0.37</v>
      </c>
    </row>
    <row r="76" spans="1:19" x14ac:dyDescent="0.2">
      <c r="A76" s="71"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19" ht="25.5" x14ac:dyDescent="0.2">
      <c r="A77" s="62" t="s">
        <v>32</v>
      </c>
      <c r="B77" s="75">
        <f>H49*B39</f>
        <v>-809.27810999999951</v>
      </c>
      <c r="C77" s="75">
        <f t="shared" ref="C77:G77" si="20">I49*C39</f>
        <v>-950.11874999999816</v>
      </c>
      <c r="D77" s="75">
        <f t="shared" si="20"/>
        <v>-5178.61343952896</v>
      </c>
      <c r="E77" s="75">
        <f t="shared" si="20"/>
        <v>-5891.2992802811195</v>
      </c>
      <c r="F77" s="75">
        <f t="shared" si="20"/>
        <v>-6874.8024714599969</v>
      </c>
      <c r="G77" s="75">
        <f t="shared" si="20"/>
        <v>-7777.3512726065528</v>
      </c>
      <c r="H77" s="21"/>
      <c r="I77" s="21"/>
      <c r="J77" s="21"/>
      <c r="K77" s="21"/>
      <c r="L77" s="21"/>
      <c r="M77" s="42" t="s">
        <v>31</v>
      </c>
      <c r="N77" s="18">
        <f>+N76+N75</f>
        <v>-0.82344397557530802</v>
      </c>
    </row>
    <row r="78" spans="1:19" x14ac:dyDescent="0.2">
      <c r="A78" s="62" t="s">
        <v>33</v>
      </c>
      <c r="B78" s="76">
        <f>H50*H56</f>
        <v>633.29999999999995</v>
      </c>
      <c r="C78" s="76">
        <f t="shared" ref="C78:G78" si="21">I50*I56</f>
        <v>632.4</v>
      </c>
      <c r="D78" s="76">
        <f t="shared" si="21"/>
        <v>-702.3</v>
      </c>
      <c r="E78" s="76">
        <f t="shared" si="21"/>
        <v>-566.4</v>
      </c>
      <c r="F78" s="76">
        <f t="shared" si="21"/>
        <v>-638.69999999999993</v>
      </c>
      <c r="G78" s="76">
        <f t="shared" si="21"/>
        <v>-469.20000000000005</v>
      </c>
      <c r="H78" s="21"/>
      <c r="I78" s="21"/>
      <c r="J78" s="21"/>
      <c r="K78" s="21"/>
      <c r="L78" s="21"/>
      <c r="M78" s="21"/>
      <c r="N78" s="20"/>
    </row>
    <row r="79" spans="1:19" x14ac:dyDescent="0.2">
      <c r="A79" s="73" t="s">
        <v>35</v>
      </c>
      <c r="B79" s="77">
        <f>SUM(B77:B78)</f>
        <v>-175.97810999999956</v>
      </c>
      <c r="C79" s="77">
        <f t="shared" ref="C79:G79" si="22">SUM(C77:C78)</f>
        <v>-317.71874999999818</v>
      </c>
      <c r="D79" s="77">
        <f t="shared" si="22"/>
        <v>-5880.9134395289602</v>
      </c>
      <c r="E79" s="77">
        <f t="shared" si="22"/>
        <v>-6457.6992802811192</v>
      </c>
      <c r="F79" s="77">
        <f t="shared" si="22"/>
        <v>-7513.5024714599967</v>
      </c>
      <c r="G79" s="77">
        <f t="shared" si="22"/>
        <v>-8246.5512726065535</v>
      </c>
      <c r="H79" s="21"/>
      <c r="I79" s="21"/>
      <c r="J79" s="21"/>
      <c r="K79" s="21"/>
      <c r="L79" s="21"/>
      <c r="M79" s="21" t="s">
        <v>34</v>
      </c>
      <c r="N79" s="5">
        <v>0.76</v>
      </c>
      <c r="Q79" s="8"/>
      <c r="R79" s="8"/>
      <c r="S79" s="55"/>
    </row>
    <row r="80" spans="1:19" x14ac:dyDescent="0.2">
      <c r="A80" s="10"/>
      <c r="B80" s="21"/>
      <c r="C80" s="21"/>
      <c r="D80" s="21"/>
      <c r="E80" s="21"/>
      <c r="F80" s="21"/>
      <c r="G80" s="21"/>
      <c r="H80" s="21"/>
      <c r="I80" s="21"/>
      <c r="J80" s="21"/>
      <c r="K80" s="21"/>
      <c r="L80" s="21"/>
      <c r="M80" s="21" t="s">
        <v>15</v>
      </c>
      <c r="N80" s="5">
        <f>+N79-N77</f>
        <v>1.583443975575308</v>
      </c>
      <c r="O80" s="56">
        <f>N80/N79</f>
        <v>2.0834789152306685</v>
      </c>
    </row>
    <row r="81" spans="1:15" x14ac:dyDescent="0.2">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74D81F4BFAEC04297577CB060339A44" ma:contentTypeVersion="20" ma:contentTypeDescription="" ma:contentTypeScope="" ma:versionID="4b4a70cb2c37c7571089b0e65dc256b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2022-11-10T08:00:00+00:00</OpenedDate>
    <SignificantOrder xmlns="dc463f71-b30c-4ab2-9473-d307f9d35888">false</SignificantOrder>
    <Date1 xmlns="dc463f71-b30c-4ab2-9473-d307f9d35888">2022-11-10T08:00:00+00:00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220835</DocketNumber>
    <DelegatedOrder xmlns="dc463f71-b30c-4ab2-9473-d307f9d35888">false</DelegatedOrder>
  </documentManagement>
</p:properties>
</file>

<file path=customXml/itemProps1.xml><?xml version="1.0" encoding="utf-8"?>
<ds:datastoreItem xmlns:ds="http://schemas.openxmlformats.org/officeDocument/2006/customXml" ds:itemID="{05CEE550-E49B-4913-ACEB-953A02D844E4}"/>
</file>

<file path=customXml/itemProps2.xml><?xml version="1.0" encoding="utf-8"?>
<ds:datastoreItem xmlns:ds="http://schemas.openxmlformats.org/officeDocument/2006/customXml" ds:itemID="{B4852A93-9EF9-4CAB-8B91-08C96C65D878}"/>
</file>

<file path=customXml/itemProps3.xml><?xml version="1.0" encoding="utf-8"?>
<ds:datastoreItem xmlns:ds="http://schemas.openxmlformats.org/officeDocument/2006/customXml" ds:itemID="{0F85438F-F821-4B55-A858-FFD75A93F062}"/>
</file>

<file path=customXml/itemProps4.xml><?xml version="1.0" encoding="utf-8"?>
<ds:datastoreItem xmlns:ds="http://schemas.openxmlformats.org/officeDocument/2006/customXml" ds:itemID="{FFBCD356-D0E0-4727-921F-7C36A0AD5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Pacific CPA 1.1.23</vt:lpstr>
      <vt:lpstr>Pacific CPA 1.1.22</vt:lpstr>
      <vt:lpstr>Pacific CPA 1.1.21</vt:lpstr>
      <vt:lpstr>Pacific CPA Eff. 1.1.20</vt:lpstr>
      <vt:lpstr>Pacific CPA Eff. 7.1.19</vt:lpstr>
      <vt:lpstr>Pacific CPA Eff. 1.1.19</vt:lpstr>
      <vt:lpstr>Pacific CPA 7.1.18</vt:lpstr>
      <vt:lpstr>'Pacific CPA 1.1.21'!Print_Area</vt:lpstr>
      <vt:lpstr>'Pacific CPA 1.1.22'!Print_Area</vt:lpstr>
      <vt:lpstr>'Pacific CPA 1.1.23'!Print_Area</vt:lpstr>
      <vt:lpstr>'Pacific CPA 7.1.18'!Print_Area</vt:lpstr>
      <vt:lpstr>'Pacific CPA Eff. 1.1.19'!Print_Area</vt:lpstr>
      <vt:lpstr>'Pacific CPA Eff. 1.1.20'!Print_Area</vt:lpstr>
      <vt:lpstr>'Pacific CPA Eff. 7.1.19'!Print_Area</vt:lpstr>
      <vt:lpstr>'Pacific CPA 1.1.21'!Print_Titles</vt:lpstr>
      <vt:lpstr>'Pacific CPA 1.1.22'!Print_Titles</vt:lpstr>
      <vt:lpstr>'Pacific CPA 1.1.23'!Print_Titles</vt:lpstr>
      <vt:lpstr>'Pacific CPA 7.1.18'!Print_Titles</vt:lpstr>
      <vt:lpstr>'Pacific CPA Eff. 1.1.19'!Print_Titles</vt:lpstr>
      <vt:lpstr>'Pacific CPA Eff. 1.1.20'!Print_Titles</vt:lpstr>
      <vt:lpstr>'Pacific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2022-11-10T20:06:14Z</cp:lastPrinted>
  <dcterms:created xsi:type="dcterms:W3CDTF">2014-05-14T23:45:49Z</dcterms:created>
  <dcterms:modified xsi:type="dcterms:W3CDTF">2022-11-10T20:06:33Z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0x0101006E56B4D1795A2E4DB2F0B01679ED314A00774D81F4BFAEC04297577CB060339A44</vt:lpwstr>
  </property>
  <property fmtid="{D5CDD505-2E9C-101B-9397-08002B2CF9AE}" pid="3" name="_docset_NoMedatataSyncRequired">
    <vt:lpwstr>False</vt:lpwstr>
  </property>
  <property fmtid="{D5CDD505-2E9C-101B-9397-08002B2CF9AE}" pid="4" name="IsEFSEC">
    <vt:bool>false</vt:bool>
  </property>
</Properties>
</file>