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updateLinks="never" codeName="ThisWorkbook" hidePivotFieldList="1" defaultThemeVersion="124226"/>
  <xr:revisionPtr revIDLastSave="0" documentId="13_ncr:1_{2674A449-5BBC-4329-93E9-3ECDD533B535}" xr6:coauthVersionLast="47" xr6:coauthVersionMax="47" xr10:uidLastSave="{00000000-0000-0000-0000-000000000000}"/>
  <bookViews>
    <workbookView xWindow="-28920" yWindow="-120" windowWidth="29040" windowHeight="15840" firstSheet="9" activeTab="10" xr2:uid="{00000000-000D-0000-FFFF-FFFF00000000}"/>
  </bookViews>
  <sheets>
    <sheet name="Chart2" sheetId="1" state="hidden" r:id="rId1"/>
    <sheet name="Table A - Combined" sheetId="44" r:id="rId2"/>
    <sheet name="Table B - Energy" sheetId="6" r:id="rId3"/>
    <sheet name="Table C - Capacity" sheetId="37" r:id="rId4"/>
    <sheet name="Table D - Integration" sheetId="17" r:id="rId5"/>
    <sheet name="Exhibit 1 - Market Capacity" sheetId="36" r:id="rId6"/>
    <sheet name="Redacted Ex2 - Planned Cap" sheetId="43" r:id="rId7"/>
    <sheet name="Redacted Exh2A PlanCap ITC" sheetId="48" r:id="rId8"/>
    <sheet name="Redacted Exh2B PlanCap ITC-RFP" sheetId="49" r:id="rId9"/>
    <sheet name="Exhibit 3 - Levelized Capacity" sheetId="47" r:id="rId10"/>
    <sheet name="Exhibit 4 - Comparison" sheetId="14" r:id="rId11"/>
    <sheet name="XX Support Pages - Do Not Print" sheetId="18" r:id="rId12"/>
    <sheet name="Scenario Comparison" sheetId="50" r:id="rId13"/>
    <sheet name="Profiles" sheetId="45" r:id="rId14"/>
    <sheet name="Portfolio" sheetId="46" r:id="rId15"/>
  </sheets>
  <externalReferences>
    <externalReference r:id="rId16"/>
  </externalReferences>
  <definedNames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localSheetId="14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localSheetId="14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localSheetId="14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localSheetId="14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localSheetId="1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localSheetId="9" hidden="1">#REF!</definedName>
    <definedName name="_Fill" localSheetId="13" hidden="1">#REF!</definedName>
    <definedName name="_Fill" localSheetId="1" hidden="1">#REF!</definedName>
    <definedName name="_Fill" localSheetId="3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localSheetId="14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localSheetId="14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localSheetId="14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localSheetId="14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localSheetId="1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localSheetId="9" hidden="1">#REF!</definedName>
    <definedName name="_Key1" localSheetId="13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5" hidden="1">#REF!</definedName>
    <definedName name="_Key2" localSheetId="9" hidden="1">#REF!</definedName>
    <definedName name="_Key2" localSheetId="13" hidden="1">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localSheetId="9" hidden="1">#REF!</definedName>
    <definedName name="_Sort" localSheetId="13" hidden="1">#REF!</definedName>
    <definedName name="_Sort" localSheetId="1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DiscountRate">'Exhibit 4 - Comparison'!$R$36</definedName>
    <definedName name="limcount" hidden="1">1</definedName>
    <definedName name="_xlnm.Print_Area" localSheetId="5">'Exhibit 1 - Market Capacity'!$B$1:$K$51</definedName>
    <definedName name="_xlnm.Print_Area" localSheetId="9">'Exhibit 3 - Levelized Capacity'!$B$1:$L$46</definedName>
    <definedName name="_xlnm.Print_Area" localSheetId="10">'Exhibit 4 - Comparison'!$A$1:$O$39</definedName>
    <definedName name="_xlnm.Print_Area" localSheetId="14">Portfolio!$A$1:$Y$87</definedName>
    <definedName name="_xlnm.Print_Area" localSheetId="6">'Redacted Ex2 - Planned Cap'!$B$1:$L$47</definedName>
    <definedName name="_xlnm.Print_Area" localSheetId="7">'Redacted Exh2A PlanCap ITC'!$B$1:$L$47</definedName>
    <definedName name="_xlnm.Print_Area" localSheetId="8">'Redacted Exh2B PlanCap ITC-RFP'!$B$1:$L$47</definedName>
    <definedName name="_xlnm.Print_Area" localSheetId="1">'Table A - Combined'!$A$1:$Y$41</definedName>
    <definedName name="_xlnm.Print_Area" localSheetId="2">'Table B - Energy'!$A$1:$Y$38</definedName>
    <definedName name="_xlnm.Print_Area" localSheetId="3">'Table C - Capacity'!$A$1:$W$39</definedName>
    <definedName name="_xlnm.Print_Area" localSheetId="4">'Table D - Integration'!$A$1:$D$34</definedName>
    <definedName name="SAPBEXrevision" hidden="1">1</definedName>
    <definedName name="SAPBEXsysID" hidden="1">"BWP"</definedName>
    <definedName name="SAPBEXwbID" hidden="1">"45EQYSCWE9WJMGB34OOD1BOQZ"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4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4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0" l="1"/>
  <c r="J9" i="50"/>
  <c r="H10" i="50"/>
  <c r="F10" i="50"/>
  <c r="J10" i="50" l="1"/>
  <c r="F11" i="50"/>
  <c r="H11" i="50"/>
  <c r="F9" i="50"/>
  <c r="J11" i="50"/>
  <c r="H9" i="50"/>
  <c r="E8" i="50"/>
  <c r="F8" i="50" s="1"/>
  <c r="G8" i="50" l="1"/>
  <c r="H8" i="50" s="1"/>
  <c r="I8" i="50"/>
  <c r="J8" i="50" s="1"/>
  <c r="C39" i="36" l="1"/>
  <c r="C43" i="49"/>
  <c r="D37" i="43"/>
  <c r="D37" i="48"/>
  <c r="D37" i="49"/>
  <c r="R13" i="49"/>
  <c r="R14" i="49" s="1"/>
  <c r="R15" i="49" s="1"/>
  <c r="R16" i="49" s="1"/>
  <c r="R17" i="49" s="1"/>
  <c r="R18" i="49" s="1"/>
  <c r="R19" i="49" s="1"/>
  <c r="R20" i="49" s="1"/>
  <c r="R21" i="49" s="1"/>
  <c r="R22" i="49" s="1"/>
  <c r="R23" i="49" s="1"/>
  <c r="R24" i="49" s="1"/>
  <c r="R25" i="49" s="1"/>
  <c r="R26" i="49" s="1"/>
  <c r="R27" i="49" s="1"/>
  <c r="R28" i="49" s="1"/>
  <c r="R29" i="49" s="1"/>
  <c r="R30" i="49" s="1"/>
  <c r="R31" i="49" s="1"/>
  <c r="R12" i="49"/>
  <c r="P12" i="49" l="1"/>
  <c r="P13" i="49" s="1"/>
  <c r="P14" i="49" s="1"/>
  <c r="P15" i="49" s="1"/>
  <c r="P16" i="49" s="1"/>
  <c r="P17" i="49" s="1"/>
  <c r="O7" i="49"/>
  <c r="O8" i="49" s="1"/>
  <c r="O9" i="49" s="1"/>
  <c r="O10" i="49" s="1"/>
  <c r="O11" i="49" s="1"/>
  <c r="O12" i="49" s="1"/>
  <c r="O13" i="49" s="1"/>
  <c r="O14" i="49" s="1"/>
  <c r="O15" i="49" s="1"/>
  <c r="O16" i="49" s="1"/>
  <c r="O17" i="49" s="1"/>
  <c r="O18" i="49" s="1"/>
  <c r="O19" i="49" s="1"/>
  <c r="O20" i="49" s="1"/>
  <c r="O21" i="49" s="1"/>
  <c r="O22" i="49" s="1"/>
  <c r="O23" i="49" s="1"/>
  <c r="O24" i="49" s="1"/>
  <c r="O25" i="49" s="1"/>
  <c r="O26" i="49" s="1"/>
  <c r="O27" i="49" s="1"/>
  <c r="O28" i="49" s="1"/>
  <c r="O29" i="49" s="1"/>
  <c r="O30" i="49" s="1"/>
  <c r="O31" i="49" s="1"/>
  <c r="C41" i="49"/>
  <c r="D38" i="49"/>
  <c r="C38" i="49"/>
  <c r="C37" i="49"/>
  <c r="C36" i="49"/>
  <c r="C35" i="49"/>
  <c r="F16" i="49"/>
  <c r="F15" i="49"/>
  <c r="F14" i="49"/>
  <c r="F13" i="49"/>
  <c r="B13" i="49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F12" i="49"/>
  <c r="B12" i="49"/>
  <c r="F11" i="49"/>
  <c r="B11" i="49"/>
  <c r="I11" i="49" s="1"/>
  <c r="F10" i="49"/>
  <c r="E5" i="49"/>
  <c r="D10" i="48"/>
  <c r="O7" i="48"/>
  <c r="Q7" i="48"/>
  <c r="Q8" i="48"/>
  <c r="Q9" i="48"/>
  <c r="Q10" i="48"/>
  <c r="Q11" i="48"/>
  <c r="Q12" i="48"/>
  <c r="Q13" i="48"/>
  <c r="Q14" i="48"/>
  <c r="Q15" i="48"/>
  <c r="Q16" i="48"/>
  <c r="Q17" i="48"/>
  <c r="Q18" i="48"/>
  <c r="Q19" i="48"/>
  <c r="Q20" i="48"/>
  <c r="Q21" i="48"/>
  <c r="Q22" i="48"/>
  <c r="Q23" i="48"/>
  <c r="Q24" i="48"/>
  <c r="Q25" i="48"/>
  <c r="Q26" i="48"/>
  <c r="Q27" i="48" s="1"/>
  <c r="Q28" i="48" s="1"/>
  <c r="Q29" i="48" s="1"/>
  <c r="Q30" i="48" s="1"/>
  <c r="Q31" i="48" s="1"/>
  <c r="C41" i="48"/>
  <c r="D38" i="48"/>
  <c r="C38" i="48"/>
  <c r="C37" i="48"/>
  <c r="C36" i="48"/>
  <c r="C35" i="48"/>
  <c r="F16" i="48"/>
  <c r="F15" i="48"/>
  <c r="F14" i="48"/>
  <c r="F13" i="48"/>
  <c r="F12" i="48"/>
  <c r="F11" i="48"/>
  <c r="B11" i="48"/>
  <c r="I11" i="48" s="1"/>
  <c r="F10" i="48"/>
  <c r="E5" i="48"/>
  <c r="C17" i="49" l="1"/>
  <c r="D17" i="49" s="1"/>
  <c r="E17" i="49" s="1"/>
  <c r="P18" i="49"/>
  <c r="P19" i="49" s="1"/>
  <c r="P20" i="49" s="1"/>
  <c r="P21" i="49" s="1"/>
  <c r="P22" i="49" s="1"/>
  <c r="P23" i="49" s="1"/>
  <c r="P24" i="49" s="1"/>
  <c r="P25" i="49" s="1"/>
  <c r="P26" i="49" s="1"/>
  <c r="P27" i="49" s="1"/>
  <c r="P28" i="49" s="1"/>
  <c r="P29" i="49" s="1"/>
  <c r="P30" i="49" s="1"/>
  <c r="P31" i="49" s="1"/>
  <c r="I12" i="49"/>
  <c r="I13" i="49" s="1"/>
  <c r="I14" i="49" s="1"/>
  <c r="I15" i="49" s="1"/>
  <c r="I16" i="49" s="1"/>
  <c r="I17" i="49" s="1"/>
  <c r="I18" i="49" s="1"/>
  <c r="I19" i="49" s="1"/>
  <c r="I20" i="49" s="1"/>
  <c r="I21" i="49" s="1"/>
  <c r="I22" i="49" s="1"/>
  <c r="I23" i="49" s="1"/>
  <c r="I24" i="49" s="1"/>
  <c r="I25" i="49" s="1"/>
  <c r="I26" i="49" s="1"/>
  <c r="I27" i="49" s="1"/>
  <c r="I28" i="49" s="1"/>
  <c r="I29" i="49" s="1"/>
  <c r="I30" i="49" s="1"/>
  <c r="I31" i="49" s="1"/>
  <c r="O8" i="48"/>
  <c r="B12" i="48"/>
  <c r="I8" i="49" l="1"/>
  <c r="F17" i="49"/>
  <c r="E18" i="49"/>
  <c r="O9" i="48"/>
  <c r="B13" i="48"/>
  <c r="I12" i="48"/>
  <c r="O10" i="48" l="1"/>
  <c r="E19" i="49"/>
  <c r="F18" i="49"/>
  <c r="I13" i="48"/>
  <c r="B14" i="48"/>
  <c r="F19" i="49" l="1"/>
  <c r="E20" i="49"/>
  <c r="O11" i="48"/>
  <c r="D11" i="48"/>
  <c r="B15" i="48"/>
  <c r="I14" i="48"/>
  <c r="E21" i="49" l="1"/>
  <c r="F20" i="49"/>
  <c r="O12" i="48"/>
  <c r="D12" i="48"/>
  <c r="I15" i="48"/>
  <c r="B16" i="48"/>
  <c r="O13" i="48" l="1"/>
  <c r="D13" i="48"/>
  <c r="F21" i="49"/>
  <c r="E22" i="49"/>
  <c r="B17" i="48"/>
  <c r="I16" i="48"/>
  <c r="E23" i="49" l="1"/>
  <c r="F22" i="49"/>
  <c r="O14" i="48"/>
  <c r="I17" i="48"/>
  <c r="B18" i="48"/>
  <c r="O15" i="48" l="1"/>
  <c r="F23" i="49"/>
  <c r="E24" i="49"/>
  <c r="B19" i="48"/>
  <c r="I18" i="48"/>
  <c r="E25" i="49" l="1"/>
  <c r="F24" i="49"/>
  <c r="O16" i="48"/>
  <c r="I19" i="48"/>
  <c r="B20" i="48"/>
  <c r="O17" i="48" l="1"/>
  <c r="O18" i="48" s="1"/>
  <c r="O19" i="48" s="1"/>
  <c r="O20" i="48" s="1"/>
  <c r="O21" i="48" s="1"/>
  <c r="O22" i="48" s="1"/>
  <c r="O23" i="48" s="1"/>
  <c r="O24" i="48" s="1"/>
  <c r="O25" i="48" s="1"/>
  <c r="O26" i="48" s="1"/>
  <c r="O27" i="48" s="1"/>
  <c r="O28" i="48" s="1"/>
  <c r="F25" i="49"/>
  <c r="E26" i="49"/>
  <c r="B21" i="48"/>
  <c r="I20" i="48"/>
  <c r="I21" i="48" s="1"/>
  <c r="E27" i="49" l="1"/>
  <c r="F26" i="49"/>
  <c r="O29" i="48"/>
  <c r="O30" i="48" s="1"/>
  <c r="O31" i="48" s="1"/>
  <c r="D14" i="48"/>
  <c r="D15" i="48" s="1"/>
  <c r="B22" i="48"/>
  <c r="D16" i="48" l="1"/>
  <c r="D17" i="48" s="1"/>
  <c r="E17" i="48" s="1"/>
  <c r="D18" i="48"/>
  <c r="D19" i="48"/>
  <c r="D20" i="48" s="1"/>
  <c r="D21" i="48" s="1"/>
  <c r="D22" i="48" s="1"/>
  <c r="D23" i="48" s="1"/>
  <c r="D24" i="48" s="1"/>
  <c r="D25" i="48" s="1"/>
  <c r="D26" i="48" s="1"/>
  <c r="D27" i="48" s="1"/>
  <c r="D28" i="48" s="1"/>
  <c r="D29" i="48" s="1"/>
  <c r="D30" i="48" s="1"/>
  <c r="D31" i="48" s="1"/>
  <c r="F27" i="49"/>
  <c r="E28" i="49"/>
  <c r="B23" i="48"/>
  <c r="I22" i="48"/>
  <c r="I23" i="48" s="1"/>
  <c r="E29" i="49" l="1"/>
  <c r="F28" i="49"/>
  <c r="F17" i="48"/>
  <c r="E18" i="48"/>
  <c r="B24" i="48"/>
  <c r="E19" i="48" l="1"/>
  <c r="F18" i="48"/>
  <c r="F29" i="49"/>
  <c r="E30" i="49"/>
  <c r="B25" i="48"/>
  <c r="I24" i="48"/>
  <c r="E31" i="49" l="1"/>
  <c r="F31" i="49" s="1"/>
  <c r="F30" i="49"/>
  <c r="F19" i="48"/>
  <c r="E20" i="48"/>
  <c r="I25" i="48"/>
  <c r="I8" i="48"/>
  <c r="B26" i="48"/>
  <c r="F20" i="48" l="1"/>
  <c r="E21" i="48"/>
  <c r="B27" i="48"/>
  <c r="I26" i="48"/>
  <c r="I27" i="48" s="1"/>
  <c r="F21" i="48" l="1"/>
  <c r="E22" i="48"/>
  <c r="B28" i="48"/>
  <c r="F22" i="48" l="1"/>
  <c r="E23" i="48"/>
  <c r="B29" i="48"/>
  <c r="I28" i="48"/>
  <c r="I29" i="48" s="1"/>
  <c r="E24" i="48" l="1"/>
  <c r="F23" i="48"/>
  <c r="B30" i="48"/>
  <c r="F24" i="48" l="1"/>
  <c r="E25" i="48"/>
  <c r="B31" i="48"/>
  <c r="I30" i="48"/>
  <c r="I31" i="48" s="1"/>
  <c r="F25" i="48" l="1"/>
  <c r="E26" i="48"/>
  <c r="E27" i="48" l="1"/>
  <c r="F26" i="48"/>
  <c r="F27" i="48" l="1"/>
  <c r="E28" i="48"/>
  <c r="E29" i="48" l="1"/>
  <c r="F28" i="48"/>
  <c r="E30" i="48" l="1"/>
  <c r="F29" i="48"/>
  <c r="E31" i="48" l="1"/>
  <c r="F31" i="48" s="1"/>
  <c r="F30" i="48"/>
  <c r="I11" i="43" l="1"/>
  <c r="I12" i="43" s="1"/>
  <c r="I13" i="43" s="1"/>
  <c r="I14" i="43" s="1"/>
  <c r="I15" i="43" s="1"/>
  <c r="I16" i="43" s="1"/>
  <c r="I17" i="43" s="1"/>
  <c r="I18" i="43" s="1"/>
  <c r="I19" i="43" s="1"/>
  <c r="I20" i="43" s="1"/>
  <c r="I21" i="43" s="1"/>
  <c r="I22" i="43" s="1"/>
  <c r="I23" i="43" s="1"/>
  <c r="I24" i="43" s="1"/>
  <c r="I25" i="43" s="1"/>
  <c r="I26" i="43" s="1"/>
  <c r="I27" i="43" s="1"/>
  <c r="I28" i="43" s="1"/>
  <c r="I29" i="43" s="1"/>
  <c r="I30" i="43" s="1"/>
  <c r="I31" i="43" s="1"/>
  <c r="Q31" i="43"/>
  <c r="O31" i="43"/>
  <c r="B31" i="43"/>
  <c r="D32" i="17"/>
  <c r="C32" i="17"/>
  <c r="D28" i="17"/>
  <c r="C28" i="17"/>
  <c r="D24" i="17"/>
  <c r="C24" i="17"/>
  <c r="D20" i="17"/>
  <c r="C20" i="17"/>
  <c r="D16" i="17"/>
  <c r="C16" i="17"/>
  <c r="D12" i="17"/>
  <c r="C12" i="17"/>
  <c r="C9" i="17"/>
  <c r="C26" i="17" s="1"/>
  <c r="D9" i="17"/>
  <c r="D35" i="17" s="1"/>
  <c r="C10" i="17"/>
  <c r="H11" i="17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10" i="17"/>
  <c r="B10" i="17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F9" i="17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D13" i="17" l="1"/>
  <c r="D21" i="17"/>
  <c r="D29" i="17"/>
  <c r="C18" i="17"/>
  <c r="C34" i="17"/>
  <c r="C13" i="17"/>
  <c r="C17" i="17"/>
  <c r="C21" i="17"/>
  <c r="C25" i="17"/>
  <c r="C29" i="17"/>
  <c r="C33" i="17"/>
  <c r="C22" i="17"/>
  <c r="D10" i="17"/>
  <c r="D14" i="17"/>
  <c r="D18" i="17"/>
  <c r="D22" i="17"/>
  <c r="D26" i="17"/>
  <c r="D30" i="17"/>
  <c r="D34" i="17"/>
  <c r="D17" i="17"/>
  <c r="D25" i="17"/>
  <c r="D33" i="17"/>
  <c r="C14" i="17"/>
  <c r="C30" i="17"/>
  <c r="C11" i="17"/>
  <c r="C15" i="17"/>
  <c r="C19" i="17"/>
  <c r="C23" i="17"/>
  <c r="C27" i="17"/>
  <c r="C31" i="17"/>
  <c r="C35" i="17"/>
  <c r="D11" i="17"/>
  <c r="D15" i="17"/>
  <c r="D19" i="17"/>
  <c r="D23" i="17"/>
  <c r="D27" i="17"/>
  <c r="D31" i="17"/>
  <c r="D9" i="47" l="1"/>
  <c r="I13" i="37"/>
  <c r="I14" i="37" s="1"/>
  <c r="I15" i="37" s="1"/>
  <c r="I16" i="37" s="1"/>
  <c r="I17" i="37" s="1"/>
  <c r="I18" i="37" s="1"/>
  <c r="I19" i="37" s="1"/>
  <c r="I20" i="37" s="1"/>
  <c r="I21" i="37" s="1"/>
  <c r="I22" i="37" s="1"/>
  <c r="I23" i="37" s="1"/>
  <c r="I24" i="37" s="1"/>
  <c r="I25" i="37" s="1"/>
  <c r="I26" i="37" s="1"/>
  <c r="I27" i="37" s="1"/>
  <c r="I28" i="37" s="1"/>
  <c r="I29" i="37" s="1"/>
  <c r="I30" i="37" s="1"/>
  <c r="I31" i="37" s="1"/>
  <c r="I32" i="37" s="1"/>
  <c r="B10" i="47"/>
  <c r="B11" i="47" l="1"/>
  <c r="D10" i="47"/>
  <c r="I10" i="47"/>
  <c r="B13" i="37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N11" i="44"/>
  <c r="N12" i="44" s="1"/>
  <c r="N13" i="44" s="1"/>
  <c r="N14" i="44" s="1"/>
  <c r="N15" i="44" s="1"/>
  <c r="N16" i="44" s="1"/>
  <c r="N17" i="44" s="1"/>
  <c r="N18" i="44" s="1"/>
  <c r="N19" i="44" s="1"/>
  <c r="N20" i="44" s="1"/>
  <c r="N21" i="44" s="1"/>
  <c r="N22" i="44" s="1"/>
  <c r="N23" i="44" s="1"/>
  <c r="N24" i="44" s="1"/>
  <c r="N25" i="44" s="1"/>
  <c r="N26" i="44" s="1"/>
  <c r="N27" i="44" s="1"/>
  <c r="N28" i="44" s="1"/>
  <c r="N29" i="44" s="1"/>
  <c r="N30" i="44" s="1"/>
  <c r="B11" i="45"/>
  <c r="B10" i="14"/>
  <c r="B11" i="6"/>
  <c r="S13" i="37"/>
  <c r="S14" i="37" s="1"/>
  <c r="S15" i="37" s="1"/>
  <c r="S16" i="37" s="1"/>
  <c r="S17" i="37" s="1"/>
  <c r="S18" i="37" s="1"/>
  <c r="S19" i="37" s="1"/>
  <c r="S20" i="37" s="1"/>
  <c r="S21" i="37" s="1"/>
  <c r="S22" i="37" s="1"/>
  <c r="S23" i="37" s="1"/>
  <c r="S24" i="37" s="1"/>
  <c r="S25" i="37" s="1"/>
  <c r="S26" i="37" s="1"/>
  <c r="S27" i="37" s="1"/>
  <c r="S28" i="37" s="1"/>
  <c r="S29" i="37" s="1"/>
  <c r="S30" i="37" s="1"/>
  <c r="S31" i="37" s="1"/>
  <c r="S32" i="37" s="1"/>
  <c r="N11" i="6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I11" i="47" l="1"/>
  <c r="B12" i="47"/>
  <c r="D11" i="47"/>
  <c r="B12" i="6"/>
  <c r="B13" i="47" l="1"/>
  <c r="D12" i="47"/>
  <c r="I12" i="47"/>
  <c r="B13" i="6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 s="1"/>
  <c r="Q27" i="43" s="1"/>
  <c r="Q28" i="43" s="1"/>
  <c r="Q29" i="43" s="1"/>
  <c r="Q30" i="43" s="1"/>
  <c r="Q7" i="43"/>
  <c r="O7" i="43"/>
  <c r="O8" i="43" s="1"/>
  <c r="O9" i="43" s="1"/>
  <c r="O10" i="43" s="1"/>
  <c r="O11" i="43" s="1"/>
  <c r="O12" i="43" s="1"/>
  <c r="O13" i="43" s="1"/>
  <c r="O14" i="43" s="1"/>
  <c r="O15" i="43" s="1"/>
  <c r="O16" i="43" s="1"/>
  <c r="O17" i="43" s="1"/>
  <c r="O18" i="43" s="1"/>
  <c r="O19" i="43" s="1"/>
  <c r="O20" i="43" s="1"/>
  <c r="O21" i="43" s="1"/>
  <c r="O22" i="43" s="1"/>
  <c r="O23" i="43" s="1"/>
  <c r="O24" i="43" s="1"/>
  <c r="O25" i="43" s="1"/>
  <c r="O26" i="43" s="1"/>
  <c r="O27" i="43" s="1"/>
  <c r="O28" i="43" s="1"/>
  <c r="O29" i="43" s="1"/>
  <c r="O30" i="43" s="1"/>
  <c r="I13" i="47" l="1"/>
  <c r="I14" i="47" s="1"/>
  <c r="B14" i="47"/>
  <c r="D13" i="47"/>
  <c r="B14" i="6"/>
  <c r="B15" i="47" l="1"/>
  <c r="I15" i="47"/>
  <c r="B15" i="6"/>
  <c r="B16" i="47" l="1"/>
  <c r="B16" i="6"/>
  <c r="J36" i="37"/>
  <c r="J37" i="37"/>
  <c r="J38" i="37"/>
  <c r="J39" i="37"/>
  <c r="B17" i="47" l="1"/>
  <c r="I16" i="47"/>
  <c r="B17" i="6"/>
  <c r="Z28" i="45"/>
  <c r="Z29" i="45" s="1"/>
  <c r="AA25" i="45"/>
  <c r="AB25" i="45" s="1"/>
  <c r="AA24" i="45"/>
  <c r="AB24" i="45" s="1"/>
  <c r="AA23" i="45"/>
  <c r="AB23" i="45" s="1"/>
  <c r="AA22" i="45"/>
  <c r="AB22" i="45" s="1"/>
  <c r="AA21" i="45"/>
  <c r="AB21" i="45" s="1"/>
  <c r="AA20" i="45"/>
  <c r="AB20" i="45" s="1"/>
  <c r="AA19" i="45"/>
  <c r="AA18" i="45"/>
  <c r="AB18" i="45" s="1"/>
  <c r="AA17" i="45"/>
  <c r="AB17" i="45" s="1"/>
  <c r="AA16" i="45"/>
  <c r="AB16" i="45" s="1"/>
  <c r="AA15" i="45"/>
  <c r="AB15" i="45" s="1"/>
  <c r="AA14" i="45"/>
  <c r="AB14" i="45" s="1"/>
  <c r="I17" i="47" l="1"/>
  <c r="B18" i="47"/>
  <c r="AA28" i="45"/>
  <c r="AA29" i="45" s="1"/>
  <c r="AB19" i="45"/>
  <c r="AB28" i="45" s="1"/>
  <c r="AB29" i="45" s="1"/>
  <c r="B18" i="6"/>
  <c r="B19" i="47" l="1"/>
  <c r="I18" i="47"/>
  <c r="I19" i="47" s="1"/>
  <c r="B19" i="6"/>
  <c r="B20" i="47" l="1"/>
  <c r="B20" i="6"/>
  <c r="B35" i="14"/>
  <c r="B21" i="47" l="1"/>
  <c r="I20" i="47"/>
  <c r="I21" i="47" s="1"/>
  <c r="B21" i="6"/>
  <c r="B22" i="47" l="1"/>
  <c r="B22" i="6"/>
  <c r="B23" i="47" l="1"/>
  <c r="I22" i="47"/>
  <c r="I23" i="47" s="1"/>
  <c r="B23" i="6"/>
  <c r="S34" i="37"/>
  <c r="I35" i="37"/>
  <c r="S35" i="37" s="1"/>
  <c r="I36" i="37"/>
  <c r="S36" i="37" s="1"/>
  <c r="T36" i="37"/>
  <c r="I37" i="37"/>
  <c r="S37" i="37" s="1"/>
  <c r="T37" i="37"/>
  <c r="I38" i="37"/>
  <c r="S38" i="37" s="1"/>
  <c r="T38" i="37"/>
  <c r="I39" i="37"/>
  <c r="S39" i="37" s="1"/>
  <c r="T39" i="37"/>
  <c r="I8" i="47" l="1"/>
  <c r="B24" i="47"/>
  <c r="H8" i="47"/>
  <c r="B24" i="6"/>
  <c r="B25" i="47" l="1"/>
  <c r="I24" i="47"/>
  <c r="I25" i="47" s="1"/>
  <c r="B25" i="6"/>
  <c r="B26" i="47" l="1"/>
  <c r="B26" i="6"/>
  <c r="B27" i="47" l="1"/>
  <c r="I26" i="47"/>
  <c r="I27" i="47" s="1"/>
  <c r="B27" i="6"/>
  <c r="B28" i="47" l="1"/>
  <c r="B28" i="6"/>
  <c r="I28" i="47" l="1"/>
  <c r="B29" i="6"/>
  <c r="B30" i="6" l="1"/>
  <c r="N34" i="44" l="1"/>
  <c r="C39" i="44" l="1"/>
  <c r="O39" i="44" s="1"/>
  <c r="C38" i="44"/>
  <c r="C37" i="44"/>
  <c r="C36" i="44"/>
  <c r="C35" i="44"/>
  <c r="B39" i="44"/>
  <c r="N39" i="44" s="1"/>
  <c r="B38" i="44"/>
  <c r="N38" i="44" s="1"/>
  <c r="B37" i="44"/>
  <c r="N37" i="44" s="1"/>
  <c r="B36" i="44"/>
  <c r="N36" i="44" s="1"/>
  <c r="B32" i="44"/>
  <c r="N32" i="44" s="1"/>
  <c r="O38" i="6"/>
  <c r="O37" i="6"/>
  <c r="N37" i="6"/>
  <c r="O36" i="6"/>
  <c r="N36" i="6"/>
  <c r="O35" i="6"/>
  <c r="N35" i="6"/>
  <c r="O34" i="6"/>
  <c r="N32" i="6"/>
  <c r="N38" i="6"/>
  <c r="B33" i="6"/>
  <c r="N33" i="6" s="1"/>
  <c r="O35" i="44" l="1"/>
  <c r="O36" i="44"/>
  <c r="B33" i="44"/>
  <c r="N33" i="44" s="1"/>
  <c r="O37" i="44"/>
  <c r="O38" i="44"/>
  <c r="B34" i="6" l="1"/>
  <c r="B35" i="44" l="1"/>
  <c r="N35" i="44" s="1"/>
  <c r="N34" i="6"/>
  <c r="D40" i="36"/>
  <c r="D38" i="36"/>
  <c r="D38" i="43" l="1"/>
  <c r="B12" i="45" l="1"/>
  <c r="B13" i="45" l="1"/>
  <c r="B12" i="44"/>
  <c r="B14" i="45" l="1"/>
  <c r="B13" i="44"/>
  <c r="B15" i="45" l="1"/>
  <c r="B14" i="44"/>
  <c r="B16" i="45" l="1"/>
  <c r="B15" i="44"/>
  <c r="B17" i="45" l="1"/>
  <c r="B16" i="44"/>
  <c r="B18" i="45" l="1"/>
  <c r="B17" i="44"/>
  <c r="B19" i="45" l="1"/>
  <c r="B18" i="44"/>
  <c r="B20" i="45" l="1"/>
  <c r="B19" i="44"/>
  <c r="B21" i="45" l="1"/>
  <c r="B20" i="44"/>
  <c r="B22" i="45" l="1"/>
  <c r="B21" i="44"/>
  <c r="B23" i="45" l="1"/>
  <c r="B22" i="44"/>
  <c r="B24" i="45" l="1"/>
  <c r="B23" i="44"/>
  <c r="B25" i="45" l="1"/>
  <c r="B24" i="44"/>
  <c r="B26" i="45" l="1"/>
  <c r="B25" i="44"/>
  <c r="B27" i="45" l="1"/>
  <c r="B26" i="44"/>
  <c r="B28" i="45" l="1"/>
  <c r="B27" i="44"/>
  <c r="B29" i="45" l="1"/>
  <c r="B28" i="44"/>
  <c r="B30" i="45" l="1"/>
  <c r="B29" i="44"/>
  <c r="Q11" i="37" l="1"/>
  <c r="B30" i="44"/>
  <c r="W11" i="37" l="1"/>
  <c r="G11" i="37"/>
  <c r="L11" i="37"/>
  <c r="P11" i="37"/>
  <c r="M11" i="37"/>
  <c r="V11" i="37"/>
  <c r="F11" i="37"/>
  <c r="E5" i="43" l="1"/>
  <c r="B11" i="43"/>
  <c r="C35" i="43"/>
  <c r="C36" i="43"/>
  <c r="C37" i="43"/>
  <c r="C38" i="43"/>
  <c r="C41" i="43"/>
  <c r="D10" i="43"/>
  <c r="D11" i="43" l="1"/>
  <c r="B12" i="43"/>
  <c r="D12" i="43" l="1"/>
  <c r="B13" i="43"/>
  <c r="D13" i="43" l="1"/>
  <c r="B14" i="43"/>
  <c r="D14" i="43" s="1"/>
  <c r="D15" i="43" s="1"/>
  <c r="D16" i="43" s="1"/>
  <c r="D17" i="43" s="1"/>
  <c r="D18" i="43" s="1"/>
  <c r="D19" i="43" s="1"/>
  <c r="D20" i="43" s="1"/>
  <c r="D21" i="43" s="1"/>
  <c r="D22" i="43" s="1"/>
  <c r="D23" i="43" s="1"/>
  <c r="D24" i="43" s="1"/>
  <c r="D25" i="43" s="1"/>
  <c r="D26" i="43" s="1"/>
  <c r="D27" i="43" s="1"/>
  <c r="D28" i="43" s="1"/>
  <c r="D29" i="43" s="1"/>
  <c r="D30" i="43" s="1"/>
  <c r="D31" i="43" s="1"/>
  <c r="B15" i="43" l="1"/>
  <c r="B16" i="43" l="1"/>
  <c r="B17" i="43" l="1"/>
  <c r="E17" i="43" s="1"/>
  <c r="E18" i="43" s="1"/>
  <c r="E19" i="43" s="1"/>
  <c r="E20" i="43" s="1"/>
  <c r="E21" i="43" s="1"/>
  <c r="E22" i="43" s="1"/>
  <c r="E23" i="43" s="1"/>
  <c r="E24" i="43" s="1"/>
  <c r="E25" i="43" s="1"/>
  <c r="E26" i="43" s="1"/>
  <c r="E27" i="43" s="1"/>
  <c r="E28" i="43" s="1"/>
  <c r="E29" i="43" s="1"/>
  <c r="E30" i="43" s="1"/>
  <c r="E31" i="43" s="1"/>
  <c r="F31" i="43" s="1"/>
  <c r="D28" i="47" l="1"/>
  <c r="C28" i="47" s="1"/>
  <c r="B18" i="43"/>
  <c r="B19" i="43" l="1"/>
  <c r="B20" i="43" l="1"/>
  <c r="B21" i="43" l="1"/>
  <c r="B22" i="43" l="1"/>
  <c r="B23" i="43" l="1"/>
  <c r="B24" i="43" l="1"/>
  <c r="I8" i="43" l="1"/>
  <c r="B25" i="43"/>
  <c r="B26" i="43" l="1"/>
  <c r="B27" i="43" l="1"/>
  <c r="B28" i="43" l="1"/>
  <c r="B29" i="43" l="1"/>
  <c r="B30" i="43" l="1"/>
  <c r="F29" i="43"/>
  <c r="F30" i="43"/>
  <c r="D27" i="47" s="1"/>
  <c r="F10" i="43"/>
  <c r="F11" i="43"/>
  <c r="D26" i="47" l="1"/>
  <c r="C26" i="47" s="1"/>
  <c r="E28" i="47"/>
  <c r="C27" i="47"/>
  <c r="F12" i="43"/>
  <c r="F13" i="43" l="1"/>
  <c r="F14" i="43" l="1"/>
  <c r="F15" i="43" l="1"/>
  <c r="F16" i="43" l="1"/>
  <c r="F17" i="43" l="1"/>
  <c r="D14" i="47" l="1"/>
  <c r="C14" i="47" s="1"/>
  <c r="F18" i="43"/>
  <c r="D15" i="47" l="1"/>
  <c r="C15" i="47" s="1"/>
  <c r="F19" i="43"/>
  <c r="D16" i="47" l="1"/>
  <c r="C16" i="47" s="1"/>
  <c r="E16" i="47" s="1"/>
  <c r="F20" i="43"/>
  <c r="D17" i="47" l="1"/>
  <c r="C17" i="47" s="1"/>
  <c r="E17" i="47" s="1"/>
  <c r="F21" i="43"/>
  <c r="D18" i="47" l="1"/>
  <c r="C18" i="47" s="1"/>
  <c r="E18" i="47" s="1"/>
  <c r="F22" i="43"/>
  <c r="D19" i="47" l="1"/>
  <c r="C19" i="47" s="1"/>
  <c r="E19" i="47" s="1"/>
  <c r="F23" i="43"/>
  <c r="D20" i="47" l="1"/>
  <c r="C20" i="47" s="1"/>
  <c r="E20" i="47" s="1"/>
  <c r="F24" i="43"/>
  <c r="D21" i="47" l="1"/>
  <c r="C21" i="47" s="1"/>
  <c r="E21" i="47" s="1"/>
  <c r="F25" i="43"/>
  <c r="D22" i="47" s="1"/>
  <c r="B9" i="36"/>
  <c r="B3" i="36" s="1"/>
  <c r="B11" i="36"/>
  <c r="C37" i="36"/>
  <c r="C40" i="36"/>
  <c r="C10" i="36"/>
  <c r="D10" i="36" s="1"/>
  <c r="D37" i="36"/>
  <c r="B12" i="36" l="1"/>
  <c r="L11" i="36"/>
  <c r="D11" i="36" s="1"/>
  <c r="C22" i="47"/>
  <c r="E22" i="47" s="1"/>
  <c r="F26" i="43"/>
  <c r="C47" i="36"/>
  <c r="E10" i="36" s="1"/>
  <c r="C23" i="47" l="1"/>
  <c r="E23" i="47" s="1"/>
  <c r="D23" i="47"/>
  <c r="E11" i="36"/>
  <c r="B13" i="36"/>
  <c r="L12" i="36"/>
  <c r="D12" i="36" s="1"/>
  <c r="F27" i="43"/>
  <c r="D24" i="47" l="1"/>
  <c r="C24" i="47" s="1"/>
  <c r="E24" i="47" s="1"/>
  <c r="L13" i="36"/>
  <c r="D13" i="36" s="1"/>
  <c r="B14" i="36"/>
  <c r="E12" i="36"/>
  <c r="F28" i="43"/>
  <c r="D25" i="47" s="1"/>
  <c r="L14" i="36" l="1"/>
  <c r="D14" i="36" s="1"/>
  <c r="B15" i="36"/>
  <c r="E13" i="36"/>
  <c r="E14" i="36" s="1"/>
  <c r="C25" i="47"/>
  <c r="E25" i="47" s="1"/>
  <c r="E26" i="47"/>
  <c r="E27" i="47"/>
  <c r="L15" i="36" l="1"/>
  <c r="D15" i="36" s="1"/>
  <c r="B16" i="36"/>
  <c r="L16" i="36" l="1"/>
  <c r="D16" i="36" s="1"/>
  <c r="B17" i="36"/>
  <c r="E15" i="36"/>
  <c r="E16" i="36" s="1"/>
  <c r="L17" i="36" l="1"/>
  <c r="D17" i="36" s="1"/>
  <c r="B18" i="36"/>
  <c r="L18" i="36" l="1"/>
  <c r="D18" i="36" s="1"/>
  <c r="B19" i="36"/>
  <c r="E17" i="36"/>
  <c r="E18" i="36" s="1"/>
  <c r="G13" i="36"/>
  <c r="G14" i="36"/>
  <c r="L19" i="36" l="1"/>
  <c r="D19" i="36" s="1"/>
  <c r="B20" i="36"/>
  <c r="I13" i="36"/>
  <c r="G15" i="36"/>
  <c r="L20" i="36" l="1"/>
  <c r="D20" i="36" s="1"/>
  <c r="B21" i="36"/>
  <c r="E19" i="36"/>
  <c r="E20" i="36" s="1"/>
  <c r="I14" i="36"/>
  <c r="G16" i="36"/>
  <c r="L21" i="36" l="1"/>
  <c r="D21" i="36" s="1"/>
  <c r="B22" i="36"/>
  <c r="I15" i="36"/>
  <c r="G17" i="36"/>
  <c r="L22" i="36" l="1"/>
  <c r="D22" i="36" s="1"/>
  <c r="B23" i="36"/>
  <c r="E21" i="36"/>
  <c r="E22" i="36" s="1"/>
  <c r="I16" i="36"/>
  <c r="G18" i="36"/>
  <c r="L23" i="36" l="1"/>
  <c r="D23" i="36" s="1"/>
  <c r="B24" i="36"/>
  <c r="I17" i="36"/>
  <c r="G19" i="36"/>
  <c r="C9" i="47" l="1"/>
  <c r="E9" i="47" s="1"/>
  <c r="L24" i="36"/>
  <c r="D24" i="36" s="1"/>
  <c r="B25" i="36"/>
  <c r="E23" i="36"/>
  <c r="E24" i="36" s="1"/>
  <c r="I18" i="36"/>
  <c r="G20" i="36"/>
  <c r="L25" i="36" l="1"/>
  <c r="D25" i="36" s="1"/>
  <c r="B26" i="36"/>
  <c r="E25" i="36"/>
  <c r="I19" i="36"/>
  <c r="G21" i="36"/>
  <c r="L26" i="36" l="1"/>
  <c r="D26" i="36" s="1"/>
  <c r="B27" i="36"/>
  <c r="I20" i="36"/>
  <c r="G22" i="36"/>
  <c r="E26" i="36" l="1"/>
  <c r="L27" i="36"/>
  <c r="D27" i="36" s="1"/>
  <c r="B28" i="36"/>
  <c r="I21" i="36"/>
  <c r="E15" i="47" s="1"/>
  <c r="G23" i="36"/>
  <c r="L28" i="36" l="1"/>
  <c r="D28" i="36" s="1"/>
  <c r="B29" i="36"/>
  <c r="E27" i="36"/>
  <c r="E14" i="47"/>
  <c r="I22" i="36"/>
  <c r="G24" i="36"/>
  <c r="E28" i="36" l="1"/>
  <c r="L29" i="36"/>
  <c r="D29" i="36" s="1"/>
  <c r="B30" i="36"/>
  <c r="I23" i="36"/>
  <c r="G25" i="36"/>
  <c r="L30" i="36" l="1"/>
  <c r="D30" i="36" s="1"/>
  <c r="B31" i="36"/>
  <c r="E29" i="36"/>
  <c r="E30" i="36" s="1"/>
  <c r="I24" i="36"/>
  <c r="G26" i="36"/>
  <c r="B32" i="36" l="1"/>
  <c r="L31" i="36"/>
  <c r="D31" i="36" s="1"/>
  <c r="I25" i="36"/>
  <c r="G27" i="36"/>
  <c r="E31" i="36" l="1"/>
  <c r="B33" i="36"/>
  <c r="L32" i="36"/>
  <c r="D32" i="36" s="1"/>
  <c r="I26" i="36"/>
  <c r="G28" i="36"/>
  <c r="B34" i="36" l="1"/>
  <c r="L33" i="36"/>
  <c r="D33" i="36" s="1"/>
  <c r="E32" i="36"/>
  <c r="I27" i="36"/>
  <c r="G29" i="36"/>
  <c r="E33" i="36" l="1"/>
  <c r="B35" i="36"/>
  <c r="L34" i="36"/>
  <c r="D34" i="36" s="1"/>
  <c r="I28" i="36"/>
  <c r="G30" i="36"/>
  <c r="B36" i="36" l="1"/>
  <c r="L35" i="36"/>
  <c r="D35" i="36" s="1"/>
  <c r="E34" i="36"/>
  <c r="I29" i="36"/>
  <c r="G31" i="36"/>
  <c r="E35" i="36" l="1"/>
  <c r="L36" i="36"/>
  <c r="D36" i="36" s="1"/>
  <c r="C10" i="47"/>
  <c r="E10" i="47" s="1"/>
  <c r="C13" i="47"/>
  <c r="E13" i="47" s="1"/>
  <c r="C11" i="47"/>
  <c r="E11" i="47" s="1"/>
  <c r="C12" i="47"/>
  <c r="E12" i="47" s="1"/>
  <c r="I30" i="36"/>
  <c r="G32" i="36"/>
  <c r="E36" i="36" l="1"/>
  <c r="G36" i="36" s="1"/>
  <c r="I36" i="36" s="1"/>
  <c r="F9" i="47"/>
  <c r="E13" i="50" s="1"/>
  <c r="F13" i="50" s="1"/>
  <c r="I31" i="36"/>
  <c r="G33" i="36"/>
  <c r="F10" i="47" l="1"/>
  <c r="C13" i="37"/>
  <c r="I32" i="36"/>
  <c r="G35" i="36"/>
  <c r="I35" i="36" s="1"/>
  <c r="T13" i="37" l="1"/>
  <c r="V13" i="37" s="1"/>
  <c r="K13" i="37"/>
  <c r="M13" i="37" s="1"/>
  <c r="U13" i="37"/>
  <c r="W13" i="37" s="1"/>
  <c r="E13" i="37"/>
  <c r="G13" i="37" s="1"/>
  <c r="J13" i="37"/>
  <c r="L13" i="37" s="1"/>
  <c r="D13" i="37"/>
  <c r="F13" i="37" s="1"/>
  <c r="N13" i="37"/>
  <c r="P13" i="37" s="1"/>
  <c r="O13" i="37"/>
  <c r="Q13" i="37" s="1"/>
  <c r="F11" i="47"/>
  <c r="C14" i="37"/>
  <c r="G34" i="36"/>
  <c r="I34" i="36" s="1"/>
  <c r="I33" i="36"/>
  <c r="N14" i="37" l="1"/>
  <c r="P14" i="37" s="1"/>
  <c r="Q12" i="44" s="1"/>
  <c r="K14" i="37"/>
  <c r="M14" i="37" s="1"/>
  <c r="J14" i="37"/>
  <c r="L14" i="37" s="1"/>
  <c r="O14" i="37"/>
  <c r="Q14" i="37" s="1"/>
  <c r="R12" i="44" s="1"/>
  <c r="E14" i="37"/>
  <c r="G14" i="37" s="1"/>
  <c r="G12" i="44" s="1"/>
  <c r="D14" i="37"/>
  <c r="F14" i="37" s="1"/>
  <c r="E12" i="44" s="1"/>
  <c r="U14" i="37"/>
  <c r="W14" i="37" s="1"/>
  <c r="W12" i="44" s="1"/>
  <c r="T14" i="37"/>
  <c r="V14" i="37" s="1"/>
  <c r="U12" i="44" s="1"/>
  <c r="F12" i="47"/>
  <c r="C15" i="37"/>
  <c r="I12" i="44"/>
  <c r="K12" i="44"/>
  <c r="L12" i="44"/>
  <c r="J12" i="44"/>
  <c r="W11" i="44"/>
  <c r="Q11" i="44"/>
  <c r="U11" i="44"/>
  <c r="S11" i="44"/>
  <c r="V11" i="44"/>
  <c r="P11" i="44"/>
  <c r="J11" i="44"/>
  <c r="D11" i="44"/>
  <c r="X11" i="44"/>
  <c r="K11" i="44"/>
  <c r="G11" i="44"/>
  <c r="E11" i="44"/>
  <c r="R11" i="44"/>
  <c r="I11" i="44"/>
  <c r="F11" i="44"/>
  <c r="L11" i="44"/>
  <c r="P12" i="44" l="1"/>
  <c r="D12" i="44"/>
  <c r="F12" i="44"/>
  <c r="S12" i="44"/>
  <c r="O12" i="44" s="1"/>
  <c r="X12" i="44"/>
  <c r="V12" i="44"/>
  <c r="J15" i="37"/>
  <c r="L15" i="37" s="1"/>
  <c r="J13" i="44" s="1"/>
  <c r="E15" i="37"/>
  <c r="G15" i="37" s="1"/>
  <c r="F13" i="44" s="1"/>
  <c r="D15" i="37"/>
  <c r="F15" i="37" s="1"/>
  <c r="E13" i="44" s="1"/>
  <c r="U15" i="37"/>
  <c r="W15" i="37" s="1"/>
  <c r="W13" i="44" s="1"/>
  <c r="N15" i="37"/>
  <c r="P15" i="37" s="1"/>
  <c r="P13" i="44" s="1"/>
  <c r="O15" i="37"/>
  <c r="Q15" i="37" s="1"/>
  <c r="R13" i="44" s="1"/>
  <c r="T15" i="37"/>
  <c r="V15" i="37" s="1"/>
  <c r="V13" i="44" s="1"/>
  <c r="K15" i="37"/>
  <c r="M15" i="37" s="1"/>
  <c r="K13" i="44" s="1"/>
  <c r="F13" i="47"/>
  <c r="C16" i="37"/>
  <c r="H12" i="44"/>
  <c r="C11" i="44"/>
  <c r="C12" i="44"/>
  <c r="T11" i="44"/>
  <c r="H11" i="44"/>
  <c r="O11" i="44"/>
  <c r="X13" i="44"/>
  <c r="L13" i="44"/>
  <c r="I13" i="44" l="1"/>
  <c r="T12" i="44"/>
  <c r="G13" i="44"/>
  <c r="D13" i="44"/>
  <c r="Q13" i="44"/>
  <c r="U13" i="44"/>
  <c r="T13" i="44" s="1"/>
  <c r="S13" i="44"/>
  <c r="N16" i="37"/>
  <c r="P16" i="37" s="1"/>
  <c r="J16" i="37"/>
  <c r="L16" i="37" s="1"/>
  <c r="D16" i="37"/>
  <c r="F16" i="37" s="1"/>
  <c r="O16" i="37"/>
  <c r="Q16" i="37" s="1"/>
  <c r="E16" i="37"/>
  <c r="G16" i="37" s="1"/>
  <c r="K16" i="37"/>
  <c r="M16" i="37" s="1"/>
  <c r="T16" i="37"/>
  <c r="V16" i="37" s="1"/>
  <c r="U16" i="37"/>
  <c r="W16" i="37" s="1"/>
  <c r="F14" i="47"/>
  <c r="C17" i="37"/>
  <c r="H13" i="44"/>
  <c r="O13" i="44" l="1"/>
  <c r="C13" i="44"/>
  <c r="X14" i="44"/>
  <c r="W14" i="44"/>
  <c r="U14" i="44"/>
  <c r="V14" i="44"/>
  <c r="K14" i="44"/>
  <c r="L14" i="44"/>
  <c r="G14" i="44"/>
  <c r="F14" i="44"/>
  <c r="S14" i="44"/>
  <c r="R14" i="44"/>
  <c r="D14" i="44"/>
  <c r="E14" i="44"/>
  <c r="N17" i="37"/>
  <c r="P17" i="37" s="1"/>
  <c r="T17" i="37"/>
  <c r="V17" i="37" s="1"/>
  <c r="O17" i="37"/>
  <c r="Q17" i="37" s="1"/>
  <c r="J17" i="37"/>
  <c r="L17" i="37" s="1"/>
  <c r="D17" i="37"/>
  <c r="F17" i="37" s="1"/>
  <c r="E17" i="37"/>
  <c r="G17" i="37" s="1"/>
  <c r="U17" i="37"/>
  <c r="W17" i="37" s="1"/>
  <c r="K17" i="37"/>
  <c r="M17" i="37" s="1"/>
  <c r="I14" i="44"/>
  <c r="J14" i="44"/>
  <c r="F15" i="47"/>
  <c r="C18" i="37"/>
  <c r="Q14" i="44"/>
  <c r="P14" i="44"/>
  <c r="O14" i="44" l="1"/>
  <c r="O18" i="37"/>
  <c r="Q18" i="37" s="1"/>
  <c r="E18" i="37"/>
  <c r="G18" i="37" s="1"/>
  <c r="J18" i="37"/>
  <c r="L18" i="37" s="1"/>
  <c r="D18" i="37"/>
  <c r="F18" i="37" s="1"/>
  <c r="T18" i="37"/>
  <c r="V18" i="37" s="1"/>
  <c r="K18" i="37"/>
  <c r="M18" i="37" s="1"/>
  <c r="N18" i="37"/>
  <c r="P18" i="37" s="1"/>
  <c r="U18" i="37"/>
  <c r="W18" i="37" s="1"/>
  <c r="I15" i="44"/>
  <c r="J15" i="44"/>
  <c r="F16" i="47"/>
  <c r="C19" i="37"/>
  <c r="R15" i="44"/>
  <c r="S15" i="44"/>
  <c r="V15" i="44"/>
  <c r="U15" i="44"/>
  <c r="H14" i="44"/>
  <c r="P15" i="44"/>
  <c r="Q15" i="44"/>
  <c r="K15" i="44"/>
  <c r="L15" i="44"/>
  <c r="W15" i="44"/>
  <c r="X15" i="44"/>
  <c r="C14" i="44"/>
  <c r="T14" i="44"/>
  <c r="F15" i="44"/>
  <c r="G15" i="44"/>
  <c r="D15" i="44"/>
  <c r="E15" i="44"/>
  <c r="T15" i="44" l="1"/>
  <c r="X16" i="44"/>
  <c r="W16" i="44"/>
  <c r="Q16" i="44"/>
  <c r="P16" i="44"/>
  <c r="K16" i="44"/>
  <c r="L16" i="44"/>
  <c r="V16" i="44"/>
  <c r="U16" i="44"/>
  <c r="C15" i="44"/>
  <c r="K19" i="37"/>
  <c r="M19" i="37" s="1"/>
  <c r="J19" i="37"/>
  <c r="L19" i="37" s="1"/>
  <c r="T19" i="37"/>
  <c r="V19" i="37" s="1"/>
  <c r="O19" i="37"/>
  <c r="Q19" i="37" s="1"/>
  <c r="E19" i="37"/>
  <c r="G19" i="37" s="1"/>
  <c r="D19" i="37"/>
  <c r="F19" i="37" s="1"/>
  <c r="U19" i="37"/>
  <c r="W19" i="37" s="1"/>
  <c r="N19" i="37"/>
  <c r="P19" i="37" s="1"/>
  <c r="E16" i="44"/>
  <c r="D16" i="44"/>
  <c r="F17" i="47"/>
  <c r="C20" i="37"/>
  <c r="I16" i="44"/>
  <c r="J16" i="44"/>
  <c r="O15" i="44"/>
  <c r="G16" i="44"/>
  <c r="F16" i="44"/>
  <c r="H15" i="44"/>
  <c r="S16" i="44"/>
  <c r="R16" i="44"/>
  <c r="C16" i="44" l="1"/>
  <c r="H16" i="44"/>
  <c r="E17" i="44"/>
  <c r="D17" i="44"/>
  <c r="G17" i="44"/>
  <c r="F17" i="44"/>
  <c r="T20" i="37"/>
  <c r="V20" i="37" s="1"/>
  <c r="U20" i="37"/>
  <c r="W20" i="37" s="1"/>
  <c r="O20" i="37"/>
  <c r="Q20" i="37" s="1"/>
  <c r="D20" i="37"/>
  <c r="F20" i="37" s="1"/>
  <c r="E20" i="37"/>
  <c r="G20" i="37" s="1"/>
  <c r="J20" i="37"/>
  <c r="L20" i="37" s="1"/>
  <c r="N20" i="37"/>
  <c r="P20" i="37" s="1"/>
  <c r="K20" i="37"/>
  <c r="M20" i="37" s="1"/>
  <c r="R17" i="44"/>
  <c r="S17" i="44"/>
  <c r="F18" i="47"/>
  <c r="C21" i="37"/>
  <c r="V17" i="44"/>
  <c r="U17" i="44"/>
  <c r="O16" i="44"/>
  <c r="I17" i="44"/>
  <c r="J17" i="44"/>
  <c r="L17" i="44"/>
  <c r="K17" i="44"/>
  <c r="P17" i="44"/>
  <c r="Q17" i="44"/>
  <c r="X17" i="44"/>
  <c r="W17" i="44"/>
  <c r="T16" i="44"/>
  <c r="O17" i="44" l="1"/>
  <c r="N21" i="37"/>
  <c r="P21" i="37" s="1"/>
  <c r="K21" i="37"/>
  <c r="M21" i="37" s="1"/>
  <c r="E21" i="37"/>
  <c r="G21" i="37" s="1"/>
  <c r="U21" i="37"/>
  <c r="W21" i="37" s="1"/>
  <c r="O21" i="37"/>
  <c r="Q21" i="37" s="1"/>
  <c r="J21" i="37"/>
  <c r="L21" i="37" s="1"/>
  <c r="T21" i="37"/>
  <c r="V21" i="37" s="1"/>
  <c r="D21" i="37"/>
  <c r="F21" i="37" s="1"/>
  <c r="E18" i="44"/>
  <c r="D18" i="44"/>
  <c r="F19" i="47"/>
  <c r="C22" i="37"/>
  <c r="R18" i="44"/>
  <c r="S18" i="44"/>
  <c r="W18" i="44"/>
  <c r="X18" i="44"/>
  <c r="V18" i="44"/>
  <c r="U18" i="44"/>
  <c r="H17" i="44"/>
  <c r="L18" i="44"/>
  <c r="K18" i="44"/>
  <c r="Q18" i="44"/>
  <c r="P18" i="44"/>
  <c r="T17" i="44"/>
  <c r="J18" i="44"/>
  <c r="I18" i="44"/>
  <c r="C17" i="44"/>
  <c r="G18" i="44"/>
  <c r="F18" i="44"/>
  <c r="O18" i="44" l="1"/>
  <c r="D19" i="44"/>
  <c r="E19" i="44"/>
  <c r="U19" i="44"/>
  <c r="V19" i="44"/>
  <c r="J19" i="44"/>
  <c r="I19" i="44"/>
  <c r="S19" i="44"/>
  <c r="R19" i="44"/>
  <c r="K22" i="37"/>
  <c r="M22" i="37" s="1"/>
  <c r="J22" i="37"/>
  <c r="L22" i="37" s="1"/>
  <c r="D22" i="37"/>
  <c r="F22" i="37" s="1"/>
  <c r="T22" i="37"/>
  <c r="V22" i="37" s="1"/>
  <c r="E22" i="37"/>
  <c r="G22" i="37" s="1"/>
  <c r="U22" i="37"/>
  <c r="W22" i="37" s="1"/>
  <c r="N22" i="37"/>
  <c r="P22" i="37" s="1"/>
  <c r="O22" i="37"/>
  <c r="Q22" i="37" s="1"/>
  <c r="W19" i="44"/>
  <c r="X19" i="44"/>
  <c r="F20" i="47"/>
  <c r="C23" i="37"/>
  <c r="F19" i="44"/>
  <c r="G19" i="44"/>
  <c r="H18" i="44"/>
  <c r="T18" i="44"/>
  <c r="C18" i="44"/>
  <c r="L19" i="44"/>
  <c r="K19" i="44"/>
  <c r="P19" i="44"/>
  <c r="Q19" i="44"/>
  <c r="H19" i="44" l="1"/>
  <c r="R20" i="44"/>
  <c r="S20" i="44"/>
  <c r="Q20" i="44"/>
  <c r="P20" i="44"/>
  <c r="W20" i="44"/>
  <c r="X20" i="44"/>
  <c r="F20" i="44"/>
  <c r="G20" i="44"/>
  <c r="O19" i="44"/>
  <c r="J23" i="37"/>
  <c r="L23" i="37" s="1"/>
  <c r="E23" i="37"/>
  <c r="G23" i="37" s="1"/>
  <c r="D23" i="37"/>
  <c r="F23" i="37" s="1"/>
  <c r="U23" i="37"/>
  <c r="W23" i="37" s="1"/>
  <c r="O23" i="37"/>
  <c r="Q23" i="37" s="1"/>
  <c r="T23" i="37"/>
  <c r="V23" i="37" s="1"/>
  <c r="K23" i="37"/>
  <c r="M23" i="37" s="1"/>
  <c r="N23" i="37"/>
  <c r="P23" i="37" s="1"/>
  <c r="V20" i="44"/>
  <c r="U20" i="44"/>
  <c r="F21" i="47"/>
  <c r="C24" i="37"/>
  <c r="D20" i="44"/>
  <c r="E20" i="44"/>
  <c r="T19" i="44"/>
  <c r="J20" i="44"/>
  <c r="I20" i="44"/>
  <c r="L20" i="44"/>
  <c r="K20" i="44"/>
  <c r="C19" i="44"/>
  <c r="O20" i="44" l="1"/>
  <c r="K21" i="44"/>
  <c r="L21" i="44"/>
  <c r="V21" i="44"/>
  <c r="U21" i="44"/>
  <c r="C20" i="44"/>
  <c r="R21" i="44"/>
  <c r="S21" i="44"/>
  <c r="O24" i="37"/>
  <c r="Q24" i="37" s="1"/>
  <c r="J24" i="37"/>
  <c r="L24" i="37" s="1"/>
  <c r="K24" i="37"/>
  <c r="M24" i="37" s="1"/>
  <c r="T24" i="37"/>
  <c r="V24" i="37" s="1"/>
  <c r="U24" i="37"/>
  <c r="W24" i="37" s="1"/>
  <c r="D24" i="37"/>
  <c r="F24" i="37" s="1"/>
  <c r="E24" i="37"/>
  <c r="G24" i="37" s="1"/>
  <c r="N24" i="37"/>
  <c r="P24" i="37" s="1"/>
  <c r="W21" i="44"/>
  <c r="X21" i="44"/>
  <c r="F22" i="47"/>
  <c r="C25" i="37"/>
  <c r="E21" i="44"/>
  <c r="D21" i="44"/>
  <c r="T20" i="44"/>
  <c r="F21" i="44"/>
  <c r="G21" i="44"/>
  <c r="H20" i="44"/>
  <c r="I21" i="44"/>
  <c r="J21" i="44"/>
  <c r="Q21" i="44"/>
  <c r="P21" i="44"/>
  <c r="O21" i="44" l="1"/>
  <c r="R22" i="44"/>
  <c r="S22" i="44"/>
  <c r="Q22" i="44"/>
  <c r="P22" i="44"/>
  <c r="G22" i="44"/>
  <c r="F22" i="44"/>
  <c r="C21" i="44"/>
  <c r="E22" i="44"/>
  <c r="D22" i="44"/>
  <c r="X22" i="44"/>
  <c r="W22" i="44"/>
  <c r="T21" i="44"/>
  <c r="O25" i="37"/>
  <c r="Q25" i="37" s="1"/>
  <c r="J25" i="37"/>
  <c r="L25" i="37" s="1"/>
  <c r="E25" i="37"/>
  <c r="G25" i="37" s="1"/>
  <c r="N25" i="37"/>
  <c r="P25" i="37" s="1"/>
  <c r="K25" i="37"/>
  <c r="M25" i="37" s="1"/>
  <c r="D25" i="37"/>
  <c r="F25" i="37" s="1"/>
  <c r="U25" i="37"/>
  <c r="W25" i="37" s="1"/>
  <c r="T25" i="37"/>
  <c r="V25" i="37" s="1"/>
  <c r="U22" i="44"/>
  <c r="V22" i="44"/>
  <c r="H21" i="44"/>
  <c r="F23" i="47"/>
  <c r="C26" i="37"/>
  <c r="K22" i="44"/>
  <c r="L22" i="44"/>
  <c r="I22" i="44"/>
  <c r="J22" i="44"/>
  <c r="O22" i="44" l="1"/>
  <c r="F24" i="47"/>
  <c r="C27" i="37"/>
  <c r="P23" i="44"/>
  <c r="Q23" i="44"/>
  <c r="F23" i="44"/>
  <c r="G23" i="44"/>
  <c r="J23" i="44"/>
  <c r="I23" i="44"/>
  <c r="T22" i="44"/>
  <c r="S23" i="44"/>
  <c r="R23" i="44"/>
  <c r="H22" i="44"/>
  <c r="V23" i="44"/>
  <c r="U23" i="44"/>
  <c r="X23" i="44"/>
  <c r="W23" i="44"/>
  <c r="E23" i="44"/>
  <c r="D23" i="44"/>
  <c r="D26" i="37"/>
  <c r="F26" i="37" s="1"/>
  <c r="E26" i="37"/>
  <c r="G26" i="37" s="1"/>
  <c r="T26" i="37"/>
  <c r="V26" i="37" s="1"/>
  <c r="U26" i="37"/>
  <c r="W26" i="37" s="1"/>
  <c r="N26" i="37"/>
  <c r="P26" i="37" s="1"/>
  <c r="O26" i="37"/>
  <c r="Q26" i="37" s="1"/>
  <c r="J26" i="37"/>
  <c r="L26" i="37" s="1"/>
  <c r="K26" i="37"/>
  <c r="M26" i="37" s="1"/>
  <c r="K23" i="44"/>
  <c r="L23" i="44"/>
  <c r="C22" i="44"/>
  <c r="S24" i="44" l="1"/>
  <c r="R24" i="44"/>
  <c r="H23" i="44"/>
  <c r="Q24" i="44"/>
  <c r="P24" i="44"/>
  <c r="T23" i="44"/>
  <c r="X24" i="44"/>
  <c r="W24" i="44"/>
  <c r="V24" i="44"/>
  <c r="U24" i="44"/>
  <c r="G24" i="44"/>
  <c r="F24" i="44"/>
  <c r="D24" i="44"/>
  <c r="E24" i="44"/>
  <c r="O23" i="44"/>
  <c r="K24" i="44"/>
  <c r="L24" i="44"/>
  <c r="C23" i="44"/>
  <c r="J27" i="37"/>
  <c r="L27" i="37" s="1"/>
  <c r="E27" i="37"/>
  <c r="G27" i="37" s="1"/>
  <c r="D27" i="37"/>
  <c r="F27" i="37" s="1"/>
  <c r="U27" i="37"/>
  <c r="W27" i="37" s="1"/>
  <c r="T27" i="37"/>
  <c r="V27" i="37" s="1"/>
  <c r="O27" i="37"/>
  <c r="Q27" i="37" s="1"/>
  <c r="N27" i="37"/>
  <c r="P27" i="37" s="1"/>
  <c r="K27" i="37"/>
  <c r="M27" i="37" s="1"/>
  <c r="I24" i="44"/>
  <c r="J24" i="44"/>
  <c r="F25" i="47"/>
  <c r="C28" i="37"/>
  <c r="O24" i="44" l="1"/>
  <c r="C24" i="44"/>
  <c r="S25" i="44"/>
  <c r="R25" i="44"/>
  <c r="U25" i="44"/>
  <c r="V25" i="44"/>
  <c r="D28" i="37"/>
  <c r="F28" i="37" s="1"/>
  <c r="E28" i="37"/>
  <c r="G28" i="37" s="1"/>
  <c r="T28" i="37"/>
  <c r="V28" i="37" s="1"/>
  <c r="J28" i="37"/>
  <c r="L28" i="37" s="1"/>
  <c r="U28" i="37"/>
  <c r="W28" i="37" s="1"/>
  <c r="N28" i="37"/>
  <c r="P28" i="37" s="1"/>
  <c r="O28" i="37"/>
  <c r="Q28" i="37" s="1"/>
  <c r="K28" i="37"/>
  <c r="M28" i="37" s="1"/>
  <c r="W25" i="44"/>
  <c r="X25" i="44"/>
  <c r="D25" i="44"/>
  <c r="E25" i="44"/>
  <c r="G25" i="44"/>
  <c r="F25" i="44"/>
  <c r="H24" i="44"/>
  <c r="J25" i="44"/>
  <c r="I25" i="44"/>
  <c r="F26" i="47"/>
  <c r="C29" i="37"/>
  <c r="K25" i="44"/>
  <c r="L25" i="44"/>
  <c r="T24" i="44"/>
  <c r="P25" i="44"/>
  <c r="Q25" i="44"/>
  <c r="C25" i="44" l="1"/>
  <c r="J26" i="44"/>
  <c r="I26" i="44"/>
  <c r="D29" i="37"/>
  <c r="F29" i="37" s="1"/>
  <c r="E29" i="37"/>
  <c r="G29" i="37" s="1"/>
  <c r="O29" i="37"/>
  <c r="Q29" i="37" s="1"/>
  <c r="N29" i="37"/>
  <c r="P29" i="37" s="1"/>
  <c r="U29" i="37"/>
  <c r="W29" i="37" s="1"/>
  <c r="T29" i="37"/>
  <c r="V29" i="37" s="1"/>
  <c r="J29" i="37"/>
  <c r="L29" i="37" s="1"/>
  <c r="K29" i="37"/>
  <c r="M29" i="37" s="1"/>
  <c r="V26" i="44"/>
  <c r="U26" i="44"/>
  <c r="F27" i="47"/>
  <c r="C30" i="37"/>
  <c r="G26" i="44"/>
  <c r="F26" i="44"/>
  <c r="H25" i="44"/>
  <c r="D26" i="44"/>
  <c r="E26" i="44"/>
  <c r="K26" i="44"/>
  <c r="L26" i="44"/>
  <c r="O25" i="44"/>
  <c r="R26" i="44"/>
  <c r="S26" i="44"/>
  <c r="T25" i="44"/>
  <c r="Q26" i="44"/>
  <c r="P26" i="44"/>
  <c r="W26" i="44"/>
  <c r="X26" i="44"/>
  <c r="V27" i="44" l="1"/>
  <c r="U27" i="44"/>
  <c r="X27" i="44"/>
  <c r="W27" i="44"/>
  <c r="T30" i="37"/>
  <c r="V30" i="37" s="1"/>
  <c r="U30" i="37"/>
  <c r="W30" i="37" s="1"/>
  <c r="N30" i="37"/>
  <c r="P30" i="37" s="1"/>
  <c r="O30" i="37"/>
  <c r="Q30" i="37" s="1"/>
  <c r="J30" i="37"/>
  <c r="L30" i="37" s="1"/>
  <c r="K30" i="37"/>
  <c r="M30" i="37" s="1"/>
  <c r="D30" i="37"/>
  <c r="F30" i="37" s="1"/>
  <c r="E30" i="37"/>
  <c r="G30" i="37" s="1"/>
  <c r="Q27" i="44"/>
  <c r="P27" i="44"/>
  <c r="F28" i="47"/>
  <c r="C32" i="37" s="1"/>
  <c r="C31" i="37"/>
  <c r="R27" i="44"/>
  <c r="S27" i="44"/>
  <c r="T26" i="44"/>
  <c r="F27" i="44"/>
  <c r="G27" i="44"/>
  <c r="O26" i="44"/>
  <c r="E27" i="44"/>
  <c r="D27" i="44"/>
  <c r="C26" i="44"/>
  <c r="L27" i="44"/>
  <c r="K27" i="44"/>
  <c r="H26" i="44"/>
  <c r="J27" i="44"/>
  <c r="I27" i="44"/>
  <c r="O27" i="44" l="1"/>
  <c r="H27" i="44"/>
  <c r="C27" i="44"/>
  <c r="N31" i="37"/>
  <c r="P31" i="37" s="1"/>
  <c r="K31" i="37"/>
  <c r="M31" i="37" s="1"/>
  <c r="J31" i="37"/>
  <c r="L31" i="37" s="1"/>
  <c r="E31" i="37"/>
  <c r="G31" i="37" s="1"/>
  <c r="T31" i="37"/>
  <c r="V31" i="37" s="1"/>
  <c r="D31" i="37"/>
  <c r="F31" i="37" s="1"/>
  <c r="U31" i="37"/>
  <c r="W31" i="37" s="1"/>
  <c r="O31" i="37"/>
  <c r="Q31" i="37" s="1"/>
  <c r="R28" i="44"/>
  <c r="S28" i="44"/>
  <c r="U32" i="37"/>
  <c r="W32" i="37" s="1"/>
  <c r="D32" i="37"/>
  <c r="F32" i="37" s="1"/>
  <c r="O32" i="37"/>
  <c r="Q32" i="37" s="1"/>
  <c r="E32" i="37"/>
  <c r="G32" i="37" s="1"/>
  <c r="N32" i="37"/>
  <c r="P32" i="37" s="1"/>
  <c r="K32" i="37"/>
  <c r="M32" i="37" s="1"/>
  <c r="J32" i="37"/>
  <c r="L32" i="37" s="1"/>
  <c r="T32" i="37"/>
  <c r="V32" i="37" s="1"/>
  <c r="P28" i="44"/>
  <c r="Q28" i="44"/>
  <c r="W28" i="44"/>
  <c r="X28" i="44"/>
  <c r="V28" i="44"/>
  <c r="U28" i="44"/>
  <c r="F28" i="44"/>
  <c r="G28" i="44"/>
  <c r="D28" i="44"/>
  <c r="E28" i="44"/>
  <c r="L28" i="44"/>
  <c r="K28" i="44"/>
  <c r="T27" i="44"/>
  <c r="I28" i="44"/>
  <c r="J28" i="44"/>
  <c r="I10" i="14"/>
  <c r="L10" i="14"/>
  <c r="F10" i="14"/>
  <c r="C10" i="14"/>
  <c r="B11" i="14"/>
  <c r="Q30" i="44" l="1"/>
  <c r="P30" i="44"/>
  <c r="X29" i="44"/>
  <c r="W29" i="44"/>
  <c r="F30" i="44"/>
  <c r="G30" i="44"/>
  <c r="E29" i="44"/>
  <c r="D29" i="44"/>
  <c r="R30" i="44"/>
  <c r="S30" i="44"/>
  <c r="V29" i="44"/>
  <c r="U29" i="44"/>
  <c r="E30" i="44"/>
  <c r="D30" i="44"/>
  <c r="F29" i="44"/>
  <c r="G29" i="44"/>
  <c r="O28" i="44"/>
  <c r="W30" i="44"/>
  <c r="X30" i="44"/>
  <c r="J29" i="44"/>
  <c r="I29" i="44"/>
  <c r="C28" i="44"/>
  <c r="V30" i="44"/>
  <c r="U30" i="44"/>
  <c r="L29" i="44"/>
  <c r="K29" i="44"/>
  <c r="I30" i="44"/>
  <c r="J30" i="44"/>
  <c r="P29" i="44"/>
  <c r="Q29" i="44"/>
  <c r="H28" i="44"/>
  <c r="T28" i="44"/>
  <c r="L30" i="44"/>
  <c r="K30" i="44"/>
  <c r="S29" i="44"/>
  <c r="R29" i="44"/>
  <c r="I11" i="14"/>
  <c r="L11" i="14"/>
  <c r="F11" i="14"/>
  <c r="C11" i="14"/>
  <c r="K10" i="14"/>
  <c r="B12" i="14"/>
  <c r="T29" i="44" l="1"/>
  <c r="C30" i="44"/>
  <c r="T30" i="44"/>
  <c r="C29" i="44"/>
  <c r="H29" i="44"/>
  <c r="O29" i="44"/>
  <c r="H30" i="44"/>
  <c r="O30" i="44"/>
  <c r="L12" i="14"/>
  <c r="F12" i="14"/>
  <c r="C12" i="14"/>
  <c r="I12" i="14"/>
  <c r="K11" i="14"/>
  <c r="B13" i="14"/>
  <c r="K12" i="14" l="1"/>
  <c r="C13" i="14"/>
  <c r="I13" i="14"/>
  <c r="L13" i="14"/>
  <c r="F13" i="14"/>
  <c r="B14" i="14"/>
  <c r="K13" i="14" l="1"/>
  <c r="I14" i="14"/>
  <c r="L14" i="14"/>
  <c r="F14" i="14"/>
  <c r="C14" i="14"/>
  <c r="B15" i="14"/>
  <c r="K14" i="14" l="1"/>
  <c r="I15" i="14"/>
  <c r="L15" i="14"/>
  <c r="F15" i="14"/>
  <c r="C15" i="14"/>
  <c r="B16" i="14"/>
  <c r="L16" i="14" l="1"/>
  <c r="F16" i="14"/>
  <c r="C16" i="14"/>
  <c r="I16" i="14"/>
  <c r="K15" i="14"/>
  <c r="B17" i="14"/>
  <c r="K16" i="14" l="1"/>
  <c r="C17" i="14"/>
  <c r="I17" i="14"/>
  <c r="F17" i="14"/>
  <c r="L17" i="14"/>
  <c r="B18" i="14"/>
  <c r="K17" i="14" l="1"/>
  <c r="I18" i="14"/>
  <c r="L18" i="14"/>
  <c r="F18" i="14"/>
  <c r="C18" i="14"/>
  <c r="B19" i="14"/>
  <c r="N18" i="14" l="1"/>
  <c r="K18" i="14"/>
  <c r="I19" i="14"/>
  <c r="L19" i="14"/>
  <c r="N19" i="14" s="1"/>
  <c r="F19" i="14"/>
  <c r="C19" i="14"/>
  <c r="B20" i="14"/>
  <c r="K19" i="14" l="1"/>
  <c r="E19" i="14"/>
  <c r="H19" i="14"/>
  <c r="L20" i="14"/>
  <c r="F20" i="14"/>
  <c r="C20" i="14"/>
  <c r="I20" i="14"/>
  <c r="B21" i="14"/>
  <c r="K20" i="14" l="1"/>
  <c r="H20" i="14"/>
  <c r="E20" i="14"/>
  <c r="N20" i="14"/>
  <c r="C21" i="14"/>
  <c r="I21" i="14"/>
  <c r="L21" i="14"/>
  <c r="F21" i="14"/>
  <c r="B22" i="14"/>
  <c r="N21" i="14" l="1"/>
  <c r="H21" i="14"/>
  <c r="E21" i="14"/>
  <c r="K21" i="14"/>
  <c r="I22" i="14"/>
  <c r="L22" i="14"/>
  <c r="F22" i="14"/>
  <c r="C22" i="14"/>
  <c r="B23" i="14"/>
  <c r="K22" i="14" l="1"/>
  <c r="N22" i="14"/>
  <c r="H22" i="14"/>
  <c r="E22" i="14"/>
  <c r="I23" i="14"/>
  <c r="L23" i="14"/>
  <c r="F23" i="14"/>
  <c r="C23" i="14"/>
  <c r="B24" i="14"/>
  <c r="N23" i="14" l="1"/>
  <c r="E23" i="14"/>
  <c r="D36" i="14"/>
  <c r="M36" i="14"/>
  <c r="B36" i="14"/>
  <c r="H23" i="14"/>
  <c r="K23" i="14"/>
  <c r="L24" i="14"/>
  <c r="F24" i="14"/>
  <c r="F36" i="14" s="1"/>
  <c r="C24" i="14"/>
  <c r="I24" i="14"/>
  <c r="I36" i="14" s="1"/>
  <c r="B25" i="14"/>
  <c r="G37" i="14" l="1"/>
  <c r="B37" i="14"/>
  <c r="E24" i="14"/>
  <c r="C36" i="14"/>
  <c r="G13" i="50" s="1"/>
  <c r="H13" i="50" s="1"/>
  <c r="G36" i="14"/>
  <c r="H36" i="14" s="1"/>
  <c r="N24" i="14"/>
  <c r="L36" i="14"/>
  <c r="I13" i="50" s="1"/>
  <c r="J13" i="50" s="1"/>
  <c r="J37" i="14"/>
  <c r="J36" i="14"/>
  <c r="K36" i="14" s="1"/>
  <c r="H24" i="14"/>
  <c r="K24" i="14"/>
  <c r="C25" i="14"/>
  <c r="I25" i="14"/>
  <c r="L25" i="14"/>
  <c r="F25" i="14"/>
  <c r="B26" i="14"/>
  <c r="E36" i="14" l="1"/>
  <c r="N36" i="14"/>
  <c r="J38" i="14"/>
  <c r="G38" i="14"/>
  <c r="B38" i="14"/>
  <c r="M37" i="14"/>
  <c r="D37" i="14"/>
  <c r="H25" i="14"/>
  <c r="F37" i="14"/>
  <c r="H37" i="14" s="1"/>
  <c r="N25" i="14"/>
  <c r="L37" i="14"/>
  <c r="K25" i="14"/>
  <c r="I37" i="14"/>
  <c r="K37" i="14" s="1"/>
  <c r="E25" i="14"/>
  <c r="C37" i="14"/>
  <c r="I26" i="14"/>
  <c r="L26" i="14"/>
  <c r="L38" i="14" s="1"/>
  <c r="F26" i="14"/>
  <c r="C26" i="14"/>
  <c r="C38" i="14" s="1"/>
  <c r="B27" i="14"/>
  <c r="E37" i="14" l="1"/>
  <c r="N37" i="14"/>
  <c r="H26" i="14"/>
  <c r="F38" i="14"/>
  <c r="H38" i="14" s="1"/>
  <c r="K26" i="14"/>
  <c r="I38" i="14"/>
  <c r="K38" i="14" s="1"/>
  <c r="D38" i="14"/>
  <c r="E38" i="14" s="1"/>
  <c r="M38" i="14"/>
  <c r="N38" i="14" s="1"/>
  <c r="E26" i="14"/>
  <c r="N26" i="14"/>
  <c r="I27" i="14"/>
  <c r="L27" i="14"/>
  <c r="F27" i="14"/>
  <c r="C27" i="14"/>
  <c r="B28" i="14"/>
  <c r="H27" i="14" l="1"/>
  <c r="E27" i="14"/>
  <c r="N27" i="14"/>
  <c r="K27" i="14"/>
  <c r="L28" i="14"/>
  <c r="F28" i="14"/>
  <c r="C28" i="14"/>
  <c r="I28" i="14"/>
  <c r="B29" i="14"/>
  <c r="J29" i="14" l="1"/>
  <c r="D29" i="14"/>
  <c r="M29" i="14"/>
  <c r="G29" i="14"/>
  <c r="N28" i="14"/>
  <c r="K28" i="14"/>
  <c r="H28" i="14"/>
  <c r="E28" i="14"/>
  <c r="C29" i="14"/>
  <c r="I29" i="14"/>
  <c r="L29" i="14"/>
  <c r="F29" i="14"/>
  <c r="N29" i="14" l="1"/>
  <c r="H29" i="14"/>
  <c r="E29" i="14"/>
  <c r="K29" i="14"/>
  <c r="E10" i="14" l="1"/>
  <c r="H10" i="14"/>
  <c r="E13" i="14"/>
  <c r="E16" i="14"/>
  <c r="H13" i="14"/>
  <c r="N13" i="14"/>
  <c r="N15" i="14"/>
  <c r="H17" i="14"/>
  <c r="H12" i="14"/>
  <c r="E14" i="14"/>
  <c r="E12" i="14"/>
  <c r="H15" i="14"/>
  <c r="E11" i="14"/>
  <c r="N12" i="14"/>
  <c r="N17" i="14"/>
  <c r="N16" i="14"/>
  <c r="N14" i="14"/>
  <c r="E15" i="14"/>
  <c r="H11" i="14"/>
  <c r="N11" i="14"/>
  <c r="N10" i="14"/>
  <c r="E17" i="14"/>
  <c r="H14" i="14"/>
  <c r="H16" i="14"/>
  <c r="E18" i="14" l="1"/>
  <c r="H18" i="14"/>
</calcChain>
</file>

<file path=xl/sharedStrings.xml><?xml version="1.0" encoding="utf-8"?>
<sst xmlns="http://schemas.openxmlformats.org/spreadsheetml/2006/main" count="702" uniqueCount="262">
  <si>
    <t>On-Peak</t>
  </si>
  <si>
    <t>Off-Peak</t>
  </si>
  <si>
    <t>Year</t>
  </si>
  <si>
    <t>Costs</t>
  </si>
  <si>
    <t>(a)</t>
  </si>
  <si>
    <t>(b)</t>
  </si>
  <si>
    <t>(c)</t>
  </si>
  <si>
    <t>(d)</t>
  </si>
  <si>
    <t>(e)</t>
  </si>
  <si>
    <t>(f)</t>
  </si>
  <si>
    <t>Estimated Capital Cost</t>
  </si>
  <si>
    <t>Fixed Capital Cost at Real Levelized Rate</t>
  </si>
  <si>
    <t>Fixed O&amp;M</t>
  </si>
  <si>
    <t>Sources, Inputs and Assumptions</t>
  </si>
  <si>
    <t>($/MWh)</t>
  </si>
  <si>
    <t>$/MWh</t>
  </si>
  <si>
    <t xml:space="preserve">  MW Plant capacity</t>
  </si>
  <si>
    <t>Capacity (MW)</t>
  </si>
  <si>
    <t>Resource</t>
  </si>
  <si>
    <t>East</t>
  </si>
  <si>
    <t>DSM, Class 1 Total</t>
  </si>
  <si>
    <t>DSM, Class 2 Total</t>
  </si>
  <si>
    <t>West</t>
  </si>
  <si>
    <t>DSM, Class 2  Total</t>
  </si>
  <si>
    <t>Annual Additions, Long Term Resources</t>
  </si>
  <si>
    <t>Annual Additions, Short Term Resources</t>
  </si>
  <si>
    <t>Total Annual Additions</t>
  </si>
  <si>
    <t xml:space="preserve">  Fixed Pipeline</t>
  </si>
  <si>
    <t xml:space="preserve">  Fixed O&amp;M &amp; Capitalized O&amp;M</t>
  </si>
  <si>
    <t>Existing Plant Retirements/Conversions</t>
  </si>
  <si>
    <t>Expansion Resources</t>
  </si>
  <si>
    <t>DSM, Class 1  Total</t>
  </si>
  <si>
    <t>Wind Integration Cost</t>
  </si>
  <si>
    <t>Resource Totals 1/</t>
  </si>
  <si>
    <t>10-year</t>
  </si>
  <si>
    <t>20-year</t>
  </si>
  <si>
    <t>Hayden 1</t>
  </si>
  <si>
    <t>Hayden 2</t>
  </si>
  <si>
    <t>Cholla 4  (Coal Early Retirement/Conversions)</t>
  </si>
  <si>
    <t>DaveJohnston 1</t>
  </si>
  <si>
    <t>DaveJohnston 2</t>
  </si>
  <si>
    <t>DaveJohnston 3</t>
  </si>
  <si>
    <t>DaveJohnston 4</t>
  </si>
  <si>
    <t>Naughton 1</t>
  </si>
  <si>
    <t>Naughton 2</t>
  </si>
  <si>
    <t>Naughton 3  (Coal Early Retirement/Conversions)</t>
  </si>
  <si>
    <t>Gadsby 1-6</t>
  </si>
  <si>
    <t>Total CCCT</t>
  </si>
  <si>
    <t>DSM, Class 2, ID</t>
  </si>
  <si>
    <t>DSM, Class 2, UT</t>
  </si>
  <si>
    <t>DSM, Class 2, WY</t>
  </si>
  <si>
    <t>DSM, Class 1, OR-Curtail</t>
  </si>
  <si>
    <t>DSM, Class 1, OR-Irrigate</t>
  </si>
  <si>
    <t>DSM, Class 2, CA</t>
  </si>
  <si>
    <t>DSM, Class 2, OR</t>
  </si>
  <si>
    <t>DSM, Class 2, WA</t>
  </si>
  <si>
    <t>Fixed Solar QF</t>
  </si>
  <si>
    <t>Tracking Solar QF</t>
  </si>
  <si>
    <t>Comparison between Proposed and Current Standard Fixed Avoided Costs</t>
  </si>
  <si>
    <t>Source:</t>
  </si>
  <si>
    <t>Cost and Input Assumptions</t>
  </si>
  <si>
    <t>Standard</t>
  </si>
  <si>
    <t>CCCT - DJohns - J 1x1</t>
  </si>
  <si>
    <t>Integration Cost</t>
  </si>
  <si>
    <t>2017 IRP Volume II-Appendix F</t>
  </si>
  <si>
    <t>Solar Integration Cost</t>
  </si>
  <si>
    <t>2017 IRP Preferred Portfolio</t>
  </si>
  <si>
    <t>Excerpt from 2017 IRP Table 8.17</t>
  </si>
  <si>
    <t>Craig 1  (Coal Early Retirement/Conversions)</t>
  </si>
  <si>
    <t>Craig 2</t>
  </si>
  <si>
    <t>Wind - Repower Existing resource</t>
  </si>
  <si>
    <t>East Wind-Repower</t>
  </si>
  <si>
    <t>SCCT Frame DJ</t>
  </si>
  <si>
    <t>SCCT Frame UTN</t>
  </si>
  <si>
    <t>Wind, Djohnston</t>
  </si>
  <si>
    <t>Wind, GO</t>
  </si>
  <si>
    <t>Wind, WYAE</t>
  </si>
  <si>
    <t>Total Wind</t>
  </si>
  <si>
    <t>Utility Solar - PV - Utah-S</t>
  </si>
  <si>
    <t>DSM, Class 1, ID-Cool/WH</t>
  </si>
  <si>
    <t>DSM, Class 1, ID-Curtail</t>
  </si>
  <si>
    <t>DSM, Class 1, ID-Irrigate</t>
  </si>
  <si>
    <t>DSM, Class 1, UT-Cool/WH</t>
  </si>
  <si>
    <t>DSM, Class 1, UT-Curtail</t>
  </si>
  <si>
    <t>DSM, Class 1, UT-Irrigate</t>
  </si>
  <si>
    <t>DSM, Class 1, WY-Cool/WH</t>
  </si>
  <si>
    <t>DSM, Class 1, WY-Curtail</t>
  </si>
  <si>
    <t>DSM, Class 1, WY-Irrigate</t>
  </si>
  <si>
    <t>FOT Mona - SMR</t>
  </si>
  <si>
    <t>JimBridger 1  (Coal Early Retirement/Conversions)</t>
  </si>
  <si>
    <t>JimBridger 2  (Coal Early Retirement/Conversions)</t>
  </si>
  <si>
    <t>West Wind-Repower</t>
  </si>
  <si>
    <t>CCCT - WillamValcc - G 1x1</t>
  </si>
  <si>
    <t>Utility Solar - PV - Yakima</t>
  </si>
  <si>
    <t>DSM, Class 1, CA-Cool/WH</t>
  </si>
  <si>
    <t>DSM, Class 1, CA-Curtail</t>
  </si>
  <si>
    <t>DSM, Class 1, CA-Irrigate</t>
  </si>
  <si>
    <t>DSM, Class 1, OR-Cool/WH</t>
  </si>
  <si>
    <t>DSM, Class 1, WA-Cool/WH</t>
  </si>
  <si>
    <t>DSM, Class 1, WA-Curtail</t>
  </si>
  <si>
    <t>DSM, Class 1, WA-Irrigate</t>
  </si>
  <si>
    <t>Geothermal, Greenfield - West</t>
  </si>
  <si>
    <t>FOT COB - SMR</t>
  </si>
  <si>
    <t>FOT MidColumbia - SMR</t>
  </si>
  <si>
    <t>FOT MidColumbia - SMR - 2</t>
  </si>
  <si>
    <t>FOT NOB - SMR</t>
  </si>
  <si>
    <t>FOT MidColumbia - WTR</t>
  </si>
  <si>
    <t>FOT MidColumbia - WTR2</t>
  </si>
  <si>
    <t>FOT NOB - WTR</t>
  </si>
  <si>
    <t xml:space="preserve"> The 2017 IRP was prepared using a 13% planning reserve margin.  See 2017 IRP, page 10.</t>
  </si>
  <si>
    <t>Avoided Energy Prices</t>
  </si>
  <si>
    <t>Winter</t>
  </si>
  <si>
    <t>Summer</t>
  </si>
  <si>
    <t>2016 $</t>
  </si>
  <si>
    <t>Solar</t>
  </si>
  <si>
    <t>Total Capacity Cost @ 100% Contribution</t>
  </si>
  <si>
    <t xml:space="preserve">  Fixed O&amp;M including Fixed Pipeline &amp; Capitalized O&amp;M ($/kW-Yr)</t>
  </si>
  <si>
    <t xml:space="preserve">  Plant capacity cost - in $/kW</t>
  </si>
  <si>
    <t>SCCT Frame "F"x1 - West Side Options (1500')</t>
  </si>
  <si>
    <t>#</t>
  </si>
  <si>
    <t>$/MW-yr</t>
  </si>
  <si>
    <t>FOT Months</t>
  </si>
  <si>
    <t>Month</t>
  </si>
  <si>
    <t>LOLP %</t>
  </si>
  <si>
    <t>Winter Capacity</t>
  </si>
  <si>
    <t xml:space="preserve"> $/MWH</t>
  </si>
  <si>
    <t>Baseload</t>
  </si>
  <si>
    <t>Summer Capacity</t>
  </si>
  <si>
    <t>Capacity Contribution:</t>
  </si>
  <si>
    <t>$/MW</t>
  </si>
  <si>
    <t>Current Discount Rate: 2017 IRP Update</t>
  </si>
  <si>
    <t xml:space="preserve">  Capacity Contribution - 2017 IRP West Tracking Solar</t>
  </si>
  <si>
    <t>Capacity Factor</t>
  </si>
  <si>
    <t>%</t>
  </si>
  <si>
    <t>Real-Levelized PPA Cost</t>
  </si>
  <si>
    <t>2017S RFP: 2021 Solar (Oregon)</t>
  </si>
  <si>
    <t>Market Proxy Capacity Cost</t>
  </si>
  <si>
    <t>Market Proxy Capacity Costs</t>
  </si>
  <si>
    <t>Planned Resource Addition Capacity Costs</t>
  </si>
  <si>
    <t>All Hours</t>
  </si>
  <si>
    <t>Wind</t>
  </si>
  <si>
    <t>Fixed Tilt Solar</t>
  </si>
  <si>
    <t>Tracking Solar</t>
  </si>
  <si>
    <t>Weighted</t>
  </si>
  <si>
    <t>Average</t>
  </si>
  <si>
    <t>Total</t>
  </si>
  <si>
    <t>MWh</t>
  </si>
  <si>
    <t>2017S RFP Oregon Tracking Solar Bid</t>
  </si>
  <si>
    <t>Avoided Energy Prices (1)</t>
  </si>
  <si>
    <t>Combined Energy and Capacity Prices</t>
  </si>
  <si>
    <t>(1) Avoided cost prices have been reduced by wind and solar integration charges.</t>
  </si>
  <si>
    <t>MWh per MW Capacity</t>
  </si>
  <si>
    <t>Generation Profiles</t>
  </si>
  <si>
    <t>Discount Rate - 2017 IRP Update</t>
  </si>
  <si>
    <t>Standard Avoided Capacity Costs</t>
  </si>
  <si>
    <t>Standard Avoided Energy Costs</t>
  </si>
  <si>
    <t>Current Payment Factor: 2017 IRP Update</t>
  </si>
  <si>
    <t># of months of market purchases in IRP preferred portfolio</t>
  </si>
  <si>
    <t>2017 IRP Appendix N</t>
  </si>
  <si>
    <t>Nominal Levelized 2021-2035</t>
  </si>
  <si>
    <t>Off-peak Summer hours:  All other hours, June through September</t>
  </si>
  <si>
    <t>On-peak Summer hours:  2:00p - 10:00p PPT, June through September</t>
  </si>
  <si>
    <t>Proposed</t>
  </si>
  <si>
    <t>Current</t>
  </si>
  <si>
    <t>Delta</t>
  </si>
  <si>
    <t>Combined Energy and Capacity Prices (1)</t>
  </si>
  <si>
    <t>On-peak Winter hours:  6:00a - 8:00a and 5:00p - 11:00p Pacific Prevailing Time (PPT), Oct. through May</t>
  </si>
  <si>
    <t>Off-peak Winter hours:  All other hours, Oct. through May</t>
  </si>
  <si>
    <t>Capacity Factor Weighting: The resource's annual capacity factor divided by season.</t>
  </si>
  <si>
    <t>Standard Combined Avoided Capacity and Energy Costs</t>
  </si>
  <si>
    <t>Degradation</t>
  </si>
  <si>
    <t>C.F. Weighting:</t>
  </si>
  <si>
    <t>Table D</t>
  </si>
  <si>
    <t>Table C-1</t>
  </si>
  <si>
    <t>Table C-2</t>
  </si>
  <si>
    <t>Table C-3</t>
  </si>
  <si>
    <t>Table A-1</t>
  </si>
  <si>
    <t>Table A-2</t>
  </si>
  <si>
    <t>Table B-1</t>
  </si>
  <si>
    <t>Table B-2</t>
  </si>
  <si>
    <t>Exhibit 1</t>
  </si>
  <si>
    <t>Exhibit 2</t>
  </si>
  <si>
    <t>Exhibit 3</t>
  </si>
  <si>
    <t>Avg.</t>
  </si>
  <si>
    <t>Levelized capacity cost at 100% capacity contribution</t>
  </si>
  <si>
    <t>Wtd. Avg.</t>
  </si>
  <si>
    <t>BASELOAD</t>
  </si>
  <si>
    <t>WIND</t>
  </si>
  <si>
    <t>FIXED TILT SOLAR</t>
  </si>
  <si>
    <t>TRACKING SOLAR</t>
  </si>
  <si>
    <t>Illustrative price for all hours</t>
  </si>
  <si>
    <t>Confidential</t>
  </si>
  <si>
    <t>PPA Price</t>
  </si>
  <si>
    <t>(x) Extrapolated</t>
  </si>
  <si>
    <t>Levelized Capacity Costs</t>
  </si>
  <si>
    <t>Market Capacity Cost</t>
  </si>
  <si>
    <t>Planned Capacity Cost</t>
  </si>
  <si>
    <t>Total Capacity Cost</t>
  </si>
  <si>
    <t>15-year Levelized Capacity Cost @ 100% Contribution</t>
  </si>
  <si>
    <t>Levelized Avoided Capacity Cost</t>
  </si>
  <si>
    <t>SCCT</t>
  </si>
  <si>
    <t>Winter
Capacity</t>
  </si>
  <si>
    <t>Winter Capacity Cost (b) divided by seasonal capacity factor weighting</t>
  </si>
  <si>
    <t>Summer Capacity Cost (c) divided by seasonal capacity factor weighting</t>
  </si>
  <si>
    <t>Summer-winter split based on months and 2017 IRP loss of load probability</t>
  </si>
  <si>
    <t>(b),(c)</t>
  </si>
  <si>
    <t>I_YK_PV50FT</t>
  </si>
  <si>
    <t>$/kW</t>
  </si>
  <si>
    <t>2017 IRP</t>
  </si>
  <si>
    <t>Escalation Rate</t>
  </si>
  <si>
    <t>(2) Capacity costs are based on a renewable resource starting in 2028.</t>
  </si>
  <si>
    <t>Exhibit 4</t>
  </si>
  <si>
    <t>Average Combined Energy and Capacity Price at Expected Output</t>
  </si>
  <si>
    <t>Payment Factor with 30% ITC</t>
  </si>
  <si>
    <t>Payment Factor with 10% ITC</t>
  </si>
  <si>
    <t>Cost with 2017 IRP Solar Escalation and Tax Changes</t>
  </si>
  <si>
    <t>Capacity Contribution: 2017 IRP, Appendix N (wind), UE-190666, Order 01 (solar)</t>
  </si>
  <si>
    <t>Capacity Contribution: UE-190666, Order 01 (solar)</t>
  </si>
  <si>
    <t>PPA cost at expected resource output. Redacted Formula: PPA Price * Capacity Factor * 1st Year Degradation * 8760</t>
  </si>
  <si>
    <t>Annual</t>
  </si>
  <si>
    <t>Cumulative</t>
  </si>
  <si>
    <t>2016 Flexible Reserve Study Results</t>
  </si>
  <si>
    <t>Incremental Flex Capacity Costs (2016 $/MWh)</t>
  </si>
  <si>
    <t>Regulation Reserve</t>
  </si>
  <si>
    <t>System Balancing</t>
  </si>
  <si>
    <t>* Costs per MWh of wind/solar generation</t>
  </si>
  <si>
    <t>Company Inflation Forecast
Dated Sept 2022</t>
  </si>
  <si>
    <t>Cumulative Inflation</t>
  </si>
  <si>
    <t>Inflation %</t>
  </si>
  <si>
    <t>Cell C10: Pasted Value due to Confidential data</t>
  </si>
  <si>
    <t>Yakima, WA, 200 MW, 24.2% CF</t>
  </si>
  <si>
    <t>PASTED VALUES</t>
  </si>
  <si>
    <t>Ex4 - Comparison</t>
  </si>
  <si>
    <t>Scenario</t>
  </si>
  <si>
    <t>See Cell F9</t>
  </si>
  <si>
    <t>See Cell C36</t>
  </si>
  <si>
    <t>See Cell L36</t>
  </si>
  <si>
    <t>LIVE CALCULATIONS:</t>
  </si>
  <si>
    <t>2023 IRP Build Cost</t>
  </si>
  <si>
    <t>Build Cost Escalation Rate</t>
  </si>
  <si>
    <t>$/kw-yr</t>
  </si>
  <si>
    <t>2023 IRP FOM Cost - escalates at inflation</t>
  </si>
  <si>
    <t>Build Cost</t>
  </si>
  <si>
    <t>Build Cost + FOM Cost</t>
  </si>
  <si>
    <t>2020AS RFP / 2023 IRP Solar (Yakima)</t>
  </si>
  <si>
    <t>2023 IRP Supply-side Resource Costs (near-term cost escalation informed by results of 2020AS RFP)</t>
  </si>
  <si>
    <t>= (a) + Fixed Operations and Maintenance Cost</t>
  </si>
  <si>
    <t>Build Cost: Build Cost * Payment Factor with 30% ITC</t>
  </si>
  <si>
    <t>= (a) with 2017 IRP Solar Escalation and Tax Changes</t>
  </si>
  <si>
    <r>
      <t>= (a) with 2017 IRP Solar Escalation and Tax Changes</t>
    </r>
    <r>
      <rPr>
        <i/>
        <sz val="10"/>
        <rFont val="Times New Roman"/>
        <family val="1"/>
      </rPr>
      <t xml:space="preserve"> including Inflation Reduction Act of 2022</t>
    </r>
  </si>
  <si>
    <t>2022 Update</t>
  </si>
  <si>
    <t>2021 Approved</t>
  </si>
  <si>
    <t>A: ITC Extension</t>
  </si>
  <si>
    <t>B: ITC + Resource Cost</t>
  </si>
  <si>
    <t>Exhibit 2A</t>
  </si>
  <si>
    <t>Exhibit 2B</t>
  </si>
  <si>
    <t>Ex3 - Levelized Capacity</t>
  </si>
  <si>
    <t>Calculated</t>
  </si>
  <si>
    <t>n/a</t>
  </si>
  <si>
    <t>Selection</t>
  </si>
  <si>
    <t>Enter "TRUE" above to select 2022 capacity scenario</t>
  </si>
  <si>
    <t>2022 Energy Update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</si>
</sst>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&quot;$&quot;* #,##0.00_);_(&quot;$&quot;* \(#,##0.00\);_(&quot;$&quot;* &quot;-&quot;?_);_(@_)"/>
    <numFmt numFmtId="168" formatCode="0.0%"/>
    <numFmt numFmtId="169" formatCode="_(* #,##0.0_);_(* \(#,##0.0\);_(* &quot;-&quot;??_);_(@_)"/>
    <numFmt numFmtId="170" formatCode="_(* #,##0_);[Red]_(* \(#,##0\);_(* &quot;-&quot;_);_(@_)"/>
    <numFmt numFmtId="171" formatCode="_(* #,##0.00_);[Red]_(* \(#,##0.00\);_(* &quot;-&quot;_);_(@_)"/>
    <numFmt numFmtId="172" formatCode="&quot;$&quot;###0;[Red]\(&quot;$&quot;###0\)"/>
    <numFmt numFmtId="173" formatCode="0.0"/>
    <numFmt numFmtId="174" formatCode="0.000%"/>
    <numFmt numFmtId="175" formatCode="_-* #,##0\ &quot;F&quot;_-;\-* #,##0\ &quot;F&quot;_-;_-* &quot;-&quot;\ &quot;F&quot;_-;_-@_-"/>
    <numFmt numFmtId="176" formatCode="&quot;$&quot;#,##0\ ;\(&quot;$&quot;#,##0\)"/>
    <numFmt numFmtId="177" formatCode="mmmm\ d\,\ yyyy"/>
    <numFmt numFmtId="178" formatCode="#,##0.000;[Red]\-#,##0.000"/>
    <numFmt numFmtId="179" formatCode="[$-409]mmm\-yy;@"/>
    <numFmt numFmtId="180" formatCode="#,##0.0_);\(#,##0.0\);\-\ ;"/>
    <numFmt numFmtId="181" formatCode="#,##0.0000"/>
    <numFmt numFmtId="182" formatCode="#\ &quot;(p)&quot;"/>
    <numFmt numFmtId="183" formatCode="#\ &quot;(2)&quot;"/>
    <numFmt numFmtId="184" formatCode="&quot;$&quot;#.00\ &quot;(x)&quot;"/>
    <numFmt numFmtId="185" formatCode="_(* #,##0.000_);[Red]_(* \(#,##0.000\);_(* &quot;-&quot;_);_(@_)"/>
    <numFmt numFmtId="186" formatCode="0.000"/>
  </numFmts>
  <fonts count="60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i/>
      <sz val="8"/>
      <color indexed="18"/>
      <name val="Helv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Helv"/>
    </font>
    <font>
      <sz val="8"/>
      <color indexed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0"/>
      <color indexed="9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indexed="24"/>
      <name val="Courier New"/>
      <family val="3"/>
    </font>
    <font>
      <sz val="10"/>
      <name val="Helv"/>
    </font>
    <font>
      <sz val="11"/>
      <color indexed="8"/>
      <name val="TimesNewRomanPS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2"/>
      <name val="Arial MT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9" tint="-0.249977111117893"/>
      <name val="Times New Roman"/>
      <family val="1"/>
    </font>
    <font>
      <i/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D5EA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3">
    <xf numFmtId="170" fontId="0" fillId="0" borderId="0"/>
    <xf numFmtId="44" fontId="10" fillId="0" borderId="0" applyFont="0" applyFill="0" applyBorder="0" applyAlignment="0" applyProtection="0"/>
    <xf numFmtId="0" fontId="21" fillId="0" borderId="0" applyNumberFormat="0" applyFill="0" applyBorder="0" applyAlignment="0">
      <protection locked="0"/>
    </xf>
    <xf numFmtId="41" fontId="12" fillId="0" borderId="0"/>
    <xf numFmtId="0" fontId="1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70" fontId="12" fillId="0" borderId="0"/>
    <xf numFmtId="170" fontId="10" fillId="0" borderId="0"/>
    <xf numFmtId="170" fontId="12" fillId="0" borderId="0"/>
    <xf numFmtId="0" fontId="10" fillId="0" borderId="0"/>
    <xf numFmtId="170" fontId="10" fillId="0" borderId="0"/>
    <xf numFmtId="0" fontId="10" fillId="0" borderId="0"/>
    <xf numFmtId="172" fontId="29" fillId="0" borderId="0" applyFont="0" applyFill="0" applyBorder="0" applyProtection="0">
      <alignment horizontal="right"/>
    </xf>
    <xf numFmtId="173" fontId="28" fillId="0" borderId="0" applyNumberFormat="0" applyFill="0" applyBorder="0" applyAlignment="0" applyProtection="0"/>
    <xf numFmtId="0" fontId="27" fillId="0" borderId="19" applyNumberFormat="0" applyBorder="0" applyAlignment="0"/>
    <xf numFmtId="12" fontId="26" fillId="3" borderId="13">
      <alignment horizontal="left"/>
    </xf>
    <xf numFmtId="37" fontId="27" fillId="4" borderId="0" applyNumberFormat="0" applyBorder="0" applyAlignment="0" applyProtection="0"/>
    <xf numFmtId="37" fontId="27" fillId="0" borderId="0"/>
    <xf numFmtId="3" fontId="30" fillId="5" borderId="20" applyProtection="0"/>
    <xf numFmtId="170" fontId="10" fillId="0" borderId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170" fontId="8" fillId="0" borderId="0"/>
    <xf numFmtId="0" fontId="34" fillId="7" borderId="6" applyNumberFormat="0" applyBorder="0" applyAlignment="0" applyProtection="0"/>
    <xf numFmtId="0" fontId="22" fillId="8" borderId="0" applyNumberFormat="0" applyBorder="0" applyAlignment="0" applyProtection="0"/>
    <xf numFmtId="0" fontId="35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75" fontId="10" fillId="0" borderId="0"/>
    <xf numFmtId="1" fontId="36" fillId="0" borderId="0"/>
    <xf numFmtId="43" fontId="8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37" fontId="10" fillId="0" borderId="0" applyFill="0" applyBorder="0" applyAlignment="0" applyProtection="0"/>
    <xf numFmtId="0" fontId="39" fillId="0" borderId="0"/>
    <xf numFmtId="5" fontId="39" fillId="0" borderId="0"/>
    <xf numFmtId="176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177" fontId="10" fillId="0" borderId="0" applyFill="0" applyBorder="0" applyAlignment="0" applyProtection="0"/>
    <xf numFmtId="2" fontId="38" fillId="0" borderId="0" applyFont="0" applyFill="0" applyBorder="0" applyAlignment="0" applyProtection="0"/>
    <xf numFmtId="38" fontId="27" fillId="2" borderId="0" applyNumberFormat="0" applyBorder="0" applyAlignment="0" applyProtection="0"/>
    <xf numFmtId="0" fontId="23" fillId="0" borderId="0"/>
    <xf numFmtId="0" fontId="26" fillId="0" borderId="11" applyNumberFormat="0" applyAlignment="0" applyProtection="0">
      <alignment horizontal="left" vertical="center"/>
    </xf>
    <xf numFmtId="0" fontId="26" fillId="0" borderId="29">
      <alignment horizontal="left" vertical="center"/>
    </xf>
    <xf numFmtId="10" fontId="27" fillId="9" borderId="6" applyNumberFormat="0" applyBorder="0" applyAlignment="0" applyProtection="0"/>
    <xf numFmtId="0" fontId="15" fillId="10" borderId="0"/>
    <xf numFmtId="0" fontId="15" fillId="11" borderId="0"/>
    <xf numFmtId="0" fontId="22" fillId="12" borderId="4" applyBorder="0"/>
    <xf numFmtId="0" fontId="10" fillId="13" borderId="7" applyNumberFormat="0" applyFont="0" applyBorder="0" applyAlignment="0" applyProtection="0"/>
    <xf numFmtId="37" fontId="40" fillId="0" borderId="0" applyNumberFormat="0" applyFill="0" applyBorder="0"/>
    <xf numFmtId="178" fontId="10" fillId="0" borderId="0"/>
    <xf numFmtId="179" fontId="8" fillId="0" borderId="0"/>
    <xf numFmtId="179" fontId="41" fillId="0" borderId="0"/>
    <xf numFmtId="0" fontId="10" fillId="0" borderId="0"/>
    <xf numFmtId="0" fontId="8" fillId="0" borderId="0"/>
    <xf numFmtId="170" fontId="10" fillId="0" borderId="0"/>
    <xf numFmtId="0" fontId="10" fillId="0" borderId="0"/>
    <xf numFmtId="0" fontId="37" fillId="0" borderId="0"/>
    <xf numFmtId="0" fontId="8" fillId="0" borderId="0"/>
    <xf numFmtId="37" fontId="39" fillId="0" borderId="0"/>
    <xf numFmtId="180" fontId="17" fillId="0" borderId="0" applyFont="0" applyFill="0" applyBorder="0" applyProtection="0"/>
    <xf numFmtId="0" fontId="39" fillId="0" borderId="0"/>
    <xf numFmtId="0" fontId="39" fillId="0" borderId="0"/>
    <xf numFmtId="10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/>
    <xf numFmtId="4" fontId="44" fillId="14" borderId="31" applyNumberFormat="0" applyProtection="0">
      <alignment vertical="center"/>
    </xf>
    <xf numFmtId="4" fontId="44" fillId="4" borderId="31" applyNumberFormat="0" applyProtection="0">
      <alignment horizontal="left" vertical="center" indent="1"/>
    </xf>
    <xf numFmtId="4" fontId="44" fillId="15" borderId="0" applyNumberFormat="0" applyProtection="0">
      <alignment horizontal="left" vertical="center" indent="1"/>
    </xf>
    <xf numFmtId="4" fontId="42" fillId="16" borderId="31" applyNumberFormat="0" applyProtection="0">
      <alignment horizontal="right" vertical="center"/>
    </xf>
    <xf numFmtId="4" fontId="42" fillId="17" borderId="31" applyNumberFormat="0" applyProtection="0">
      <alignment horizontal="left" vertical="center" indent="1"/>
    </xf>
    <xf numFmtId="0" fontId="42" fillId="15" borderId="31" applyNumberFormat="0" applyProtection="0">
      <alignment horizontal="left" vertical="top" indent="1"/>
    </xf>
    <xf numFmtId="37" fontId="45" fillId="18" borderId="0" applyNumberFormat="0" applyFont="0" applyBorder="0" applyAlignment="0" applyProtection="0"/>
    <xf numFmtId="181" fontId="10" fillId="0" borderId="5">
      <alignment horizontal="justify" vertical="top" wrapText="1"/>
    </xf>
    <xf numFmtId="0" fontId="10" fillId="0" borderId="0">
      <alignment horizontal="left" wrapText="1"/>
    </xf>
    <xf numFmtId="0" fontId="22" fillId="0" borderId="6">
      <alignment horizontal="center" vertical="center" wrapText="1"/>
    </xf>
    <xf numFmtId="0" fontId="39" fillId="0" borderId="32"/>
    <xf numFmtId="0" fontId="39" fillId="0" borderId="33"/>
    <xf numFmtId="38" fontId="42" fillId="0" borderId="3" applyFill="0" applyBorder="0" applyAlignment="0" applyProtection="0">
      <protection locked="0"/>
    </xf>
    <xf numFmtId="0" fontId="7" fillId="0" borderId="0"/>
    <xf numFmtId="170" fontId="6" fillId="0" borderId="0"/>
    <xf numFmtId="170" fontId="6" fillId="0" borderId="0"/>
    <xf numFmtId="9" fontId="10" fillId="0" borderId="0" applyFont="0" applyFill="0" applyBorder="0" applyAlignment="0" applyProtection="0"/>
    <xf numFmtId="170" fontId="1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170" fontId="56" fillId="0" borderId="0" applyNumberFormat="0" applyFill="0" applyBorder="0" applyAlignment="0" applyProtection="0"/>
  </cellStyleXfs>
  <cellXfs count="424">
    <xf numFmtId="170" fontId="0" fillId="0" borderId="0" xfId="0"/>
    <xf numFmtId="170" fontId="20" fillId="0" borderId="0" xfId="0" applyFont="1" applyFill="1"/>
    <xf numFmtId="170" fontId="20" fillId="0" borderId="0" xfId="0" applyFont="1" applyFill="1" applyBorder="1"/>
    <xf numFmtId="170" fontId="12" fillId="0" borderId="0" xfId="0" applyFont="1" applyFill="1"/>
    <xf numFmtId="170" fontId="14" fillId="0" borderId="0" xfId="0" applyFont="1" applyFill="1" applyAlignment="1">
      <alignment horizontal="centerContinuous"/>
    </xf>
    <xf numFmtId="170" fontId="12" fillId="0" borderId="0" xfId="0" applyFont="1" applyFill="1" applyBorder="1"/>
    <xf numFmtId="170" fontId="12" fillId="0" borderId="0" xfId="0" applyFont="1" applyFill="1" applyBorder="1" applyAlignment="1">
      <alignment horizontal="center"/>
    </xf>
    <xf numFmtId="170" fontId="12" fillId="0" borderId="0" xfId="0" applyFont="1" applyFill="1" applyAlignment="1">
      <alignment horizontal="right"/>
    </xf>
    <xf numFmtId="166" fontId="12" fillId="0" borderId="0" xfId="0" applyNumberFormat="1" applyFont="1" applyFill="1" applyBorder="1" applyAlignment="1">
      <alignment horizontal="center"/>
    </xf>
    <xf numFmtId="170" fontId="12" fillId="0" borderId="0" xfId="0" quotePrefix="1" applyFont="1" applyFill="1" applyBorder="1" applyAlignment="1">
      <alignment horizontal="center"/>
    </xf>
    <xf numFmtId="170" fontId="12" fillId="0" borderId="0" xfId="0" quotePrefix="1" applyFont="1" applyFill="1"/>
    <xf numFmtId="170" fontId="20" fillId="0" borderId="0" xfId="0" applyFont="1" applyFill="1" applyBorder="1" applyAlignment="1">
      <alignment horizontal="center"/>
    </xf>
    <xf numFmtId="170" fontId="20" fillId="0" borderId="0" xfId="0" quotePrefix="1" applyFont="1" applyFill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3" xfId="4" applyFont="1" applyBorder="1" applyAlignment="1">
      <alignment horizontal="center"/>
    </xf>
    <xf numFmtId="0" fontId="12" fillId="0" borderId="0" xfId="4" quotePrefix="1" applyFont="1" applyBorder="1" applyAlignment="1">
      <alignment horizontal="center"/>
    </xf>
    <xf numFmtId="0" fontId="12" fillId="0" borderId="4" xfId="4" applyFont="1" applyBorder="1" applyAlignment="1">
      <alignment horizontal="center"/>
    </xf>
    <xf numFmtId="0" fontId="12" fillId="0" borderId="5" xfId="4" quotePrefix="1" applyFont="1" applyBorder="1" applyAlignment="1">
      <alignment horizontal="center"/>
    </xf>
    <xf numFmtId="2" fontId="12" fillId="0" borderId="0" xfId="0" applyNumberFormat="1" applyFont="1" applyFill="1" applyAlignment="1">
      <alignment horizontal="centerContinuous"/>
    </xf>
    <xf numFmtId="41" fontId="12" fillId="0" borderId="0" xfId="3" applyFont="1" applyFill="1"/>
    <xf numFmtId="41" fontId="11" fillId="0" borderId="12" xfId="3" applyFont="1" applyFill="1" applyBorder="1" applyAlignment="1">
      <alignment horizontal="centerContinuous"/>
    </xf>
    <xf numFmtId="41" fontId="19" fillId="0" borderId="0" xfId="3" applyFont="1" applyFill="1"/>
    <xf numFmtId="164" fontId="19" fillId="0" borderId="0" xfId="3" applyNumberFormat="1" applyFont="1" applyFill="1"/>
    <xf numFmtId="168" fontId="12" fillId="0" borderId="0" xfId="5" applyNumberFormat="1" applyFont="1" applyFill="1"/>
    <xf numFmtId="0" fontId="2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7" fontId="12" fillId="0" borderId="0" xfId="0" applyNumberFormat="1" applyFont="1" applyFill="1" applyBorder="1" applyAlignment="1">
      <alignment horizontal="center"/>
    </xf>
    <xf numFmtId="7" fontId="12" fillId="0" borderId="7" xfId="0" applyNumberFormat="1" applyFont="1" applyFill="1" applyBorder="1" applyAlignment="1">
      <alignment horizontal="center"/>
    </xf>
    <xf numFmtId="170" fontId="13" fillId="0" borderId="0" xfId="10" applyFont="1" applyFill="1" applyAlignment="1">
      <alignment horizontal="centerContinuous"/>
    </xf>
    <xf numFmtId="170" fontId="12" fillId="0" borderId="0" xfId="10" applyFont="1" applyFill="1" applyAlignment="1">
      <alignment horizontal="centerContinuous"/>
    </xf>
    <xf numFmtId="170" fontId="12" fillId="0" borderId="0" xfId="10" applyFont="1" applyFill="1"/>
    <xf numFmtId="170" fontId="12" fillId="0" borderId="0" xfId="10" applyFont="1" applyFill="1" applyBorder="1"/>
    <xf numFmtId="170" fontId="12" fillId="0" borderId="0" xfId="10" applyFont="1" applyFill="1" applyBorder="1" applyAlignment="1">
      <alignment horizontal="centerContinuous"/>
    </xf>
    <xf numFmtId="170" fontId="11" fillId="0" borderId="1" xfId="10" applyFont="1" applyFill="1" applyBorder="1" applyAlignment="1">
      <alignment horizontal="center"/>
    </xf>
    <xf numFmtId="170" fontId="11" fillId="0" borderId="1" xfId="10" applyFont="1" applyFill="1" applyBorder="1" applyAlignment="1">
      <alignment horizontal="center" wrapText="1"/>
    </xf>
    <xf numFmtId="170" fontId="24" fillId="0" borderId="5" xfId="10" applyFont="1" applyFill="1" applyBorder="1" applyAlignment="1">
      <alignment horizontal="centerContinuous"/>
    </xf>
    <xf numFmtId="170" fontId="25" fillId="0" borderId="5" xfId="10" quotePrefix="1" applyFont="1" applyFill="1" applyBorder="1" applyAlignment="1">
      <alignment horizontal="center" wrapText="1"/>
    </xf>
    <xf numFmtId="170" fontId="15" fillId="0" borderId="0" xfId="10" quotePrefix="1" applyFont="1" applyFill="1" applyBorder="1" applyAlignment="1">
      <alignment horizontal="center"/>
    </xf>
    <xf numFmtId="170" fontId="16" fillId="0" borderId="0" xfId="8" applyFont="1" applyFill="1" applyBorder="1"/>
    <xf numFmtId="0" fontId="12" fillId="0" borderId="0" xfId="10" applyNumberFormat="1" applyFont="1" applyFill="1"/>
    <xf numFmtId="170" fontId="11" fillId="0" borderId="11" xfId="10" applyFont="1" applyFill="1" applyBorder="1" applyAlignment="1">
      <alignment horizontal="centerContinuous"/>
    </xf>
    <xf numFmtId="1" fontId="12" fillId="0" borderId="0" xfId="13" applyNumberFormat="1" applyFont="1" applyFill="1" applyAlignment="1" applyProtection="1">
      <alignment horizontal="center"/>
      <protection locked="0"/>
    </xf>
    <xf numFmtId="0" fontId="12" fillId="0" borderId="0" xfId="11" applyFont="1"/>
    <xf numFmtId="14" fontId="12" fillId="0" borderId="0" xfId="12" applyNumberFormat="1" applyFont="1"/>
    <xf numFmtId="170" fontId="0" fillId="0" borderId="0" xfId="0" applyFont="1" applyFill="1"/>
    <xf numFmtId="170" fontId="17" fillId="0" borderId="0" xfId="0" applyFont="1" applyFill="1" applyAlignment="1">
      <alignment horizontal="center"/>
    </xf>
    <xf numFmtId="7" fontId="12" fillId="0" borderId="0" xfId="1" applyNumberFormat="1" applyFont="1" applyFill="1"/>
    <xf numFmtId="8" fontId="12" fillId="0" borderId="0" xfId="10" applyNumberFormat="1" applyFont="1" applyFill="1" applyAlignment="1">
      <alignment horizontal="center"/>
    </xf>
    <xf numFmtId="170" fontId="14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0" fillId="0" borderId="0" xfId="0" applyFont="1" applyFill="1" applyBorder="1"/>
    <xf numFmtId="170" fontId="17" fillId="0" borderId="0" xfId="0" applyFont="1" applyFill="1" applyAlignment="1"/>
    <xf numFmtId="170" fontId="18" fillId="0" borderId="0" xfId="0" applyFont="1" applyFill="1" applyAlignment="1"/>
    <xf numFmtId="170" fontId="20" fillId="0" borderId="0" xfId="0" applyFont="1" applyFill="1" applyAlignment="1">
      <alignment wrapText="1"/>
    </xf>
    <xf numFmtId="170" fontId="12" fillId="0" borderId="0" xfId="0" applyFont="1" applyFill="1" applyBorder="1" applyAlignment="1">
      <alignment wrapText="1"/>
    </xf>
    <xf numFmtId="0" fontId="12" fillId="0" borderId="0" xfId="10" applyNumberFormat="1" applyFont="1" applyFill="1" applyBorder="1"/>
    <xf numFmtId="170" fontId="12" fillId="0" borderId="0" xfId="21" applyFont="1"/>
    <xf numFmtId="164" fontId="17" fillId="0" borderId="6" xfId="22" applyNumberFormat="1" applyFont="1" applyBorder="1" applyAlignment="1">
      <alignment horizontal="center"/>
    </xf>
    <xf numFmtId="164" fontId="17" fillId="0" borderId="5" xfId="22" applyNumberFormat="1" applyFont="1" applyBorder="1" applyAlignment="1">
      <alignment horizontal="center"/>
    </xf>
    <xf numFmtId="164" fontId="17" fillId="0" borderId="14" xfId="22" applyNumberFormat="1" applyFont="1" applyBorder="1" applyAlignment="1">
      <alignment horizontal="center"/>
    </xf>
    <xf numFmtId="169" fontId="17" fillId="0" borderId="5" xfId="22" applyNumberFormat="1" applyFont="1" applyBorder="1" applyAlignment="1">
      <alignment horizontal="center"/>
    </xf>
    <xf numFmtId="169" fontId="17" fillId="0" borderId="6" xfId="22" applyNumberFormat="1" applyFont="1" applyBorder="1" applyAlignment="1">
      <alignment horizontal="center"/>
    </xf>
    <xf numFmtId="169" fontId="17" fillId="0" borderId="14" xfId="22" applyNumberFormat="1" applyFont="1" applyBorder="1" applyAlignment="1">
      <alignment horizontal="center"/>
    </xf>
    <xf numFmtId="164" fontId="17" fillId="0" borderId="3" xfId="22" applyNumberFormat="1" applyFont="1" applyBorder="1" applyAlignment="1">
      <alignment horizontal="center"/>
    </xf>
    <xf numFmtId="164" fontId="17" fillId="6" borderId="22" xfId="22" applyNumberFormat="1" applyFont="1" applyFill="1" applyBorder="1" applyAlignment="1">
      <alignment horizontal="center"/>
    </xf>
    <xf numFmtId="164" fontId="17" fillId="6" borderId="18" xfId="22" applyNumberFormat="1" applyFont="1" applyFill="1" applyBorder="1" applyAlignment="1">
      <alignment horizontal="center"/>
    </xf>
    <xf numFmtId="164" fontId="17" fillId="0" borderId="0" xfId="22" applyNumberFormat="1" applyFont="1" applyFill="1" applyBorder="1" applyAlignment="1">
      <alignment horizontal="center"/>
    </xf>
    <xf numFmtId="164" fontId="17" fillId="6" borderId="6" xfId="22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 wrapText="1"/>
    </xf>
    <xf numFmtId="170" fontId="0" fillId="0" borderId="0" xfId="0" applyAlignment="1"/>
    <xf numFmtId="170" fontId="0" fillId="0" borderId="0" xfId="0" applyFill="1" applyAlignment="1">
      <alignment horizontal="center"/>
    </xf>
    <xf numFmtId="170" fontId="12" fillId="0" borderId="5" xfId="0" quotePrefix="1" applyFont="1" applyFill="1" applyBorder="1" applyAlignment="1">
      <alignment horizontal="center"/>
    </xf>
    <xf numFmtId="170" fontId="12" fillId="0" borderId="9" xfId="0" quotePrefix="1" applyFont="1" applyFill="1" applyBorder="1" applyAlignment="1">
      <alignment horizontal="center"/>
    </xf>
    <xf numFmtId="170" fontId="12" fillId="0" borderId="26" xfId="0" quotePrefix="1" applyFont="1" applyFill="1" applyBorder="1" applyAlignment="1">
      <alignment horizontal="center"/>
    </xf>
    <xf numFmtId="170" fontId="12" fillId="0" borderId="23" xfId="0" quotePrefix="1" applyFont="1" applyFill="1" applyBorder="1" applyAlignment="1">
      <alignment horizontal="center"/>
    </xf>
    <xf numFmtId="170" fontId="11" fillId="0" borderId="12" xfId="10" applyFont="1" applyFill="1" applyBorder="1" applyAlignment="1">
      <alignment horizontal="centerContinuous"/>
    </xf>
    <xf numFmtId="170" fontId="11" fillId="0" borderId="27" xfId="10" applyFont="1" applyFill="1" applyBorder="1" applyAlignment="1">
      <alignment horizontal="center"/>
    </xf>
    <xf numFmtId="170" fontId="11" fillId="0" borderId="27" xfId="10" applyFont="1" applyFill="1" applyBorder="1" applyAlignment="1">
      <alignment horizontal="center" wrapText="1"/>
    </xf>
    <xf numFmtId="6" fontId="12" fillId="0" borderId="0" xfId="10" applyNumberFormat="1" applyFont="1" applyFill="1" applyAlignment="1">
      <alignment horizontal="right"/>
    </xf>
    <xf numFmtId="8" fontId="12" fillId="0" borderId="0" xfId="10" applyNumberFormat="1" applyFont="1" applyFill="1" applyBorder="1"/>
    <xf numFmtId="170" fontId="14" fillId="0" borderId="0" xfId="10" applyFont="1" applyFill="1" applyAlignment="1">
      <alignment horizontal="centerContinuous"/>
    </xf>
    <xf numFmtId="170" fontId="11" fillId="0" borderId="0" xfId="10" applyFont="1" applyFill="1" applyAlignment="1">
      <alignment horizontal="centerContinuous"/>
    </xf>
    <xf numFmtId="170" fontId="12" fillId="0" borderId="0" xfId="10" applyFont="1" applyFill="1" applyAlignment="1">
      <alignment horizontal="center"/>
    </xf>
    <xf numFmtId="170" fontId="11" fillId="0" borderId="10" xfId="8" applyFont="1" applyFill="1" applyBorder="1" applyAlignment="1">
      <alignment horizontal="centerContinuous"/>
    </xf>
    <xf numFmtId="170" fontId="11" fillId="0" borderId="10" xfId="10" applyFont="1" applyFill="1" applyBorder="1" applyAlignment="1">
      <alignment horizontal="center"/>
    </xf>
    <xf numFmtId="170" fontId="11" fillId="0" borderId="11" xfId="8" applyFont="1" applyFill="1" applyBorder="1" applyAlignment="1">
      <alignment horizontal="centerContinuous"/>
    </xf>
    <xf numFmtId="165" fontId="12" fillId="0" borderId="0" xfId="10" applyNumberFormat="1" applyFont="1" applyFill="1" applyBorder="1" applyAlignment="1">
      <alignment horizontal="center"/>
    </xf>
    <xf numFmtId="164" fontId="17" fillId="0" borderId="30" xfId="22" applyNumberFormat="1" applyFont="1" applyFill="1" applyBorder="1" applyAlignment="1">
      <alignment horizontal="center"/>
    </xf>
    <xf numFmtId="170" fontId="13" fillId="0" borderId="0" xfId="21" applyFont="1" applyAlignment="1">
      <alignment horizontal="centerContinuous"/>
    </xf>
    <xf numFmtId="170" fontId="12" fillId="0" borderId="0" xfId="21" applyFont="1" applyAlignment="1">
      <alignment horizontal="centerContinuous"/>
    </xf>
    <xf numFmtId="170" fontId="13" fillId="0" borderId="0" xfId="21" applyFont="1" applyFill="1" applyAlignment="1">
      <alignment horizontal="centerContinuous"/>
    </xf>
    <xf numFmtId="170" fontId="31" fillId="0" borderId="0" xfId="0" applyFont="1" applyAlignment="1">
      <alignment horizontal="right" vertical="center"/>
    </xf>
    <xf numFmtId="165" fontId="32" fillId="0" borderId="0" xfId="0" applyNumberFormat="1" applyFont="1" applyAlignment="1">
      <alignment horizontal="left" vertical="center"/>
    </xf>
    <xf numFmtId="170" fontId="17" fillId="6" borderId="6" xfId="0" applyFont="1" applyFill="1" applyBorder="1" applyAlignment="1">
      <alignment horizontal="centerContinuous" vertical="center"/>
    </xf>
    <xf numFmtId="170" fontId="17" fillId="6" borderId="6" xfId="0" applyFont="1" applyFill="1" applyBorder="1" applyAlignment="1">
      <alignment horizontal="centerContinuous"/>
    </xf>
    <xf numFmtId="170" fontId="17" fillId="0" borderId="9" xfId="0" applyFont="1" applyBorder="1" applyAlignment="1"/>
    <xf numFmtId="170" fontId="17" fillId="6" borderId="6" xfId="0" applyFont="1" applyFill="1" applyBorder="1" applyAlignment="1"/>
    <xf numFmtId="1" fontId="17" fillId="6" borderId="6" xfId="0" applyNumberFormat="1" applyFont="1" applyFill="1" applyBorder="1" applyAlignment="1">
      <alignment horizontal="center"/>
    </xf>
    <xf numFmtId="0" fontId="17" fillId="6" borderId="6" xfId="0" applyNumberFormat="1" applyFont="1" applyFill="1" applyBorder="1" applyAlignment="1">
      <alignment horizontal="center"/>
    </xf>
    <xf numFmtId="170" fontId="13" fillId="6" borderId="6" xfId="0" applyFont="1" applyFill="1" applyBorder="1" applyAlignment="1">
      <alignment horizontal="centerContinuous"/>
    </xf>
    <xf numFmtId="170" fontId="11" fillId="6" borderId="25" xfId="0" applyFont="1" applyFill="1" applyBorder="1" applyAlignment="1">
      <alignment horizontal="center" vertical="top"/>
    </xf>
    <xf numFmtId="170" fontId="11" fillId="6" borderId="3" xfId="0" applyFont="1" applyFill="1" applyBorder="1" applyAlignment="1">
      <alignment horizontal="center" vertical="top"/>
    </xf>
    <xf numFmtId="170" fontId="12" fillId="6" borderId="3" xfId="0" applyFont="1" applyFill="1" applyBorder="1" applyAlignment="1">
      <alignment horizontal="center" vertical="top"/>
    </xf>
    <xf numFmtId="170" fontId="12" fillId="2" borderId="7" xfId="0" applyFont="1" applyFill="1" applyBorder="1" applyAlignment="1"/>
    <xf numFmtId="170" fontId="12" fillId="2" borderId="4" xfId="0" applyFont="1" applyFill="1" applyBorder="1" applyAlignment="1"/>
    <xf numFmtId="170" fontId="12" fillId="0" borderId="24" xfId="0" applyFont="1" applyBorder="1" applyAlignment="1"/>
    <xf numFmtId="164" fontId="17" fillId="0" borderId="5" xfId="22" applyNumberFormat="1" applyFont="1" applyFill="1" applyBorder="1" applyAlignment="1">
      <alignment horizontal="center"/>
    </xf>
    <xf numFmtId="170" fontId="11" fillId="0" borderId="15" xfId="0" applyFont="1" applyBorder="1" applyAlignment="1"/>
    <xf numFmtId="170" fontId="12" fillId="0" borderId="8" xfId="0" applyFont="1" applyBorder="1" applyAlignment="1"/>
    <xf numFmtId="170" fontId="12" fillId="0" borderId="25" xfId="0" applyFont="1" applyBorder="1" applyAlignment="1"/>
    <xf numFmtId="170" fontId="11" fillId="6" borderId="7" xfId="0" applyFont="1" applyFill="1" applyBorder="1" applyAlignment="1">
      <alignment horizontal="center" vertical="top"/>
    </xf>
    <xf numFmtId="170" fontId="12" fillId="6" borderId="16" xfId="0" applyFont="1" applyFill="1" applyBorder="1" applyAlignment="1">
      <alignment horizontal="center" vertical="top"/>
    </xf>
    <xf numFmtId="170" fontId="12" fillId="0" borderId="28" xfId="0" applyFont="1" applyBorder="1" applyAlignment="1"/>
    <xf numFmtId="170" fontId="12" fillId="6" borderId="21" xfId="0" applyFont="1" applyFill="1" applyBorder="1" applyAlignment="1">
      <alignment horizontal="right"/>
    </xf>
    <xf numFmtId="170" fontId="12" fillId="0" borderId="4" xfId="0" applyFont="1" applyBorder="1" applyAlignment="1"/>
    <xf numFmtId="170" fontId="12" fillId="6" borderId="17" xfId="0" applyFont="1" applyFill="1" applyBorder="1" applyAlignment="1">
      <alignment horizontal="right"/>
    </xf>
    <xf numFmtId="170" fontId="12" fillId="0" borderId="0" xfId="0" applyFont="1" applyAlignment="1"/>
    <xf numFmtId="170" fontId="11" fillId="0" borderId="0" xfId="0" applyFont="1" applyFill="1"/>
    <xf numFmtId="2" fontId="33" fillId="0" borderId="0" xfId="0" applyNumberFormat="1" applyFont="1" applyFill="1" applyAlignment="1">
      <alignment horizontal="left" vertical="top"/>
    </xf>
    <xf numFmtId="164" fontId="17" fillId="0" borderId="6" xfId="22" applyNumberFormat="1" applyFont="1" applyFill="1" applyBorder="1" applyAlignment="1">
      <alignment horizontal="center"/>
    </xf>
    <xf numFmtId="164" fontId="17" fillId="0" borderId="14" xfId="22" applyNumberFormat="1" applyFont="1" applyFill="1" applyBorder="1" applyAlignment="1">
      <alignment horizontal="center"/>
    </xf>
    <xf numFmtId="164" fontId="17" fillId="0" borderId="34" xfId="22" applyNumberFormat="1" applyFont="1" applyBorder="1" applyAlignment="1">
      <alignment horizontal="center"/>
    </xf>
    <xf numFmtId="164" fontId="17" fillId="0" borderId="34" xfId="22" applyNumberFormat="1" applyFont="1" applyFill="1" applyBorder="1" applyAlignment="1">
      <alignment horizontal="center"/>
    </xf>
    <xf numFmtId="169" fontId="17" fillId="0" borderId="5" xfId="22" applyNumberFormat="1" applyFont="1" applyFill="1" applyBorder="1" applyAlignment="1">
      <alignment horizontal="center"/>
    </xf>
    <xf numFmtId="169" fontId="17" fillId="0" borderId="6" xfId="22" applyNumberFormat="1" applyFont="1" applyFill="1" applyBorder="1" applyAlignment="1">
      <alignment horizontal="center"/>
    </xf>
    <xf numFmtId="169" fontId="17" fillId="0" borderId="14" xfId="22" applyNumberFormat="1" applyFont="1" applyFill="1" applyBorder="1" applyAlignment="1">
      <alignment horizontal="center"/>
    </xf>
    <xf numFmtId="170" fontId="12" fillId="6" borderId="7" xfId="0" applyFont="1" applyFill="1" applyBorder="1" applyAlignment="1">
      <alignment horizontal="center" vertical="top"/>
    </xf>
    <xf numFmtId="170" fontId="12" fillId="0" borderId="6" xfId="0" applyFont="1" applyBorder="1" applyAlignment="1"/>
    <xf numFmtId="170" fontId="12" fillId="6" borderId="3" xfId="0" applyFont="1" applyFill="1" applyBorder="1" applyAlignment="1">
      <alignment horizontal="right" vertical="top"/>
    </xf>
    <xf numFmtId="164" fontId="17" fillId="20" borderId="5" xfId="22" applyNumberFormat="1" applyFont="1" applyFill="1" applyBorder="1" applyAlignment="1">
      <alignment horizontal="center"/>
    </xf>
    <xf numFmtId="164" fontId="17" fillId="20" borderId="6" xfId="22" applyNumberFormat="1" applyFont="1" applyFill="1" applyBorder="1" applyAlignment="1">
      <alignment horizontal="center"/>
    </xf>
    <xf numFmtId="170" fontId="12" fillId="6" borderId="5" xfId="0" applyFont="1" applyFill="1" applyBorder="1" applyAlignment="1">
      <alignment horizontal="right" vertical="top"/>
    </xf>
    <xf numFmtId="164" fontId="17" fillId="20" borderId="3" xfId="22" applyNumberFormat="1" applyFont="1" applyFill="1" applyBorder="1" applyAlignment="1">
      <alignment horizontal="center"/>
    </xf>
    <xf numFmtId="164" fontId="17" fillId="19" borderId="5" xfId="22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70" fontId="0" fillId="0" borderId="0" xfId="0" applyFont="1" applyFill="1" applyAlignment="1">
      <alignment horizontal="right"/>
    </xf>
    <xf numFmtId="168" fontId="0" fillId="0" borderId="0" xfId="5" applyNumberFormat="1" applyFont="1" applyFill="1"/>
    <xf numFmtId="170" fontId="0" fillId="0" borderId="0" xfId="8" applyFont="1" applyFill="1"/>
    <xf numFmtId="170" fontId="0" fillId="0" borderId="0" xfId="8" applyFont="1" applyFill="1" applyBorder="1"/>
    <xf numFmtId="1" fontId="0" fillId="0" borderId="0" xfId="13" applyNumberFormat="1" applyFont="1" applyFill="1" applyAlignment="1" applyProtection="1">
      <alignment horizontal="center"/>
      <protection locked="0"/>
    </xf>
    <xf numFmtId="168" fontId="12" fillId="0" borderId="0" xfId="98" applyNumberFormat="1" applyFont="1" applyFill="1"/>
    <xf numFmtId="168" fontId="12" fillId="0" borderId="0" xfId="10" applyNumberFormat="1" applyFont="1" applyFill="1"/>
    <xf numFmtId="6" fontId="12" fillId="0" borderId="0" xfId="10" applyNumberFormat="1" applyFont="1" applyFill="1" applyBorder="1"/>
    <xf numFmtId="170" fontId="11" fillId="0" borderId="27" xfId="9" applyFont="1" applyFill="1" applyBorder="1" applyAlignment="1">
      <alignment horizontal="center" wrapText="1"/>
    </xf>
    <xf numFmtId="8" fontId="0" fillId="0" borderId="0" xfId="1" applyNumberFormat="1" applyFont="1" applyFill="1"/>
    <xf numFmtId="8" fontId="19" fillId="0" borderId="0" xfId="1" applyNumberFormat="1" applyFont="1" applyFill="1"/>
    <xf numFmtId="6" fontId="0" fillId="0" borderId="0" xfId="1" applyNumberFormat="1" applyFont="1" applyFill="1"/>
    <xf numFmtId="0" fontId="0" fillId="0" borderId="0" xfId="8" applyNumberFormat="1" applyFont="1" applyFill="1"/>
    <xf numFmtId="170" fontId="0" fillId="0" borderId="0" xfId="8" applyFont="1" applyFill="1" applyBorder="1" applyAlignment="1">
      <alignment horizontal="centerContinuous"/>
    </xf>
    <xf numFmtId="170" fontId="0" fillId="0" borderId="0" xfId="8" applyFont="1" applyFill="1" applyAlignment="1">
      <alignment horizontal="centerContinuous"/>
    </xf>
    <xf numFmtId="170" fontId="13" fillId="0" borderId="0" xfId="8" applyFont="1" applyFill="1" applyAlignment="1">
      <alignment horizontal="centerContinuous"/>
    </xf>
    <xf numFmtId="41" fontId="0" fillId="0" borderId="0" xfId="3" applyFont="1" applyFill="1"/>
    <xf numFmtId="165" fontId="0" fillId="0" borderId="0" xfId="8" applyNumberFormat="1" applyFont="1" applyFill="1" applyAlignment="1">
      <alignment horizontal="center"/>
    </xf>
    <xf numFmtId="8" fontId="0" fillId="0" borderId="0" xfId="8" applyNumberFormat="1" applyFont="1" applyFill="1" applyBorder="1" applyAlignment="1">
      <alignment horizontal="right"/>
    </xf>
    <xf numFmtId="6" fontId="0" fillId="0" borderId="0" xfId="8" applyNumberFormat="1" applyFont="1" applyFill="1" applyAlignment="1">
      <alignment horizontal="right"/>
    </xf>
    <xf numFmtId="170" fontId="15" fillId="0" borderId="0" xfId="8" quotePrefix="1" applyFont="1" applyFill="1" applyBorder="1" applyAlignment="1">
      <alignment horizontal="center"/>
    </xf>
    <xf numFmtId="170" fontId="25" fillId="0" borderId="5" xfId="8" applyFont="1" applyFill="1" applyBorder="1" applyAlignment="1">
      <alignment horizontal="center" wrapText="1"/>
    </xf>
    <xf numFmtId="170" fontId="25" fillId="0" borderId="5" xfId="8" quotePrefix="1" applyFont="1" applyFill="1" applyBorder="1" applyAlignment="1">
      <alignment horizontal="center" wrapText="1"/>
    </xf>
    <xf numFmtId="170" fontId="24" fillId="0" borderId="5" xfId="8" applyFont="1" applyFill="1" applyBorder="1" applyAlignment="1">
      <alignment horizontal="centerContinuous"/>
    </xf>
    <xf numFmtId="170" fontId="11" fillId="0" borderId="27" xfId="8" applyFont="1" applyFill="1" applyBorder="1" applyAlignment="1">
      <alignment horizontal="center" wrapText="1"/>
    </xf>
    <xf numFmtId="170" fontId="11" fillId="0" borderId="27" xfId="8" applyFont="1" applyFill="1" applyBorder="1" applyAlignment="1">
      <alignment horizontal="center"/>
    </xf>
    <xf numFmtId="41" fontId="0" fillId="0" borderId="0" xfId="3" applyFont="1" applyFill="1" applyAlignment="1">
      <alignment horizontal="left"/>
    </xf>
    <xf numFmtId="170" fontId="11" fillId="0" borderId="14" xfId="8" applyFont="1" applyFill="1" applyBorder="1" applyAlignment="1">
      <alignment horizontal="centerContinuous"/>
    </xf>
    <xf numFmtId="170" fontId="11" fillId="0" borderId="10" xfId="99" applyFont="1" applyFill="1" applyBorder="1" applyAlignment="1">
      <alignment horizontal="centerContinuous"/>
    </xf>
    <xf numFmtId="8" fontId="0" fillId="0" borderId="0" xfId="3" applyNumberFormat="1" applyFont="1" applyFill="1" applyBorder="1"/>
    <xf numFmtId="41" fontId="0" fillId="0" borderId="0" xfId="3" applyFont="1" applyFill="1" applyAlignment="1">
      <alignment horizontal="center"/>
    </xf>
    <xf numFmtId="167" fontId="0" fillId="0" borderId="0" xfId="8" applyNumberFormat="1" applyFont="1" applyFill="1" applyBorder="1"/>
    <xf numFmtId="170" fontId="0" fillId="0" borderId="4" xfId="8" applyFont="1" applyFill="1" applyBorder="1"/>
    <xf numFmtId="170" fontId="14" fillId="0" borderId="0" xfId="0" applyFont="1" applyFill="1" applyAlignment="1">
      <alignment horizontal="center"/>
    </xf>
    <xf numFmtId="170" fontId="25" fillId="0" borderId="0" xfId="10" quotePrefix="1" applyFont="1" applyFill="1" applyBorder="1" applyAlignment="1">
      <alignment horizontal="center" wrapText="1"/>
    </xf>
    <xf numFmtId="170" fontId="11" fillId="0" borderId="0" xfId="0" applyFont="1"/>
    <xf numFmtId="170" fontId="11" fillId="0" borderId="2" xfId="0" applyFont="1" applyBorder="1"/>
    <xf numFmtId="9" fontId="12" fillId="0" borderId="0" xfId="5" applyFont="1" applyFill="1"/>
    <xf numFmtId="170" fontId="14" fillId="0" borderId="0" xfId="0" applyFont="1" applyFill="1" applyAlignment="1"/>
    <xf numFmtId="0" fontId="4" fillId="0" borderId="0" xfId="103"/>
    <xf numFmtId="168" fontId="0" fillId="0" borderId="0" xfId="104" applyNumberFormat="1" applyFont="1" applyFill="1"/>
    <xf numFmtId="0" fontId="4" fillId="0" borderId="0" xfId="103" applyFont="1" applyFill="1" applyBorder="1"/>
    <xf numFmtId="0" fontId="4" fillId="0" borderId="0" xfId="103" applyFont="1" applyFill="1"/>
    <xf numFmtId="10" fontId="12" fillId="0" borderId="0" xfId="104" applyNumberFormat="1" applyFont="1" applyFill="1"/>
    <xf numFmtId="170" fontId="12" fillId="0" borderId="12" xfId="10" applyFont="1" applyFill="1" applyBorder="1" applyAlignment="1">
      <alignment horizontal="centerContinuous"/>
    </xf>
    <xf numFmtId="171" fontId="0" fillId="0" borderId="0" xfId="8" applyNumberFormat="1" applyFont="1" applyFill="1"/>
    <xf numFmtId="9" fontId="0" fillId="0" borderId="0" xfId="104" applyFont="1" applyFill="1"/>
    <xf numFmtId="170" fontId="0" fillId="0" borderId="0" xfId="0" applyAlignment="1"/>
    <xf numFmtId="37" fontId="12" fillId="0" borderId="25" xfId="0" applyNumberFormat="1" applyFont="1" applyFill="1" applyBorder="1" applyAlignment="1">
      <alignment horizontal="center"/>
    </xf>
    <xf numFmtId="37" fontId="12" fillId="0" borderId="30" xfId="0" applyNumberFormat="1" applyFont="1" applyFill="1" applyBorder="1" applyAlignment="1">
      <alignment horizontal="center"/>
    </xf>
    <xf numFmtId="37" fontId="12" fillId="0" borderId="28" xfId="0" applyNumberFormat="1" applyFont="1" applyFill="1" applyBorder="1" applyAlignment="1">
      <alignment horizontal="center"/>
    </xf>
    <xf numFmtId="37" fontId="12" fillId="0" borderId="7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37" fontId="12" fillId="0" borderId="4" xfId="0" applyNumberFormat="1" applyFont="1" applyFill="1" applyBorder="1" applyAlignment="1">
      <alignment horizontal="center"/>
    </xf>
    <xf numFmtId="0" fontId="12" fillId="0" borderId="27" xfId="4" applyFont="1" applyBorder="1" applyAlignment="1">
      <alignment horizontal="center"/>
    </xf>
    <xf numFmtId="0" fontId="20" fillId="0" borderId="0" xfId="0" quotePrefix="1" applyNumberFormat="1" applyFont="1" applyFill="1" applyBorder="1" applyAlignment="1">
      <alignment horizontal="left"/>
    </xf>
    <xf numFmtId="174" fontId="0" fillId="0" borderId="0" xfId="3" applyNumberFormat="1" applyFont="1" applyFill="1" applyBorder="1"/>
    <xf numFmtId="170" fontId="0" fillId="0" borderId="0" xfId="0" applyFont="1"/>
    <xf numFmtId="170" fontId="46" fillId="0" borderId="0" xfId="0" applyFont="1"/>
    <xf numFmtId="168" fontId="46" fillId="0" borderId="0" xfId="102" applyNumberFormat="1" applyFont="1"/>
    <xf numFmtId="168" fontId="46" fillId="0" borderId="2" xfId="102" applyNumberFormat="1" applyFont="1" applyBorder="1"/>
    <xf numFmtId="5" fontId="12" fillId="0" borderId="0" xfId="0" applyNumberFormat="1" applyFont="1" applyFill="1" applyBorder="1" applyAlignment="1">
      <alignment horizontal="center"/>
    </xf>
    <xf numFmtId="170" fontId="0" fillId="0" borderId="0" xfId="0" applyFont="1" applyFill="1" applyAlignment="1">
      <alignment horizontal="left"/>
    </xf>
    <xf numFmtId="170" fontId="0" fillId="0" borderId="0" xfId="0" applyAlignment="1"/>
    <xf numFmtId="170" fontId="0" fillId="0" borderId="0" xfId="0" applyAlignment="1">
      <alignment horizontal="center"/>
    </xf>
    <xf numFmtId="170" fontId="0" fillId="0" borderId="0" xfId="0" applyAlignment="1">
      <alignment horizontal="right"/>
    </xf>
    <xf numFmtId="170" fontId="12" fillId="0" borderId="0" xfId="0" quotePrefix="1" applyFont="1" applyFill="1" applyAlignment="1">
      <alignment horizontal="right"/>
    </xf>
    <xf numFmtId="170" fontId="47" fillId="0" borderId="38" xfId="0" applyFont="1" applyBorder="1" applyAlignment="1">
      <alignment vertical="center"/>
    </xf>
    <xf numFmtId="170" fontId="48" fillId="0" borderId="42" xfId="0" applyFont="1" applyBorder="1" applyAlignment="1">
      <alignment vertical="center"/>
    </xf>
    <xf numFmtId="170" fontId="48" fillId="0" borderId="46" xfId="0" applyFont="1" applyBorder="1" applyAlignment="1">
      <alignment horizontal="center" vertical="center"/>
    </xf>
    <xf numFmtId="170" fontId="48" fillId="0" borderId="0" xfId="0" applyFont="1" applyAlignment="1">
      <alignment horizontal="center" vertical="center"/>
    </xf>
    <xf numFmtId="170" fontId="48" fillId="0" borderId="50" xfId="0" applyFont="1" applyBorder="1" applyAlignment="1">
      <alignment horizontal="center" vertical="center"/>
    </xf>
    <xf numFmtId="170" fontId="48" fillId="0" borderId="13" xfId="0" applyFont="1" applyBorder="1" applyAlignment="1">
      <alignment horizontal="center" vertical="center"/>
    </xf>
    <xf numFmtId="170" fontId="48" fillId="0" borderId="52" xfId="0" applyFont="1" applyBorder="1" applyAlignment="1">
      <alignment horizontal="center" vertical="center"/>
    </xf>
    <xf numFmtId="170" fontId="48" fillId="0" borderId="42" xfId="0" applyFont="1" applyBorder="1" applyAlignment="1">
      <alignment horizontal="center" vertical="center"/>
    </xf>
    <xf numFmtId="170" fontId="48" fillId="0" borderId="53" xfId="0" applyFont="1" applyBorder="1" applyAlignment="1">
      <alignment horizontal="center" vertical="center"/>
    </xf>
    <xf numFmtId="8" fontId="50" fillId="0" borderId="47" xfId="0" applyNumberFormat="1" applyFont="1" applyBorder="1" applyAlignment="1">
      <alignment horizontal="center" vertical="center"/>
    </xf>
    <xf numFmtId="8" fontId="48" fillId="0" borderId="55" xfId="0" applyNumberFormat="1" applyFont="1" applyBorder="1" applyAlignment="1">
      <alignment horizontal="center" vertical="center"/>
    </xf>
    <xf numFmtId="8" fontId="48" fillId="0" borderId="47" xfId="0" applyNumberFormat="1" applyFont="1" applyBorder="1" applyAlignment="1">
      <alignment horizontal="center" vertical="center"/>
    </xf>
    <xf numFmtId="170" fontId="48" fillId="0" borderId="47" xfId="0" applyFont="1" applyBorder="1" applyAlignment="1">
      <alignment horizontal="center" vertical="center"/>
    </xf>
    <xf numFmtId="170" fontId="48" fillId="0" borderId="48" xfId="0" applyFont="1" applyBorder="1" applyAlignment="1">
      <alignment horizontal="center" vertical="center"/>
    </xf>
    <xf numFmtId="8" fontId="50" fillId="0" borderId="0" xfId="0" applyNumberFormat="1" applyFont="1" applyAlignment="1">
      <alignment horizontal="center" vertical="center"/>
    </xf>
    <xf numFmtId="8" fontId="48" fillId="0" borderId="46" xfId="0" applyNumberFormat="1" applyFont="1" applyBorder="1" applyAlignment="1">
      <alignment horizontal="center" vertical="center"/>
    </xf>
    <xf numFmtId="8" fontId="48" fillId="0" borderId="0" xfId="0" applyNumberFormat="1" applyFont="1" applyAlignment="1">
      <alignment horizontal="center" vertical="center"/>
    </xf>
    <xf numFmtId="8" fontId="48" fillId="0" borderId="53" xfId="0" applyNumberFormat="1" applyFont="1" applyBorder="1" applyAlignment="1">
      <alignment horizontal="center" vertical="center"/>
    </xf>
    <xf numFmtId="8" fontId="50" fillId="0" borderId="57" xfId="0" applyNumberFormat="1" applyFont="1" applyBorder="1" applyAlignment="1">
      <alignment horizontal="center" vertical="center"/>
    </xf>
    <xf numFmtId="8" fontId="48" fillId="0" borderId="58" xfId="0" applyNumberFormat="1" applyFont="1" applyBorder="1" applyAlignment="1">
      <alignment horizontal="center" vertical="center"/>
    </xf>
    <xf numFmtId="8" fontId="48" fillId="0" borderId="57" xfId="0" applyNumberFormat="1" applyFont="1" applyBorder="1" applyAlignment="1">
      <alignment horizontal="center" vertical="center"/>
    </xf>
    <xf numFmtId="8" fontId="48" fillId="0" borderId="59" xfId="0" applyNumberFormat="1" applyFont="1" applyBorder="1" applyAlignment="1">
      <alignment horizontal="center" vertical="center"/>
    </xf>
    <xf numFmtId="182" fontId="48" fillId="0" borderId="54" xfId="0" applyNumberFormat="1" applyFont="1" applyBorder="1" applyAlignment="1">
      <alignment horizontal="center" vertical="center"/>
    </xf>
    <xf numFmtId="0" fontId="48" fillId="0" borderId="42" xfId="0" applyNumberFormat="1" applyFont="1" applyBorder="1" applyAlignment="1">
      <alignment horizontal="center" vertical="center"/>
    </xf>
    <xf numFmtId="183" fontId="48" fillId="0" borderId="42" xfId="0" applyNumberFormat="1" applyFont="1" applyBorder="1" applyAlignment="1">
      <alignment horizontal="center" vertical="center"/>
    </xf>
    <xf numFmtId="0" fontId="48" fillId="0" borderId="56" xfId="0" applyNumberFormat="1" applyFont="1" applyBorder="1" applyAlignment="1">
      <alignment horizontal="center" vertical="center"/>
    </xf>
    <xf numFmtId="170" fontId="48" fillId="0" borderId="51" xfId="0" applyFont="1" applyBorder="1" applyAlignment="1">
      <alignment horizontal="center" vertical="center"/>
    </xf>
    <xf numFmtId="170" fontId="0" fillId="0" borderId="57" xfId="0" applyBorder="1"/>
    <xf numFmtId="170" fontId="0" fillId="0" borderId="59" xfId="0" applyBorder="1"/>
    <xf numFmtId="170" fontId="51" fillId="0" borderId="64" xfId="0" applyFont="1" applyBorder="1" applyAlignment="1">
      <alignment horizontal="center" vertical="center"/>
    </xf>
    <xf numFmtId="170" fontId="51" fillId="0" borderId="53" xfId="0" applyFont="1" applyBorder="1" applyAlignment="1">
      <alignment horizontal="center" vertical="center" wrapText="1"/>
    </xf>
    <xf numFmtId="170" fontId="51" fillId="0" borderId="60" xfId="0" applyFont="1" applyBorder="1" applyAlignment="1">
      <alignment horizontal="center" vertical="center" wrapText="1"/>
    </xf>
    <xf numFmtId="170" fontId="51" fillId="0" borderId="51" xfId="0" applyFont="1" applyBorder="1" applyAlignment="1">
      <alignment horizontal="center" vertical="center" wrapText="1"/>
    </xf>
    <xf numFmtId="170" fontId="51" fillId="0" borderId="53" xfId="0" applyFont="1" applyBorder="1" applyAlignment="1">
      <alignment horizontal="center" vertical="center"/>
    </xf>
    <xf numFmtId="170" fontId="51" fillId="0" borderId="60" xfId="0" applyFont="1" applyBorder="1" applyAlignment="1">
      <alignment horizontal="center" vertical="center"/>
    </xf>
    <xf numFmtId="170" fontId="51" fillId="0" borderId="51" xfId="0" applyFont="1" applyBorder="1" applyAlignment="1">
      <alignment horizontal="center" vertical="center"/>
    </xf>
    <xf numFmtId="170" fontId="0" fillId="0" borderId="53" xfId="0" applyBorder="1"/>
    <xf numFmtId="170" fontId="0" fillId="0" borderId="60" xfId="0" applyBorder="1"/>
    <xf numFmtId="10" fontId="51" fillId="0" borderId="60" xfId="0" applyNumberFormat="1" applyFont="1" applyBorder="1" applyAlignment="1">
      <alignment horizontal="center" vertical="center"/>
    </xf>
    <xf numFmtId="170" fontId="0" fillId="0" borderId="60" xfId="0" applyBorder="1" applyAlignment="1">
      <alignment vertical="center"/>
    </xf>
    <xf numFmtId="170" fontId="51" fillId="0" borderId="65" xfId="0" applyFont="1" applyBorder="1" applyAlignment="1">
      <alignment horizontal="center" vertical="center"/>
    </xf>
    <xf numFmtId="170" fontId="0" fillId="0" borderId="65" xfId="0" applyBorder="1" applyAlignment="1">
      <alignment vertical="center"/>
    </xf>
    <xf numFmtId="9" fontId="51" fillId="0" borderId="65" xfId="0" applyNumberFormat="1" applyFont="1" applyBorder="1" applyAlignment="1">
      <alignment horizontal="center" vertical="center"/>
    </xf>
    <xf numFmtId="9" fontId="51" fillId="0" borderId="59" xfId="0" applyNumberFormat="1" applyFont="1" applyBorder="1" applyAlignment="1">
      <alignment horizontal="center" vertical="center"/>
    </xf>
    <xf numFmtId="6" fontId="51" fillId="0" borderId="60" xfId="0" applyNumberFormat="1" applyFont="1" applyBorder="1" applyAlignment="1">
      <alignment horizontal="center" vertical="center"/>
    </xf>
    <xf numFmtId="8" fontId="51" fillId="0" borderId="60" xfId="0" applyNumberFormat="1" applyFont="1" applyBorder="1" applyAlignment="1">
      <alignment horizontal="center" vertical="center"/>
    </xf>
    <xf numFmtId="8" fontId="51" fillId="0" borderId="51" xfId="0" applyNumberFormat="1" applyFont="1" applyBorder="1" applyAlignment="1">
      <alignment horizontal="center" vertical="center"/>
    </xf>
    <xf numFmtId="6" fontId="51" fillId="0" borderId="53" xfId="0" applyNumberFormat="1" applyFont="1" applyBorder="1" applyAlignment="1">
      <alignment horizontal="center" vertical="center"/>
    </xf>
    <xf numFmtId="6" fontId="51" fillId="0" borderId="59" xfId="0" applyNumberFormat="1" applyFont="1" applyBorder="1" applyAlignment="1">
      <alignment horizontal="center" vertical="center"/>
    </xf>
    <xf numFmtId="6" fontId="51" fillId="0" borderId="65" xfId="0" applyNumberFormat="1" applyFont="1" applyBorder="1" applyAlignment="1">
      <alignment horizontal="center" vertical="center"/>
    </xf>
    <xf numFmtId="8" fontId="51" fillId="0" borderId="65" xfId="0" applyNumberFormat="1" applyFont="1" applyBorder="1" applyAlignment="1">
      <alignment horizontal="center" vertical="center"/>
    </xf>
    <xf numFmtId="8" fontId="51" fillId="0" borderId="59" xfId="0" applyNumberFormat="1" applyFont="1" applyBorder="1" applyAlignment="1">
      <alignment horizontal="center" vertical="center"/>
    </xf>
    <xf numFmtId="170" fontId="51" fillId="0" borderId="38" xfId="0" applyFont="1" applyBorder="1" applyAlignment="1">
      <alignment horizontal="center" vertical="center"/>
    </xf>
    <xf numFmtId="170" fontId="51" fillId="0" borderId="42" xfId="0" applyFont="1" applyBorder="1" applyAlignment="1">
      <alignment horizontal="center" vertical="center"/>
    </xf>
    <xf numFmtId="170" fontId="51" fillId="0" borderId="12" xfId="0" applyFont="1" applyBorder="1" applyAlignment="1">
      <alignment horizontal="center" vertical="center" wrapText="1"/>
    </xf>
    <xf numFmtId="170" fontId="51" fillId="0" borderId="44" xfId="0" applyFont="1" applyBorder="1" applyAlignment="1">
      <alignment horizontal="center" vertical="center" wrapText="1"/>
    </xf>
    <xf numFmtId="170" fontId="51" fillId="0" borderId="60" xfId="0" applyFont="1" applyBorder="1" applyAlignment="1">
      <alignment vertical="center"/>
    </xf>
    <xf numFmtId="170" fontId="51" fillId="0" borderId="42" xfId="0" applyFont="1" applyBorder="1" applyAlignment="1">
      <alignment vertical="center"/>
    </xf>
    <xf numFmtId="170" fontId="51" fillId="0" borderId="42" xfId="0" applyFont="1" applyBorder="1" applyAlignment="1">
      <alignment horizontal="right" vertical="center"/>
    </xf>
    <xf numFmtId="170" fontId="0" fillId="0" borderId="56" xfId="0" applyBorder="1" applyAlignment="1">
      <alignment horizontal="right"/>
    </xf>
    <xf numFmtId="171" fontId="0" fillId="21" borderId="0" xfId="8" applyNumberFormat="1" applyFont="1" applyFill="1"/>
    <xf numFmtId="168" fontId="0" fillId="21" borderId="0" xfId="104" applyNumberFormat="1" applyFont="1" applyFill="1"/>
    <xf numFmtId="9" fontId="0" fillId="0" borderId="0" xfId="104" applyFont="1" applyFill="1" applyAlignment="1">
      <alignment vertical="center"/>
    </xf>
    <xf numFmtId="10" fontId="0" fillId="21" borderId="0" xfId="5" applyNumberFormat="1" applyFont="1" applyFill="1"/>
    <xf numFmtId="170" fontId="20" fillId="22" borderId="0" xfId="0" applyFont="1" applyFill="1"/>
    <xf numFmtId="170" fontId="20" fillId="22" borderId="0" xfId="0" applyFont="1" applyFill="1" applyBorder="1" applyAlignment="1">
      <alignment horizontal="center"/>
    </xf>
    <xf numFmtId="170" fontId="20" fillId="22" borderId="27" xfId="0" applyFont="1" applyFill="1" applyBorder="1" applyAlignment="1">
      <alignment horizontal="center" wrapText="1"/>
    </xf>
    <xf numFmtId="170" fontId="20" fillId="22" borderId="5" xfId="0" applyFont="1" applyFill="1" applyBorder="1" applyAlignment="1">
      <alignment horizontal="center" wrapText="1"/>
    </xf>
    <xf numFmtId="17" fontId="12" fillId="22" borderId="6" xfId="0" applyNumberFormat="1" applyFont="1" applyFill="1" applyBorder="1" applyAlignment="1">
      <alignment horizontal="center" wrapText="1"/>
    </xf>
    <xf numFmtId="170" fontId="0" fillId="22" borderId="6" xfId="0" applyFill="1" applyBorder="1" applyAlignment="1">
      <alignment horizontal="center" wrapText="1"/>
    </xf>
    <xf numFmtId="170" fontId="20" fillId="22" borderId="2" xfId="0" applyFont="1" applyFill="1" applyBorder="1"/>
    <xf numFmtId="170" fontId="20" fillId="22" borderId="2" xfId="0" quotePrefix="1" applyFont="1" applyFill="1" applyBorder="1" applyAlignment="1">
      <alignment horizontal="center"/>
    </xf>
    <xf numFmtId="182" fontId="20" fillId="22" borderId="7" xfId="0" applyNumberFormat="1" applyFont="1" applyFill="1" applyBorder="1" applyAlignment="1">
      <alignment horizontal="center"/>
    </xf>
    <xf numFmtId="7" fontId="12" fillId="22" borderId="7" xfId="0" applyNumberFormat="1" applyFont="1" applyFill="1" applyBorder="1" applyAlignment="1">
      <alignment horizontal="center"/>
    </xf>
    <xf numFmtId="7" fontId="12" fillId="22" borderId="0" xfId="0" applyNumberFormat="1" applyFont="1" applyFill="1" applyBorder="1" applyAlignment="1">
      <alignment horizontal="center"/>
    </xf>
    <xf numFmtId="8" fontId="12" fillId="22" borderId="4" xfId="0" applyNumberFormat="1" applyFont="1" applyFill="1" applyBorder="1" applyAlignment="1">
      <alignment horizontal="center"/>
    </xf>
    <xf numFmtId="166" fontId="12" fillId="22" borderId="0" xfId="0" applyNumberFormat="1" applyFont="1" applyFill="1" applyBorder="1" applyAlignment="1">
      <alignment horizontal="center"/>
    </xf>
    <xf numFmtId="0" fontId="20" fillId="22" borderId="8" xfId="0" applyNumberFormat="1" applyFont="1" applyFill="1" applyBorder="1" applyAlignment="1">
      <alignment horizontal="center"/>
    </xf>
    <xf numFmtId="7" fontId="12" fillId="22" borderId="8" xfId="0" applyNumberFormat="1" applyFont="1" applyFill="1" applyBorder="1" applyAlignment="1">
      <alignment horizontal="center"/>
    </xf>
    <xf numFmtId="7" fontId="12" fillId="22" borderId="2" xfId="0" applyNumberFormat="1" applyFont="1" applyFill="1" applyBorder="1" applyAlignment="1">
      <alignment horizontal="center"/>
    </xf>
    <xf numFmtId="8" fontId="12" fillId="22" borderId="9" xfId="0" applyNumberFormat="1" applyFont="1" applyFill="1" applyBorder="1" applyAlignment="1">
      <alignment horizontal="center"/>
    </xf>
    <xf numFmtId="0" fontId="20" fillId="22" borderId="27" xfId="0" applyNumberFormat="1" applyFont="1" applyFill="1" applyBorder="1" applyAlignment="1">
      <alignment horizontal="center"/>
    </xf>
    <xf numFmtId="0" fontId="20" fillId="22" borderId="3" xfId="0" applyNumberFormat="1" applyFont="1" applyFill="1" applyBorder="1" applyAlignment="1">
      <alignment horizontal="center"/>
    </xf>
    <xf numFmtId="184" fontId="12" fillId="22" borderId="0" xfId="0" applyNumberFormat="1" applyFont="1" applyFill="1" applyBorder="1" applyAlignment="1">
      <alignment horizontal="center"/>
    </xf>
    <xf numFmtId="8" fontId="12" fillId="22" borderId="0" xfId="0" applyNumberFormat="1" applyFont="1" applyFill="1" applyBorder="1" applyAlignment="1">
      <alignment horizontal="center"/>
    </xf>
    <xf numFmtId="0" fontId="20" fillId="22" borderId="5" xfId="0" applyNumberFormat="1" applyFont="1" applyFill="1" applyBorder="1" applyAlignment="1">
      <alignment horizontal="center"/>
    </xf>
    <xf numFmtId="0" fontId="20" fillId="22" borderId="0" xfId="0" applyNumberFormat="1" applyFont="1" applyFill="1" applyBorder="1" applyAlignment="1">
      <alignment horizontal="center"/>
    </xf>
    <xf numFmtId="0" fontId="20" fillId="22" borderId="0" xfId="0" applyNumberFormat="1" applyFont="1" applyFill="1" applyBorder="1" applyAlignment="1">
      <alignment horizontal="left"/>
    </xf>
    <xf numFmtId="170" fontId="12" fillId="22" borderId="0" xfId="0" applyFont="1" applyFill="1" applyAlignment="1">
      <alignment horizontal="right"/>
    </xf>
    <xf numFmtId="0" fontId="11" fillId="22" borderId="0" xfId="0" applyNumberFormat="1" applyFont="1" applyFill="1" applyBorder="1" applyAlignment="1">
      <alignment horizontal="left"/>
    </xf>
    <xf numFmtId="170" fontId="12" fillId="6" borderId="36" xfId="0" applyFont="1" applyFill="1" applyBorder="1" applyAlignment="1">
      <alignment horizontal="right"/>
    </xf>
    <xf numFmtId="170" fontId="12" fillId="20" borderId="66" xfId="0" applyFont="1" applyFill="1" applyBorder="1" applyAlignment="1"/>
    <xf numFmtId="170" fontId="12" fillId="20" borderId="67" xfId="0" applyFont="1" applyFill="1" applyBorder="1" applyAlignment="1"/>
    <xf numFmtId="170" fontId="12" fillId="0" borderId="67" xfId="0" applyFont="1" applyBorder="1" applyAlignment="1"/>
    <xf numFmtId="170" fontId="12" fillId="0" borderId="36" xfId="0" applyFont="1" applyBorder="1" applyAlignment="1"/>
    <xf numFmtId="170" fontId="12" fillId="2" borderId="37" xfId="0" applyFont="1" applyFill="1" applyBorder="1" applyAlignment="1"/>
    <xf numFmtId="170" fontId="12" fillId="2" borderId="35" xfId="0" applyFont="1" applyFill="1" applyBorder="1" applyAlignment="1"/>
    <xf numFmtId="170" fontId="12" fillId="0" borderId="35" xfId="0" applyFont="1" applyFill="1" applyBorder="1" applyAlignment="1"/>
    <xf numFmtId="170" fontId="12" fillId="2" borderId="36" xfId="0" applyFont="1" applyFill="1" applyBorder="1" applyAlignment="1"/>
    <xf numFmtId="170" fontId="11" fillId="2" borderId="36" xfId="0" applyFont="1" applyFill="1" applyBorder="1" applyAlignment="1"/>
    <xf numFmtId="170" fontId="12" fillId="0" borderId="66" xfId="0" applyFont="1" applyBorder="1" applyAlignment="1"/>
    <xf numFmtId="170" fontId="13" fillId="6" borderId="37" xfId="0" applyFont="1" applyFill="1" applyBorder="1" applyAlignment="1">
      <alignment horizontal="centerContinuous" wrapText="1"/>
    </xf>
    <xf numFmtId="170" fontId="13" fillId="6" borderId="36" xfId="0" applyFont="1" applyFill="1" applyBorder="1" applyAlignment="1">
      <alignment horizontal="centerContinuous" wrapText="1"/>
    </xf>
    <xf numFmtId="170" fontId="51" fillId="0" borderId="53" xfId="0" applyFont="1" applyBorder="1" applyAlignment="1">
      <alignment horizontal="right" vertical="center"/>
    </xf>
    <xf numFmtId="9" fontId="0" fillId="0" borderId="0" xfId="5" applyFont="1"/>
    <xf numFmtId="170" fontId="12" fillId="0" borderId="0" xfId="0" applyFont="1" applyFill="1" applyAlignment="1"/>
    <xf numFmtId="170" fontId="51" fillId="0" borderId="68" xfId="0" applyFont="1" applyBorder="1" applyAlignment="1">
      <alignment horizontal="right" vertical="center"/>
    </xf>
    <xf numFmtId="0" fontId="52" fillId="0" borderId="0" xfId="106" applyFont="1" applyAlignment="1">
      <alignment vertical="center"/>
    </xf>
    <xf numFmtId="0" fontId="3" fillId="0" borderId="0" xfId="106"/>
    <xf numFmtId="164" fontId="0" fillId="0" borderId="0" xfId="107" applyNumberFormat="1" applyFont="1"/>
    <xf numFmtId="174" fontId="0" fillId="0" borderId="0" xfId="108" applyNumberFormat="1" applyFont="1"/>
    <xf numFmtId="174" fontId="12" fillId="0" borderId="0" xfId="108" applyNumberFormat="1" applyFont="1" applyFill="1" applyBorder="1"/>
    <xf numFmtId="9" fontId="12" fillId="0" borderId="0" xfId="5" applyFont="1" applyFill="1" applyBorder="1" applyAlignment="1">
      <alignment horizontal="center"/>
    </xf>
    <xf numFmtId="168" fontId="46" fillId="0" borderId="0" xfId="102" applyNumberFormat="1" applyFont="1" applyFill="1"/>
    <xf numFmtId="9" fontId="0" fillId="0" borderId="0" xfId="5" applyFont="1" applyFill="1"/>
    <xf numFmtId="0" fontId="12" fillId="0" borderId="27" xfId="0" applyNumberFormat="1" applyFont="1" applyFill="1" applyBorder="1" applyAlignment="1">
      <alignment horizontal="center"/>
    </xf>
    <xf numFmtId="1" fontId="54" fillId="0" borderId="0" xfId="10" applyNumberFormat="1" applyFont="1" applyAlignment="1">
      <alignment horizontal="center"/>
    </xf>
    <xf numFmtId="170" fontId="54" fillId="0" borderId="0" xfId="10" applyFont="1"/>
    <xf numFmtId="1" fontId="54" fillId="0" borderId="0" xfId="13" applyNumberFormat="1" applyFont="1" applyAlignment="1" applyProtection="1">
      <alignment horizontal="center"/>
      <protection locked="0"/>
    </xf>
    <xf numFmtId="168" fontId="54" fillId="0" borderId="0" xfId="98" applyNumberFormat="1" applyFont="1" applyFill="1"/>
    <xf numFmtId="185" fontId="54" fillId="0" borderId="0" xfId="66" applyNumberFormat="1" applyFont="1"/>
    <xf numFmtId="0" fontId="54" fillId="0" borderId="0" xfId="10" applyNumberFormat="1" applyFont="1" applyAlignment="1">
      <alignment horizontal="center"/>
    </xf>
    <xf numFmtId="8" fontId="54" fillId="0" borderId="0" xfId="10" applyNumberFormat="1" applyFont="1" applyAlignment="1">
      <alignment horizontal="center"/>
    </xf>
    <xf numFmtId="170" fontId="55" fillId="0" borderId="27" xfId="10" applyFont="1" applyBorder="1" applyAlignment="1">
      <alignment horizontal="centerContinuous" wrapText="1"/>
    </xf>
    <xf numFmtId="170" fontId="55" fillId="0" borderId="8" xfId="10" applyFont="1" applyBorder="1" applyAlignment="1">
      <alignment horizontal="center"/>
    </xf>
    <xf numFmtId="170" fontId="55" fillId="0" borderId="2" xfId="10" applyFont="1" applyBorder="1" applyAlignment="1">
      <alignment horizontal="center"/>
    </xf>
    <xf numFmtId="170" fontId="55" fillId="0" borderId="9" xfId="10" applyFont="1" applyBorder="1" applyAlignment="1">
      <alignment horizontal="center"/>
    </xf>
    <xf numFmtId="170" fontId="55" fillId="0" borderId="0" xfId="10" applyFont="1"/>
    <xf numFmtId="170" fontId="56" fillId="0" borderId="0" xfId="112" applyFill="1"/>
    <xf numFmtId="170" fontId="53" fillId="22" borderId="0" xfId="69" applyFont="1" applyFill="1"/>
    <xf numFmtId="170" fontId="10" fillId="22" borderId="0" xfId="69" applyFill="1"/>
    <xf numFmtId="170" fontId="10" fillId="22" borderId="0" xfId="69" applyFill="1" applyAlignment="1">
      <alignment vertical="top"/>
    </xf>
    <xf numFmtId="170" fontId="53" fillId="22" borderId="0" xfId="69" applyFont="1" applyFill="1" applyAlignment="1">
      <alignment vertical="top"/>
    </xf>
    <xf numFmtId="186" fontId="10" fillId="22" borderId="55" xfId="69" applyNumberFormat="1" applyFill="1" applyBorder="1" applyAlignment="1">
      <alignment horizontal="center"/>
    </xf>
    <xf numFmtId="186" fontId="0" fillId="22" borderId="47" xfId="7" applyNumberFormat="1" applyFont="1" applyFill="1" applyBorder="1" applyAlignment="1">
      <alignment horizontal="center"/>
    </xf>
    <xf numFmtId="186" fontId="10" fillId="22" borderId="69" xfId="69" applyNumberFormat="1" applyFill="1" applyBorder="1" applyAlignment="1">
      <alignment horizontal="center"/>
    </xf>
    <xf numFmtId="186" fontId="10" fillId="22" borderId="50" xfId="69" applyNumberFormat="1" applyFill="1" applyBorder="1" applyAlignment="1">
      <alignment horizontal="center"/>
    </xf>
    <xf numFmtId="186" fontId="0" fillId="22" borderId="13" xfId="7" applyNumberFormat="1" applyFont="1" applyFill="1" applyBorder="1" applyAlignment="1">
      <alignment horizontal="center"/>
    </xf>
    <xf numFmtId="186" fontId="10" fillId="22" borderId="60" xfId="69" applyNumberFormat="1" applyFill="1" applyBorder="1" applyAlignment="1">
      <alignment horizontal="center"/>
    </xf>
    <xf numFmtId="170" fontId="57" fillId="22" borderId="0" xfId="69" applyFont="1" applyFill="1"/>
    <xf numFmtId="170" fontId="55" fillId="0" borderId="5" xfId="10" applyFont="1" applyBorder="1" applyAlignment="1">
      <alignment horizontal="center"/>
    </xf>
    <xf numFmtId="5" fontId="12" fillId="23" borderId="0" xfId="0" applyNumberFormat="1" applyFont="1" applyFill="1" applyBorder="1" applyAlignment="1">
      <alignment horizontal="center"/>
    </xf>
    <xf numFmtId="5" fontId="33" fillId="0" borderId="0" xfId="0" applyNumberFormat="1" applyFont="1" applyFill="1" applyBorder="1" applyAlignment="1">
      <alignment horizontal="center"/>
    </xf>
    <xf numFmtId="170" fontId="12" fillId="23" borderId="0" xfId="10" applyFill="1"/>
    <xf numFmtId="5" fontId="33" fillId="23" borderId="0" xfId="0" applyNumberFormat="1" applyFont="1" applyFill="1" applyAlignment="1">
      <alignment horizontal="center"/>
    </xf>
    <xf numFmtId="5" fontId="12" fillId="23" borderId="0" xfId="0" applyNumberFormat="1" applyFont="1" applyFill="1" applyAlignment="1">
      <alignment horizontal="center"/>
    </xf>
    <xf numFmtId="170" fontId="0" fillId="23" borderId="0" xfId="0" applyFill="1"/>
    <xf numFmtId="170" fontId="0" fillId="0" borderId="0" xfId="8" applyFont="1"/>
    <xf numFmtId="3" fontId="0" fillId="0" borderId="0" xfId="0" applyNumberFormat="1"/>
    <xf numFmtId="5" fontId="58" fillId="0" borderId="0" xfId="0" applyNumberFormat="1" applyFont="1" applyAlignment="1">
      <alignment horizontal="center"/>
    </xf>
    <xf numFmtId="170" fontId="0" fillId="23" borderId="0" xfId="8" applyFont="1" applyFill="1"/>
    <xf numFmtId="170" fontId="11" fillId="23" borderId="0" xfId="0" applyFont="1" applyFill="1"/>
    <xf numFmtId="170" fontId="0" fillId="0" borderId="10" xfId="8" applyFont="1" applyBorder="1"/>
    <xf numFmtId="170" fontId="0" fillId="0" borderId="11" xfId="8" applyFont="1" applyBorder="1"/>
    <xf numFmtId="8" fontId="0" fillId="0" borderId="11" xfId="111" applyNumberFormat="1" applyFont="1" applyFill="1" applyBorder="1"/>
    <xf numFmtId="0" fontId="3" fillId="0" borderId="0" xfId="106" applyAlignment="1">
      <alignment wrapText="1"/>
    </xf>
    <xf numFmtId="170" fontId="0" fillId="0" borderId="0" xfId="8" applyFont="1" applyAlignment="1">
      <alignment wrapText="1"/>
    </xf>
    <xf numFmtId="170" fontId="11" fillId="23" borderId="27" xfId="10" applyFont="1" applyFill="1" applyBorder="1" applyAlignment="1">
      <alignment horizontal="center" wrapText="1"/>
    </xf>
    <xf numFmtId="170" fontId="13" fillId="23" borderId="0" xfId="10" applyFont="1" applyFill="1" applyAlignment="1">
      <alignment horizontal="centerContinuous"/>
    </xf>
    <xf numFmtId="170" fontId="12" fillId="23" borderId="0" xfId="10" applyFont="1" applyFill="1" applyAlignment="1">
      <alignment horizontal="centerContinuous"/>
    </xf>
    <xf numFmtId="170" fontId="12" fillId="0" borderId="0" xfId="10" quotePrefix="1" applyFont="1" applyFill="1"/>
    <xf numFmtId="170" fontId="0" fillId="23" borderId="0" xfId="10" quotePrefix="1" applyFont="1" applyFill="1"/>
    <xf numFmtId="170" fontId="12" fillId="23" borderId="0" xfId="10" applyFont="1" applyFill="1"/>
    <xf numFmtId="168" fontId="0" fillId="23" borderId="0" xfId="5" applyNumberFormat="1" applyFont="1" applyFill="1"/>
    <xf numFmtId="170" fontId="0" fillId="0" borderId="0" xfId="8" applyFont="1" applyFill="1" applyAlignment="1">
      <alignment horizontal="center"/>
    </xf>
    <xf numFmtId="170" fontId="0" fillId="0" borderId="0" xfId="0" applyFill="1"/>
    <xf numFmtId="170" fontId="11" fillId="0" borderId="0" xfId="9" applyFont="1" applyFill="1" applyAlignment="1">
      <alignment horizontal="center" wrapText="1"/>
    </xf>
    <xf numFmtId="166" fontId="0" fillId="0" borderId="0" xfId="1" applyNumberFormat="1" applyFont="1" applyFill="1"/>
    <xf numFmtId="166" fontId="0" fillId="0" borderId="0" xfId="111" applyNumberFormat="1" applyFont="1" applyFill="1"/>
    <xf numFmtId="170" fontId="11" fillId="0" borderId="0" xfId="9" applyFont="1" applyFill="1" applyBorder="1" applyAlignment="1">
      <alignment horizontal="center" wrapText="1"/>
    </xf>
    <xf numFmtId="170" fontId="11" fillId="23" borderId="70" xfId="0" applyFont="1" applyFill="1" applyBorder="1" applyAlignment="1">
      <alignment horizontal="center"/>
    </xf>
    <xf numFmtId="170" fontId="0" fillId="23" borderId="12" xfId="0" applyFill="1" applyBorder="1" applyAlignment="1">
      <alignment horizontal="center" wrapText="1"/>
    </xf>
    <xf numFmtId="9" fontId="0" fillId="0" borderId="11" xfId="5" applyFont="1" applyBorder="1"/>
    <xf numFmtId="170" fontId="49" fillId="0" borderId="43" xfId="0" applyFont="1" applyBorder="1" applyAlignment="1">
      <alignment horizontal="center" vertical="center"/>
    </xf>
    <xf numFmtId="170" fontId="49" fillId="0" borderId="11" xfId="0" applyFont="1" applyBorder="1" applyAlignment="1">
      <alignment horizontal="center" vertical="center"/>
    </xf>
    <xf numFmtId="170" fontId="49" fillId="0" borderId="44" xfId="0" applyFont="1" applyBorder="1" applyAlignment="1">
      <alignment horizontal="center" vertical="center"/>
    </xf>
    <xf numFmtId="170" fontId="48" fillId="0" borderId="42" xfId="0" applyFont="1" applyBorder="1" applyAlignment="1">
      <alignment horizontal="center" vertical="center"/>
    </xf>
    <xf numFmtId="170" fontId="48" fillId="0" borderId="45" xfId="0" applyFont="1" applyBorder="1" applyAlignment="1">
      <alignment horizontal="center" vertical="center"/>
    </xf>
    <xf numFmtId="170" fontId="48" fillId="0" borderId="49" xfId="0" applyFont="1" applyBorder="1" applyAlignment="1">
      <alignment horizontal="center" vertical="center"/>
    </xf>
    <xf numFmtId="170" fontId="48" fillId="0" borderId="43" xfId="0" applyFont="1" applyBorder="1" applyAlignment="1">
      <alignment horizontal="center" vertical="center"/>
    </xf>
    <xf numFmtId="170" fontId="48" fillId="0" borderId="11" xfId="0" applyFont="1" applyBorder="1" applyAlignment="1">
      <alignment horizontal="center" vertical="center"/>
    </xf>
    <xf numFmtId="170" fontId="48" fillId="0" borderId="44" xfId="0" applyFont="1" applyBorder="1" applyAlignment="1">
      <alignment horizontal="center" vertical="center"/>
    </xf>
    <xf numFmtId="170" fontId="14" fillId="0" borderId="0" xfId="0" applyFont="1" applyFill="1" applyAlignment="1">
      <alignment horizontal="center" wrapText="1"/>
    </xf>
    <xf numFmtId="170" fontId="47" fillId="0" borderId="39" xfId="0" applyFont="1" applyBorder="1" applyAlignment="1">
      <alignment horizontal="center" vertical="center"/>
    </xf>
    <xf numFmtId="170" fontId="47" fillId="0" borderId="40" xfId="0" applyFont="1" applyBorder="1" applyAlignment="1">
      <alignment horizontal="center" vertical="center"/>
    </xf>
    <xf numFmtId="170" fontId="47" fillId="0" borderId="41" xfId="0" applyFont="1" applyBorder="1" applyAlignment="1">
      <alignment horizontal="center" vertical="center"/>
    </xf>
    <xf numFmtId="170" fontId="14" fillId="0" borderId="0" xfId="0" applyFont="1" applyFill="1" applyAlignment="1">
      <alignment horizontal="center"/>
    </xf>
    <xf numFmtId="170" fontId="0" fillId="0" borderId="0" xfId="0" applyAlignment="1">
      <alignment horizontal="center"/>
    </xf>
    <xf numFmtId="170" fontId="12" fillId="0" borderId="0" xfId="0" applyFont="1" applyFill="1" applyAlignment="1">
      <alignment horizontal="left" vertical="top"/>
    </xf>
    <xf numFmtId="170" fontId="0" fillId="0" borderId="0" xfId="0" applyAlignment="1"/>
    <xf numFmtId="170" fontId="46" fillId="0" borderId="39" xfId="0" applyFont="1" applyBorder="1" applyAlignment="1">
      <alignment horizontal="center" vertical="center"/>
    </xf>
    <xf numFmtId="170" fontId="46" fillId="0" borderId="40" xfId="0" applyFont="1" applyBorder="1" applyAlignment="1">
      <alignment horizontal="center" vertical="center"/>
    </xf>
    <xf numFmtId="170" fontId="46" fillId="0" borderId="41" xfId="0" applyFont="1" applyBorder="1" applyAlignment="1">
      <alignment horizontal="center" vertical="center"/>
    </xf>
    <xf numFmtId="170" fontId="46" fillId="0" borderId="61" xfId="0" applyFont="1" applyBorder="1" applyAlignment="1">
      <alignment horizontal="center" vertical="center"/>
    </xf>
    <xf numFmtId="170" fontId="46" fillId="0" borderId="62" xfId="0" applyFont="1" applyBorder="1" applyAlignment="1">
      <alignment horizontal="center" vertical="center"/>
    </xf>
    <xf numFmtId="170" fontId="46" fillId="0" borderId="63" xfId="0" applyFont="1" applyBorder="1" applyAlignment="1">
      <alignment horizontal="center" vertical="center"/>
    </xf>
    <xf numFmtId="170" fontId="12" fillId="0" borderId="0" xfId="0" quotePrefix="1" applyFont="1" applyFill="1" applyAlignment="1"/>
    <xf numFmtId="170" fontId="13" fillId="0" borderId="0" xfId="10" applyFont="1" applyFill="1" applyAlignment="1">
      <alignment horizontal="center" vertical="center"/>
    </xf>
    <xf numFmtId="170" fontId="13" fillId="0" borderId="0" xfId="10" applyFont="1" applyFill="1" applyAlignment="1">
      <alignment horizontal="center" vertical="top"/>
    </xf>
    <xf numFmtId="170" fontId="13" fillId="0" borderId="0" xfId="8" applyFont="1" applyFill="1" applyAlignment="1">
      <alignment horizontal="center"/>
    </xf>
    <xf numFmtId="170" fontId="0" fillId="21" borderId="0" xfId="8" applyFont="1" applyFill="1" applyAlignment="1">
      <alignment horizontal="center"/>
    </xf>
    <xf numFmtId="170" fontId="33" fillId="0" borderId="0" xfId="8" applyFont="1" applyFill="1" applyAlignment="1">
      <alignment horizontal="center"/>
    </xf>
    <xf numFmtId="170" fontId="33" fillId="0" borderId="0" xfId="0" applyFont="1" applyFill="1" applyAlignment="1"/>
    <xf numFmtId="170" fontId="14" fillId="22" borderId="0" xfId="0" applyFont="1" applyFill="1" applyAlignment="1">
      <alignment horizontal="center"/>
    </xf>
    <xf numFmtId="170" fontId="0" fillId="22" borderId="0" xfId="0" applyFill="1" applyAlignment="1">
      <alignment horizontal="center"/>
    </xf>
    <xf numFmtId="170" fontId="13" fillId="0" borderId="0" xfId="0" applyFont="1" applyFill="1" applyAlignment="1">
      <alignment horizontal="center"/>
    </xf>
    <xf numFmtId="17" fontId="11" fillId="22" borderId="36" xfId="0" applyNumberFormat="1" applyFont="1" applyFill="1" applyBorder="1" applyAlignment="1">
      <alignment horizontal="center" wrapText="1"/>
    </xf>
    <xf numFmtId="170" fontId="11" fillId="22" borderId="35" xfId="0" applyFont="1" applyFill="1" applyBorder="1" applyAlignment="1">
      <alignment horizontal="center" wrapText="1"/>
    </xf>
    <xf numFmtId="170" fontId="11" fillId="22" borderId="37" xfId="0" applyFont="1" applyFill="1" applyBorder="1" applyAlignment="1">
      <alignment horizontal="center" wrapText="1"/>
    </xf>
    <xf numFmtId="17" fontId="12" fillId="22" borderId="36" xfId="0" applyNumberFormat="1" applyFont="1" applyFill="1" applyBorder="1" applyAlignment="1">
      <alignment horizontal="center" wrapText="1"/>
    </xf>
    <xf numFmtId="170" fontId="0" fillId="22" borderId="35" xfId="0" applyFill="1" applyBorder="1" applyAlignment="1">
      <alignment horizontal="center" wrapText="1"/>
    </xf>
    <xf numFmtId="170" fontId="0" fillId="22" borderId="37" xfId="0" applyFill="1" applyBorder="1" applyAlignment="1">
      <alignment horizontal="center" wrapText="1"/>
    </xf>
    <xf numFmtId="170" fontId="11" fillId="0" borderId="71" xfId="0" applyFont="1" applyFill="1" applyBorder="1" applyAlignment="1">
      <alignment horizontal="center" vertical="center" wrapText="1"/>
    </xf>
    <xf numFmtId="170" fontId="11" fillId="0" borderId="72" xfId="0" applyFont="1" applyFill="1" applyBorder="1" applyAlignment="1">
      <alignment horizontal="center" vertical="center" wrapText="1"/>
    </xf>
    <xf numFmtId="170" fontId="11" fillId="0" borderId="73" xfId="0" applyFont="1" applyFill="1" applyBorder="1" applyAlignment="1">
      <alignment horizontal="center" vertical="center" wrapText="1"/>
    </xf>
    <xf numFmtId="170" fontId="0" fillId="0" borderId="36" xfId="0" applyBorder="1" applyAlignment="1">
      <alignment horizontal="center"/>
    </xf>
    <xf numFmtId="170" fontId="0" fillId="0" borderId="35" xfId="0" applyBorder="1" applyAlignment="1">
      <alignment horizontal="center"/>
    </xf>
    <xf numFmtId="170" fontId="0" fillId="0" borderId="37" xfId="0" applyBorder="1" applyAlignment="1">
      <alignment horizontal="center"/>
    </xf>
    <xf numFmtId="170" fontId="11" fillId="0" borderId="36" xfId="0" applyFont="1" applyBorder="1" applyAlignment="1">
      <alignment horizontal="center"/>
    </xf>
    <xf numFmtId="170" fontId="11" fillId="0" borderId="35" xfId="0" applyFont="1" applyBorder="1" applyAlignment="1">
      <alignment horizontal="center"/>
    </xf>
    <xf numFmtId="170" fontId="11" fillId="0" borderId="37" xfId="0" applyFont="1" applyBorder="1" applyAlignment="1">
      <alignment horizontal="center"/>
    </xf>
  </cellXfs>
  <cellStyles count="113">
    <cellStyle name="_x0013_" xfId="23" xr:uid="{00000000-0005-0000-0000-000000000000}"/>
    <cellStyle name="ArrayHeading" xfId="28" xr:uid="{00000000-0005-0000-0000-000001000000}"/>
    <cellStyle name="BetweenMacros" xfId="29" xr:uid="{00000000-0005-0000-0000-000002000000}"/>
    <cellStyle name="Column total in dollars" xfId="30" xr:uid="{00000000-0005-0000-0000-000003000000}"/>
    <cellStyle name="Comma" xfId="111" builtinId="3"/>
    <cellStyle name="Comma  - Style1" xfId="31" xr:uid="{00000000-0005-0000-0000-000004000000}"/>
    <cellStyle name="Comma  - Style2" xfId="32" xr:uid="{00000000-0005-0000-0000-000005000000}"/>
    <cellStyle name="Comma  - Style3" xfId="33" xr:uid="{00000000-0005-0000-0000-000006000000}"/>
    <cellStyle name="Comma  - Style4" xfId="34" xr:uid="{00000000-0005-0000-0000-000007000000}"/>
    <cellStyle name="Comma  - Style5" xfId="35" xr:uid="{00000000-0005-0000-0000-000008000000}"/>
    <cellStyle name="Comma  - Style6" xfId="36" xr:uid="{00000000-0005-0000-0000-000009000000}"/>
    <cellStyle name="Comma  - Style7" xfId="37" xr:uid="{00000000-0005-0000-0000-00000A000000}"/>
    <cellStyle name="Comma  - Style8" xfId="38" xr:uid="{00000000-0005-0000-0000-00000B000000}"/>
    <cellStyle name="Comma (0)" xfId="39" xr:uid="{00000000-0005-0000-0000-00000C000000}"/>
    <cellStyle name="Comma 2" xfId="7" xr:uid="{00000000-0005-0000-0000-00000D000000}"/>
    <cellStyle name="Comma 2 2" xfId="22" xr:uid="{00000000-0005-0000-0000-00000E000000}"/>
    <cellStyle name="Comma 2 3" xfId="40" xr:uid="{00000000-0005-0000-0000-00000F000000}"/>
    <cellStyle name="Comma 3" xfId="41" xr:uid="{00000000-0005-0000-0000-000010000000}"/>
    <cellStyle name="Comma 4" xfId="42" xr:uid="{00000000-0005-0000-0000-000011000000}"/>
    <cellStyle name="Comma 5" xfId="101" xr:uid="{00000000-0005-0000-0000-000012000000}"/>
    <cellStyle name="Comma 6" xfId="105" xr:uid="{00000000-0005-0000-0000-000013000000}"/>
    <cellStyle name="Comma 7" xfId="107" xr:uid="{00000000-0005-0000-0000-000014000000}"/>
    <cellStyle name="Comma 7 2" xfId="109" xr:uid="{00000000-0005-0000-0000-000015000000}"/>
    <cellStyle name="Comma0" xfId="43" xr:uid="{00000000-0005-0000-0000-000016000000}"/>
    <cellStyle name="Comma0 - Style3" xfId="44" xr:uid="{00000000-0005-0000-0000-000017000000}"/>
    <cellStyle name="Comma0 - Style4" xfId="45" xr:uid="{00000000-0005-0000-0000-000018000000}"/>
    <cellStyle name="Comma0_2009 10 Yr Plan Key Assumptions" xfId="46" xr:uid="{00000000-0005-0000-0000-000019000000}"/>
    <cellStyle name="Comma1 - Style1" xfId="47" xr:uid="{00000000-0005-0000-0000-00001A000000}"/>
    <cellStyle name="Currency" xfId="1" builtinId="4"/>
    <cellStyle name="Currency 2" xfId="24" xr:uid="{00000000-0005-0000-0000-00001C000000}"/>
    <cellStyle name="Currency No Comma" xfId="14" xr:uid="{00000000-0005-0000-0000-00001D000000}"/>
    <cellStyle name="Currency(0)" xfId="48" xr:uid="{00000000-0005-0000-0000-00001E000000}"/>
    <cellStyle name="Currency0" xfId="49" xr:uid="{00000000-0005-0000-0000-00001F000000}"/>
    <cellStyle name="Date" xfId="50" xr:uid="{00000000-0005-0000-0000-000020000000}"/>
    <cellStyle name="Date - Style3" xfId="51" xr:uid="{00000000-0005-0000-0000-000021000000}"/>
    <cellStyle name="Date_2009 10 Yr Plan Key Assumptions" xfId="52" xr:uid="{00000000-0005-0000-0000-000022000000}"/>
    <cellStyle name="Fixed" xfId="53" xr:uid="{00000000-0005-0000-0000-000023000000}"/>
    <cellStyle name="Grey" xfId="54" xr:uid="{00000000-0005-0000-0000-000024000000}"/>
    <cellStyle name="header" xfId="55" xr:uid="{00000000-0005-0000-0000-000025000000}"/>
    <cellStyle name="Header1" xfId="56" xr:uid="{00000000-0005-0000-0000-000026000000}"/>
    <cellStyle name="Header2" xfId="57" xr:uid="{00000000-0005-0000-0000-000027000000}"/>
    <cellStyle name="Hyperlink 2" xfId="112" xr:uid="{823831A4-4411-4A61-8322-9467DBE7AC54}"/>
    <cellStyle name="Input" xfId="2" builtinId="20" customBuiltin="1"/>
    <cellStyle name="Input [yellow]" xfId="58" xr:uid="{00000000-0005-0000-0000-000029000000}"/>
    <cellStyle name="Macro" xfId="59" xr:uid="{00000000-0005-0000-0000-00002A000000}"/>
    <cellStyle name="macro descr" xfId="60" xr:uid="{00000000-0005-0000-0000-00002B000000}"/>
    <cellStyle name="Macro_Comments" xfId="61" xr:uid="{00000000-0005-0000-0000-00002C000000}"/>
    <cellStyle name="MacroText" xfId="62" xr:uid="{00000000-0005-0000-0000-00002D000000}"/>
    <cellStyle name="MCP" xfId="15" xr:uid="{00000000-0005-0000-0000-00002E000000}"/>
    <cellStyle name="nONE" xfId="63" xr:uid="{00000000-0005-0000-0000-00002F000000}"/>
    <cellStyle name="noninput" xfId="16" xr:uid="{00000000-0005-0000-0000-000030000000}"/>
    <cellStyle name="Normal" xfId="0" builtinId="0" customBuiltin="1"/>
    <cellStyle name="Normal - Style1" xfId="64" xr:uid="{00000000-0005-0000-0000-000032000000}"/>
    <cellStyle name="Normal 10" xfId="65" xr:uid="{00000000-0005-0000-0000-000033000000}"/>
    <cellStyle name="Normal 11" xfId="100" xr:uid="{00000000-0005-0000-0000-000034000000}"/>
    <cellStyle name="Normal 12" xfId="103" xr:uid="{00000000-0005-0000-0000-000035000000}"/>
    <cellStyle name="Normal 13" xfId="106" xr:uid="{00000000-0005-0000-0000-000036000000}"/>
    <cellStyle name="Normal 13 2" xfId="110" xr:uid="{00000000-0005-0000-0000-000037000000}"/>
    <cellStyle name="Normal 176" xfId="25" xr:uid="{00000000-0005-0000-0000-000038000000}"/>
    <cellStyle name="Normal 176 2" xfId="26" xr:uid="{00000000-0005-0000-0000-000039000000}"/>
    <cellStyle name="Normal 2" xfId="9" xr:uid="{00000000-0005-0000-0000-00003A000000}"/>
    <cellStyle name="Normal 2 2" xfId="66" xr:uid="{00000000-0005-0000-0000-00003B000000}"/>
    <cellStyle name="Normal 2 3" xfId="67" xr:uid="{00000000-0005-0000-0000-00003C000000}"/>
    <cellStyle name="Normal 2 4" xfId="68" xr:uid="{00000000-0005-0000-0000-00003D000000}"/>
    <cellStyle name="Normal 3" xfId="12" xr:uid="{00000000-0005-0000-0000-00003E000000}"/>
    <cellStyle name="Normal 3 2" xfId="69" xr:uid="{00000000-0005-0000-0000-00003F000000}"/>
    <cellStyle name="Normal 4" xfId="27" xr:uid="{00000000-0005-0000-0000-000040000000}"/>
    <cellStyle name="Normal 5" xfId="6" xr:uid="{00000000-0005-0000-0000-000041000000}"/>
    <cellStyle name="Normal 6" xfId="70" xr:uid="{00000000-0005-0000-0000-000042000000}"/>
    <cellStyle name="Normal 7" xfId="71" xr:uid="{00000000-0005-0000-0000-000043000000}"/>
    <cellStyle name="Normal 7 4" xfId="95" xr:uid="{00000000-0005-0000-0000-000044000000}"/>
    <cellStyle name="Normal 8" xfId="72" xr:uid="{00000000-0005-0000-0000-000045000000}"/>
    <cellStyle name="Normal 9" xfId="96" xr:uid="{00000000-0005-0000-0000-000046000000}"/>
    <cellStyle name="Normal 9 2" xfId="97" xr:uid="{00000000-0005-0000-0000-000047000000}"/>
    <cellStyle name="Normal(0)" xfId="73" xr:uid="{00000000-0005-0000-0000-000048000000}"/>
    <cellStyle name="Normal_DRR AC Study - Utah Valley - 53 MW 90 CF (2.28.2005)" xfId="3" xr:uid="{00000000-0005-0000-0000-000049000000}"/>
    <cellStyle name="Normal_INF_06_03_07" xfId="11" xr:uid="{00000000-0005-0000-0000-00004A000000}"/>
    <cellStyle name="Normal_Or AC 2003 - AC Study - Fuel Indexed Avoided Costs" xfId="4" xr:uid="{00000000-0005-0000-0000-00004B000000}"/>
    <cellStyle name="Normal_OR AC Sch 37 - AC  Study (Gold) _2009 06 19" xfId="8" xr:uid="{00000000-0005-0000-0000-00004C000000}"/>
    <cellStyle name="Normal_OR AC Sch 37 - AC  Study (Gold) _2009 07 07" xfId="99" xr:uid="{00000000-0005-0000-0000-00004D000000}"/>
    <cellStyle name="Normal_T-INF-10-15-04-TEMPLATE" xfId="13" xr:uid="{00000000-0005-0000-0000-00004E000000}"/>
    <cellStyle name="Normal_UT AC Sch 37 - L&amp;R  Study (Gold) _2009 06 19" xfId="21" xr:uid="{00000000-0005-0000-0000-00004F000000}"/>
    <cellStyle name="Normal_WY AC 2009 - AC Study (Wind Study)_2009 08 11" xfId="10" xr:uid="{00000000-0005-0000-0000-000050000000}"/>
    <cellStyle name="Number" xfId="74" xr:uid="{00000000-0005-0000-0000-000051000000}"/>
    <cellStyle name="Password" xfId="17" xr:uid="{00000000-0005-0000-0000-000052000000}"/>
    <cellStyle name="Percen - Style1" xfId="75" xr:uid="{00000000-0005-0000-0000-000053000000}"/>
    <cellStyle name="Percen - Style2" xfId="76" xr:uid="{00000000-0005-0000-0000-000054000000}"/>
    <cellStyle name="Percent" xfId="5" builtinId="5"/>
    <cellStyle name="Percent [2]" xfId="77" xr:uid="{00000000-0005-0000-0000-000056000000}"/>
    <cellStyle name="Percent 2" xfId="78" xr:uid="{00000000-0005-0000-0000-000057000000}"/>
    <cellStyle name="Percent 2 2" xfId="98" xr:uid="{00000000-0005-0000-0000-000058000000}"/>
    <cellStyle name="Percent 3" xfId="79" xr:uid="{00000000-0005-0000-0000-000059000000}"/>
    <cellStyle name="Percent 4" xfId="80" xr:uid="{00000000-0005-0000-0000-00005A000000}"/>
    <cellStyle name="Percent 5" xfId="102" xr:uid="{00000000-0005-0000-0000-00005B000000}"/>
    <cellStyle name="Percent 6" xfId="104" xr:uid="{00000000-0005-0000-0000-00005C000000}"/>
    <cellStyle name="Percent 7" xfId="108" xr:uid="{00000000-0005-0000-0000-00005D000000}"/>
    <cellStyle name="Percent(0)" xfId="81" xr:uid="{00000000-0005-0000-0000-00005E000000}"/>
    <cellStyle name="SAPBEXaggData" xfId="82" xr:uid="{00000000-0005-0000-0000-00005F000000}"/>
    <cellStyle name="SAPBEXaggItem" xfId="83" xr:uid="{00000000-0005-0000-0000-000060000000}"/>
    <cellStyle name="SAPBEXchaText" xfId="84" xr:uid="{00000000-0005-0000-0000-000061000000}"/>
    <cellStyle name="SAPBEXstdData" xfId="85" xr:uid="{00000000-0005-0000-0000-000062000000}"/>
    <cellStyle name="SAPBEXstdItem" xfId="86" xr:uid="{00000000-0005-0000-0000-000063000000}"/>
    <cellStyle name="SAPBEXstdItemX" xfId="87" xr:uid="{00000000-0005-0000-0000-000064000000}"/>
    <cellStyle name="Shade" xfId="88" xr:uid="{00000000-0005-0000-0000-000065000000}"/>
    <cellStyle name="Special" xfId="89" xr:uid="{00000000-0005-0000-0000-000066000000}"/>
    <cellStyle name="Style 1" xfId="90" xr:uid="{00000000-0005-0000-0000-000067000000}"/>
    <cellStyle name="Titles" xfId="91" xr:uid="{00000000-0005-0000-0000-000068000000}"/>
    <cellStyle name="Total2 - Style2" xfId="92" xr:uid="{00000000-0005-0000-0000-000069000000}"/>
    <cellStyle name="Underl - Style4" xfId="93" xr:uid="{00000000-0005-0000-0000-00006A000000}"/>
    <cellStyle name="UNLocked" xfId="94" xr:uid="{00000000-0005-0000-0000-00006B000000}"/>
    <cellStyle name="Unprot" xfId="18" xr:uid="{00000000-0005-0000-0000-00006C000000}"/>
    <cellStyle name="Unprot$" xfId="19" xr:uid="{00000000-0005-0000-0000-00006D000000}"/>
    <cellStyle name="Unprotect" xfId="20" xr:uid="{00000000-0005-0000-0000-00006E000000}"/>
  </cellStyles>
  <dxfs count="2">
    <dxf>
      <fill>
        <patternFill>
          <bgColor theme="6" tint="0.39994506668294322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1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PPA Rates for QF Resource starting 2015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697239768105911E-2"/>
          <c:y val="7.8845663490095752E-2"/>
          <c:w val="0.87539753684635579"/>
          <c:h val="0.76377229413283299"/>
        </c:manualLayout>
      </c:layout>
      <c:lineChart>
        <c:grouping val="standard"/>
        <c:varyColors val="0"/>
        <c:ser>
          <c:idx val="0"/>
          <c:order val="0"/>
          <c:tx>
            <c:v>StdBaseLoadOnPk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69.67</c:v>
                </c:pt>
                <c:pt idx="10">
                  <c:v>71.14</c:v>
                </c:pt>
                <c:pt idx="11">
                  <c:v>73.050000000000011</c:v>
                </c:pt>
                <c:pt idx="12">
                  <c:v>75.23</c:v>
                </c:pt>
                <c:pt idx="13">
                  <c:v>77.41</c:v>
                </c:pt>
                <c:pt idx="14">
                  <c:v>80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9E-4722-A227-95F30FB3F65D}"/>
            </c:ext>
          </c:extLst>
        </c:ser>
        <c:ser>
          <c:idx val="1"/>
          <c:order val="1"/>
          <c:tx>
            <c:v>StdWindOnPk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37.21</c:v>
                </c:pt>
                <c:pt idx="10">
                  <c:v>38.090000000000003</c:v>
                </c:pt>
                <c:pt idx="11">
                  <c:v>39.369999999999997</c:v>
                </c:pt>
                <c:pt idx="12">
                  <c:v>40.909999999999997</c:v>
                </c:pt>
                <c:pt idx="13">
                  <c:v>42.44</c:v>
                </c:pt>
                <c:pt idx="14">
                  <c:v>44.37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B9E-4722-A227-95F30FB3F65D}"/>
            </c:ext>
          </c:extLst>
        </c:ser>
        <c:ser>
          <c:idx val="2"/>
          <c:order val="2"/>
          <c:tx>
            <c:v>StdSolarOnPk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43.22296</c:v>
                </c:pt>
                <c:pt idx="10">
                  <c:v>44.217760000000006</c:v>
                </c:pt>
                <c:pt idx="11">
                  <c:v>45.618000000000002</c:v>
                </c:pt>
                <c:pt idx="12">
                  <c:v>47.270960000000002</c:v>
                </c:pt>
                <c:pt idx="13">
                  <c:v>48.923919999999995</c:v>
                </c:pt>
                <c:pt idx="14">
                  <c:v>50.9696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B9E-4722-A227-95F30FB3F65D}"/>
            </c:ext>
          </c:extLst>
        </c:ser>
        <c:ser>
          <c:idx val="3"/>
          <c:order val="3"/>
          <c:tx>
            <c:v>RnwBaseLoadOnPk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114.82</c:v>
                </c:pt>
                <c:pt idx="10">
                  <c:v>116.97</c:v>
                </c:pt>
                <c:pt idx="11">
                  <c:v>119.12</c:v>
                </c:pt>
                <c:pt idx="12">
                  <c:v>121.37</c:v>
                </c:pt>
                <c:pt idx="13">
                  <c:v>123.64</c:v>
                </c:pt>
                <c:pt idx="14">
                  <c:v>125.83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B9E-4722-A227-95F30FB3F65D}"/>
            </c:ext>
          </c:extLst>
        </c:ser>
        <c:ser>
          <c:idx val="4"/>
          <c:order val="4"/>
          <c:tx>
            <c:v>RnwWindOnPk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36.69</c:v>
                </c:pt>
                <c:pt idx="1">
                  <c:v>35.82</c:v>
                </c:pt>
                <c:pt idx="2">
                  <c:v>37.849999999999994</c:v>
                </c:pt>
                <c:pt idx="3">
                  <c:v>40.43</c:v>
                </c:pt>
                <c:pt idx="4">
                  <c:v>42.59</c:v>
                </c:pt>
                <c:pt idx="5">
                  <c:v>44.83</c:v>
                </c:pt>
                <c:pt idx="6">
                  <c:v>46.24</c:v>
                </c:pt>
                <c:pt idx="7">
                  <c:v>52.75</c:v>
                </c:pt>
                <c:pt idx="8">
                  <c:v>54.79</c:v>
                </c:pt>
                <c:pt idx="9">
                  <c:v>82.36</c:v>
                </c:pt>
                <c:pt idx="10">
                  <c:v>83.92</c:v>
                </c:pt>
                <c:pt idx="11">
                  <c:v>85.44</c:v>
                </c:pt>
                <c:pt idx="12">
                  <c:v>87.05</c:v>
                </c:pt>
                <c:pt idx="13">
                  <c:v>88.67</c:v>
                </c:pt>
                <c:pt idx="14">
                  <c:v>90.2</c:v>
                </c:pt>
                <c:pt idx="15">
                  <c:v>70.091864166666653</c:v>
                </c:pt>
                <c:pt idx="16">
                  <c:v>71.890964999999994</c:v>
                </c:pt>
                <c:pt idx="17">
                  <c:v>73.641119166666655</c:v>
                </c:pt>
                <c:pt idx="18">
                  <c:v>75.470610000000008</c:v>
                </c:pt>
                <c:pt idx="19">
                  <c:v>77.170205833333327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B9E-4722-A227-95F30FB3F65D}"/>
            </c:ext>
          </c:extLst>
        </c:ser>
        <c:ser>
          <c:idx val="5"/>
          <c:order val="5"/>
          <c:tx>
            <c:v>RnwSolarOnPk</c:v>
          </c:tx>
          <c:val>
            <c:numRef>
              <c:f>#REF!</c:f>
              <c:numCache>
                <c:formatCode>"$"#,##0.00_);\("$"#,##0.00\)</c:formatCode>
                <c:ptCount val="20"/>
                <c:pt idx="0">
                  <c:v>39.36</c:v>
                </c:pt>
                <c:pt idx="1">
                  <c:v>38.54</c:v>
                </c:pt>
                <c:pt idx="2">
                  <c:v>40.619999999999997</c:v>
                </c:pt>
                <c:pt idx="3">
                  <c:v>43.25</c:v>
                </c:pt>
                <c:pt idx="4">
                  <c:v>45.46</c:v>
                </c:pt>
                <c:pt idx="5">
                  <c:v>47.75</c:v>
                </c:pt>
                <c:pt idx="6">
                  <c:v>49.22</c:v>
                </c:pt>
                <c:pt idx="7">
                  <c:v>55.78</c:v>
                </c:pt>
                <c:pt idx="8">
                  <c:v>57.87</c:v>
                </c:pt>
                <c:pt idx="9">
                  <c:v>88.38</c:v>
                </c:pt>
                <c:pt idx="10">
                  <c:v>90.05</c:v>
                </c:pt>
                <c:pt idx="11">
                  <c:v>91.68</c:v>
                </c:pt>
                <c:pt idx="12">
                  <c:v>93.41</c:v>
                </c:pt>
                <c:pt idx="13">
                  <c:v>95.15</c:v>
                </c:pt>
                <c:pt idx="14">
                  <c:v>96.8</c:v>
                </c:pt>
                <c:pt idx="15">
                  <c:v>73.601864166666658</c:v>
                </c:pt>
                <c:pt idx="16">
                  <c:v>75.470964999999993</c:v>
                </c:pt>
                <c:pt idx="17">
                  <c:v>77.291119166666661</c:v>
                </c:pt>
                <c:pt idx="18">
                  <c:v>79.190610000000007</c:v>
                </c:pt>
                <c:pt idx="19">
                  <c:v>80.960205833333333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  <c:pt idx="11">
                        <c:v>2026</c:v>
                      </c:pt>
                      <c:pt idx="12">
                        <c:v>2027</c:v>
                      </c:pt>
                      <c:pt idx="13">
                        <c:v>2028</c:v>
                      </c:pt>
                      <c:pt idx="14">
                        <c:v>2029</c:v>
                      </c:pt>
                      <c:pt idx="15">
                        <c:v>2030</c:v>
                      </c:pt>
                      <c:pt idx="16">
                        <c:v>2031</c:v>
                      </c:pt>
                      <c:pt idx="17">
                        <c:v>2032</c:v>
                      </c:pt>
                      <c:pt idx="18">
                        <c:v>2033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B9E-4722-A227-95F30FB3F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85896"/>
        <c:axId val="443182760"/>
      </c:lineChart>
      <c:catAx>
        <c:axId val="4431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3182760"/>
        <c:crosses val="autoZero"/>
        <c:auto val="1"/>
        <c:lblAlgn val="ctr"/>
        <c:lblOffset val="100"/>
        <c:noMultiLvlLbl val="0"/>
      </c:catAx>
      <c:valAx>
        <c:axId val="443182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.00_);\(&quot;$&quot;#,##0.00\)" sourceLinked="1"/>
        <c:majorTickMark val="out"/>
        <c:minorTickMark val="none"/>
        <c:tickLblPos val="nextTo"/>
        <c:crossAx val="4431858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48"/>
  <sheetViews>
    <sheetView topLeftCell="A28" workbookViewId="0">
      <selection activeCell="N44" sqref="N44"/>
    </sheetView>
  </sheetViews>
  <sheetFormatPr defaultColWidth="9.33203125" defaultRowHeight="12.75"/>
  <cols>
    <col min="1" max="1" width="1.5" style="3" customWidth="1"/>
    <col min="2" max="2" width="8.832031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4" width="9.33203125" style="3" customWidth="1"/>
    <col min="25" max="25" width="3.33203125" style="3" customWidth="1"/>
    <col min="26" max="16384" width="9.33203125" style="3"/>
  </cols>
  <sheetData>
    <row r="1" spans="2:24" ht="15.75" customHeight="1">
      <c r="B1" s="385" t="s">
        <v>176</v>
      </c>
      <c r="C1" s="385"/>
      <c r="D1" s="385"/>
      <c r="E1" s="385"/>
      <c r="F1" s="385"/>
      <c r="G1" s="385"/>
      <c r="H1" s="385"/>
      <c r="I1" s="385"/>
      <c r="N1" s="385" t="s">
        <v>177</v>
      </c>
      <c r="O1" s="385"/>
      <c r="P1" s="385"/>
      <c r="Q1" s="385"/>
      <c r="R1" s="385"/>
      <c r="S1" s="385"/>
      <c r="T1" s="385"/>
      <c r="U1" s="385"/>
    </row>
    <row r="2" spans="2:24" ht="18.75" customHeight="1">
      <c r="B2" s="385" t="s">
        <v>169</v>
      </c>
      <c r="C2" s="385"/>
      <c r="D2" s="385"/>
      <c r="E2" s="385"/>
      <c r="F2" s="385"/>
      <c r="G2" s="385"/>
      <c r="H2" s="385"/>
      <c r="I2" s="385"/>
      <c r="N2" s="385" t="s">
        <v>169</v>
      </c>
      <c r="O2" s="385"/>
      <c r="P2" s="385"/>
      <c r="Q2" s="385"/>
      <c r="R2" s="385"/>
      <c r="S2" s="385"/>
      <c r="T2" s="385"/>
      <c r="U2" s="385"/>
    </row>
    <row r="3" spans="2:24" ht="15" thickBot="1">
      <c r="B3" s="174"/>
      <c r="C3" s="174"/>
      <c r="D3" s="174"/>
      <c r="E3" s="174"/>
      <c r="F3" s="174"/>
      <c r="G3" s="174"/>
      <c r="H3" s="174"/>
      <c r="I3" s="183"/>
      <c r="J3" s="183"/>
      <c r="N3" s="174"/>
    </row>
    <row r="4" spans="2:24" ht="14.25" thickTop="1" thickBot="1">
      <c r="B4" s="203"/>
      <c r="C4" s="386" t="s">
        <v>186</v>
      </c>
      <c r="D4" s="387"/>
      <c r="E4" s="387"/>
      <c r="F4" s="387"/>
      <c r="G4" s="388"/>
      <c r="H4" s="386" t="s">
        <v>187</v>
      </c>
      <c r="I4" s="387"/>
      <c r="J4" s="387"/>
      <c r="K4" s="387"/>
      <c r="L4" s="388"/>
      <c r="N4" s="203"/>
      <c r="O4" s="386" t="s">
        <v>188</v>
      </c>
      <c r="P4" s="387"/>
      <c r="Q4" s="387"/>
      <c r="R4" s="387"/>
      <c r="S4" s="388"/>
      <c r="T4" s="386" t="s">
        <v>189</v>
      </c>
      <c r="U4" s="387"/>
      <c r="V4" s="387"/>
      <c r="W4" s="387"/>
      <c r="X4" s="388"/>
    </row>
    <row r="5" spans="2:24" ht="13.5" thickBot="1">
      <c r="B5" s="204"/>
      <c r="C5" s="382" t="s">
        <v>149</v>
      </c>
      <c r="D5" s="383"/>
      <c r="E5" s="383"/>
      <c r="F5" s="383"/>
      <c r="G5" s="384"/>
      <c r="H5" s="382" t="s">
        <v>165</v>
      </c>
      <c r="I5" s="383"/>
      <c r="J5" s="383"/>
      <c r="K5" s="383"/>
      <c r="L5" s="384"/>
      <c r="N5" s="204"/>
      <c r="O5" s="382" t="s">
        <v>165</v>
      </c>
      <c r="P5" s="383"/>
      <c r="Q5" s="383"/>
      <c r="R5" s="383"/>
      <c r="S5" s="384"/>
      <c r="T5" s="382" t="s">
        <v>165</v>
      </c>
      <c r="U5" s="383"/>
      <c r="V5" s="383"/>
      <c r="W5" s="383"/>
      <c r="X5" s="384"/>
    </row>
    <row r="6" spans="2:24">
      <c r="B6" s="379" t="s">
        <v>2</v>
      </c>
      <c r="C6" s="380" t="s">
        <v>185</v>
      </c>
      <c r="D6" s="205" t="s">
        <v>0</v>
      </c>
      <c r="E6" s="206" t="s">
        <v>1</v>
      </c>
      <c r="F6" s="215" t="s">
        <v>0</v>
      </c>
      <c r="G6" s="206" t="s">
        <v>1</v>
      </c>
      <c r="H6" s="380" t="s">
        <v>185</v>
      </c>
      <c r="I6" s="205" t="s">
        <v>0</v>
      </c>
      <c r="J6" s="206" t="s">
        <v>1</v>
      </c>
      <c r="K6" s="215" t="s">
        <v>0</v>
      </c>
      <c r="L6" s="216" t="s">
        <v>1</v>
      </c>
      <c r="N6" s="379" t="s">
        <v>2</v>
      </c>
      <c r="O6" s="380" t="s">
        <v>185</v>
      </c>
      <c r="P6" s="205" t="s">
        <v>0</v>
      </c>
      <c r="Q6" s="206" t="s">
        <v>1</v>
      </c>
      <c r="R6" s="215" t="s">
        <v>0</v>
      </c>
      <c r="S6" s="206" t="s">
        <v>1</v>
      </c>
      <c r="T6" s="380" t="s">
        <v>185</v>
      </c>
      <c r="U6" s="205" t="s">
        <v>0</v>
      </c>
      <c r="V6" s="206" t="s">
        <v>1</v>
      </c>
      <c r="W6" s="215" t="s">
        <v>0</v>
      </c>
      <c r="X6" s="216" t="s">
        <v>1</v>
      </c>
    </row>
    <row r="7" spans="2:24" ht="13.5" thickBot="1">
      <c r="B7" s="379" t="s">
        <v>2</v>
      </c>
      <c r="C7" s="381" t="s">
        <v>183</v>
      </c>
      <c r="D7" s="207" t="s">
        <v>111</v>
      </c>
      <c r="E7" s="208" t="s">
        <v>111</v>
      </c>
      <c r="F7" s="208" t="s">
        <v>112</v>
      </c>
      <c r="G7" s="208" t="s">
        <v>112</v>
      </c>
      <c r="H7" s="381" t="s">
        <v>183</v>
      </c>
      <c r="I7" s="207" t="s">
        <v>111</v>
      </c>
      <c r="J7" s="208" t="s">
        <v>111</v>
      </c>
      <c r="K7" s="208" t="s">
        <v>112</v>
      </c>
      <c r="L7" s="229" t="s">
        <v>112</v>
      </c>
      <c r="N7" s="379" t="s">
        <v>2</v>
      </c>
      <c r="O7" s="381" t="s">
        <v>183</v>
      </c>
      <c r="P7" s="207" t="s">
        <v>111</v>
      </c>
      <c r="Q7" s="208" t="s">
        <v>111</v>
      </c>
      <c r="R7" s="208" t="s">
        <v>112</v>
      </c>
      <c r="S7" s="208" t="s">
        <v>112</v>
      </c>
      <c r="T7" s="381" t="s">
        <v>183</v>
      </c>
      <c r="U7" s="207" t="s">
        <v>111</v>
      </c>
      <c r="V7" s="208" t="s">
        <v>111</v>
      </c>
      <c r="W7" s="208" t="s">
        <v>112</v>
      </c>
      <c r="X7" s="229" t="s">
        <v>112</v>
      </c>
    </row>
    <row r="8" spans="2:24" ht="13.5" thickBot="1">
      <c r="B8" s="209"/>
      <c r="C8" s="376" t="s">
        <v>14</v>
      </c>
      <c r="D8" s="377"/>
      <c r="E8" s="377"/>
      <c r="F8" s="377"/>
      <c r="G8" s="378"/>
      <c r="H8" s="376" t="s">
        <v>14</v>
      </c>
      <c r="I8" s="377"/>
      <c r="J8" s="377"/>
      <c r="K8" s="377"/>
      <c r="L8" s="378"/>
      <c r="N8" s="209"/>
      <c r="O8" s="376" t="s">
        <v>14</v>
      </c>
      <c r="P8" s="377"/>
      <c r="Q8" s="377"/>
      <c r="R8" s="377"/>
      <c r="S8" s="378"/>
      <c r="T8" s="376" t="s">
        <v>14</v>
      </c>
      <c r="U8" s="377"/>
      <c r="V8" s="377"/>
      <c r="W8" s="377"/>
      <c r="X8" s="378"/>
    </row>
    <row r="9" spans="2:24" ht="13.5" thickBot="1">
      <c r="B9" s="210"/>
      <c r="C9" s="206" t="s">
        <v>4</v>
      </c>
      <c r="D9" s="206" t="s">
        <v>5</v>
      </c>
      <c r="E9" s="206" t="s">
        <v>6</v>
      </c>
      <c r="F9" s="206" t="s">
        <v>7</v>
      </c>
      <c r="G9" s="211" t="s">
        <v>8</v>
      </c>
      <c r="H9" s="206" t="s">
        <v>4</v>
      </c>
      <c r="I9" s="206" t="s">
        <v>5</v>
      </c>
      <c r="J9" s="206" t="s">
        <v>6</v>
      </c>
      <c r="K9" s="206" t="s">
        <v>7</v>
      </c>
      <c r="L9" s="211" t="s">
        <v>8</v>
      </c>
      <c r="N9" s="210"/>
      <c r="O9" s="206" t="s">
        <v>4</v>
      </c>
      <c r="P9" s="206" t="s">
        <v>5</v>
      </c>
      <c r="Q9" s="206" t="s">
        <v>6</v>
      </c>
      <c r="R9" s="206" t="s">
        <v>7</v>
      </c>
      <c r="S9" s="211" t="s">
        <v>8</v>
      </c>
      <c r="T9" s="206" t="s">
        <v>4</v>
      </c>
      <c r="U9" s="206" t="s">
        <v>5</v>
      </c>
      <c r="V9" s="206" t="s">
        <v>6</v>
      </c>
      <c r="W9" s="206" t="s">
        <v>7</v>
      </c>
      <c r="X9" s="211" t="s">
        <v>8</v>
      </c>
    </row>
    <row r="10" spans="2:24" ht="5.25" customHeight="1">
      <c r="B10" s="225"/>
      <c r="C10" s="212"/>
      <c r="D10" s="213"/>
      <c r="E10" s="214"/>
      <c r="F10" s="215"/>
      <c r="G10" s="216"/>
      <c r="H10" s="212"/>
      <c r="I10" s="213"/>
      <c r="J10" s="214"/>
      <c r="K10" s="215"/>
      <c r="L10" s="216"/>
      <c r="N10" s="225"/>
      <c r="O10" s="212"/>
      <c r="P10" s="213"/>
      <c r="Q10" s="214"/>
      <c r="R10" s="215"/>
      <c r="S10" s="216"/>
      <c r="T10" s="212"/>
      <c r="U10" s="213"/>
      <c r="V10" s="214"/>
      <c r="W10" s="215"/>
      <c r="X10" s="216"/>
    </row>
    <row r="11" spans="2:24">
      <c r="B11" s="226">
        <v>2023</v>
      </c>
      <c r="C11" s="217">
        <f>SUMPRODUCT(D11:G11,Profiles!D11:G11)/SUM(Profiles!D11:G11)</f>
        <v>103.71502748619376</v>
      </c>
      <c r="D11" s="218">
        <f>'Table B - Energy'!D11+INDEX('Table C - Capacity'!$12:$32,MATCH($B11,'Table C - Capacity'!$B$12:$B$32,0),MATCH(C$4,'Table C - Capacity'!$4:$4,0)+IF(D$7="Winter",2,3))</f>
        <v>114.94347648839415</v>
      </c>
      <c r="E11" s="219">
        <f>'Table B - Energy'!E11+INDEX('Table C - Capacity'!$12:$32,MATCH($B11,'Table C - Capacity'!$B$12:$B$32,0),MATCH(C$4,'Table C - Capacity'!$4:$4,0)+IF(E$7="Winter",2,3))</f>
        <v>69.113779986336652</v>
      </c>
      <c r="F11" s="219">
        <f>'Table B - Energy'!F11+INDEX('Table C - Capacity'!$12:$32,MATCH($B11,'Table C - Capacity'!$B$12:$B$32,0),MATCH(C$4,'Table C - Capacity'!$4:$4,0)+IF(F$7="Winter",2,3))</f>
        <v>201.01278889984351</v>
      </c>
      <c r="G11" s="220">
        <f>'Table B - Energy'!G11+INDEX('Table C - Capacity'!$12:$32,MATCH($B11,'Table C - Capacity'!$B$12:$B$32,0),MATCH(C$4,'Table C - Capacity'!$4:$4,0)+IF(G$7="Winter",2,3))</f>
        <v>112.80259422771256</v>
      </c>
      <c r="H11" s="217">
        <f>SUMPRODUCT(I11:L11,Profiles!I11:L11)/SUM(Profiles!I11:L11)</f>
        <v>89.516855617403792</v>
      </c>
      <c r="I11" s="218">
        <f>'Table B - Energy'!I11+INDEX('Table C - Capacity'!$12:$32,MATCH($B11,'Table C - Capacity'!$B$12:$B$32,0),MATCH(H$4,'Table C - Capacity'!$4:$4,0)+IF(I$7="Winter",2,3))</f>
        <v>109.99004771101545</v>
      </c>
      <c r="J11" s="219">
        <f>'Table B - Energy'!J11+INDEX('Table C - Capacity'!$12:$32,MATCH($B11,'Table C - Capacity'!$B$12:$B$32,0),MATCH(H$4,'Table C - Capacity'!$4:$4,0)+IF(J$7="Winter",2,3))</f>
        <v>61.573550965853514</v>
      </c>
      <c r="K11" s="219">
        <f>'Table B - Energy'!K11+INDEX('Table C - Capacity'!$12:$32,MATCH($B11,'Table C - Capacity'!$B$12:$B$32,0),MATCH(H$4,'Table C - Capacity'!$4:$4,0)+IF(K$7="Winter",2,3))</f>
        <v>170.8486399566321</v>
      </c>
      <c r="L11" s="220">
        <f>'Table B - Energy'!L11+INDEX('Table C - Capacity'!$12:$32,MATCH($B11,'Table C - Capacity'!$B$12:$B$32,0),MATCH(H$4,'Table C - Capacity'!$4:$4,0)+IF(L$7="Winter",2,3))</f>
        <v>91.722372448615118</v>
      </c>
      <c r="N11" s="226">
        <f>$B$11</f>
        <v>2023</v>
      </c>
      <c r="O11" s="217">
        <f>SUMPRODUCT(P11:S11,Profiles!N11:Q11)/SUM(Profiles!N11:Q11)</f>
        <v>78.084117435725702</v>
      </c>
      <c r="P11" s="218">
        <f>'Table B - Energy'!P11+INDEX('Table C - Capacity'!$12:$32,MATCH($B11,'Table C - Capacity'!$B$12:$B$32,0),MATCH(O$4,'Table C - Capacity'!$4:$4,0)+IF(P$7="Winter",2,3))</f>
        <v>74.999168464859096</v>
      </c>
      <c r="Q11" s="219">
        <f>'Table B - Energy'!Q11+INDEX('Table C - Capacity'!$12:$32,MATCH($B11,'Table C - Capacity'!$B$12:$B$32,0),MATCH(O$4,'Table C - Capacity'!$4:$4,0)+IF(Q$7="Winter",2,3))</f>
        <v>55.10242455157077</v>
      </c>
      <c r="R11" s="219">
        <f>'Table B - Energy'!R11+INDEX('Table C - Capacity'!$12:$32,MATCH($B11,'Table C - Capacity'!$B$12:$B$32,0),MATCH(O$4,'Table C - Capacity'!$4:$4,0)+IF(R$7="Winter",2,3))</f>
        <v>130.97040446075445</v>
      </c>
      <c r="S11" s="220">
        <f>'Table B - Energy'!S11+INDEX('Table C - Capacity'!$12:$32,MATCH($B11,'Table C - Capacity'!$B$12:$B$32,0),MATCH(O$4,'Table C - Capacity'!$4:$4,0)+IF(S$7="Winter",2,3))</f>
        <v>99.043934603715485</v>
      </c>
      <c r="T11" s="217">
        <f>SUMPRODUCT(U11:X11,Profiles!S11:V11)/SUM(Profiles!S11:V11)</f>
        <v>81.793428440610654</v>
      </c>
      <c r="U11" s="218">
        <f>'Table B - Energy'!U11+INDEX('Table C - Capacity'!$12:$32,MATCH($B11,'Table C - Capacity'!$B$12:$B$32,0),MATCH(T$4,'Table C - Capacity'!$4:$4,0)+IF(U$7="Winter",2,3))</f>
        <v>76.049397447356114</v>
      </c>
      <c r="V11" s="219">
        <f>'Table B - Energy'!V11+INDEX('Table C - Capacity'!$12:$32,MATCH($B11,'Table C - Capacity'!$B$12:$B$32,0),MATCH(T$4,'Table C - Capacity'!$4:$4,0)+IF(V$7="Winter",2,3))</f>
        <v>51.512339528968702</v>
      </c>
      <c r="W11" s="219">
        <f>'Table B - Energy'!W11+INDEX('Table C - Capacity'!$12:$32,MATCH($B11,'Table C - Capacity'!$B$12:$B$32,0),MATCH(T$4,'Table C - Capacity'!$4:$4,0)+IF(W$7="Winter",2,3))</f>
        <v>135.05225506035259</v>
      </c>
      <c r="X11" s="220">
        <f>'Table B - Energy'!X11+INDEX('Table C - Capacity'!$12:$32,MATCH($B11,'Table C - Capacity'!$B$12:$B$32,0),MATCH(T$4,'Table C - Capacity'!$4:$4,0)+IF(X$7="Winter",2,3))</f>
        <v>98.454912526499172</v>
      </c>
    </row>
    <row r="12" spans="2:24">
      <c r="B12" s="226">
        <f t="shared" ref="B12:B30" si="0">B11+1</f>
        <v>2024</v>
      </c>
      <c r="C12" s="217">
        <f>SUMPRODUCT(D12:G12,Profiles!D12:G12)/SUM(Profiles!D12:G12)</f>
        <v>91.197635985336078</v>
      </c>
      <c r="D12" s="218">
        <f>'Table B - Energy'!D12+INDEX('Table C - Capacity'!$12:$32,MATCH($B12,'Table C - Capacity'!$B$12:$B$32,0),MATCH(C$4,'Table C - Capacity'!$4:$4,0)+IF(D$7="Winter",2,3))</f>
        <v>98.975764370706059</v>
      </c>
      <c r="E12" s="219">
        <f>'Table B - Energy'!E12+INDEX('Table C - Capacity'!$12:$32,MATCH($B12,'Table C - Capacity'!$B$12:$B$32,0),MATCH(C$4,'Table C - Capacity'!$4:$4,0)+IF(E$7="Winter",2,3))</f>
        <v>60.167465190378586</v>
      </c>
      <c r="F12" s="219">
        <f>'Table B - Energy'!F12+INDEX('Table C - Capacity'!$12:$32,MATCH($B12,'Table C - Capacity'!$B$12:$B$32,0),MATCH(C$4,'Table C - Capacity'!$4:$4,0)+IF(F$7="Winter",2,3))</f>
        <v>172.34268385940422</v>
      </c>
      <c r="G12" s="220">
        <f>'Table B - Energy'!G12+INDEX('Table C - Capacity'!$12:$32,MATCH($B12,'Table C - Capacity'!$B$12:$B$32,0),MATCH(C$4,'Table C - Capacity'!$4:$4,0)+IF(G$7="Winter",2,3))</f>
        <v>104.90732525284704</v>
      </c>
      <c r="H12" s="217">
        <f>SUMPRODUCT(I12:L12,Profiles!I12:L12)/SUM(Profiles!I12:L12)</f>
        <v>77.139563037111131</v>
      </c>
      <c r="I12" s="218">
        <f>'Table B - Energy'!I12+INDEX('Table C - Capacity'!$12:$32,MATCH($B12,'Table C - Capacity'!$B$12:$B$32,0),MATCH(H$4,'Table C - Capacity'!$4:$4,0)+IF(I$7="Winter",2,3))</f>
        <v>94.094884541756201</v>
      </c>
      <c r="J12" s="219">
        <f>'Table B - Energy'!J12+INDEX('Table C - Capacity'!$12:$32,MATCH($B12,'Table C - Capacity'!$B$12:$B$32,0),MATCH(H$4,'Table C - Capacity'!$4:$4,0)+IF(J$7="Winter",2,3))</f>
        <v>52.890970811910059</v>
      </c>
      <c r="K12" s="219">
        <f>'Table B - Energy'!K12+INDEX('Table C - Capacity'!$12:$32,MATCH($B12,'Table C - Capacity'!$B$12:$B$32,0),MATCH(H$4,'Table C - Capacity'!$4:$4,0)+IF(K$7="Winter",2,3))</f>
        <v>142.70259918425884</v>
      </c>
      <c r="L12" s="220">
        <f>'Table B - Energy'!L12+INDEX('Table C - Capacity'!$12:$32,MATCH($B12,'Table C - Capacity'!$B$12:$B$32,0),MATCH(H$4,'Table C - Capacity'!$4:$4,0)+IF(L$7="Winter",2,3))</f>
        <v>82.781829395295503</v>
      </c>
      <c r="N12" s="226">
        <f t="shared" ref="N12:N30" si="1">N11+1</f>
        <v>2024</v>
      </c>
      <c r="O12" s="217">
        <f>SUMPRODUCT(P12:S12,Profiles!N12:Q12)/SUM(Profiles!N12:Q12)</f>
        <v>65.093685745501745</v>
      </c>
      <c r="P12" s="218">
        <f>'Table B - Energy'!P12+INDEX('Table C - Capacity'!$12:$32,MATCH($B12,'Table C - Capacity'!$B$12:$B$32,0),MATCH(O$4,'Table C - Capacity'!$4:$4,0)+IF(P$7="Winter",2,3))</f>
        <v>63.104650126871078</v>
      </c>
      <c r="Q12" s="219">
        <f>'Table B - Energy'!Q12+INDEX('Table C - Capacity'!$12:$32,MATCH($B12,'Table C - Capacity'!$B$12:$B$32,0),MATCH(O$4,'Table C - Capacity'!$4:$4,0)+IF(Q$7="Winter",2,3))</f>
        <v>46.244575096120499</v>
      </c>
      <c r="R12" s="219">
        <f>'Table B - Energy'!R12+INDEX('Table C - Capacity'!$12:$32,MATCH($B12,'Table C - Capacity'!$B$12:$B$32,0),MATCH(O$4,'Table C - Capacity'!$4:$4,0)+IF(R$7="Winter",2,3))</f>
        <v>108.8012829771567</v>
      </c>
      <c r="S12" s="220">
        <f>'Table B - Energy'!S12+INDEX('Table C - Capacity'!$12:$32,MATCH($B12,'Table C - Capacity'!$B$12:$B$32,0),MATCH(O$4,'Table C - Capacity'!$4:$4,0)+IF(S$7="Winter",2,3))</f>
        <v>82.233819465536797</v>
      </c>
      <c r="T12" s="217">
        <f>SUMPRODUCT(U12:X12,Profiles!S12:V12)/SUM(Profiles!S12:V12)</f>
        <v>68.518362050050257</v>
      </c>
      <c r="U12" s="218">
        <f>'Table B - Energy'!U12+INDEX('Table C - Capacity'!$12:$32,MATCH($B12,'Table C - Capacity'!$B$12:$B$32,0),MATCH(T$4,'Table C - Capacity'!$4:$4,0)+IF(U$7="Winter",2,3))</f>
        <v>63.193088358203319</v>
      </c>
      <c r="V12" s="219">
        <f>'Table B - Energy'!V12+INDEX('Table C - Capacity'!$12:$32,MATCH($B12,'Table C - Capacity'!$B$12:$B$32,0),MATCH(T$4,'Table C - Capacity'!$4:$4,0)+IF(V$7="Winter",2,3))</f>
        <v>43.306652624253005</v>
      </c>
      <c r="W12" s="219">
        <f>'Table B - Energy'!W12+INDEX('Table C - Capacity'!$12:$32,MATCH($B12,'Table C - Capacity'!$B$12:$B$32,0),MATCH(T$4,'Table C - Capacity'!$4:$4,0)+IF(W$7="Winter",2,3))</f>
        <v>112.66184130044968</v>
      </c>
      <c r="X12" s="220">
        <f>'Table B - Energy'!X12+INDEX('Table C - Capacity'!$12:$32,MATCH($B12,'Table C - Capacity'!$B$12:$B$32,0),MATCH(T$4,'Table C - Capacity'!$4:$4,0)+IF(X$7="Winter",2,3))</f>
        <v>82.611538016289913</v>
      </c>
    </row>
    <row r="13" spans="2:24">
      <c r="B13" s="226">
        <f t="shared" si="0"/>
        <v>2025</v>
      </c>
      <c r="C13" s="217">
        <f>SUMPRODUCT(D13:G13,Profiles!D13:G13)/SUM(Profiles!D13:G13)</f>
        <v>85.878234122128433</v>
      </c>
      <c r="D13" s="218">
        <f>'Table B - Energy'!D13+INDEX('Table C - Capacity'!$12:$32,MATCH($B13,'Table C - Capacity'!$B$12:$B$32,0),MATCH(C$4,'Table C - Capacity'!$4:$4,0)+IF(D$7="Winter",2,3))</f>
        <v>87.928165730757868</v>
      </c>
      <c r="E13" s="219">
        <f>'Table B - Energy'!E13+INDEX('Table C - Capacity'!$12:$32,MATCH($B13,'Table C - Capacity'!$B$12:$B$32,0),MATCH(C$4,'Table C - Capacity'!$4:$4,0)+IF(E$7="Winter",2,3))</f>
        <v>55.574189393308671</v>
      </c>
      <c r="F13" s="219">
        <f>'Table B - Energy'!F13+INDEX('Table C - Capacity'!$12:$32,MATCH($B13,'Table C - Capacity'!$B$12:$B$32,0),MATCH(C$4,'Table C - Capacity'!$4:$4,0)+IF(F$7="Winter",2,3))</f>
        <v>162.12195299455857</v>
      </c>
      <c r="G13" s="220">
        <f>'Table B - Energy'!G13+INDEX('Table C - Capacity'!$12:$32,MATCH($B13,'Table C - Capacity'!$B$12:$B$32,0),MATCH(C$4,'Table C - Capacity'!$4:$4,0)+IF(G$7="Winter",2,3))</f>
        <v>106.07454008472257</v>
      </c>
      <c r="H13" s="217">
        <f>SUMPRODUCT(I13:L13,Profiles!I13:L13)/SUM(Profiles!I13:L13)</f>
        <v>71.378833475072128</v>
      </c>
      <c r="I13" s="218">
        <f>'Table B - Energy'!I13+INDEX('Table C - Capacity'!$12:$32,MATCH($B13,'Table C - Capacity'!$B$12:$B$32,0),MATCH(H$4,'Table C - Capacity'!$4:$4,0)+IF(I$7="Winter",2,3))</f>
        <v>82.805494219054211</v>
      </c>
      <c r="J13" s="219">
        <f>'Table B - Energy'!J13+INDEX('Table C - Capacity'!$12:$32,MATCH($B13,'Table C - Capacity'!$B$12:$B$32,0),MATCH(H$4,'Table C - Capacity'!$4:$4,0)+IF(J$7="Winter",2,3))</f>
        <v>48.124432722005061</v>
      </c>
      <c r="K13" s="219">
        <f>'Table B - Energy'!K13+INDEX('Table C - Capacity'!$12:$32,MATCH($B13,'Table C - Capacity'!$B$12:$B$32,0),MATCH(H$4,'Table C - Capacity'!$4:$4,0)+IF(K$7="Winter",2,3))</f>
        <v>133.21876071306949</v>
      </c>
      <c r="L13" s="220">
        <f>'Table B - Energy'!L13+INDEX('Table C - Capacity'!$12:$32,MATCH($B13,'Table C - Capacity'!$B$12:$B$32,0),MATCH(H$4,'Table C - Capacity'!$4:$4,0)+IF(L$7="Winter",2,3))</f>
        <v>83.138259726780248</v>
      </c>
      <c r="N13" s="226">
        <f t="shared" si="1"/>
        <v>2025</v>
      </c>
      <c r="O13" s="217">
        <f>SUMPRODUCT(P13:S13,Profiles!N13:Q13)/SUM(Profiles!N13:Q13)</f>
        <v>58.53693267882781</v>
      </c>
      <c r="P13" s="218">
        <f>'Table B - Energy'!P13+INDEX('Table C - Capacity'!$12:$32,MATCH($B13,'Table C - Capacity'!$B$12:$B$32,0),MATCH(O$4,'Table C - Capacity'!$4:$4,0)+IF(P$7="Winter",2,3))</f>
        <v>54.568409677688201</v>
      </c>
      <c r="Q13" s="219">
        <f>'Table B - Energy'!Q13+INDEX('Table C - Capacity'!$12:$32,MATCH($B13,'Table C - Capacity'!$B$12:$B$32,0),MATCH(O$4,'Table C - Capacity'!$4:$4,0)+IF(Q$7="Winter",2,3))</f>
        <v>40.051422725519004</v>
      </c>
      <c r="R13" s="219">
        <f>'Table B - Energy'!R13+INDEX('Table C - Capacity'!$12:$32,MATCH($B13,'Table C - Capacity'!$B$12:$B$32,0),MATCH(O$4,'Table C - Capacity'!$4:$4,0)+IF(R$7="Winter",2,3))</f>
        <v>100.07384503533187</v>
      </c>
      <c r="S13" s="220">
        <f>'Table B - Energy'!S13+INDEX('Table C - Capacity'!$12:$32,MATCH($B13,'Table C - Capacity'!$B$12:$B$32,0),MATCH(O$4,'Table C - Capacity'!$4:$4,0)+IF(S$7="Winter",2,3))</f>
        <v>75.879462342464677</v>
      </c>
      <c r="T13" s="217">
        <f>SUMPRODUCT(U13:X13,Profiles!S13:V13)/SUM(Profiles!S13:V13)</f>
        <v>62.026499529188378</v>
      </c>
      <c r="U13" s="218">
        <f>'Table B - Energy'!U13+INDEX('Table C - Capacity'!$12:$32,MATCH($B13,'Table C - Capacity'!$B$12:$B$32,0),MATCH(T$4,'Table C - Capacity'!$4:$4,0)+IF(U$7="Winter",2,3))</f>
        <v>54.41281985349957</v>
      </c>
      <c r="V13" s="219">
        <f>'Table B - Energy'!V13+INDEX('Table C - Capacity'!$12:$32,MATCH($B13,'Table C - Capacity'!$B$12:$B$32,0),MATCH(T$4,'Table C - Capacity'!$4:$4,0)+IF(V$7="Winter",2,3))</f>
        <v>37.480805773171554</v>
      </c>
      <c r="W13" s="219">
        <f>'Table B - Energy'!W13+INDEX('Table C - Capacity'!$12:$32,MATCH($B13,'Table C - Capacity'!$B$12:$B$32,0),MATCH(T$4,'Table C - Capacity'!$4:$4,0)+IF(W$7="Winter",2,3))</f>
        <v>103.23606630704593</v>
      </c>
      <c r="X13" s="220">
        <f>'Table B - Energy'!X13+INDEX('Table C - Capacity'!$12:$32,MATCH($B13,'Table C - Capacity'!$B$12:$B$32,0),MATCH(T$4,'Table C - Capacity'!$4:$4,0)+IF(X$7="Winter",2,3))</f>
        <v>76.676984877103976</v>
      </c>
    </row>
    <row r="14" spans="2:24">
      <c r="B14" s="226">
        <f t="shared" si="0"/>
        <v>2026</v>
      </c>
      <c r="C14" s="217">
        <f>SUMPRODUCT(D14:G14,Profiles!D14:G14)/SUM(Profiles!D14:G14)</f>
        <v>83.370446745725161</v>
      </c>
      <c r="D14" s="218">
        <f>'Table B - Energy'!D14+INDEX('Table C - Capacity'!$12:$32,MATCH($B14,'Table C - Capacity'!$B$12:$B$32,0),MATCH(C$4,'Table C - Capacity'!$4:$4,0)+IF(D$7="Winter",2,3))</f>
        <v>84.968465879238209</v>
      </c>
      <c r="E14" s="219">
        <f>'Table B - Energy'!E14+INDEX('Table C - Capacity'!$12:$32,MATCH($B14,'Table C - Capacity'!$B$12:$B$32,0),MATCH(C$4,'Table C - Capacity'!$4:$4,0)+IF(E$7="Winter",2,3))</f>
        <v>55.681750344259143</v>
      </c>
      <c r="F14" s="219">
        <f>'Table B - Energy'!F14+INDEX('Table C - Capacity'!$12:$32,MATCH($B14,'Table C - Capacity'!$B$12:$B$32,0),MATCH(C$4,'Table C - Capacity'!$4:$4,0)+IF(F$7="Winter",2,3))</f>
        <v>151.65473718744329</v>
      </c>
      <c r="G14" s="220">
        <f>'Table B - Energy'!G14+INDEX('Table C - Capacity'!$12:$32,MATCH($B14,'Table C - Capacity'!$B$12:$B$32,0),MATCH(C$4,'Table C - Capacity'!$4:$4,0)+IF(G$7="Winter",2,3))</f>
        <v>102.78726792514819</v>
      </c>
      <c r="H14" s="217">
        <f>SUMPRODUCT(I14:L14,Profiles!I14:L14)/SUM(Profiles!I14:L14)</f>
        <v>68.893052905102209</v>
      </c>
      <c r="I14" s="218">
        <f>'Table B - Energy'!I14+INDEX('Table C - Capacity'!$12:$32,MATCH($B14,'Table C - Capacity'!$B$12:$B$32,0),MATCH(H$4,'Table C - Capacity'!$4:$4,0)+IF(I$7="Winter",2,3))</f>
        <v>79.656965621934575</v>
      </c>
      <c r="J14" s="219">
        <f>'Table B - Energy'!J14+INDEX('Table C - Capacity'!$12:$32,MATCH($B14,'Table C - Capacity'!$B$12:$B$32,0),MATCH(H$4,'Table C - Capacity'!$4:$4,0)+IF(J$7="Winter",2,3))</f>
        <v>47.957706563962866</v>
      </c>
      <c r="K14" s="219">
        <f>'Table B - Energy'!K14+INDEX('Table C - Capacity'!$12:$32,MATCH($B14,'Table C - Capacity'!$B$12:$B$32,0),MATCH(H$4,'Table C - Capacity'!$4:$4,0)+IF(K$7="Winter",2,3))</f>
        <v>122.74833673902995</v>
      </c>
      <c r="L14" s="220">
        <f>'Table B - Energy'!L14+INDEX('Table C - Capacity'!$12:$32,MATCH($B14,'Table C - Capacity'!$B$12:$B$32,0),MATCH(H$4,'Table C - Capacity'!$4:$4,0)+IF(L$7="Winter",2,3))</f>
        <v>79.82529438718359</v>
      </c>
      <c r="N14" s="226">
        <f t="shared" si="1"/>
        <v>2026</v>
      </c>
      <c r="O14" s="217">
        <f>SUMPRODUCT(P14:S14,Profiles!N14:Q14)/SUM(Profiles!N14:Q14)</f>
        <v>54.460792296631503</v>
      </c>
      <c r="P14" s="218">
        <f>'Table B - Energy'!P14+INDEX('Table C - Capacity'!$12:$32,MATCH($B14,'Table C - Capacity'!$B$12:$B$32,0),MATCH(O$4,'Table C - Capacity'!$4:$4,0)+IF(P$7="Winter",2,3))</f>
        <v>52.430946762068032</v>
      </c>
      <c r="Q14" s="219">
        <f>'Table B - Energy'!Q14+INDEX('Table C - Capacity'!$12:$32,MATCH($B14,'Table C - Capacity'!$B$12:$B$32,0),MATCH(O$4,'Table C - Capacity'!$4:$4,0)+IF(Q$7="Winter",2,3))</f>
        <v>38.225301007887843</v>
      </c>
      <c r="R14" s="219">
        <f>'Table B - Energy'!R14+INDEX('Table C - Capacity'!$12:$32,MATCH($B14,'Table C - Capacity'!$B$12:$B$32,0),MATCH(O$4,'Table C - Capacity'!$4:$4,0)+IF(R$7="Winter",2,3))</f>
        <v>91.53140520922426</v>
      </c>
      <c r="S14" s="220">
        <f>'Table B - Energy'!S14+INDEX('Table C - Capacity'!$12:$32,MATCH($B14,'Table C - Capacity'!$B$12:$B$32,0),MATCH(O$4,'Table C - Capacity'!$4:$4,0)+IF(S$7="Winter",2,3))</f>
        <v>69.352405495701149</v>
      </c>
      <c r="T14" s="217">
        <f>SUMPRODUCT(U14:X14,Profiles!S14:V14)/SUM(Profiles!S14:V14)</f>
        <v>57.427122270493612</v>
      </c>
      <c r="U14" s="218">
        <f>'Table B - Energy'!U14+INDEX('Table C - Capacity'!$12:$32,MATCH($B14,'Table C - Capacity'!$B$12:$B$32,0),MATCH(T$4,'Table C - Capacity'!$4:$4,0)+IF(U$7="Winter",2,3))</f>
        <v>51.92070183621734</v>
      </c>
      <c r="V14" s="219">
        <f>'Table B - Energy'!V14+INDEX('Table C - Capacity'!$12:$32,MATCH($B14,'Table C - Capacity'!$B$12:$B$32,0),MATCH(T$4,'Table C - Capacity'!$4:$4,0)+IF(V$7="Winter",2,3))</f>
        <v>35.658231726174215</v>
      </c>
      <c r="W14" s="219">
        <f>'Table B - Energy'!W14+INDEX('Table C - Capacity'!$12:$32,MATCH($B14,'Table C - Capacity'!$B$12:$B$32,0),MATCH(T$4,'Table C - Capacity'!$4:$4,0)+IF(W$7="Winter",2,3))</f>
        <v>93.753327322330691</v>
      </c>
      <c r="X14" s="220">
        <f>'Table B - Energy'!X14+INDEX('Table C - Capacity'!$12:$32,MATCH($B14,'Table C - Capacity'!$B$12:$B$32,0),MATCH(T$4,'Table C - Capacity'!$4:$4,0)+IF(X$7="Winter",2,3))</f>
        <v>70.316357692068451</v>
      </c>
    </row>
    <row r="15" spans="2:24">
      <c r="B15" s="226">
        <f t="shared" si="0"/>
        <v>2027</v>
      </c>
      <c r="C15" s="217">
        <f>SUMPRODUCT(D15:G15,Profiles!D15:G15)/SUM(Profiles!D15:G15)</f>
        <v>81.735057054976195</v>
      </c>
      <c r="D15" s="218">
        <f>'Table B - Energy'!D15+INDEX('Table C - Capacity'!$12:$32,MATCH($B15,'Table C - Capacity'!$B$12:$B$32,0),MATCH(C$4,'Table C - Capacity'!$4:$4,0)+IF(D$7="Winter",2,3))</f>
        <v>84.172955558769772</v>
      </c>
      <c r="E15" s="219">
        <f>'Table B - Energy'!E15+INDEX('Table C - Capacity'!$12:$32,MATCH($B15,'Table C - Capacity'!$B$12:$B$32,0),MATCH(C$4,'Table C - Capacity'!$4:$4,0)+IF(E$7="Winter",2,3))</f>
        <v>56.716957616382722</v>
      </c>
      <c r="F15" s="219">
        <f>'Table B - Energy'!F15+INDEX('Table C - Capacity'!$12:$32,MATCH($B15,'Table C - Capacity'!$B$12:$B$32,0),MATCH(C$4,'Table C - Capacity'!$4:$4,0)+IF(F$7="Winter",2,3))</f>
        <v>140.99646959796686</v>
      </c>
      <c r="G15" s="220">
        <f>'Table B - Energy'!G15+INDEX('Table C - Capacity'!$12:$32,MATCH($B15,'Table C - Capacity'!$B$12:$B$32,0),MATCH(C$4,'Table C - Capacity'!$4:$4,0)+IF(G$7="Winter",2,3))</f>
        <v>99.507576155343926</v>
      </c>
      <c r="H15" s="217">
        <f>SUMPRODUCT(I15:L15,Profiles!I15:L15)/SUM(Profiles!I15:L15)</f>
        <v>67.444591049628613</v>
      </c>
      <c r="I15" s="218">
        <f>'Table B - Energy'!I15+INDEX('Table C - Capacity'!$12:$32,MATCH($B15,'Table C - Capacity'!$B$12:$B$32,0),MATCH(H$4,'Table C - Capacity'!$4:$4,0)+IF(I$7="Winter",2,3))</f>
        <v>78.864918855950506</v>
      </c>
      <c r="J15" s="219">
        <f>'Table B - Energy'!J15+INDEX('Table C - Capacity'!$12:$32,MATCH($B15,'Table C - Capacity'!$B$12:$B$32,0),MATCH(H$4,'Table C - Capacity'!$4:$4,0)+IF(J$7="Winter",2,3))</f>
        <v>48.860978968328986</v>
      </c>
      <c r="K15" s="219">
        <f>'Table B - Energy'!K15+INDEX('Table C - Capacity'!$12:$32,MATCH($B15,'Table C - Capacity'!$B$12:$B$32,0),MATCH(H$4,'Table C - Capacity'!$4:$4,0)+IF(K$7="Winter",2,3))</f>
        <v>112.04944730001768</v>
      </c>
      <c r="L15" s="220">
        <f>'Table B - Energy'!L15+INDEX('Table C - Capacity'!$12:$32,MATCH($B15,'Table C - Capacity'!$B$12:$B$32,0),MATCH(H$4,'Table C - Capacity'!$4:$4,0)+IF(L$7="Winter",2,3))</f>
        <v>76.491563181792117</v>
      </c>
      <c r="N15" s="226">
        <f t="shared" si="1"/>
        <v>2027</v>
      </c>
      <c r="O15" s="217">
        <f>SUMPRODUCT(P15:S15,Profiles!N15:Q15)/SUM(Profiles!N15:Q15)</f>
        <v>50.982313816290571</v>
      </c>
      <c r="P15" s="218">
        <f>'Table B - Energy'!P15+INDEX('Table C - Capacity'!$12:$32,MATCH($B15,'Table C - Capacity'!$B$12:$B$32,0),MATCH(O$4,'Table C - Capacity'!$4:$4,0)+IF(P$7="Winter",2,3))</f>
        <v>50.794300314240047</v>
      </c>
      <c r="Q15" s="219">
        <f>'Table B - Energy'!Q15+INDEX('Table C - Capacity'!$12:$32,MATCH($B15,'Table C - Capacity'!$B$12:$B$32,0),MATCH(O$4,'Table C - Capacity'!$4:$4,0)+IF(Q$7="Winter",2,3))</f>
        <v>37.594477246870539</v>
      </c>
      <c r="R15" s="219">
        <f>'Table B - Energy'!R15+INDEX('Table C - Capacity'!$12:$32,MATCH($B15,'Table C - Capacity'!$B$12:$B$32,0),MATCH(O$4,'Table C - Capacity'!$4:$4,0)+IF(R$7="Winter",2,3))</f>
        <v>82.85673179858837</v>
      </c>
      <c r="S15" s="220">
        <f>'Table B - Energy'!S15+INDEX('Table C - Capacity'!$12:$32,MATCH($B15,'Table C - Capacity'!$B$12:$B$32,0),MATCH(O$4,'Table C - Capacity'!$4:$4,0)+IF(S$7="Winter",2,3))</f>
        <v>62.675789114643337</v>
      </c>
      <c r="T15" s="217">
        <f>SUMPRODUCT(U15:X15,Profiles!S15:V15)/SUM(Profiles!S15:V15)</f>
        <v>53.227774669815041</v>
      </c>
      <c r="U15" s="218">
        <f>'Table B - Energy'!U15+INDEX('Table C - Capacity'!$12:$32,MATCH($B15,'Table C - Capacity'!$B$12:$B$32,0),MATCH(T$4,'Table C - Capacity'!$4:$4,0)+IF(U$7="Winter",2,3))</f>
        <v>49.80185464797642</v>
      </c>
      <c r="V15" s="219">
        <f>'Table B - Energy'!V15+INDEX('Table C - Capacity'!$12:$32,MATCH($B15,'Table C - Capacity'!$B$12:$B$32,0),MATCH(T$4,'Table C - Capacity'!$4:$4,0)+IF(V$7="Winter",2,3))</f>
        <v>34.871985770688696</v>
      </c>
      <c r="W15" s="219">
        <f>'Table B - Energy'!W15+INDEX('Table C - Capacity'!$12:$32,MATCH($B15,'Table C - Capacity'!$B$12:$B$32,0),MATCH(T$4,'Table C - Capacity'!$4:$4,0)+IF(W$7="Winter",2,3))</f>
        <v>84.090812387068766</v>
      </c>
      <c r="X15" s="220">
        <f>'Table B - Energy'!X15+INDEX('Table C - Capacity'!$12:$32,MATCH($B15,'Table C - Capacity'!$B$12:$B$32,0),MATCH(T$4,'Table C - Capacity'!$4:$4,0)+IF(X$7="Winter",2,3))</f>
        <v>63.832651133145959</v>
      </c>
    </row>
    <row r="16" spans="2:24">
      <c r="B16" s="227">
        <f t="shared" si="0"/>
        <v>2028</v>
      </c>
      <c r="C16" s="217">
        <f>SUMPRODUCT(D16:G16,Profiles!D16:G16)/SUM(Profiles!D16:G16)</f>
        <v>80.217029144813736</v>
      </c>
      <c r="D16" s="218">
        <f>'Table B - Energy'!D16+INDEX('Table C - Capacity'!$12:$32,MATCH($B16,'Table C - Capacity'!$B$12:$B$32,0),MATCH(C$4,'Table C - Capacity'!$4:$4,0)+IF(D$7="Winter",2,3))</f>
        <v>83.052898774165257</v>
      </c>
      <c r="E16" s="219">
        <f>'Table B - Energy'!E16+INDEX('Table C - Capacity'!$12:$32,MATCH($B16,'Table C - Capacity'!$B$12:$B$32,0),MATCH(C$4,'Table C - Capacity'!$4:$4,0)+IF(E$7="Winter",2,3))</f>
        <v>56.373344470886082</v>
      </c>
      <c r="F16" s="219">
        <f>'Table B - Energy'!F16+INDEX('Table C - Capacity'!$12:$32,MATCH($B16,'Table C - Capacity'!$B$12:$B$32,0),MATCH(C$4,'Table C - Capacity'!$4:$4,0)+IF(F$7="Winter",2,3))</f>
        <v>133.79145791889792</v>
      </c>
      <c r="G16" s="220">
        <f>'Table B - Energy'!G16+INDEX('Table C - Capacity'!$12:$32,MATCH($B16,'Table C - Capacity'!$B$12:$B$32,0),MATCH(C$4,'Table C - Capacity'!$4:$4,0)+IF(G$7="Winter",2,3))</f>
        <v>98.281314476275455</v>
      </c>
      <c r="H16" s="217">
        <f>SUMPRODUCT(I16:L16,Profiles!I16:L16)/SUM(Profiles!I16:L16)</f>
        <v>65.837186771612977</v>
      </c>
      <c r="I16" s="218">
        <f>'Table B - Energy'!I16+INDEX('Table C - Capacity'!$12:$32,MATCH($B16,'Table C - Capacity'!$B$12:$B$32,0),MATCH(H$4,'Table C - Capacity'!$4:$4,0)+IF(I$7="Winter",2,3))</f>
        <v>77.626781363342602</v>
      </c>
      <c r="J16" s="219">
        <f>'Table B - Energy'!J16+INDEX('Table C - Capacity'!$12:$32,MATCH($B16,'Table C - Capacity'!$B$12:$B$32,0),MATCH(H$4,'Table C - Capacity'!$4:$4,0)+IF(J$7="Winter",2,3))</f>
        <v>48.357396238638493</v>
      </c>
      <c r="K16" s="219">
        <f>'Table B - Energy'!K16+INDEX('Table C - Capacity'!$12:$32,MATCH($B16,'Table C - Capacity'!$B$12:$B$32,0),MATCH(H$4,'Table C - Capacity'!$4:$4,0)+IF(K$7="Winter",2,3))</f>
        <v>105.32805281534219</v>
      </c>
      <c r="L16" s="220">
        <f>'Table B - Energy'!L16+INDEX('Table C - Capacity'!$12:$32,MATCH($B16,'Table C - Capacity'!$B$12:$B$32,0),MATCH(H$4,'Table C - Capacity'!$4:$4,0)+IF(L$7="Winter",2,3))</f>
        <v>74.432438143375649</v>
      </c>
      <c r="N16" s="227">
        <f t="shared" si="1"/>
        <v>2028</v>
      </c>
      <c r="O16" s="217">
        <f>SUMPRODUCT(P16:S16,Profiles!N16:Q16)/SUM(Profiles!N16:Q16)</f>
        <v>48.261159078715458</v>
      </c>
      <c r="P16" s="218">
        <f>'Table B - Energy'!P16+INDEX('Table C - Capacity'!$12:$32,MATCH($B16,'Table C - Capacity'!$B$12:$B$32,0),MATCH(O$4,'Table C - Capacity'!$4:$4,0)+IF(P$7="Winter",2,3))</f>
        <v>49.412144247521631</v>
      </c>
      <c r="Q16" s="219">
        <f>'Table B - Energy'!Q16+INDEX('Table C - Capacity'!$12:$32,MATCH($B16,'Table C - Capacity'!$B$12:$B$32,0),MATCH(O$4,'Table C - Capacity'!$4:$4,0)+IF(Q$7="Winter",2,3))</f>
        <v>36.730415509392735</v>
      </c>
      <c r="R16" s="219">
        <f>'Table B - Energy'!R16+INDEX('Table C - Capacity'!$12:$32,MATCH($B16,'Table C - Capacity'!$B$12:$B$32,0),MATCH(O$4,'Table C - Capacity'!$4:$4,0)+IF(R$7="Winter",2,3))</f>
        <v>76.746245033138038</v>
      </c>
      <c r="S16" s="220">
        <f>'Table B - Energy'!S16+INDEX('Table C - Capacity'!$12:$32,MATCH($B16,'Table C - Capacity'!$B$12:$B$32,0),MATCH(O$4,'Table C - Capacity'!$4:$4,0)+IF(S$7="Winter",2,3))</f>
        <v>57.925175454129167</v>
      </c>
      <c r="T16" s="217">
        <f>SUMPRODUCT(U16:X16,Profiles!S16:V16)/SUM(Profiles!S16:V16)</f>
        <v>50.368956345538486</v>
      </c>
      <c r="U16" s="218">
        <f>'Table B - Energy'!U16+INDEX('Table C - Capacity'!$12:$32,MATCH($B16,'Table C - Capacity'!$B$12:$B$32,0),MATCH(T$4,'Table C - Capacity'!$4:$4,0)+IF(U$7="Winter",2,3))</f>
        <v>48.129063171177258</v>
      </c>
      <c r="V16" s="219">
        <f>'Table B - Energy'!V16+INDEX('Table C - Capacity'!$12:$32,MATCH($B16,'Table C - Capacity'!$B$12:$B$32,0),MATCH(T$4,'Table C - Capacity'!$4:$4,0)+IF(V$7="Winter",2,3))</f>
        <v>34.021487550221956</v>
      </c>
      <c r="W16" s="219">
        <f>'Table B - Energy'!W16+INDEX('Table C - Capacity'!$12:$32,MATCH($B16,'Table C - Capacity'!$B$12:$B$32,0),MATCH(T$4,'Table C - Capacity'!$4:$4,0)+IF(W$7="Winter",2,3))</f>
        <v>78.664552292869672</v>
      </c>
      <c r="X16" s="220">
        <f>'Table B - Energy'!X16+INDEX('Table C - Capacity'!$12:$32,MATCH($B16,'Table C - Capacity'!$B$12:$B$32,0),MATCH(T$4,'Table C - Capacity'!$4:$4,0)+IF(X$7="Winter",2,3))</f>
        <v>59.445930228642837</v>
      </c>
    </row>
    <row r="17" spans="2:24">
      <c r="B17" s="226">
        <f t="shared" si="0"/>
        <v>2029</v>
      </c>
      <c r="C17" s="217">
        <f>SUMPRODUCT(D17:G17,Profiles!D17:G17)/SUM(Profiles!D17:G17)</f>
        <v>77.688644162147966</v>
      </c>
      <c r="D17" s="218">
        <f>'Table B - Energy'!D17+INDEX('Table C - Capacity'!$12:$32,MATCH($B17,'Table C - Capacity'!$B$12:$B$32,0),MATCH(C$4,'Table C - Capacity'!$4:$4,0)+IF(D$7="Winter",2,3))</f>
        <v>80.240680134421012</v>
      </c>
      <c r="E17" s="219">
        <f>'Table B - Energy'!E17+INDEX('Table C - Capacity'!$12:$32,MATCH($B17,'Table C - Capacity'!$B$12:$B$32,0),MATCH(C$4,'Table C - Capacity'!$4:$4,0)+IF(E$7="Winter",2,3))</f>
        <v>54.844695052116087</v>
      </c>
      <c r="F17" s="219">
        <f>'Table B - Energy'!F17+INDEX('Table C - Capacity'!$12:$32,MATCH($B17,'Table C - Capacity'!$B$12:$B$32,0),MATCH(C$4,'Table C - Capacity'!$4:$4,0)+IF(F$7="Winter",2,3))</f>
        <v>128.01793590043533</v>
      </c>
      <c r="G17" s="220">
        <f>'Table B - Energy'!G17+INDEX('Table C - Capacity'!$12:$32,MATCH($B17,'Table C - Capacity'!$B$12:$B$32,0),MATCH(C$4,'Table C - Capacity'!$4:$4,0)+IF(G$7="Winter",2,3))</f>
        <v>95.483074220107355</v>
      </c>
      <c r="H17" s="217">
        <f>SUMPRODUCT(I17:L17,Profiles!I17:L17)/SUM(Profiles!I17:L17)</f>
        <v>63.071305455290997</v>
      </c>
      <c r="I17" s="218">
        <f>'Table B - Energy'!I17+INDEX('Table C - Capacity'!$12:$32,MATCH($B17,'Table C - Capacity'!$B$12:$B$32,0),MATCH(H$4,'Table C - Capacity'!$4:$4,0)+IF(I$7="Winter",2,3))</f>
        <v>74.734449686500625</v>
      </c>
      <c r="J17" s="219">
        <f>'Table B - Energy'!J17+INDEX('Table C - Capacity'!$12:$32,MATCH($B17,'Table C - Capacity'!$B$12:$B$32,0),MATCH(H$4,'Table C - Capacity'!$4:$4,0)+IF(J$7="Winter",2,3))</f>
        <v>46.597397499394127</v>
      </c>
      <c r="K17" s="219">
        <f>'Table B - Energy'!K17+INDEX('Table C - Capacity'!$12:$32,MATCH($B17,'Table C - Capacity'!$B$12:$B$32,0),MATCH(H$4,'Table C - Capacity'!$4:$4,0)+IF(K$7="Winter",2,3))</f>
        <v>99.112588602194364</v>
      </c>
      <c r="L17" s="220">
        <f>'Table B - Energy'!L17+INDEX('Table C - Capacity'!$12:$32,MATCH($B17,'Table C - Capacity'!$B$12:$B$32,0),MATCH(H$4,'Table C - Capacity'!$4:$4,0)+IF(L$7="Winter",2,3))</f>
        <v>70.990117830753917</v>
      </c>
      <c r="N17" s="226">
        <f t="shared" si="1"/>
        <v>2029</v>
      </c>
      <c r="O17" s="217">
        <f>SUMPRODUCT(P17:S17,Profiles!N17:Q17)/SUM(Profiles!N17:Q17)</f>
        <v>45.106493658129942</v>
      </c>
      <c r="P17" s="218">
        <f>'Table B - Energy'!P17+INDEX('Table C - Capacity'!$12:$32,MATCH($B17,'Table C - Capacity'!$B$12:$B$32,0),MATCH(O$4,'Table C - Capacity'!$4:$4,0)+IF(P$7="Winter",2,3))</f>
        <v>45.205650016550152</v>
      </c>
      <c r="Q17" s="219">
        <f>'Table B - Energy'!Q17+INDEX('Table C - Capacity'!$12:$32,MATCH($B17,'Table C - Capacity'!$B$12:$B$32,0),MATCH(O$4,'Table C - Capacity'!$4:$4,0)+IF(Q$7="Winter",2,3))</f>
        <v>34.386046196572217</v>
      </c>
      <c r="R17" s="219">
        <f>'Table B - Energy'!R17+INDEX('Table C - Capacity'!$12:$32,MATCH($B17,'Table C - Capacity'!$B$12:$B$32,0),MATCH(O$4,'Table C - Capacity'!$4:$4,0)+IF(R$7="Winter",2,3))</f>
        <v>71.641366571755711</v>
      </c>
      <c r="S17" s="220">
        <f>'Table B - Energy'!S17+INDEX('Table C - Capacity'!$12:$32,MATCH($B17,'Table C - Capacity'!$B$12:$B$32,0),MATCH(O$4,'Table C - Capacity'!$4:$4,0)+IF(S$7="Winter",2,3))</f>
        <v>54.102813560940888</v>
      </c>
      <c r="T17" s="217">
        <f>SUMPRODUCT(U17:X17,Profiles!S17:V17)/SUM(Profiles!S17:V17)</f>
        <v>46.896663321496625</v>
      </c>
      <c r="U17" s="218">
        <f>'Table B - Energy'!U17+INDEX('Table C - Capacity'!$12:$32,MATCH($B17,'Table C - Capacity'!$B$12:$B$32,0),MATCH(T$4,'Table C - Capacity'!$4:$4,0)+IF(U$7="Winter",2,3))</f>
        <v>44.605678544582148</v>
      </c>
      <c r="V17" s="219">
        <f>'Table B - Energy'!V17+INDEX('Table C - Capacity'!$12:$32,MATCH($B17,'Table C - Capacity'!$B$12:$B$32,0),MATCH(T$4,'Table C - Capacity'!$4:$4,0)+IF(V$7="Winter",2,3))</f>
        <v>31.494636173169894</v>
      </c>
      <c r="W17" s="219">
        <f>'Table B - Energy'!W17+INDEX('Table C - Capacity'!$12:$32,MATCH($B17,'Table C - Capacity'!$B$12:$B$32,0),MATCH(T$4,'Table C - Capacity'!$4:$4,0)+IF(W$7="Winter",2,3))</f>
        <v>73.172459361201646</v>
      </c>
      <c r="X17" s="220">
        <f>'Table B - Energy'!X17+INDEX('Table C - Capacity'!$12:$32,MATCH($B17,'Table C - Capacity'!$B$12:$B$32,0),MATCH(T$4,'Table C - Capacity'!$4:$4,0)+IF(X$7="Winter",2,3))</f>
        <v>55.572007207685402</v>
      </c>
    </row>
    <row r="18" spans="2:24">
      <c r="B18" s="226">
        <f t="shared" si="0"/>
        <v>2030</v>
      </c>
      <c r="C18" s="217">
        <f>SUMPRODUCT(D18:G18,Profiles!D18:G18)/SUM(Profiles!D18:G18)</f>
        <v>73.488158593827364</v>
      </c>
      <c r="D18" s="218">
        <f>'Table B - Energy'!D18+INDEX('Table C - Capacity'!$12:$32,MATCH($B18,'Table C - Capacity'!$B$12:$B$32,0),MATCH(C$4,'Table C - Capacity'!$4:$4,0)+IF(D$7="Winter",2,3))</f>
        <v>73.641671623293405</v>
      </c>
      <c r="E18" s="219">
        <f>'Table B - Energy'!E18+INDEX('Table C - Capacity'!$12:$32,MATCH($B18,'Table C - Capacity'!$B$12:$B$32,0),MATCH(C$4,'Table C - Capacity'!$4:$4,0)+IF(E$7="Winter",2,3))</f>
        <v>51.584999812594305</v>
      </c>
      <c r="F18" s="219">
        <f>'Table B - Energy'!F18+INDEX('Table C - Capacity'!$12:$32,MATCH($B18,'Table C - Capacity'!$B$12:$B$32,0),MATCH(C$4,'Table C - Capacity'!$4:$4,0)+IF(F$7="Winter",2,3))</f>
        <v>121.85704930836012</v>
      </c>
      <c r="G18" s="220">
        <f>'Table B - Energy'!G18+INDEX('Table C - Capacity'!$12:$32,MATCH($B18,'Table C - Capacity'!$B$12:$B$32,0),MATCH(C$4,'Table C - Capacity'!$4:$4,0)+IF(G$7="Winter",2,3))</f>
        <v>92.777612832950382</v>
      </c>
      <c r="H18" s="217">
        <f>SUMPRODUCT(I18:L18,Profiles!I18:L18)/SUM(Profiles!I18:L18)</f>
        <v>58.512982898122992</v>
      </c>
      <c r="I18" s="218">
        <f>'Table B - Energy'!I18+INDEX('Table C - Capacity'!$12:$32,MATCH($B18,'Table C - Capacity'!$B$12:$B$32,0),MATCH(H$4,'Table C - Capacity'!$4:$4,0)+IF(I$7="Winter",2,3))</f>
        <v>67.700052705842367</v>
      </c>
      <c r="J18" s="219">
        <f>'Table B - Energy'!J18+INDEX('Table C - Capacity'!$12:$32,MATCH($B18,'Table C - Capacity'!$B$12:$B$32,0),MATCH(H$4,'Table C - Capacity'!$4:$4,0)+IF(J$7="Winter",2,3))</f>
        <v>43.119821120107382</v>
      </c>
      <c r="K18" s="219">
        <f>'Table B - Energy'!K18+INDEX('Table C - Capacity'!$12:$32,MATCH($B18,'Table C - Capacity'!$B$12:$B$32,0),MATCH(H$4,'Table C - Capacity'!$4:$4,0)+IF(K$7="Winter",2,3))</f>
        <v>92.693333087615287</v>
      </c>
      <c r="L18" s="220">
        <f>'Table B - Energy'!L18+INDEX('Table C - Capacity'!$12:$32,MATCH($B18,'Table C - Capacity'!$B$12:$B$32,0),MATCH(H$4,'Table C - Capacity'!$4:$4,0)+IF(L$7="Winter",2,3))</f>
        <v>67.764256977456341</v>
      </c>
      <c r="N18" s="226">
        <f t="shared" si="1"/>
        <v>2030</v>
      </c>
      <c r="O18" s="217">
        <f>SUMPRODUCT(P18:S18,Profiles!N18:Q18)/SUM(Profiles!N18:Q18)</f>
        <v>41.169945444683101</v>
      </c>
      <c r="P18" s="218">
        <f>'Table B - Energy'!P18+INDEX('Table C - Capacity'!$12:$32,MATCH($B18,'Table C - Capacity'!$B$12:$B$32,0),MATCH(O$4,'Table C - Capacity'!$4:$4,0)+IF(P$7="Winter",2,3))</f>
        <v>39.299283340695638</v>
      </c>
      <c r="Q18" s="219">
        <f>'Table B - Energy'!Q18+INDEX('Table C - Capacity'!$12:$32,MATCH($B18,'Table C - Capacity'!$B$12:$B$32,0),MATCH(O$4,'Table C - Capacity'!$4:$4,0)+IF(Q$7="Winter",2,3))</f>
        <v>30.828528591297168</v>
      </c>
      <c r="R18" s="219">
        <f>'Table B - Energy'!R18+INDEX('Table C - Capacity'!$12:$32,MATCH($B18,'Table C - Capacity'!$B$12:$B$32,0),MATCH(O$4,'Table C - Capacity'!$4:$4,0)+IF(R$7="Winter",2,3))</f>
        <v>66.225361213132302</v>
      </c>
      <c r="S18" s="220">
        <f>'Table B - Energy'!S18+INDEX('Table C - Capacity'!$12:$32,MATCH($B18,'Table C - Capacity'!$B$12:$B$32,0),MATCH(O$4,'Table C - Capacity'!$4:$4,0)+IF(S$7="Winter",2,3))</f>
        <v>50.220902608908084</v>
      </c>
      <c r="T18" s="217">
        <f>SUMPRODUCT(U18:X18,Profiles!S18:V18)/SUM(Profiles!S18:V18)</f>
        <v>42.734921676042802</v>
      </c>
      <c r="U18" s="218">
        <f>'Table B - Energy'!U18+INDEX('Table C - Capacity'!$12:$32,MATCH($B18,'Table C - Capacity'!$B$12:$B$32,0),MATCH(T$4,'Table C - Capacity'!$4:$4,0)+IF(U$7="Winter",2,3))</f>
        <v>38.4304100917211</v>
      </c>
      <c r="V18" s="219">
        <f>'Table B - Energy'!V18+INDEX('Table C - Capacity'!$12:$32,MATCH($B18,'Table C - Capacity'!$B$12:$B$32,0),MATCH(T$4,'Table C - Capacity'!$4:$4,0)+IF(V$7="Winter",2,3))</f>
        <v>28.045634186130592</v>
      </c>
      <c r="W18" s="219">
        <f>'Table B - Energy'!W18+INDEX('Table C - Capacity'!$12:$32,MATCH($B18,'Table C - Capacity'!$B$12:$B$32,0),MATCH(T$4,'Table C - Capacity'!$4:$4,0)+IF(W$7="Winter",2,3))</f>
        <v>67.308186621193414</v>
      </c>
      <c r="X18" s="220">
        <f>'Table B - Energy'!X18+INDEX('Table C - Capacity'!$12:$32,MATCH($B18,'Table C - Capacity'!$B$12:$B$32,0),MATCH(T$4,'Table C - Capacity'!$4:$4,0)+IF(X$7="Winter",2,3))</f>
        <v>51.497238881803774</v>
      </c>
    </row>
    <row r="19" spans="2:24">
      <c r="B19" s="226">
        <f t="shared" si="0"/>
        <v>2031</v>
      </c>
      <c r="C19" s="217">
        <f>SUMPRODUCT(D19:G19,Profiles!D19:G19)/SUM(Profiles!D19:G19)</f>
        <v>71.632272999409935</v>
      </c>
      <c r="D19" s="218">
        <f>'Table B - Energy'!D19+INDEX('Table C - Capacity'!$12:$32,MATCH($B19,'Table C - Capacity'!$B$12:$B$32,0),MATCH(C$4,'Table C - Capacity'!$4:$4,0)+IF(D$7="Winter",2,3))</f>
        <v>71.231604667637555</v>
      </c>
      <c r="E19" s="219">
        <f>'Table B - Energy'!E19+INDEX('Table C - Capacity'!$12:$32,MATCH($B19,'Table C - Capacity'!$B$12:$B$32,0),MATCH(C$4,'Table C - Capacity'!$4:$4,0)+IF(E$7="Winter",2,3))</f>
        <v>50.395190058584276</v>
      </c>
      <c r="F19" s="219">
        <f>'Table B - Energy'!F19+INDEX('Table C - Capacity'!$12:$32,MATCH($B19,'Table C - Capacity'!$B$12:$B$32,0),MATCH(C$4,'Table C - Capacity'!$4:$4,0)+IF(F$7="Winter",2,3))</f>
        <v>117.97254885695629</v>
      </c>
      <c r="G19" s="220">
        <f>'Table B - Energy'!G19+INDEX('Table C - Capacity'!$12:$32,MATCH($B19,'Table C - Capacity'!$B$12:$B$32,0),MATCH(C$4,'Table C - Capacity'!$4:$4,0)+IF(G$7="Winter",2,3))</f>
        <v>91.161252750398859</v>
      </c>
      <c r="H19" s="217">
        <f>SUMPRODUCT(I19:L19,Profiles!I19:L19)/SUM(Profiles!I19:L19)</f>
        <v>56.446072583311832</v>
      </c>
      <c r="I19" s="218">
        <f>'Table B - Energy'!I19+INDEX('Table C - Capacity'!$12:$32,MATCH($B19,'Table C - Capacity'!$B$12:$B$32,0),MATCH(H$4,'Table C - Capacity'!$4:$4,0)+IF(I$7="Winter",2,3))</f>
        <v>65.080852028304051</v>
      </c>
      <c r="J19" s="219">
        <f>'Table B - Energy'!J19+INDEX('Table C - Capacity'!$12:$32,MATCH($B19,'Table C - Capacity'!$B$12:$B$32,0),MATCH(H$4,'Table C - Capacity'!$4:$4,0)+IF(J$7="Winter",2,3))</f>
        <v>41.784549120296283</v>
      </c>
      <c r="K19" s="219">
        <f>'Table B - Energy'!K19+INDEX('Table C - Capacity'!$12:$32,MATCH($B19,'Table C - Capacity'!$B$12:$B$32,0),MATCH(H$4,'Table C - Capacity'!$4:$4,0)+IF(K$7="Winter",2,3))</f>
        <v>88.571590100163476</v>
      </c>
      <c r="L19" s="220">
        <f>'Table B - Energy'!L19+INDEX('Table C - Capacity'!$12:$32,MATCH($B19,'Table C - Capacity'!$B$12:$B$32,0),MATCH(H$4,'Table C - Capacity'!$4:$4,0)+IF(L$7="Winter",2,3))</f>
        <v>65.621276829221145</v>
      </c>
      <c r="N19" s="226">
        <f t="shared" si="1"/>
        <v>2031</v>
      </c>
      <c r="O19" s="217">
        <f>SUMPRODUCT(P19:S19,Profiles!N19:Q19)/SUM(Profiles!N19:Q19)</f>
        <v>39.142354930845713</v>
      </c>
      <c r="P19" s="218">
        <f>'Table B - Energy'!P19+INDEX('Table C - Capacity'!$12:$32,MATCH($B19,'Table C - Capacity'!$B$12:$B$32,0),MATCH(O$4,'Table C - Capacity'!$4:$4,0)+IF(P$7="Winter",2,3))</f>
        <v>37.116212074926764</v>
      </c>
      <c r="Q19" s="219">
        <f>'Table B - Energy'!Q19+INDEX('Table C - Capacity'!$12:$32,MATCH($B19,'Table C - Capacity'!$B$12:$B$32,0),MATCH(O$4,'Table C - Capacity'!$4:$4,0)+IF(Q$7="Winter",2,3))</f>
        <v>29.408777726108159</v>
      </c>
      <c r="R19" s="219">
        <f>'Table B - Energy'!R19+INDEX('Table C - Capacity'!$12:$32,MATCH($B19,'Table C - Capacity'!$B$12:$B$32,0),MATCH(O$4,'Table C - Capacity'!$4:$4,0)+IF(R$7="Winter",2,3))</f>
        <v>62.743659824003224</v>
      </c>
      <c r="S19" s="220">
        <f>'Table B - Energy'!S19+INDEX('Table C - Capacity'!$12:$32,MATCH($B19,'Table C - Capacity'!$B$12:$B$32,0),MATCH(O$4,'Table C - Capacity'!$4:$4,0)+IF(S$7="Winter",2,3))</f>
        <v>47.680512116466652</v>
      </c>
      <c r="T19" s="217">
        <f>SUMPRODUCT(U19:X19,Profiles!S19:V19)/SUM(Profiles!S19:V19)</f>
        <v>40.578241814560634</v>
      </c>
      <c r="U19" s="218">
        <f>'Table B - Energy'!U19+INDEX('Table C - Capacity'!$12:$32,MATCH($B19,'Table C - Capacity'!$B$12:$B$32,0),MATCH(T$4,'Table C - Capacity'!$4:$4,0)+IF(U$7="Winter",2,3))</f>
        <v>36.320893108723922</v>
      </c>
      <c r="V19" s="219">
        <f>'Table B - Energy'!V19+INDEX('Table C - Capacity'!$12:$32,MATCH($B19,'Table C - Capacity'!$B$12:$B$32,0),MATCH(T$4,'Table C - Capacity'!$4:$4,0)+IF(V$7="Winter",2,3))</f>
        <v>26.681446316226168</v>
      </c>
      <c r="W19" s="219">
        <f>'Table B - Energy'!W19+INDEX('Table C - Capacity'!$12:$32,MATCH($B19,'Table C - Capacity'!$B$12:$B$32,0),MATCH(T$4,'Table C - Capacity'!$4:$4,0)+IF(W$7="Winter",2,3))</f>
        <v>63.865599579806812</v>
      </c>
      <c r="X19" s="220">
        <f>'Table B - Energy'!X19+INDEX('Table C - Capacity'!$12:$32,MATCH($B19,'Table C - Capacity'!$B$12:$B$32,0),MATCH(T$4,'Table C - Capacity'!$4:$4,0)+IF(X$7="Winter",2,3))</f>
        <v>48.880751031065621</v>
      </c>
    </row>
    <row r="20" spans="2:24">
      <c r="B20" s="226">
        <f t="shared" si="0"/>
        <v>2032</v>
      </c>
      <c r="C20" s="217">
        <f>SUMPRODUCT(D20:G20,Profiles!D20:G20)/SUM(Profiles!D20:G20)</f>
        <v>70.998317674487666</v>
      </c>
      <c r="D20" s="218">
        <f>'Table B - Energy'!D20+INDEX('Table C - Capacity'!$12:$32,MATCH($B20,'Table C - Capacity'!$B$12:$B$32,0),MATCH(C$4,'Table C - Capacity'!$4:$4,0)+IF(D$7="Winter",2,3))</f>
        <v>69.685549486085833</v>
      </c>
      <c r="E20" s="219">
        <f>'Table B - Energy'!E20+INDEX('Table C - Capacity'!$12:$32,MATCH($B20,'Table C - Capacity'!$B$12:$B$32,0),MATCH(C$4,'Table C - Capacity'!$4:$4,0)+IF(E$7="Winter",2,3))</f>
        <v>49.35907407624984</v>
      </c>
      <c r="F20" s="219">
        <f>'Table B - Energy'!F20+INDEX('Table C - Capacity'!$12:$32,MATCH($B20,'Table C - Capacity'!$B$12:$B$32,0),MATCH(C$4,'Table C - Capacity'!$4:$4,0)+IF(F$7="Winter",2,3))</f>
        <v>118.62516552670098</v>
      </c>
      <c r="G20" s="220">
        <f>'Table B - Energy'!G20+INDEX('Table C - Capacity'!$12:$32,MATCH($B20,'Table C - Capacity'!$B$12:$B$32,0),MATCH(C$4,'Table C - Capacity'!$4:$4,0)+IF(G$7="Winter",2,3))</f>
        <v>91.776149133258485</v>
      </c>
      <c r="H20" s="217">
        <f>SUMPRODUCT(I20:L20,Profiles!I20:L20)/SUM(Profiles!I20:L20)</f>
        <v>55.42777021856763</v>
      </c>
      <c r="I20" s="218">
        <f>'Table B - Energy'!I20+INDEX('Table C - Capacity'!$12:$32,MATCH($B20,'Table C - Capacity'!$B$12:$B$32,0),MATCH(H$4,'Table C - Capacity'!$4:$4,0)+IF(I$7="Winter",2,3))</f>
        <v>63.358200995447923</v>
      </c>
      <c r="J20" s="219">
        <f>'Table B - Energy'!J20+INDEX('Table C - Capacity'!$12:$32,MATCH($B20,'Table C - Capacity'!$B$12:$B$32,0),MATCH(H$4,'Table C - Capacity'!$4:$4,0)+IF(J$7="Winter",2,3))</f>
        <v>40.65710716204967</v>
      </c>
      <c r="K20" s="219">
        <f>'Table B - Energy'!K20+INDEX('Table C - Capacity'!$12:$32,MATCH($B20,'Table C - Capacity'!$B$12:$B$32,0),MATCH(H$4,'Table C - Capacity'!$4:$4,0)+IF(K$7="Winter",2,3))</f>
        <v>88.142861898058072</v>
      </c>
      <c r="L20" s="220">
        <f>'Table B - Energy'!L20+INDEX('Table C - Capacity'!$12:$32,MATCH($B20,'Table C - Capacity'!$B$12:$B$32,0),MATCH(H$4,'Table C - Capacity'!$4:$4,0)+IF(L$7="Winter",2,3))</f>
        <v>65.545294434183873</v>
      </c>
      <c r="N20" s="226">
        <f t="shared" si="1"/>
        <v>2032</v>
      </c>
      <c r="O20" s="217">
        <f>SUMPRODUCT(P20:S20,Profiles!N20:Q20)/SUM(Profiles!N20:Q20)</f>
        <v>38.611625304825147</v>
      </c>
      <c r="P20" s="218">
        <f>'Table B - Energy'!P20+INDEX('Table C - Capacity'!$12:$32,MATCH($B20,'Table C - Capacity'!$B$12:$B$32,0),MATCH(O$4,'Table C - Capacity'!$4:$4,0)+IF(P$7="Winter",2,3))</f>
        <v>35.482484834432817</v>
      </c>
      <c r="Q20" s="219">
        <f>'Table B - Energy'!Q20+INDEX('Table C - Capacity'!$12:$32,MATCH($B20,'Table C - Capacity'!$B$12:$B$32,0),MATCH(O$4,'Table C - Capacity'!$4:$4,0)+IF(Q$7="Winter",2,3))</f>
        <v>28.504118973797503</v>
      </c>
      <c r="R20" s="219">
        <f>'Table B - Energy'!R20+INDEX('Table C - Capacity'!$12:$32,MATCH($B20,'Table C - Capacity'!$B$12:$B$32,0),MATCH(O$4,'Table C - Capacity'!$4:$4,0)+IF(R$7="Winter",2,3))</f>
        <v>62.864650699937719</v>
      </c>
      <c r="S20" s="220">
        <f>'Table B - Energy'!S20+INDEX('Table C - Capacity'!$12:$32,MATCH($B20,'Table C - Capacity'!$B$12:$B$32,0),MATCH(O$4,'Table C - Capacity'!$4:$4,0)+IF(S$7="Winter",2,3))</f>
        <v>47.724252131959524</v>
      </c>
      <c r="T20" s="217">
        <f>SUMPRODUCT(U20:X20,Profiles!S20:V20)/SUM(Profiles!S20:V20)</f>
        <v>40.189976023659746</v>
      </c>
      <c r="U20" s="218">
        <f>'Table B - Energy'!U20+INDEX('Table C - Capacity'!$12:$32,MATCH($B20,'Table C - Capacity'!$B$12:$B$32,0),MATCH(T$4,'Table C - Capacity'!$4:$4,0)+IF(U$7="Winter",2,3))</f>
        <v>34.667366525997991</v>
      </c>
      <c r="V20" s="219">
        <f>'Table B - Energy'!V20+INDEX('Table C - Capacity'!$12:$32,MATCH($B20,'Table C - Capacity'!$B$12:$B$32,0),MATCH(T$4,'Table C - Capacity'!$4:$4,0)+IF(V$7="Winter",2,3))</f>
        <v>25.82091498829627</v>
      </c>
      <c r="W20" s="219">
        <f>'Table B - Energy'!W20+INDEX('Table C - Capacity'!$12:$32,MATCH($B20,'Table C - Capacity'!$B$12:$B$32,0),MATCH(T$4,'Table C - Capacity'!$4:$4,0)+IF(W$7="Winter",2,3))</f>
        <v>64.117587989564186</v>
      </c>
      <c r="X20" s="220">
        <f>'Table B - Energy'!X20+INDEX('Table C - Capacity'!$12:$32,MATCH($B20,'Table C - Capacity'!$B$12:$B$32,0),MATCH(T$4,'Table C - Capacity'!$4:$4,0)+IF(X$7="Winter",2,3))</f>
        <v>49.034663350327342</v>
      </c>
    </row>
    <row r="21" spans="2:24">
      <c r="B21" s="226">
        <f t="shared" si="0"/>
        <v>2033</v>
      </c>
      <c r="C21" s="217">
        <f>SUMPRODUCT(D21:G21,Profiles!D21:G21)/SUM(Profiles!D21:G21)</f>
        <v>69.039487015402074</v>
      </c>
      <c r="D21" s="218">
        <f>'Table B - Energy'!D21+INDEX('Table C - Capacity'!$12:$32,MATCH($B21,'Table C - Capacity'!$B$12:$B$32,0),MATCH(C$4,'Table C - Capacity'!$4:$4,0)+IF(D$7="Winter",2,3))</f>
        <v>66.92332502903426</v>
      </c>
      <c r="E21" s="219">
        <f>'Table B - Energy'!E21+INDEX('Table C - Capacity'!$12:$32,MATCH($B21,'Table C - Capacity'!$B$12:$B$32,0),MATCH(C$4,'Table C - Capacity'!$4:$4,0)+IF(E$7="Winter",2,3))</f>
        <v>47.617231922038677</v>
      </c>
      <c r="F21" s="219">
        <f>'Table B - Energy'!F21+INDEX('Table C - Capacity'!$12:$32,MATCH($B21,'Table C - Capacity'!$B$12:$B$32,0),MATCH(C$4,'Table C - Capacity'!$4:$4,0)+IF(F$7="Winter",2,3))</f>
        <v>116.11460884070804</v>
      </c>
      <c r="G21" s="220">
        <f>'Table B - Energy'!G21+INDEX('Table C - Capacity'!$12:$32,MATCH($B21,'Table C - Capacity'!$B$12:$B$32,0),MATCH(C$4,'Table C - Capacity'!$4:$4,0)+IF(G$7="Winter",2,3))</f>
        <v>90.278333225953958</v>
      </c>
      <c r="H21" s="217">
        <f>SUMPRODUCT(I21:L21,Profiles!I21:L21)/SUM(Profiles!I21:L21)</f>
        <v>53.111314215858023</v>
      </c>
      <c r="I21" s="218">
        <f>'Table B - Energy'!I21+INDEX('Table C - Capacity'!$12:$32,MATCH($B21,'Table C - Capacity'!$B$12:$B$32,0),MATCH(H$4,'Table C - Capacity'!$4:$4,0)+IF(I$7="Winter",2,3))</f>
        <v>60.298403520100024</v>
      </c>
      <c r="J21" s="219">
        <f>'Table B - Energy'!J21+INDEX('Table C - Capacity'!$12:$32,MATCH($B21,'Table C - Capacity'!$B$12:$B$32,0),MATCH(H$4,'Table C - Capacity'!$4:$4,0)+IF(J$7="Winter",2,3))</f>
        <v>38.746338724748881</v>
      </c>
      <c r="K21" s="219">
        <f>'Table B - Energy'!K21+INDEX('Table C - Capacity'!$12:$32,MATCH($B21,'Table C - Capacity'!$B$12:$B$32,0),MATCH(H$4,'Table C - Capacity'!$4:$4,0)+IF(K$7="Winter",2,3))</f>
        <v>84.967419878606009</v>
      </c>
      <c r="L21" s="220">
        <f>'Table B - Energy'!L21+INDEX('Table C - Capacity'!$12:$32,MATCH($B21,'Table C - Capacity'!$B$12:$B$32,0),MATCH(H$4,'Table C - Capacity'!$4:$4,0)+IF(L$7="Winter",2,3))</f>
        <v>63.475972278340208</v>
      </c>
      <c r="N21" s="226">
        <f t="shared" si="1"/>
        <v>2033</v>
      </c>
      <c r="O21" s="217">
        <f>SUMPRODUCT(P21:S21,Profiles!N21:Q21)/SUM(Profiles!N21:Q21)</f>
        <v>36.826989733924442</v>
      </c>
      <c r="P21" s="218">
        <f>'Table B - Energy'!P21+INDEX('Table C - Capacity'!$12:$32,MATCH($B21,'Table C - Capacity'!$B$12:$B$32,0),MATCH(O$4,'Table C - Capacity'!$4:$4,0)+IF(P$7="Winter",2,3))</f>
        <v>32.829183567666362</v>
      </c>
      <c r="Q21" s="219">
        <f>'Table B - Energy'!Q21+INDEX('Table C - Capacity'!$12:$32,MATCH($B21,'Table C - Capacity'!$B$12:$B$32,0),MATCH(O$4,'Table C - Capacity'!$4:$4,0)+IF(Q$7="Winter",2,3))</f>
        <v>26.952761180047283</v>
      </c>
      <c r="R21" s="219">
        <f>'Table B - Energy'!R21+INDEX('Table C - Capacity'!$12:$32,MATCH($B21,'Table C - Capacity'!$B$12:$B$32,0),MATCH(O$4,'Table C - Capacity'!$4:$4,0)+IF(R$7="Winter",2,3))</f>
        <v>60.369010564649479</v>
      </c>
      <c r="S21" s="220">
        <f>'Table B - Energy'!S21+INDEX('Table C - Capacity'!$12:$32,MATCH($B21,'Table C - Capacity'!$B$12:$B$32,0),MATCH(O$4,'Table C - Capacity'!$4:$4,0)+IF(S$7="Winter",2,3))</f>
        <v>45.811064082188004</v>
      </c>
      <c r="T21" s="217">
        <f>SUMPRODUCT(U21:X21,Profiles!S21:V21)/SUM(Profiles!S21:V21)</f>
        <v>38.263952298660932</v>
      </c>
      <c r="U21" s="218">
        <f>'Table B - Energy'!U21+INDEX('Table C - Capacity'!$12:$32,MATCH($B21,'Table C - Capacity'!$B$12:$B$32,0),MATCH(T$4,'Table C - Capacity'!$4:$4,0)+IF(U$7="Winter",2,3))</f>
        <v>32.137627666503533</v>
      </c>
      <c r="V21" s="219">
        <f>'Table B - Energy'!V21+INDEX('Table C - Capacity'!$12:$32,MATCH($B21,'Table C - Capacity'!$B$12:$B$32,0),MATCH(T$4,'Table C - Capacity'!$4:$4,0)+IF(V$7="Winter",2,3))</f>
        <v>24.202395944056615</v>
      </c>
      <c r="W21" s="219">
        <f>'Table B - Energy'!W21+INDEX('Table C - Capacity'!$12:$32,MATCH($B21,'Table C - Capacity'!$B$12:$B$32,0),MATCH(T$4,'Table C - Capacity'!$4:$4,0)+IF(W$7="Winter",2,3))</f>
        <v>61.502068874128973</v>
      </c>
      <c r="X21" s="220">
        <f>'Table B - Energy'!X21+INDEX('Table C - Capacity'!$12:$32,MATCH($B21,'Table C - Capacity'!$B$12:$B$32,0),MATCH(T$4,'Table C - Capacity'!$4:$4,0)+IF(X$7="Winter",2,3))</f>
        <v>47.050677973370746</v>
      </c>
    </row>
    <row r="22" spans="2:24">
      <c r="B22" s="226">
        <f t="shared" si="0"/>
        <v>2034</v>
      </c>
      <c r="C22" s="217">
        <f>SUMPRODUCT(D22:G22,Profiles!D22:G22)/SUM(Profiles!D22:G22)</f>
        <v>66.454358380194989</v>
      </c>
      <c r="D22" s="218">
        <f>'Table B - Energy'!D22+INDEX('Table C - Capacity'!$12:$32,MATCH($B22,'Table C - Capacity'!$B$12:$B$32,0),MATCH(C$4,'Table C - Capacity'!$4:$4,0)+IF(D$7="Winter",2,3))</f>
        <v>63.298775146327223</v>
      </c>
      <c r="E22" s="219">
        <f>'Table B - Energy'!E22+INDEX('Table C - Capacity'!$12:$32,MATCH($B22,'Table C - Capacity'!$B$12:$B$32,0),MATCH(C$4,'Table C - Capacity'!$4:$4,0)+IF(E$7="Winter",2,3))</f>
        <v>45.348661977602667</v>
      </c>
      <c r="F22" s="219">
        <f>'Table B - Energy'!F22+INDEX('Table C - Capacity'!$12:$32,MATCH($B22,'Table C - Capacity'!$B$12:$B$32,0),MATCH(C$4,'Table C - Capacity'!$4:$4,0)+IF(F$7="Winter",2,3))</f>
        <v>112.80615531322678</v>
      </c>
      <c r="G22" s="220">
        <f>'Table B - Energy'!G22+INDEX('Table C - Capacity'!$12:$32,MATCH($B22,'Table C - Capacity'!$B$12:$B$32,0),MATCH(C$4,'Table C - Capacity'!$4:$4,0)+IF(G$7="Winter",2,3))</f>
        <v>88.459505723063259</v>
      </c>
      <c r="H22" s="217">
        <f>SUMPRODUCT(I22:L22,Profiles!I22:L22)/SUM(Profiles!I22:L22)</f>
        <v>50.228232792912195</v>
      </c>
      <c r="I22" s="218">
        <f>'Table B - Energy'!I22+INDEX('Table C - Capacity'!$12:$32,MATCH($B22,'Table C - Capacity'!$B$12:$B$32,0),MATCH(H$4,'Table C - Capacity'!$4:$4,0)+IF(I$7="Winter",2,3))</f>
        <v>56.420007246221111</v>
      </c>
      <c r="J22" s="219">
        <f>'Table B - Energy'!J22+INDEX('Table C - Capacity'!$12:$32,MATCH($B22,'Table C - Capacity'!$B$12:$B$32,0),MATCH(H$4,'Table C - Capacity'!$4:$4,0)+IF(J$7="Winter",2,3))</f>
        <v>36.303098285975786</v>
      </c>
      <c r="K22" s="219">
        <f>'Table B - Energy'!K22+INDEX('Table C - Capacity'!$12:$32,MATCH($B22,'Table C - Capacity'!$B$12:$B$32,0),MATCH(H$4,'Table C - Capacity'!$4:$4,0)+IF(K$7="Winter",2,3))</f>
        <v>81.363916133260133</v>
      </c>
      <c r="L22" s="220">
        <f>'Table B - Energy'!L22+INDEX('Table C - Capacity'!$12:$32,MATCH($B22,'Table C - Capacity'!$B$12:$B$32,0),MATCH(H$4,'Table C - Capacity'!$4:$4,0)+IF(L$7="Winter",2,3))</f>
        <v>61.100909278579493</v>
      </c>
      <c r="N22" s="226">
        <f t="shared" si="1"/>
        <v>2034</v>
      </c>
      <c r="O22" s="217">
        <f>SUMPRODUCT(P22:S22,Profiles!N22:Q22)/SUM(Profiles!N22:Q22)</f>
        <v>34.568811683045261</v>
      </c>
      <c r="P22" s="218">
        <f>'Table B - Energy'!P22+INDEX('Table C - Capacity'!$12:$32,MATCH($B22,'Table C - Capacity'!$B$12:$B$32,0),MATCH(O$4,'Table C - Capacity'!$4:$4,0)+IF(P$7="Winter",2,3))</f>
        <v>30.135933570955455</v>
      </c>
      <c r="Q22" s="219">
        <f>'Table B - Energy'!Q22+INDEX('Table C - Capacity'!$12:$32,MATCH($B22,'Table C - Capacity'!$B$12:$B$32,0),MATCH(O$4,'Table C - Capacity'!$4:$4,0)+IF(Q$7="Winter",2,3))</f>
        <v>25.003528765271273</v>
      </c>
      <c r="R22" s="219">
        <f>'Table B - Energy'!R22+INDEX('Table C - Capacity'!$12:$32,MATCH($B22,'Table C - Capacity'!$B$12:$B$32,0),MATCH(O$4,'Table C - Capacity'!$4:$4,0)+IF(R$7="Winter",2,3))</f>
        <v>57.183896751227188</v>
      </c>
      <c r="S22" s="220">
        <f>'Table B - Energy'!S22+INDEX('Table C - Capacity'!$12:$32,MATCH($B22,'Table C - Capacity'!$B$12:$B$32,0),MATCH(O$4,'Table C - Capacity'!$4:$4,0)+IF(S$7="Winter",2,3))</f>
        <v>43.390243779470978</v>
      </c>
      <c r="T22" s="217">
        <f>SUMPRODUCT(U22:X22,Profiles!S22:V22)/SUM(Profiles!S22:V22)</f>
        <v>35.978592706844289</v>
      </c>
      <c r="U22" s="218">
        <f>'Table B - Energy'!U22+INDEX('Table C - Capacity'!$12:$32,MATCH($B22,'Table C - Capacity'!$B$12:$B$32,0),MATCH(T$4,'Table C - Capacity'!$4:$4,0)+IF(U$7="Winter",2,3))</f>
        <v>29.513405960782663</v>
      </c>
      <c r="V22" s="219">
        <f>'Table B - Energy'!V22+INDEX('Table C - Capacity'!$12:$32,MATCH($B22,'Table C - Capacity'!$B$12:$B$32,0),MATCH(T$4,'Table C - Capacity'!$4:$4,0)+IF(V$7="Winter",2,3))</f>
        <v>22.390664601047369</v>
      </c>
      <c r="W22" s="219">
        <f>'Table B - Energy'!W22+INDEX('Table C - Capacity'!$12:$32,MATCH($B22,'Table C - Capacity'!$B$12:$B$32,0),MATCH(T$4,'Table C - Capacity'!$4:$4,0)+IF(W$7="Winter",2,3))</f>
        <v>58.342071008851505</v>
      </c>
      <c r="X22" s="220">
        <f>'Table B - Energy'!X22+INDEX('Table C - Capacity'!$12:$32,MATCH($B22,'Table C - Capacity'!$B$12:$B$32,0),MATCH(T$4,'Table C - Capacity'!$4:$4,0)+IF(X$7="Winter",2,3))</f>
        <v>44.582992897784806</v>
      </c>
    </row>
    <row r="23" spans="2:24">
      <c r="B23" s="226">
        <f t="shared" si="0"/>
        <v>2035</v>
      </c>
      <c r="C23" s="217">
        <f>SUMPRODUCT(D23:G23,Profiles!D23:G23)/SUM(Profiles!D23:G23)</f>
        <v>69.463406673031272</v>
      </c>
      <c r="D23" s="218">
        <f>'Table B - Energy'!D23+INDEX('Table C - Capacity'!$12:$32,MATCH($B23,'Table C - Capacity'!$B$12:$B$32,0),MATCH(C$4,'Table C - Capacity'!$4:$4,0)+IF(D$7="Winter",2,3))</f>
        <v>66.652344443352391</v>
      </c>
      <c r="E23" s="219">
        <f>'Table B - Energy'!E23+INDEX('Table C - Capacity'!$12:$32,MATCH($B23,'Table C - Capacity'!$B$12:$B$32,0),MATCH(C$4,'Table C - Capacity'!$4:$4,0)+IF(E$7="Winter",2,3))</f>
        <v>47.526241048290522</v>
      </c>
      <c r="F23" s="219">
        <f>'Table B - Energy'!F23+INDEX('Table C - Capacity'!$12:$32,MATCH($B23,'Table C - Capacity'!$B$12:$B$32,0),MATCH(C$4,'Table C - Capacity'!$4:$4,0)+IF(F$7="Winter",2,3))</f>
        <v>117.55009551302005</v>
      </c>
      <c r="G23" s="220">
        <f>'Table B - Energy'!G23+INDEX('Table C - Capacity'!$12:$32,MATCH($B23,'Table C - Capacity'!$B$12:$B$32,0),MATCH(C$4,'Table C - Capacity'!$4:$4,0)+IF(G$7="Winter",2,3))</f>
        <v>91.914122152364655</v>
      </c>
      <c r="H23" s="217">
        <f>SUMPRODUCT(I23:L23,Profiles!I23:L23)/SUM(Profiles!I23:L23)</f>
        <v>52.835031458230404</v>
      </c>
      <c r="I23" s="218">
        <f>'Table B - Energy'!I23+INDEX('Table C - Capacity'!$12:$32,MATCH($B23,'Table C - Capacity'!$B$12:$B$32,0),MATCH(H$4,'Table C - Capacity'!$4:$4,0)+IF(I$7="Winter",2,3))</f>
        <v>59.659344203280945</v>
      </c>
      <c r="J23" s="219">
        <f>'Table B - Energy'!J23+INDEX('Table C - Capacity'!$12:$32,MATCH($B23,'Table C - Capacity'!$B$12:$B$32,0),MATCH(H$4,'Table C - Capacity'!$4:$4,0)+IF(J$7="Winter",2,3))</f>
        <v>38.229821956975897</v>
      </c>
      <c r="K23" s="219">
        <f>'Table B - Energy'!K23+INDEX('Table C - Capacity'!$12:$32,MATCH($B23,'Table C - Capacity'!$B$12:$B$32,0),MATCH(H$4,'Table C - Capacity'!$4:$4,0)+IF(K$7="Winter",2,3))</f>
        <v>85.59276687740001</v>
      </c>
      <c r="L23" s="220">
        <f>'Table B - Energy'!L23+INDEX('Table C - Capacity'!$12:$32,MATCH($B23,'Table C - Capacity'!$B$12:$B$32,0),MATCH(H$4,'Table C - Capacity'!$4:$4,0)+IF(L$7="Winter",2,3))</f>
        <v>63.779328295313491</v>
      </c>
      <c r="N23" s="226">
        <f t="shared" si="1"/>
        <v>2035</v>
      </c>
      <c r="O23" s="217">
        <f>SUMPRODUCT(P23:S23,Profiles!N23:Q23)/SUM(Profiles!N23:Q23)</f>
        <v>36.339798550520896</v>
      </c>
      <c r="P23" s="218">
        <f>'Table B - Energy'!P23+INDEX('Table C - Capacity'!$12:$32,MATCH($B23,'Table C - Capacity'!$B$12:$B$32,0),MATCH(O$4,'Table C - Capacity'!$4:$4,0)+IF(P$7="Winter",2,3))</f>
        <v>32.405029577188436</v>
      </c>
      <c r="Q23" s="219">
        <f>'Table B - Energy'!Q23+INDEX('Table C - Capacity'!$12:$32,MATCH($B23,'Table C - Capacity'!$B$12:$B$32,0),MATCH(O$4,'Table C - Capacity'!$4:$4,0)+IF(Q$7="Winter",2,3))</f>
        <v>26.450991392951927</v>
      </c>
      <c r="R23" s="219">
        <f>'Table B - Energy'!R23+INDEX('Table C - Capacity'!$12:$32,MATCH($B23,'Table C - Capacity'!$B$12:$B$32,0),MATCH(O$4,'Table C - Capacity'!$4:$4,0)+IF(R$7="Winter",2,3))</f>
        <v>59.80636571810755</v>
      </c>
      <c r="S23" s="220">
        <f>'Table B - Energy'!S23+INDEX('Table C - Capacity'!$12:$32,MATCH($B23,'Table C - Capacity'!$B$12:$B$32,0),MATCH(O$4,'Table C - Capacity'!$4:$4,0)+IF(S$7="Winter",2,3))</f>
        <v>45.367941572788112</v>
      </c>
      <c r="T23" s="217">
        <f>SUMPRODUCT(U23:X23,Profiles!S23:V23)/SUM(Profiles!S23:V23)</f>
        <v>37.859522201828078</v>
      </c>
      <c r="U23" s="218">
        <f>'Table B - Energy'!U23+INDEX('Table C - Capacity'!$12:$32,MATCH($B23,'Table C - Capacity'!$B$12:$B$32,0),MATCH(T$4,'Table C - Capacity'!$4:$4,0)+IF(U$7="Winter",2,3))</f>
        <v>31.931072205499728</v>
      </c>
      <c r="V23" s="219">
        <f>'Table B - Energy'!V23+INDEX('Table C - Capacity'!$12:$32,MATCH($B23,'Table C - Capacity'!$B$12:$B$32,0),MATCH(T$4,'Table C - Capacity'!$4:$4,0)+IF(V$7="Winter",2,3))</f>
        <v>23.82653385760624</v>
      </c>
      <c r="W23" s="219">
        <f>'Table B - Energy'!W23+INDEX('Table C - Capacity'!$12:$32,MATCH($B23,'Table C - Capacity'!$B$12:$B$32,0),MATCH(T$4,'Table C - Capacity'!$4:$4,0)+IF(W$7="Winter",2,3))</f>
        <v>61.0150463324551</v>
      </c>
      <c r="X23" s="220">
        <f>'Table B - Energy'!X23+INDEX('Table C - Capacity'!$12:$32,MATCH($B23,'Table C - Capacity'!$B$12:$B$32,0),MATCH(T$4,'Table C - Capacity'!$4:$4,0)+IF(X$7="Winter",2,3))</f>
        <v>46.613815039616576</v>
      </c>
    </row>
    <row r="24" spans="2:24">
      <c r="B24" s="226">
        <f t="shared" si="0"/>
        <v>2036</v>
      </c>
      <c r="C24" s="217">
        <f>SUMPRODUCT(D24:G24,Profiles!D24:G24)/SUM(Profiles!D24:G24)</f>
        <v>71.938396885071597</v>
      </c>
      <c r="D24" s="218">
        <f>'Table B - Energy'!D24+INDEX('Table C - Capacity'!$12:$32,MATCH($B24,'Table C - Capacity'!$B$12:$B$32,0),MATCH(C$4,'Table C - Capacity'!$4:$4,0)+IF(D$7="Winter",2,3))</f>
        <v>68.172925183464329</v>
      </c>
      <c r="E24" s="219">
        <f>'Table B - Energy'!E24+INDEX('Table C - Capacity'!$12:$32,MATCH($B24,'Table C - Capacity'!$B$12:$B$32,0),MATCH(C$4,'Table C - Capacity'!$4:$4,0)+IF(E$7="Winter",2,3))</f>
        <v>48.712863708054421</v>
      </c>
      <c r="F24" s="219">
        <f>'Table B - Energy'!F24+INDEX('Table C - Capacity'!$12:$32,MATCH($B24,'Table C - Capacity'!$B$12:$B$32,0),MATCH(C$4,'Table C - Capacity'!$4:$4,0)+IF(F$7="Winter",2,3))</f>
        <v>123.34374261069055</v>
      </c>
      <c r="G24" s="220">
        <f>'Table B - Energy'!G24+INDEX('Table C - Capacity'!$12:$32,MATCH($B24,'Table C - Capacity'!$B$12:$B$32,0),MATCH(C$4,'Table C - Capacity'!$4:$4,0)+IF(G$7="Winter",2,3))</f>
        <v>96.452262077903711</v>
      </c>
      <c r="H24" s="217">
        <f>SUMPRODUCT(I24:L24,Profiles!I24:L24)/SUM(Profiles!I24:L24)</f>
        <v>54.753322816843273</v>
      </c>
      <c r="I24" s="218">
        <f>'Table B - Energy'!I24+INDEX('Table C - Capacity'!$12:$32,MATCH($B24,'Table C - Capacity'!$B$12:$B$32,0),MATCH(H$4,'Table C - Capacity'!$4:$4,0)+IF(I$7="Winter",2,3))</f>
        <v>60.919737550617533</v>
      </c>
      <c r="J24" s="219">
        <f>'Table B - Energy'!J24+INDEX('Table C - Capacity'!$12:$32,MATCH($B24,'Table C - Capacity'!$B$12:$B$32,0),MATCH(H$4,'Table C - Capacity'!$4:$4,0)+IF(J$7="Winter",2,3))</f>
        <v>39.15973513530318</v>
      </c>
      <c r="K24" s="219">
        <f>'Table B - Energy'!K24+INDEX('Table C - Capacity'!$12:$32,MATCH($B24,'Table C - Capacity'!$B$12:$B$32,0),MATCH(H$4,'Table C - Capacity'!$4:$4,0)+IF(K$7="Winter",2,3))</f>
        <v>90.36977153225223</v>
      </c>
      <c r="L24" s="220">
        <f>'Table B - Energy'!L24+INDEX('Table C - Capacity'!$12:$32,MATCH($B24,'Table C - Capacity'!$B$12:$B$32,0),MATCH(H$4,'Table C - Capacity'!$4:$4,0)+IF(L$7="Winter",2,3))</f>
        <v>67.613761646376929</v>
      </c>
      <c r="N24" s="226">
        <f t="shared" si="1"/>
        <v>2036</v>
      </c>
      <c r="O24" s="217">
        <f>SUMPRODUCT(P24:S24,Profiles!N24:Q24)/SUM(Profiles!N24:Q24)</f>
        <v>37.976405632590293</v>
      </c>
      <c r="P24" s="218">
        <f>'Table B - Energy'!P24+INDEX('Table C - Capacity'!$12:$32,MATCH($B24,'Table C - Capacity'!$B$12:$B$32,0),MATCH(O$4,'Table C - Capacity'!$4:$4,0)+IF(P$7="Winter",2,3))</f>
        <v>32.876717411400001</v>
      </c>
      <c r="Q24" s="219">
        <f>'Table B - Energy'!Q24+INDEX('Table C - Capacity'!$12:$32,MATCH($B24,'Table C - Capacity'!$B$12:$B$32,0),MATCH(O$4,'Table C - Capacity'!$4:$4,0)+IF(Q$7="Winter",2,3))</f>
        <v>27.003182630839731</v>
      </c>
      <c r="R24" s="219">
        <f>'Table B - Energy'!R24+INDEX('Table C - Capacity'!$12:$32,MATCH($B24,'Table C - Capacity'!$B$12:$B$32,0),MATCH(O$4,'Table C - Capacity'!$4:$4,0)+IF(R$7="Winter",2,3))</f>
        <v>63.477891517593413</v>
      </c>
      <c r="S24" s="220">
        <f>'Table B - Energy'!S24+INDEX('Table C - Capacity'!$12:$32,MATCH($B24,'Table C - Capacity'!$B$12:$B$32,0),MATCH(O$4,'Table C - Capacity'!$4:$4,0)+IF(S$7="Winter",2,3))</f>
        <v>48.314849375302771</v>
      </c>
      <c r="T24" s="217">
        <f>SUMPRODUCT(U24:X24,Profiles!S24:V24)/SUM(Profiles!S24:V24)</f>
        <v>39.659016984877411</v>
      </c>
      <c r="U24" s="218">
        <f>'Table B - Energy'!U24+INDEX('Table C - Capacity'!$12:$32,MATCH($B24,'Table C - Capacity'!$B$12:$B$32,0),MATCH(T$4,'Table C - Capacity'!$4:$4,0)+IF(U$7="Winter",2,3))</f>
        <v>32.41914618305605</v>
      </c>
      <c r="V24" s="219">
        <f>'Table B - Energy'!V24+INDEX('Table C - Capacity'!$12:$32,MATCH($B24,'Table C - Capacity'!$B$12:$B$32,0),MATCH(T$4,'Table C - Capacity'!$4:$4,0)+IF(V$7="Winter",2,3))</f>
        <v>24.324254785445035</v>
      </c>
      <c r="W24" s="219">
        <f>'Table B - Energy'!W24+INDEX('Table C - Capacity'!$12:$32,MATCH($B24,'Table C - Capacity'!$B$12:$B$32,0),MATCH(T$4,'Table C - Capacity'!$4:$4,0)+IF(W$7="Winter",2,3))</f>
        <v>64.568589510883243</v>
      </c>
      <c r="X24" s="220">
        <f>'Table B - Energy'!X24+INDEX('Table C - Capacity'!$12:$32,MATCH($B24,'Table C - Capacity'!$B$12:$B$32,0),MATCH(T$4,'Table C - Capacity'!$4:$4,0)+IF(X$7="Winter",2,3))</f>
        <v>49.523280283023688</v>
      </c>
    </row>
    <row r="25" spans="2:24">
      <c r="B25" s="226">
        <f t="shared" si="0"/>
        <v>2037</v>
      </c>
      <c r="C25" s="217">
        <f>SUMPRODUCT(D25:G25,Profiles!D25:G25)/SUM(Profiles!D25:G25)</f>
        <v>74.837531700374271</v>
      </c>
      <c r="D25" s="218">
        <f>'Table B - Energy'!D25+INDEX('Table C - Capacity'!$12:$32,MATCH($B25,'Table C - Capacity'!$B$12:$B$32,0),MATCH(C$4,'Table C - Capacity'!$4:$4,0)+IF(D$7="Winter",2,3))</f>
        <v>70.861684265831542</v>
      </c>
      <c r="E25" s="219">
        <f>'Table B - Energy'!E25+INDEX('Table C - Capacity'!$12:$32,MATCH($B25,'Table C - Capacity'!$B$12:$B$32,0),MATCH(C$4,'Table C - Capacity'!$4:$4,0)+IF(E$7="Winter",2,3))</f>
        <v>50.311157002456895</v>
      </c>
      <c r="F25" s="219">
        <f>'Table B - Energy'!F25+INDEX('Table C - Capacity'!$12:$32,MATCH($B25,'Table C - Capacity'!$B$12:$B$32,0),MATCH(C$4,'Table C - Capacity'!$4:$4,0)+IF(F$7="Winter",2,3))</f>
        <v>128.98447577081623</v>
      </c>
      <c r="G25" s="220">
        <f>'Table B - Energy'!G25+INDEX('Table C - Capacity'!$12:$32,MATCH($B25,'Table C - Capacity'!$B$12:$B$32,0),MATCH(C$4,'Table C - Capacity'!$4:$4,0)+IF(G$7="Winter",2,3))</f>
        <v>100.57532618065216</v>
      </c>
      <c r="H25" s="217">
        <f>SUMPRODUCT(I25:L25,Profiles!I25:L25)/SUM(Profiles!I25:L25)</f>
        <v>57.082503999778744</v>
      </c>
      <c r="I25" s="218">
        <f>'Table B - Energy'!I25+INDEX('Table C - Capacity'!$12:$32,MATCH($B25,'Table C - Capacity'!$B$12:$B$32,0),MATCH(H$4,'Table C - Capacity'!$4:$4,0)+IF(I$7="Winter",2,3))</f>
        <v>63.498169423902496</v>
      </c>
      <c r="J25" s="219">
        <f>'Table B - Energy'!J25+INDEX('Table C - Capacity'!$12:$32,MATCH($B25,'Table C - Capacity'!$B$12:$B$32,0),MATCH(H$4,'Table C - Capacity'!$4:$4,0)+IF(J$7="Winter",2,3))</f>
        <v>40.54037890743119</v>
      </c>
      <c r="K25" s="219">
        <f>'Table B - Energy'!K25+INDEX('Table C - Capacity'!$12:$32,MATCH($B25,'Table C - Capacity'!$B$12:$B$32,0),MATCH(H$4,'Table C - Capacity'!$4:$4,0)+IF(K$7="Winter",2,3))</f>
        <v>94.532795265973547</v>
      </c>
      <c r="L25" s="220">
        <f>'Table B - Energy'!L25+INDEX('Table C - Capacity'!$12:$32,MATCH($B25,'Table C - Capacity'!$B$12:$B$32,0),MATCH(H$4,'Table C - Capacity'!$4:$4,0)+IF(L$7="Winter",2,3))</f>
        <v>70.919852977936443</v>
      </c>
      <c r="N25" s="226">
        <f t="shared" si="1"/>
        <v>2037</v>
      </c>
      <c r="O25" s="217">
        <f>SUMPRODUCT(P25:S25,Profiles!N25:Q25)/SUM(Profiles!N25:Q25)</f>
        <v>39.934419082659566</v>
      </c>
      <c r="P25" s="218">
        <f>'Table B - Energy'!P25+INDEX('Table C - Capacity'!$12:$32,MATCH($B25,'Table C - Capacity'!$B$12:$B$32,0),MATCH(O$4,'Table C - Capacity'!$4:$4,0)+IF(P$7="Winter",2,3))</f>
        <v>34.033540152495455</v>
      </c>
      <c r="Q25" s="219">
        <f>'Table B - Energy'!Q25+INDEX('Table C - Capacity'!$12:$32,MATCH($B25,'Table C - Capacity'!$B$12:$B$32,0),MATCH(O$4,'Table C - Capacity'!$4:$4,0)+IF(Q$7="Winter",2,3))</f>
        <v>28.109438423325528</v>
      </c>
      <c r="R25" s="219">
        <f>'Table B - Energy'!R25+INDEX('Table C - Capacity'!$12:$32,MATCH($B25,'Table C - Capacity'!$B$12:$B$32,0),MATCH(O$4,'Table C - Capacity'!$4:$4,0)+IF(R$7="Winter",2,3))</f>
        <v>67.165391454370564</v>
      </c>
      <c r="S25" s="220">
        <f>'Table B - Energy'!S25+INDEX('Table C - Capacity'!$12:$32,MATCH($B25,'Table C - Capacity'!$B$12:$B$32,0),MATCH(O$4,'Table C - Capacity'!$4:$4,0)+IF(S$7="Winter",2,3))</f>
        <v>51.127020721189083</v>
      </c>
      <c r="T25" s="217">
        <f>SUMPRODUCT(U25:X25,Profiles!S25:V25)/SUM(Profiles!S25:V25)</f>
        <v>41.751055954937215</v>
      </c>
      <c r="U25" s="218">
        <f>'Table B - Energy'!U25+INDEX('Table C - Capacity'!$12:$32,MATCH($B25,'Table C - Capacity'!$B$12:$B$32,0),MATCH(T$4,'Table C - Capacity'!$4:$4,0)+IF(U$7="Winter",2,3))</f>
        <v>33.644482550099859</v>
      </c>
      <c r="V25" s="219">
        <f>'Table B - Energy'!V25+INDEX('Table C - Capacity'!$12:$32,MATCH($B25,'Table C - Capacity'!$B$12:$B$32,0),MATCH(T$4,'Table C - Capacity'!$4:$4,0)+IF(V$7="Winter",2,3))</f>
        <v>25.280137177915467</v>
      </c>
      <c r="W25" s="219">
        <f>'Table B - Energy'!W25+INDEX('Table C - Capacity'!$12:$32,MATCH($B25,'Table C - Capacity'!$B$12:$B$32,0),MATCH(T$4,'Table C - Capacity'!$4:$4,0)+IF(W$7="Winter",2,3))</f>
        <v>68.210203231508061</v>
      </c>
      <c r="X25" s="220">
        <f>'Table B - Energy'!X25+INDEX('Table C - Capacity'!$12:$32,MATCH($B25,'Table C - Capacity'!$B$12:$B$32,0),MATCH(T$4,'Table C - Capacity'!$4:$4,0)+IF(X$7="Winter",2,3))</f>
        <v>52.455313780885973</v>
      </c>
    </row>
    <row r="26" spans="2:24">
      <c r="B26" s="226">
        <f t="shared" si="0"/>
        <v>2038</v>
      </c>
      <c r="C26" s="217">
        <f>SUMPRODUCT(D26:G26,Profiles!D26:G26)/SUM(Profiles!D26:G26)</f>
        <v>76.962693960534637</v>
      </c>
      <c r="D26" s="218">
        <f>'Table B - Energy'!D26+INDEX('Table C - Capacity'!$12:$32,MATCH($B26,'Table C - Capacity'!$B$12:$B$32,0),MATCH(C$4,'Table C - Capacity'!$4:$4,0)+IF(D$7="Winter",2,3))</f>
        <v>74.13645556429293</v>
      </c>
      <c r="E26" s="219">
        <f>'Table B - Energy'!E26+INDEX('Table C - Capacity'!$12:$32,MATCH($B26,'Table C - Capacity'!$B$12:$B$32,0),MATCH(C$4,'Table C - Capacity'!$4:$4,0)+IF(E$7="Winter",2,3))</f>
        <v>52.542980770053774</v>
      </c>
      <c r="F26" s="219">
        <f>'Table B - Energy'!F26+INDEX('Table C - Capacity'!$12:$32,MATCH($B26,'Table C - Capacity'!$B$12:$B$32,0),MATCH(C$4,'Table C - Capacity'!$4:$4,0)+IF(F$7="Winter",2,3))</f>
        <v>129.94210732354139</v>
      </c>
      <c r="G26" s="220">
        <f>'Table B - Energy'!G26+INDEX('Table C - Capacity'!$12:$32,MATCH($B26,'Table C - Capacity'!$B$12:$B$32,0),MATCH(C$4,'Table C - Capacity'!$4:$4,0)+IF(G$7="Winter",2,3))</f>
        <v>101.92690752845925</v>
      </c>
      <c r="H26" s="217">
        <f>SUMPRODUCT(I26:L26,Profiles!I26:L26)/SUM(Profiles!I26:L26)</f>
        <v>58.932104209230062</v>
      </c>
      <c r="I26" s="218">
        <f>'Table B - Energy'!I26+INDEX('Table C - Capacity'!$12:$32,MATCH($B26,'Table C - Capacity'!$B$12:$B$32,0),MATCH(H$4,'Table C - Capacity'!$4:$4,0)+IF(I$7="Winter",2,3))</f>
        <v>66.71660182273115</v>
      </c>
      <c r="J26" s="219">
        <f>'Table B - Energy'!J26+INDEX('Table C - Capacity'!$12:$32,MATCH($B26,'Table C - Capacity'!$B$12:$B$32,0),MATCH(H$4,'Table C - Capacity'!$4:$4,0)+IF(J$7="Winter",2,3))</f>
        <v>42.589307747260499</v>
      </c>
      <c r="K26" s="219">
        <f>'Table B - Energy'!K26+INDEX('Table C - Capacity'!$12:$32,MATCH($B26,'Table C - Capacity'!$B$12:$B$32,0),MATCH(H$4,'Table C - Capacity'!$4:$4,0)+IF(K$7="Winter",2,3))</f>
        <v>94.631135074031576</v>
      </c>
      <c r="L26" s="220">
        <f>'Table B - Energy'!L26+INDEX('Table C - Capacity'!$12:$32,MATCH($B26,'Table C - Capacity'!$B$12:$B$32,0),MATCH(H$4,'Table C - Capacity'!$4:$4,0)+IF(L$7="Winter",2,3))</f>
        <v>71.486543106790364</v>
      </c>
      <c r="N26" s="226">
        <f t="shared" si="1"/>
        <v>2038</v>
      </c>
      <c r="O26" s="217">
        <f>SUMPRODUCT(P26:S26,Profiles!N26:Q26)/SUM(Profiles!N26:Q26)</f>
        <v>40.863447392919547</v>
      </c>
      <c r="P26" s="218">
        <f>'Table B - Energy'!P26+INDEX('Table C - Capacity'!$12:$32,MATCH($B26,'Table C - Capacity'!$B$12:$B$32,0),MATCH(O$4,'Table C - Capacity'!$4:$4,0)+IF(P$7="Winter",2,3))</f>
        <v>35.974364916471174</v>
      </c>
      <c r="Q26" s="219">
        <f>'Table B - Energy'!Q26+INDEX('Table C - Capacity'!$12:$32,MATCH($B26,'Table C - Capacity'!$B$12:$B$32,0),MATCH(O$4,'Table C - Capacity'!$4:$4,0)+IF(Q$7="Winter",2,3))</f>
        <v>29.714552858570777</v>
      </c>
      <c r="R26" s="219">
        <f>'Table B - Energy'!R26+INDEX('Table C - Capacity'!$12:$32,MATCH($B26,'Table C - Capacity'!$B$12:$B$32,0),MATCH(O$4,'Table C - Capacity'!$4:$4,0)+IF(R$7="Winter",2,3))</f>
        <v>67.212845689263247</v>
      </c>
      <c r="S26" s="220">
        <f>'Table B - Energy'!S26+INDEX('Table C - Capacity'!$12:$32,MATCH($B26,'Table C - Capacity'!$B$12:$B$32,0),MATCH(O$4,'Table C - Capacity'!$4:$4,0)+IF(S$7="Winter",2,3))</f>
        <v>51.121992327447131</v>
      </c>
      <c r="T26" s="217">
        <f>SUMPRODUCT(U26:X26,Profiles!S26:V26)/SUM(Profiles!S26:V26)</f>
        <v>42.50488579373593</v>
      </c>
      <c r="U26" s="218">
        <f>'Table B - Energy'!U26+INDEX('Table C - Capacity'!$12:$32,MATCH($B26,'Table C - Capacity'!$B$12:$B$32,0),MATCH(T$4,'Table C - Capacity'!$4:$4,0)+IF(U$7="Winter",2,3))</f>
        <v>35.300958882671075</v>
      </c>
      <c r="V26" s="219">
        <f>'Table B - Energy'!V26+INDEX('Table C - Capacity'!$12:$32,MATCH($B26,'Table C - Capacity'!$B$12:$B$32,0),MATCH(T$4,'Table C - Capacity'!$4:$4,0)+IF(V$7="Winter",2,3))</f>
        <v>26.732758023520297</v>
      </c>
      <c r="W26" s="219">
        <f>'Table B - Energy'!W26+INDEX('Table C - Capacity'!$12:$32,MATCH($B26,'Table C - Capacity'!$B$12:$B$32,0),MATCH(T$4,'Table C - Capacity'!$4:$4,0)+IF(W$7="Winter",2,3))</f>
        <v>68.236778181979673</v>
      </c>
      <c r="X26" s="220">
        <f>'Table B - Energy'!X26+INDEX('Table C - Capacity'!$12:$32,MATCH($B26,'Table C - Capacity'!$B$12:$B$32,0),MATCH(T$4,'Table C - Capacity'!$4:$4,0)+IF(X$7="Winter",2,3))</f>
        <v>52.52983001479916</v>
      </c>
    </row>
    <row r="27" spans="2:24">
      <c r="B27" s="226">
        <f t="shared" si="0"/>
        <v>2039</v>
      </c>
      <c r="C27" s="217">
        <f>SUMPRODUCT(D27:G27,Profiles!D27:G27)/SUM(Profiles!D27:G27)</f>
        <v>77.426472840488884</v>
      </c>
      <c r="D27" s="218">
        <f>'Table B - Energy'!D27+INDEX('Table C - Capacity'!$12:$32,MATCH($B27,'Table C - Capacity'!$B$12:$B$32,0),MATCH(C$4,'Table C - Capacity'!$4:$4,0)+IF(D$7="Winter",2,3))</f>
        <v>74.818175967537982</v>
      </c>
      <c r="E27" s="219">
        <f>'Table B - Energy'!E27+INDEX('Table C - Capacity'!$12:$32,MATCH($B27,'Table C - Capacity'!$B$12:$B$32,0),MATCH(C$4,'Table C - Capacity'!$4:$4,0)+IF(E$7="Winter",2,3))</f>
        <v>52.910413621858602</v>
      </c>
      <c r="F27" s="219">
        <f>'Table B - Energy'!F27+INDEX('Table C - Capacity'!$12:$32,MATCH($B27,'Table C - Capacity'!$B$12:$B$32,0),MATCH(C$4,'Table C - Capacity'!$4:$4,0)+IF(F$7="Winter",2,3))</f>
        <v>129.50786879781509</v>
      </c>
      <c r="G27" s="220">
        <f>'Table B - Energy'!G27+INDEX('Table C - Capacity'!$12:$32,MATCH($B27,'Table C - Capacity'!$B$12:$B$32,0),MATCH(C$4,'Table C - Capacity'!$4:$4,0)+IF(G$7="Winter",2,3))</f>
        <v>102.81454912568393</v>
      </c>
      <c r="H27" s="217">
        <f>SUMPRODUCT(I27:L27,Profiles!I27:L27)/SUM(Profiles!I27:L27)</f>
        <v>59.041873148696176</v>
      </c>
      <c r="I27" s="218">
        <f>'Table B - Energy'!I27+INDEX('Table C - Capacity'!$12:$32,MATCH($B27,'Table C - Capacity'!$B$12:$B$32,0),MATCH(H$4,'Table C - Capacity'!$4:$4,0)+IF(I$7="Winter",2,3))</f>
        <v>67.142218595012991</v>
      </c>
      <c r="J27" s="219">
        <f>'Table B - Energy'!J27+INDEX('Table C - Capacity'!$12:$32,MATCH($B27,'Table C - Capacity'!$B$12:$B$32,0),MATCH(H$4,'Table C - Capacity'!$4:$4,0)+IF(J$7="Winter",2,3))</f>
        <v>42.768012180521389</v>
      </c>
      <c r="K27" s="219">
        <f>'Table B - Energy'!K27+INDEX('Table C - Capacity'!$12:$32,MATCH($B27,'Table C - Capacity'!$B$12:$B$32,0),MATCH(H$4,'Table C - Capacity'!$4:$4,0)+IF(K$7="Winter",2,3))</f>
        <v>93.553043487367745</v>
      </c>
      <c r="L27" s="220">
        <f>'Table B - Energy'!L27+INDEX('Table C - Capacity'!$12:$32,MATCH($B27,'Table C - Capacity'!$B$12:$B$32,0),MATCH(H$4,'Table C - Capacity'!$4:$4,0)+IF(L$7="Winter",2,3))</f>
        <v>71.646051559731063</v>
      </c>
      <c r="N27" s="226">
        <f t="shared" si="1"/>
        <v>2039</v>
      </c>
      <c r="O27" s="217">
        <f>SUMPRODUCT(P27:S27,Profiles!N27:Q27)/SUM(Profiles!N27:Q27)</f>
        <v>40.547730217580359</v>
      </c>
      <c r="P27" s="218">
        <f>'Table B - Energy'!P27+INDEX('Table C - Capacity'!$12:$32,MATCH($B27,'Table C - Capacity'!$B$12:$B$32,0),MATCH(O$4,'Table C - Capacity'!$4:$4,0)+IF(P$7="Winter",2,3))</f>
        <v>35.929507732960637</v>
      </c>
      <c r="Q27" s="219">
        <f>'Table B - Energy'!Q27+INDEX('Table C - Capacity'!$12:$32,MATCH($B27,'Table C - Capacity'!$B$12:$B$32,0),MATCH(O$4,'Table C - Capacity'!$4:$4,0)+IF(Q$7="Winter",2,3))</f>
        <v>29.886777187093767</v>
      </c>
      <c r="R27" s="219">
        <f>'Table B - Energy'!R27+INDEX('Table C - Capacity'!$12:$32,MATCH($B27,'Table C - Capacity'!$B$12:$B$32,0),MATCH(O$4,'Table C - Capacity'!$4:$4,0)+IF(R$7="Winter",2,3))</f>
        <v>66.163993361819024</v>
      </c>
      <c r="S27" s="220">
        <f>'Table B - Energy'!S27+INDEX('Table C - Capacity'!$12:$32,MATCH($B27,'Table C - Capacity'!$B$12:$B$32,0),MATCH(O$4,'Table C - Capacity'!$4:$4,0)+IF(S$7="Winter",2,3))</f>
        <v>50.209184017119505</v>
      </c>
      <c r="T27" s="217">
        <f>SUMPRODUCT(U27:X27,Profiles!S27:V27)/SUM(Profiles!S27:V27)</f>
        <v>42.15956830305884</v>
      </c>
      <c r="U27" s="218">
        <f>'Table B - Energy'!U27+INDEX('Table C - Capacity'!$12:$32,MATCH($B27,'Table C - Capacity'!$B$12:$B$32,0),MATCH(T$4,'Table C - Capacity'!$4:$4,0)+IF(U$7="Winter",2,3))</f>
        <v>35.301597534261781</v>
      </c>
      <c r="V27" s="219">
        <f>'Table B - Energy'!V27+INDEX('Table C - Capacity'!$12:$32,MATCH($B27,'Table C - Capacity'!$B$12:$B$32,0),MATCH(T$4,'Table C - Capacity'!$4:$4,0)+IF(V$7="Winter",2,3))</f>
        <v>26.807131413120452</v>
      </c>
      <c r="W27" s="219">
        <f>'Table B - Energy'!W27+INDEX('Table C - Capacity'!$12:$32,MATCH($B27,'Table C - Capacity'!$B$12:$B$32,0),MATCH(T$4,'Table C - Capacity'!$4:$4,0)+IF(W$7="Winter",2,3))</f>
        <v>67.4076274701643</v>
      </c>
      <c r="X27" s="220">
        <f>'Table B - Energy'!X27+INDEX('Table C - Capacity'!$12:$32,MATCH($B27,'Table C - Capacity'!$B$12:$B$32,0),MATCH(T$4,'Table C - Capacity'!$4:$4,0)+IF(X$7="Winter",2,3))</f>
        <v>51.822451446158226</v>
      </c>
    </row>
    <row r="28" spans="2:24">
      <c r="B28" s="226">
        <f t="shared" si="0"/>
        <v>2040</v>
      </c>
      <c r="C28" s="217">
        <f>SUMPRODUCT(D28:G28,Profiles!D28:G28)/SUM(Profiles!D28:G28)</f>
        <v>78.126082811962235</v>
      </c>
      <c r="D28" s="218">
        <f>'Table B - Energy'!D28+INDEX('Table C - Capacity'!$12:$32,MATCH($B28,'Table C - Capacity'!$B$12:$B$32,0),MATCH(C$4,'Table C - Capacity'!$4:$4,0)+IF(D$7="Winter",2,3))</f>
        <v>75.74618939712137</v>
      </c>
      <c r="E28" s="219">
        <f>'Table B - Energy'!E28+INDEX('Table C - Capacity'!$12:$32,MATCH($B28,'Table C - Capacity'!$B$12:$B$32,0),MATCH(C$4,'Table C - Capacity'!$4:$4,0)+IF(E$7="Winter",2,3))</f>
        <v>53.561061323350359</v>
      </c>
      <c r="F28" s="219">
        <f>'Table B - Energy'!F28+INDEX('Table C - Capacity'!$12:$32,MATCH($B28,'Table C - Capacity'!$B$12:$B$32,0),MATCH(C$4,'Table C - Capacity'!$4:$4,0)+IF(F$7="Winter",2,3))</f>
        <v>131.06500557060679</v>
      </c>
      <c r="G28" s="220">
        <f>'Table B - Energy'!G28+INDEX('Table C - Capacity'!$12:$32,MATCH($B28,'Table C - Capacity'!$B$12:$B$32,0),MATCH(C$4,'Table C - Capacity'!$4:$4,0)+IF(G$7="Winter",2,3))</f>
        <v>103.16655782470458</v>
      </c>
      <c r="H28" s="217">
        <f>SUMPRODUCT(I28:L28,Profiles!I28:L28)/SUM(Profiles!I28:L28)</f>
        <v>59.364480491141521</v>
      </c>
      <c r="I28" s="218">
        <f>'Table B - Energy'!I28+INDEX('Table C - Capacity'!$12:$32,MATCH($B28,'Table C - Capacity'!$B$12:$B$32,0),MATCH(H$4,'Table C - Capacity'!$4:$4,0)+IF(I$7="Winter",2,3))</f>
        <v>67.702091194498607</v>
      </c>
      <c r="J28" s="219">
        <f>'Table B - Energy'!J28+INDEX('Table C - Capacity'!$12:$32,MATCH($B28,'Table C - Capacity'!$B$12:$B$32,0),MATCH(H$4,'Table C - Capacity'!$4:$4,0)+IF(J$7="Winter",2,3))</f>
        <v>43.071135962140879</v>
      </c>
      <c r="K28" s="219">
        <f>'Table B - Energy'!K28+INDEX('Table C - Capacity'!$12:$32,MATCH($B28,'Table C - Capacity'!$B$12:$B$32,0),MATCH(H$4,'Table C - Capacity'!$4:$4,0)+IF(K$7="Winter",2,3))</f>
        <v>95.206218248200543</v>
      </c>
      <c r="L28" s="220">
        <f>'Table B - Energy'!L28+INDEX('Table C - Capacity'!$12:$32,MATCH($B28,'Table C - Capacity'!$B$12:$B$32,0),MATCH(H$4,'Table C - Capacity'!$4:$4,0)+IF(L$7="Winter",2,3))</f>
        <v>71.159796452003647</v>
      </c>
      <c r="N28" s="226">
        <f t="shared" si="1"/>
        <v>2040</v>
      </c>
      <c r="O28" s="217">
        <f>SUMPRODUCT(P28:S28,Profiles!N28:Q28)/SUM(Profiles!N28:Q28)</f>
        <v>40.860979597478909</v>
      </c>
      <c r="P28" s="218">
        <f>'Table B - Energy'!P28+INDEX('Table C - Capacity'!$12:$32,MATCH($B28,'Table C - Capacity'!$B$12:$B$32,0),MATCH(O$4,'Table C - Capacity'!$4:$4,0)+IF(P$7="Winter",2,3))</f>
        <v>37.181441954301107</v>
      </c>
      <c r="Q28" s="219">
        <f>'Table B - Energy'!Q28+INDEX('Table C - Capacity'!$12:$32,MATCH($B28,'Table C - Capacity'!$B$12:$B$32,0),MATCH(O$4,'Table C - Capacity'!$4:$4,0)+IF(Q$7="Winter",2,3))</f>
        <v>30.365416629783876</v>
      </c>
      <c r="R28" s="219">
        <f>'Table B - Energy'!R28+INDEX('Table C - Capacity'!$12:$32,MATCH($B28,'Table C - Capacity'!$B$12:$B$32,0),MATCH(O$4,'Table C - Capacity'!$4:$4,0)+IF(R$7="Winter",2,3))</f>
        <v>66.34602986418669</v>
      </c>
      <c r="S28" s="220">
        <f>'Table B - Energy'!S28+INDEX('Table C - Capacity'!$12:$32,MATCH($B28,'Table C - Capacity'!$B$12:$B$32,0),MATCH(O$4,'Table C - Capacity'!$4:$4,0)+IF(S$7="Winter",2,3))</f>
        <v>50.262697902326749</v>
      </c>
      <c r="T28" s="217">
        <f>SUMPRODUCT(U28:X28,Profiles!S28:V28)/SUM(Profiles!S28:V28)</f>
        <v>42.629040510693478</v>
      </c>
      <c r="U28" s="218">
        <f>'Table B - Energy'!U28+INDEX('Table C - Capacity'!$12:$32,MATCH($B28,'Table C - Capacity'!$B$12:$B$32,0),MATCH(T$4,'Table C - Capacity'!$4:$4,0)+IF(U$7="Winter",2,3))</f>
        <v>36.724631867856367</v>
      </c>
      <c r="V28" s="219">
        <f>'Table B - Energy'!V28+INDEX('Table C - Capacity'!$12:$32,MATCH($B28,'Table C - Capacity'!$B$12:$B$32,0),MATCH(T$4,'Table C - Capacity'!$4:$4,0)+IF(V$7="Winter",2,3))</f>
        <v>27.437813461993162</v>
      </c>
      <c r="W28" s="219">
        <f>'Table B - Energy'!W28+INDEX('Table C - Capacity'!$12:$32,MATCH($B28,'Table C - Capacity'!$B$12:$B$32,0),MATCH(T$4,'Table C - Capacity'!$4:$4,0)+IF(W$7="Winter",2,3))</f>
        <v>68.310548050741716</v>
      </c>
      <c r="X28" s="220">
        <f>'Table B - Energy'!X28+INDEX('Table C - Capacity'!$12:$32,MATCH($B28,'Table C - Capacity'!$B$12:$B$32,0),MATCH(T$4,'Table C - Capacity'!$4:$4,0)+IF(X$7="Winter",2,3))</f>
        <v>51.850573143951785</v>
      </c>
    </row>
    <row r="29" spans="2:24">
      <c r="B29" s="226">
        <f t="shared" si="0"/>
        <v>2041</v>
      </c>
      <c r="C29" s="217">
        <f>SUMPRODUCT(D29:G29,Profiles!D29:G29)/SUM(Profiles!D29:G29)</f>
        <v>78.766988684808467</v>
      </c>
      <c r="D29" s="218">
        <f>'Table B - Energy'!D29+INDEX('Table C - Capacity'!$12:$32,MATCH($B29,'Table C - Capacity'!$B$12:$B$32,0),MATCH(C$4,'Table C - Capacity'!$4:$4,0)+IF(D$7="Winter",2,3))</f>
        <v>77.011728575355903</v>
      </c>
      <c r="E29" s="219">
        <f>'Table B - Energy'!E29+INDEX('Table C - Capacity'!$12:$32,MATCH($B29,'Table C - Capacity'!$B$12:$B$32,0),MATCH(C$4,'Table C - Capacity'!$4:$4,0)+IF(E$7="Winter",2,3))</f>
        <v>54.529130838730239</v>
      </c>
      <c r="F29" s="219">
        <f>'Table B - Energy'!F29+INDEX('Table C - Capacity'!$12:$32,MATCH($B29,'Table C - Capacity'!$B$12:$B$32,0),MATCH(C$4,'Table C - Capacity'!$4:$4,0)+IF(F$7="Winter",2,3))</f>
        <v>128.9093510339639</v>
      </c>
      <c r="G29" s="220">
        <f>'Table B - Energy'!G29+INDEX('Table C - Capacity'!$12:$32,MATCH($B29,'Table C - Capacity'!$B$12:$B$32,0),MATCH(C$4,'Table C - Capacity'!$4:$4,0)+IF(G$7="Winter",2,3))</f>
        <v>103.72091865691512</v>
      </c>
      <c r="H29" s="217">
        <f>SUMPRODUCT(I29:L29,Profiles!I29:L29)/SUM(Profiles!I29:L29)</f>
        <v>59.765246206062955</v>
      </c>
      <c r="I29" s="218">
        <f>'Table B - Energy'!I29+INDEX('Table C - Capacity'!$12:$32,MATCH($B29,'Table C - Capacity'!$B$12:$B$32,0),MATCH(H$4,'Table C - Capacity'!$4:$4,0)+IF(I$7="Winter",2,3))</f>
        <v>68.892493608901361</v>
      </c>
      <c r="J29" s="219">
        <f>'Table B - Energy'!J29+INDEX('Table C - Capacity'!$12:$32,MATCH($B29,'Table C - Capacity'!$B$12:$B$32,0),MATCH(H$4,'Table C - Capacity'!$4:$4,0)+IF(J$7="Winter",2,3))</f>
        <v>43.848746956039683</v>
      </c>
      <c r="K29" s="219">
        <f>'Table B - Energy'!K29+INDEX('Table C - Capacity'!$12:$32,MATCH($B29,'Table C - Capacity'!$B$12:$B$32,0),MATCH(H$4,'Table C - Capacity'!$4:$4,0)+IF(K$7="Winter",2,3))</f>
        <v>92.571491712641247</v>
      </c>
      <c r="L29" s="220">
        <f>'Table B - Energy'!L29+INDEX('Table C - Capacity'!$12:$32,MATCH($B29,'Table C - Capacity'!$B$12:$B$32,0),MATCH(H$4,'Table C - Capacity'!$4:$4,0)+IF(L$7="Winter",2,3))</f>
        <v>71.092932127770069</v>
      </c>
      <c r="N29" s="226">
        <f t="shared" si="1"/>
        <v>2041</v>
      </c>
      <c r="O29" s="217">
        <f>SUMPRODUCT(P29:S29,Profiles!N29:Q29)/SUM(Profiles!N29:Q29)</f>
        <v>40.08483512968909</v>
      </c>
      <c r="P29" s="218">
        <f>'Table B - Energy'!P29+INDEX('Table C - Capacity'!$12:$32,MATCH($B29,'Table C - Capacity'!$B$12:$B$32,0),MATCH(O$4,'Table C - Capacity'!$4:$4,0)+IF(P$7="Winter",2,3))</f>
        <v>37.573222068819675</v>
      </c>
      <c r="Q29" s="219">
        <f>'Table B - Energy'!Q29+INDEX('Table C - Capacity'!$12:$32,MATCH($B29,'Table C - Capacity'!$B$12:$B$32,0),MATCH(O$4,'Table C - Capacity'!$4:$4,0)+IF(Q$7="Winter",2,3))</f>
        <v>30.527932269643664</v>
      </c>
      <c r="R29" s="219">
        <f>'Table B - Energy'!R29+INDEX('Table C - Capacity'!$12:$32,MATCH($B29,'Table C - Capacity'!$B$12:$B$32,0),MATCH(O$4,'Table C - Capacity'!$4:$4,0)+IF(R$7="Winter",2,3))</f>
        <v>63.63791051058562</v>
      </c>
      <c r="S29" s="220">
        <f>'Table B - Energy'!S29+INDEX('Table C - Capacity'!$12:$32,MATCH($B29,'Table C - Capacity'!$B$12:$B$32,0),MATCH(O$4,'Table C - Capacity'!$4:$4,0)+IF(S$7="Winter",2,3))</f>
        <v>48.389086772756158</v>
      </c>
      <c r="T29" s="217">
        <f>SUMPRODUCT(U29:X29,Profiles!S29:V29)/SUM(Profiles!S29:V29)</f>
        <v>41.581316603314228</v>
      </c>
      <c r="U29" s="218">
        <f>'Table B - Energy'!U29+INDEX('Table C - Capacity'!$12:$32,MATCH($B29,'Table C - Capacity'!$B$12:$B$32,0),MATCH(T$4,'Table C - Capacity'!$4:$4,0)+IF(U$7="Winter",2,3))</f>
        <v>37.296160132889682</v>
      </c>
      <c r="V29" s="219">
        <f>'Table B - Energy'!V29+INDEX('Table C - Capacity'!$12:$32,MATCH($B29,'Table C - Capacity'!$B$12:$B$32,0),MATCH(T$4,'Table C - Capacity'!$4:$4,0)+IF(V$7="Winter",2,3))</f>
        <v>27.648590301380928</v>
      </c>
      <c r="W29" s="219">
        <f>'Table B - Energy'!W29+INDEX('Table C - Capacity'!$12:$32,MATCH($B29,'Table C - Capacity'!$B$12:$B$32,0),MATCH(T$4,'Table C - Capacity'!$4:$4,0)+IF(W$7="Winter",2,3))</f>
        <v>64.90105393348928</v>
      </c>
      <c r="X29" s="220">
        <f>'Table B - Energy'!X29+INDEX('Table C - Capacity'!$12:$32,MATCH($B29,'Table C - Capacity'!$B$12:$B$32,0),MATCH(T$4,'Table C - Capacity'!$4:$4,0)+IF(X$7="Winter",2,3))</f>
        <v>49.917821069430232</v>
      </c>
    </row>
    <row r="30" spans="2:24" ht="13.5" thickBot="1">
      <c r="B30" s="228">
        <f t="shared" si="0"/>
        <v>2042</v>
      </c>
      <c r="C30" s="221">
        <f>SUMPRODUCT(D30:G30,Profiles!D30:G30)/SUM(Profiles!D30:G30)</f>
        <v>78.719045343873304</v>
      </c>
      <c r="D30" s="222">
        <f>'Table B - Energy'!D30+INDEX('Table C - Capacity'!$12:$32,MATCH($B30,'Table C - Capacity'!$B$12:$B$32,0),MATCH(C$4,'Table C - Capacity'!$4:$4,0)+IF(D$7="Winter",2,3))</f>
        <v>77.021585691357075</v>
      </c>
      <c r="E30" s="223">
        <f>'Table B - Energy'!E30+INDEX('Table C - Capacity'!$12:$32,MATCH($B30,'Table C - Capacity'!$B$12:$B$32,0),MATCH(C$4,'Table C - Capacity'!$4:$4,0)+IF(E$7="Winter",2,3))</f>
        <v>54.461187028805291</v>
      </c>
      <c r="F30" s="223">
        <f>'Table B - Energy'!F30+INDEX('Table C - Capacity'!$12:$32,MATCH($B30,'Table C - Capacity'!$B$12:$B$32,0),MATCH(C$4,'Table C - Capacity'!$4:$4,0)+IF(F$7="Winter",2,3))</f>
        <v>128.50753396869447</v>
      </c>
      <c r="G30" s="224">
        <f>'Table B - Energy'!G30+INDEX('Table C - Capacity'!$12:$32,MATCH($B30,'Table C - Capacity'!$B$12:$B$32,0),MATCH(C$4,'Table C - Capacity'!$4:$4,0)+IF(G$7="Winter",2,3))</f>
        <v>103.83218560803853</v>
      </c>
      <c r="H30" s="221">
        <f>SUMPRODUCT(I30:L30,Profiles!I30:L30)/SUM(Profiles!I30:L30)</f>
        <v>59.369508267772936</v>
      </c>
      <c r="I30" s="222">
        <f>'Table B - Energy'!I30+INDEX('Table C - Capacity'!$12:$32,MATCH($B30,'Table C - Capacity'!$B$12:$B$32,0),MATCH(H$4,'Table C - Capacity'!$4:$4,0)+IF(I$7="Winter",2,3))</f>
        <v>68.660066473380382</v>
      </c>
      <c r="J30" s="223">
        <f>'Table B - Energy'!J30+INDEX('Table C - Capacity'!$12:$32,MATCH($B30,'Table C - Capacity'!$B$12:$B$32,0),MATCH(H$4,'Table C - Capacity'!$4:$4,0)+IF(J$7="Winter",2,3))</f>
        <v>43.522438431142703</v>
      </c>
      <c r="K30" s="223">
        <f>'Table B - Energy'!K30+INDEX('Table C - Capacity'!$12:$32,MATCH($B30,'Table C - Capacity'!$B$12:$B$32,0),MATCH(H$4,'Table C - Capacity'!$4:$4,0)+IF(K$7="Winter",2,3))</f>
        <v>91.792943806899927</v>
      </c>
      <c r="L30" s="224">
        <f>'Table B - Energy'!L30+INDEX('Table C - Capacity'!$12:$32,MATCH($B30,'Table C - Capacity'!$B$12:$B$32,0),MATCH(H$4,'Table C - Capacity'!$4:$4,0)+IF(L$7="Winter",2,3))</f>
        <v>70.520339557020606</v>
      </c>
      <c r="N30" s="228">
        <f t="shared" si="1"/>
        <v>2042</v>
      </c>
      <c r="O30" s="221">
        <f>SUMPRODUCT(P30:S30,Profiles!N30:Q30)/SUM(Profiles!N30:Q30)</f>
        <v>39.561248545553816</v>
      </c>
      <c r="P30" s="222">
        <f>'Table B - Energy'!P30+INDEX('Table C - Capacity'!$12:$32,MATCH($B30,'Table C - Capacity'!$B$12:$B$32,0),MATCH(O$4,'Table C - Capacity'!$4:$4,0)+IF(P$7="Winter",2,3))</f>
        <v>36.424958036852523</v>
      </c>
      <c r="Q30" s="223">
        <f>'Table B - Energy'!Q30+INDEX('Table C - Capacity'!$12:$32,MATCH($B30,'Table C - Capacity'!$B$12:$B$32,0),MATCH(O$4,'Table C - Capacity'!$4:$4,0)+IF(Q$7="Winter",2,3))</f>
        <v>30.28296526959128</v>
      </c>
      <c r="R30" s="223">
        <f>'Table B - Energy'!R30+INDEX('Table C - Capacity'!$12:$32,MATCH($B30,'Table C - Capacity'!$B$12:$B$32,0),MATCH(O$4,'Table C - Capacity'!$4:$4,0)+IF(R$7="Winter",2,3))</f>
        <v>62.53073120661422</v>
      </c>
      <c r="S30" s="224">
        <f>'Table B - Energy'!S30+INDEX('Table C - Capacity'!$12:$32,MATCH($B30,'Table C - Capacity'!$B$12:$B$32,0),MATCH(O$4,'Table C - Capacity'!$4:$4,0)+IF(S$7="Winter",2,3))</f>
        <v>47.65544212109058</v>
      </c>
      <c r="T30" s="221">
        <f>SUMPRODUCT(U30:X30,Profiles!S30:V30)/SUM(Profiles!S30:V30)</f>
        <v>40.855558112634007</v>
      </c>
      <c r="U30" s="222">
        <f>'Table B - Energy'!U30+INDEX('Table C - Capacity'!$12:$32,MATCH($B30,'Table C - Capacity'!$B$12:$B$32,0),MATCH(T$4,'Table C - Capacity'!$4:$4,0)+IF(U$7="Winter",2,3))</f>
        <v>36.195767018589315</v>
      </c>
      <c r="V30" s="223">
        <f>'Table B - Energy'!V30+INDEX('Table C - Capacity'!$12:$32,MATCH($B30,'Table C - Capacity'!$B$12:$B$32,0),MATCH(T$4,'Table C - Capacity'!$4:$4,0)+IF(V$7="Winter",2,3))</f>
        <v>27.232224730278187</v>
      </c>
      <c r="W30" s="223">
        <f>'Table B - Energy'!W30+INDEX('Table C - Capacity'!$12:$32,MATCH($B30,'Table C - Capacity'!$B$12:$B$32,0),MATCH(T$4,'Table C - Capacity'!$4:$4,0)+IF(W$7="Winter",2,3))</f>
        <v>63.790913050677197</v>
      </c>
      <c r="X30" s="224">
        <f>'Table B - Energy'!X30+INDEX('Table C - Capacity'!$12:$32,MATCH($B30,'Table C - Capacity'!$B$12:$B$32,0),MATCH(T$4,'Table C - Capacity'!$4:$4,0)+IF(X$7="Winter",2,3))</f>
        <v>49.028058977582887</v>
      </c>
    </row>
    <row r="31" spans="2:24" ht="4.5" customHeight="1" thickTop="1">
      <c r="B31" s="191"/>
      <c r="D31" s="27"/>
      <c r="E31" s="27"/>
      <c r="F31" s="27"/>
      <c r="G31" s="27"/>
      <c r="H31" s="27"/>
      <c r="I31" s="27"/>
      <c r="J31" s="27"/>
      <c r="K31" s="27"/>
      <c r="L31" s="27"/>
      <c r="N31" s="191"/>
      <c r="P31" s="27"/>
      <c r="Q31" s="27"/>
      <c r="R31" s="27"/>
      <c r="S31" s="27"/>
      <c r="T31" s="27"/>
      <c r="U31" s="27"/>
      <c r="V31" s="27"/>
      <c r="W31" s="27"/>
      <c r="X31" s="27"/>
    </row>
    <row r="32" spans="2:24">
      <c r="B32" s="45" t="str">
        <f>'Table B - Energy'!B32</f>
        <v>(1) Avoided cost prices have been reduced by wind and solar integration charges.</v>
      </c>
      <c r="D32" s="27"/>
      <c r="E32" s="27"/>
      <c r="F32" s="27"/>
      <c r="G32" s="27"/>
      <c r="H32" s="27"/>
      <c r="I32" s="27"/>
      <c r="J32" s="27"/>
      <c r="K32" s="27"/>
      <c r="L32" s="27"/>
      <c r="N32" s="45" t="str">
        <f t="shared" ref="N32:O39" si="2">B32</f>
        <v>(1) Avoided cost prices have been reduced by wind and solar integration charges.</v>
      </c>
      <c r="P32" s="27"/>
      <c r="Q32" s="27"/>
      <c r="R32" s="27"/>
      <c r="S32" s="27"/>
      <c r="T32" s="27"/>
      <c r="U32" s="27"/>
      <c r="V32" s="27"/>
      <c r="W32" s="27"/>
      <c r="X32" s="27"/>
    </row>
    <row r="33" spans="2:24">
      <c r="B33" s="1" t="str">
        <f>'Table B - Energy'!B33</f>
        <v xml:space="preserve">      If the QF resource is not in PacifiCorp's BAA, prices will be increased by the applicable integration charges.</v>
      </c>
      <c r="D33" s="27"/>
      <c r="E33" s="27"/>
      <c r="F33" s="27"/>
      <c r="G33" s="27"/>
      <c r="H33" s="27"/>
      <c r="I33" s="27"/>
      <c r="J33" s="27"/>
      <c r="K33" s="27"/>
      <c r="L33" s="27"/>
      <c r="N33" s="1" t="str">
        <f t="shared" si="2"/>
        <v xml:space="preserve">      If the QF resource is not in PacifiCorp's BAA, prices will be increased by the applicable integration charges.</v>
      </c>
      <c r="P33" s="27"/>
      <c r="Q33" s="27"/>
      <c r="R33" s="27"/>
      <c r="S33" s="27"/>
      <c r="T33" s="27"/>
      <c r="U33" s="27"/>
      <c r="V33" s="27"/>
      <c r="W33" s="27"/>
      <c r="X33" s="27"/>
    </row>
    <row r="34" spans="2:24">
      <c r="B34" s="45" t="s">
        <v>210</v>
      </c>
      <c r="D34" s="27"/>
      <c r="E34" s="27"/>
      <c r="F34" s="27"/>
      <c r="G34" s="27"/>
      <c r="H34" s="27"/>
      <c r="I34" s="27"/>
      <c r="J34" s="27"/>
      <c r="K34" s="27"/>
      <c r="L34" s="27"/>
      <c r="N34" s="1" t="str">
        <f t="shared" si="2"/>
        <v>(2) Capacity costs are based on a renewable resource starting in 2028.</v>
      </c>
      <c r="P34" s="27"/>
      <c r="Q34" s="27"/>
      <c r="R34" s="27"/>
      <c r="S34" s="27"/>
      <c r="T34" s="27"/>
      <c r="U34" s="27"/>
      <c r="V34" s="27"/>
      <c r="W34" s="27"/>
      <c r="X34" s="27"/>
    </row>
    <row r="35" spans="2:24">
      <c r="B35" s="7" t="str">
        <f>'Table B - Energy'!B34</f>
        <v>(a)</v>
      </c>
      <c r="C35" s="3" t="str">
        <f>'Table B - Energy'!C34</f>
        <v>Illustrative price for all hours</v>
      </c>
      <c r="D35" s="26"/>
      <c r="E35" s="26"/>
      <c r="F35" s="26"/>
      <c r="G35" s="26"/>
      <c r="H35" s="13"/>
      <c r="N35" s="7" t="str">
        <f t="shared" si="2"/>
        <v>(a)</v>
      </c>
      <c r="O35" s="3" t="str">
        <f t="shared" si="2"/>
        <v>Illustrative price for all hours</v>
      </c>
    </row>
    <row r="36" spans="2:24">
      <c r="B36" s="7" t="str">
        <f>'Table B - Energy'!B35</f>
        <v>(b)</v>
      </c>
      <c r="C36" s="3" t="str">
        <f>'Table B - Energy'!C35</f>
        <v>On-peak Winter hours:  6:00a - 8:00a and 5:00p - 11:00p Pacific Prevailing Time (PPT), Oct. through May</v>
      </c>
      <c r="N36" s="7" t="str">
        <f t="shared" si="2"/>
        <v>(b)</v>
      </c>
      <c r="O36" s="3" t="str">
        <f t="shared" si="2"/>
        <v>On-peak Winter hours:  6:00a - 8:00a and 5:00p - 11:00p Pacific Prevailing Time (PPT), Oct. through May</v>
      </c>
    </row>
    <row r="37" spans="2:24">
      <c r="B37" s="7" t="str">
        <f>'Table B - Energy'!B36</f>
        <v>(c)</v>
      </c>
      <c r="C37" s="3" t="str">
        <f>'Table B - Energy'!C36</f>
        <v>Off-peak Winter hours:  All other hours, Oct. through May</v>
      </c>
      <c r="N37" s="7" t="str">
        <f t="shared" si="2"/>
        <v>(c)</v>
      </c>
      <c r="O37" s="3" t="str">
        <f t="shared" si="2"/>
        <v>Off-peak Winter hours:  All other hours, Oct. through May</v>
      </c>
    </row>
    <row r="38" spans="2:24">
      <c r="B38" s="7" t="str">
        <f>'Table B - Energy'!B37</f>
        <v>(d)</v>
      </c>
      <c r="C38" s="3" t="str">
        <f>'Table B - Energy'!C37</f>
        <v>On-peak Summer hours:  2:00p - 10:00p PPT, June through September</v>
      </c>
      <c r="N38" s="7" t="str">
        <f t="shared" si="2"/>
        <v>(d)</v>
      </c>
      <c r="O38" s="3" t="str">
        <f t="shared" si="2"/>
        <v>On-peak Summer hours:  2:00p - 10:00p PPT, June through September</v>
      </c>
    </row>
    <row r="39" spans="2:24">
      <c r="B39" s="7" t="str">
        <f>'Table B - Energy'!B38</f>
        <v>(e)</v>
      </c>
      <c r="C39" s="3" t="str">
        <f>'Table B - Energy'!C38</f>
        <v>Off-peak Summer hours:  All other hours, June through September</v>
      </c>
      <c r="H39" s="13"/>
      <c r="N39" s="7" t="str">
        <f>B39</f>
        <v>(e)</v>
      </c>
      <c r="O39" s="3" t="str">
        <f t="shared" si="2"/>
        <v>Off-peak Summer hours:  All other hours, June through September</v>
      </c>
    </row>
    <row r="40" spans="2:24">
      <c r="B40" s="7"/>
      <c r="H40" s="13"/>
    </row>
    <row r="41" spans="2:24">
      <c r="B41" s="7"/>
    </row>
    <row r="42" spans="2:24">
      <c r="B42" s="7"/>
    </row>
    <row r="43" spans="2:24">
      <c r="B43" s="7"/>
      <c r="F43" s="173"/>
      <c r="G43" s="7"/>
    </row>
    <row r="44" spans="2:24">
      <c r="B44" s="7"/>
      <c r="G44" s="7"/>
    </row>
    <row r="45" spans="2:24">
      <c r="B45" s="7"/>
    </row>
    <row r="46" spans="2:24">
      <c r="B46" s="7"/>
    </row>
    <row r="48" spans="2:24">
      <c r="B48" s="10"/>
    </row>
  </sheetData>
  <mergeCells count="22">
    <mergeCell ref="C5:G5"/>
    <mergeCell ref="H5:L5"/>
    <mergeCell ref="O5:S5"/>
    <mergeCell ref="T5:X5"/>
    <mergeCell ref="B1:I1"/>
    <mergeCell ref="B2:I2"/>
    <mergeCell ref="C4:G4"/>
    <mergeCell ref="H4:L4"/>
    <mergeCell ref="O4:S4"/>
    <mergeCell ref="T4:X4"/>
    <mergeCell ref="N1:U1"/>
    <mergeCell ref="N2:U2"/>
    <mergeCell ref="C8:G8"/>
    <mergeCell ref="H8:L8"/>
    <mergeCell ref="O8:S8"/>
    <mergeCell ref="T8:X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7"/>
  <sheetViews>
    <sheetView tabSelected="1" workbookViewId="0">
      <selection activeCell="C10" sqref="C10:D29"/>
    </sheetView>
  </sheetViews>
  <sheetFormatPr defaultColWidth="9.33203125" defaultRowHeight="12.75"/>
  <cols>
    <col min="1" max="1" width="1.83203125" style="1" customWidth="1"/>
    <col min="2" max="2" width="12.5" style="1" customWidth="1"/>
    <col min="3" max="14" width="10" style="1" customWidth="1"/>
    <col min="15" max="16" width="2.83203125" style="11" customWidth="1"/>
    <col min="17" max="17" width="18.6640625" style="11" customWidth="1"/>
    <col min="18" max="18" width="19.6640625" style="11" customWidth="1"/>
    <col min="19" max="16384" width="9.33203125" style="1"/>
  </cols>
  <sheetData>
    <row r="1" spans="1:26" s="52" customFormat="1" ht="15.75">
      <c r="B1" s="408" t="s">
        <v>211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46"/>
      <c r="P1" s="46"/>
      <c r="Q1" s="46"/>
      <c r="R1" s="46"/>
    </row>
    <row r="2" spans="1:26" s="52" customFormat="1" ht="15.75">
      <c r="B2" s="406" t="s">
        <v>58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6"/>
      <c r="P2" s="46"/>
      <c r="Q2" s="46"/>
      <c r="R2" s="46"/>
    </row>
    <row r="3" spans="1:26" s="53" customFormat="1" ht="15">
      <c r="B3" s="406" t="s">
        <v>212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50"/>
      <c r="P3" s="71"/>
      <c r="Q3" s="49"/>
      <c r="R3" s="49"/>
    </row>
    <row r="4" spans="1:26">
      <c r="B4" s="267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R4" s="1"/>
    </row>
    <row r="5" spans="1:26" s="54" customFormat="1" ht="12.75" customHeight="1">
      <c r="B5" s="269"/>
      <c r="C5" s="412" t="s">
        <v>15</v>
      </c>
      <c r="D5" s="413" t="s">
        <v>61</v>
      </c>
      <c r="E5" s="414" t="s">
        <v>61</v>
      </c>
      <c r="F5" s="412" t="s">
        <v>15</v>
      </c>
      <c r="G5" s="413" t="s">
        <v>61</v>
      </c>
      <c r="H5" s="414" t="s">
        <v>61</v>
      </c>
      <c r="I5" s="412" t="s">
        <v>15</v>
      </c>
      <c r="J5" s="413" t="s">
        <v>61</v>
      </c>
      <c r="K5" s="414" t="s">
        <v>61</v>
      </c>
      <c r="L5" s="412" t="s">
        <v>15</v>
      </c>
      <c r="M5" s="413" t="s">
        <v>61</v>
      </c>
      <c r="N5" s="414" t="s">
        <v>61</v>
      </c>
      <c r="O5" s="55"/>
      <c r="P5" s="55"/>
    </row>
    <row r="6" spans="1:26" s="54" customFormat="1" ht="12.75" customHeight="1">
      <c r="B6" s="270"/>
      <c r="C6" s="409" t="s">
        <v>126</v>
      </c>
      <c r="D6" s="410"/>
      <c r="E6" s="411"/>
      <c r="F6" s="409" t="s">
        <v>140</v>
      </c>
      <c r="G6" s="410"/>
      <c r="H6" s="411"/>
      <c r="I6" s="409" t="s">
        <v>141</v>
      </c>
      <c r="J6" s="410" t="s">
        <v>56</v>
      </c>
      <c r="K6" s="411" t="s">
        <v>56</v>
      </c>
      <c r="L6" s="409" t="s">
        <v>142</v>
      </c>
      <c r="M6" s="410" t="s">
        <v>57</v>
      </c>
      <c r="N6" s="411" t="s">
        <v>57</v>
      </c>
      <c r="O6" s="69"/>
      <c r="P6" s="69"/>
    </row>
    <row r="7" spans="1:26" s="54" customFormat="1" ht="12.75" customHeight="1">
      <c r="B7" s="270" t="s">
        <v>2</v>
      </c>
      <c r="C7" s="271" t="s">
        <v>162</v>
      </c>
      <c r="D7" s="272" t="s">
        <v>163</v>
      </c>
      <c r="E7" s="272" t="s">
        <v>164</v>
      </c>
      <c r="F7" s="271" t="s">
        <v>162</v>
      </c>
      <c r="G7" s="272" t="s">
        <v>163</v>
      </c>
      <c r="H7" s="272" t="s">
        <v>164</v>
      </c>
      <c r="I7" s="271" t="s">
        <v>162</v>
      </c>
      <c r="J7" s="272" t="s">
        <v>163</v>
      </c>
      <c r="K7" s="272" t="s">
        <v>164</v>
      </c>
      <c r="L7" s="271" t="s">
        <v>162</v>
      </c>
      <c r="M7" s="272" t="s">
        <v>163</v>
      </c>
      <c r="N7" s="272" t="s">
        <v>164</v>
      </c>
      <c r="O7" s="69"/>
      <c r="P7" s="69"/>
    </row>
    <row r="8" spans="1:26" ht="6.75" customHeight="1"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12"/>
      <c r="P8" s="12"/>
      <c r="Q8" s="1"/>
      <c r="R8" s="1"/>
    </row>
    <row r="9" spans="1:26">
      <c r="B9" s="275"/>
      <c r="C9" s="276"/>
      <c r="D9" s="277"/>
      <c r="E9" s="278"/>
      <c r="F9" s="276"/>
      <c r="G9" s="277"/>
      <c r="H9" s="278"/>
      <c r="I9" s="276"/>
      <c r="J9" s="279"/>
      <c r="K9" s="278"/>
      <c r="L9" s="276"/>
      <c r="M9" s="279"/>
      <c r="N9" s="278"/>
      <c r="O9" s="8"/>
      <c r="P9" s="8"/>
      <c r="Q9" s="27"/>
      <c r="R9" s="27"/>
    </row>
    <row r="10" spans="1:26">
      <c r="B10" s="285">
        <f>'Table A - Combined'!B11</f>
        <v>2023</v>
      </c>
      <c r="C10" s="277">
        <f>INDEX('Table A - Combined'!$C$10:$X$30,MATCH($B10,'Table A - Combined'!$B$10:$B$30,0),MATCH(C$6,'Table A - Combined'!$C$4:$X$4,0))</f>
        <v>103.71502748619376</v>
      </c>
      <c r="D10" s="277">
        <v>63.832084758890147</v>
      </c>
      <c r="E10" s="278">
        <f t="shared" ref="E10:E29" si="0">C10-D10</f>
        <v>39.882942727303615</v>
      </c>
      <c r="F10" s="276">
        <f>INDEX('Table A - Combined'!$C$10:$X$30,MATCH($B10,'Table A - Combined'!$B$10:$B$30,0),MATCH(F$6,'Table A - Combined'!$C$4:$X$4,0))</f>
        <v>89.516855617403792</v>
      </c>
      <c r="G10" s="277">
        <v>51.339512305924593</v>
      </c>
      <c r="H10" s="278">
        <f t="shared" ref="H10:H29" si="1">F10-G10</f>
        <v>38.177343311479198</v>
      </c>
      <c r="I10" s="276">
        <f>INDEX('Table A - Combined'!$C$10:$X$30,MATCH($B10,'Table A - Combined'!$B$10:$B$30,0),MATCH(I$6,'Table A - Combined'!$C$4:$X$4,0))</f>
        <v>78.084117435725702</v>
      </c>
      <c r="J10" s="277">
        <v>40.875926667764091</v>
      </c>
      <c r="K10" s="278">
        <f t="shared" ref="K10:K29" si="2">I10-J10</f>
        <v>37.208190767961611</v>
      </c>
      <c r="L10" s="276">
        <f>INDEX('Table A - Combined'!$C$10:$X$30,MATCH($B10,'Table A - Combined'!$B$10:$B$30,0),MATCH(L$6,'Table A - Combined'!$C$4:$X$4,0))</f>
        <v>81.793428440610654</v>
      </c>
      <c r="M10" s="277">
        <v>42.989664321023952</v>
      </c>
      <c r="N10" s="278">
        <f t="shared" ref="N10:N29" si="3">L10-M10</f>
        <v>38.803764119586702</v>
      </c>
      <c r="O10" s="27"/>
      <c r="P10" s="27"/>
      <c r="Q10"/>
      <c r="R10"/>
      <c r="S10"/>
      <c r="T10"/>
      <c r="U10"/>
      <c r="V10"/>
      <c r="W10"/>
      <c r="X10"/>
      <c r="Y10"/>
      <c r="Z10"/>
    </row>
    <row r="11" spans="1:26">
      <c r="B11" s="285">
        <f t="shared" ref="B11:B29" si="4">B10+1</f>
        <v>2024</v>
      </c>
      <c r="C11" s="277">
        <f>INDEX('Table A - Combined'!$C$10:$X$30,MATCH($B11,'Table A - Combined'!$B$10:$B$30,0),MATCH(C$6,'Table A - Combined'!$C$4:$X$4,0))</f>
        <v>91.197635985336078</v>
      </c>
      <c r="D11" s="277">
        <v>58.394136408871638</v>
      </c>
      <c r="E11" s="278">
        <f t="shared" si="0"/>
        <v>32.803499576464439</v>
      </c>
      <c r="F11" s="276">
        <f>INDEX('Table A - Combined'!$C$10:$X$30,MATCH($B11,'Table A - Combined'!$B$10:$B$30,0),MATCH(F$6,'Table A - Combined'!$C$4:$X$4,0))</f>
        <v>77.139563037111131</v>
      </c>
      <c r="G11" s="277">
        <v>45.850307058566145</v>
      </c>
      <c r="H11" s="278">
        <f t="shared" si="1"/>
        <v>31.289255978544986</v>
      </c>
      <c r="I11" s="276">
        <f>INDEX('Table A - Combined'!$C$10:$X$30,MATCH($B11,'Table A - Combined'!$B$10:$B$30,0),MATCH(I$6,'Table A - Combined'!$C$4:$X$4,0))</f>
        <v>65.093685745501745</v>
      </c>
      <c r="J11" s="277">
        <v>35.772323697901712</v>
      </c>
      <c r="K11" s="278">
        <f t="shared" si="2"/>
        <v>29.321362047600033</v>
      </c>
      <c r="L11" s="276">
        <f>INDEX('Table A - Combined'!$C$10:$X$30,MATCH($B11,'Table A - Combined'!$B$10:$B$30,0),MATCH(L$6,'Table A - Combined'!$C$4:$X$4,0))</f>
        <v>68.518362050050257</v>
      </c>
      <c r="M11" s="277">
        <v>38.096423916052309</v>
      </c>
      <c r="N11" s="278">
        <f t="shared" si="3"/>
        <v>30.421938133997948</v>
      </c>
      <c r="O11" s="27"/>
      <c r="P11" s="27"/>
      <c r="Q11" s="27"/>
      <c r="R11" s="27"/>
    </row>
    <row r="12" spans="1:26">
      <c r="B12" s="285">
        <f t="shared" si="4"/>
        <v>2025</v>
      </c>
      <c r="C12" s="277">
        <f>INDEX('Table A - Combined'!$C$10:$X$30,MATCH($B12,'Table A - Combined'!$B$10:$B$30,0),MATCH(C$6,'Table A - Combined'!$C$4:$X$4,0))</f>
        <v>85.878234122128433</v>
      </c>
      <c r="D12" s="277">
        <v>47.720604856361923</v>
      </c>
      <c r="E12" s="278">
        <f t="shared" si="0"/>
        <v>38.157629265766509</v>
      </c>
      <c r="F12" s="276">
        <f>INDEX('Table A - Combined'!$C$10:$X$30,MATCH($B12,'Table A - Combined'!$B$10:$B$30,0),MATCH(F$6,'Table A - Combined'!$C$4:$X$4,0))</f>
        <v>71.378833475072128</v>
      </c>
      <c r="G12" s="277">
        <v>35.677641440592105</v>
      </c>
      <c r="H12" s="278">
        <f t="shared" si="1"/>
        <v>35.701192034480023</v>
      </c>
      <c r="I12" s="276">
        <f>INDEX('Table A - Combined'!$C$10:$X$30,MATCH($B12,'Table A - Combined'!$B$10:$B$30,0),MATCH(I$6,'Table A - Combined'!$C$4:$X$4,0))</f>
        <v>58.53693267882781</v>
      </c>
      <c r="J12" s="277">
        <v>26.246393416676852</v>
      </c>
      <c r="K12" s="278">
        <f t="shared" si="2"/>
        <v>32.290539262150958</v>
      </c>
      <c r="L12" s="276">
        <f>INDEX('Table A - Combined'!$C$10:$X$30,MATCH($B12,'Table A - Combined'!$B$10:$B$30,0),MATCH(L$6,'Table A - Combined'!$C$4:$X$4,0))</f>
        <v>62.026499529188378</v>
      </c>
      <c r="M12" s="277">
        <v>27.363005969161552</v>
      </c>
      <c r="N12" s="278">
        <f t="shared" si="3"/>
        <v>34.663493560026822</v>
      </c>
      <c r="O12" s="27"/>
      <c r="P12" s="27"/>
      <c r="Q12" s="27"/>
      <c r="R12" s="27"/>
    </row>
    <row r="13" spans="1:26">
      <c r="B13" s="285">
        <f t="shared" si="4"/>
        <v>2026</v>
      </c>
      <c r="C13" s="277">
        <f>INDEX('Table A - Combined'!$C$10:$X$30,MATCH($B13,'Table A - Combined'!$B$10:$B$30,0),MATCH(C$6,'Table A - Combined'!$C$4:$X$4,0))</f>
        <v>83.370446745725161</v>
      </c>
      <c r="D13" s="277">
        <v>38.963090605791322</v>
      </c>
      <c r="E13" s="278">
        <f t="shared" si="0"/>
        <v>44.407356139933839</v>
      </c>
      <c r="F13" s="276">
        <f>INDEX('Table A - Combined'!$C$10:$X$30,MATCH($B13,'Table A - Combined'!$B$10:$B$30,0),MATCH(F$6,'Table A - Combined'!$C$4:$X$4,0))</f>
        <v>68.893052905102209</v>
      </c>
      <c r="G13" s="277">
        <v>27.61250592754805</v>
      </c>
      <c r="H13" s="278">
        <f t="shared" si="1"/>
        <v>41.28054697755416</v>
      </c>
      <c r="I13" s="276">
        <f>INDEX('Table A - Combined'!$C$10:$X$30,MATCH($B13,'Table A - Combined'!$B$10:$B$30,0),MATCH(I$6,'Table A - Combined'!$C$4:$X$4,0))</f>
        <v>54.460792296631503</v>
      </c>
      <c r="J13" s="277">
        <v>17.576540176108729</v>
      </c>
      <c r="K13" s="278">
        <f t="shared" si="2"/>
        <v>36.884252120522774</v>
      </c>
      <c r="L13" s="276">
        <f>INDEX('Table A - Combined'!$C$10:$X$30,MATCH($B13,'Table A - Combined'!$B$10:$B$30,0),MATCH(L$6,'Table A - Combined'!$C$4:$X$4,0))</f>
        <v>57.427122270493612</v>
      </c>
      <c r="M13" s="277">
        <v>17.180167517207167</v>
      </c>
      <c r="N13" s="278">
        <f t="shared" si="3"/>
        <v>40.246954753286445</v>
      </c>
      <c r="O13" s="27"/>
      <c r="P13" s="27"/>
      <c r="Q13" s="27"/>
      <c r="R13" s="27"/>
    </row>
    <row r="14" spans="1:26">
      <c r="B14" s="280">
        <f t="shared" si="4"/>
        <v>2027</v>
      </c>
      <c r="C14" s="281">
        <f>INDEX('Table A - Combined'!$C$10:$X$30,MATCH($B14,'Table A - Combined'!$B$10:$B$30,0),MATCH(C$6,'Table A - Combined'!$C$4:$X$4,0))</f>
        <v>81.735057054976195</v>
      </c>
      <c r="D14" s="282">
        <v>39.564521523904162</v>
      </c>
      <c r="E14" s="283">
        <f t="shared" si="0"/>
        <v>42.170535531072034</v>
      </c>
      <c r="F14" s="281">
        <f>INDEX('Table A - Combined'!$C$10:$X$30,MATCH($B14,'Table A - Combined'!$B$10:$B$30,0),MATCH(F$6,'Table A - Combined'!$C$4:$X$4,0))</f>
        <v>67.444591049628613</v>
      </c>
      <c r="G14" s="282">
        <v>27.987950459893799</v>
      </c>
      <c r="H14" s="283">
        <f t="shared" si="1"/>
        <v>39.456640589734818</v>
      </c>
      <c r="I14" s="281">
        <f>INDEX('Table A - Combined'!$C$10:$X$30,MATCH($B14,'Table A - Combined'!$B$10:$B$30,0),MATCH(I$6,'Table A - Combined'!$C$4:$X$4,0))</f>
        <v>50.982313816290571</v>
      </c>
      <c r="J14" s="282">
        <v>17.686412435326446</v>
      </c>
      <c r="K14" s="283">
        <f t="shared" si="2"/>
        <v>33.295901380964125</v>
      </c>
      <c r="L14" s="281">
        <f>INDEX('Table A - Combined'!$C$10:$X$30,MATCH($B14,'Table A - Combined'!$B$10:$B$30,0),MATCH(L$6,'Table A - Combined'!$C$4:$X$4,0))</f>
        <v>53.227774669815041</v>
      </c>
      <c r="M14" s="282">
        <v>17.264838326056822</v>
      </c>
      <c r="N14" s="283">
        <f t="shared" si="3"/>
        <v>35.962936343758216</v>
      </c>
      <c r="O14" s="27"/>
      <c r="P14" s="27"/>
      <c r="Q14" s="27"/>
      <c r="R14" s="27"/>
    </row>
    <row r="15" spans="1:26">
      <c r="B15" s="284">
        <f t="shared" si="4"/>
        <v>2028</v>
      </c>
      <c r="C15" s="277">
        <f>INDEX('Table A - Combined'!$C$10:$X$30,MATCH($B15,'Table A - Combined'!$B$10:$B$30,0),MATCH(C$6,'Table A - Combined'!$C$4:$X$4,0))</f>
        <v>80.217029144813736</v>
      </c>
      <c r="D15" s="277">
        <v>40.92258937668695</v>
      </c>
      <c r="E15" s="278">
        <f t="shared" si="0"/>
        <v>39.294439768126786</v>
      </c>
      <c r="F15" s="276">
        <f>INDEX('Table A - Combined'!$C$10:$X$30,MATCH($B15,'Table A - Combined'!$B$10:$B$30,0),MATCH(F$6,'Table A - Combined'!$C$4:$X$4,0))</f>
        <v>65.837186771612977</v>
      </c>
      <c r="G15" s="277">
        <v>29.08542240818662</v>
      </c>
      <c r="H15" s="278">
        <f t="shared" si="1"/>
        <v>36.751764363426361</v>
      </c>
      <c r="I15" s="276">
        <f>INDEX('Table A - Combined'!$C$10:$X$30,MATCH($B15,'Table A - Combined'!$B$10:$B$30,0),MATCH(I$6,'Table A - Combined'!$C$4:$X$4,0))</f>
        <v>48.261159078715458</v>
      </c>
      <c r="J15" s="277">
        <v>18.217943747302332</v>
      </c>
      <c r="K15" s="278">
        <f t="shared" si="2"/>
        <v>30.043215331413126</v>
      </c>
      <c r="L15" s="276">
        <f>INDEX('Table A - Combined'!$C$10:$X$30,MATCH($B15,'Table A - Combined'!$B$10:$B$30,0),MATCH(L$6,'Table A - Combined'!$C$4:$X$4,0))</f>
        <v>50.368956345538486</v>
      </c>
      <c r="M15" s="277">
        <v>17.780519913510599</v>
      </c>
      <c r="N15" s="278">
        <f t="shared" si="3"/>
        <v>32.588436432027891</v>
      </c>
      <c r="O15" s="27"/>
      <c r="P15" s="27"/>
      <c r="Q15" s="27"/>
      <c r="R15" s="27"/>
    </row>
    <row r="16" spans="1:26">
      <c r="A16" s="2"/>
      <c r="B16" s="285">
        <f t="shared" si="4"/>
        <v>2029</v>
      </c>
      <c r="C16" s="277">
        <f>INDEX('Table A - Combined'!$C$10:$X$30,MATCH($B16,'Table A - Combined'!$B$10:$B$30,0),MATCH(C$6,'Table A - Combined'!$C$4:$X$4,0))</f>
        <v>77.688644162147966</v>
      </c>
      <c r="D16" s="277">
        <v>41.526347512037766</v>
      </c>
      <c r="E16" s="278">
        <f t="shared" si="0"/>
        <v>36.1622966501102</v>
      </c>
      <c r="F16" s="276">
        <f>INDEX('Table A - Combined'!$C$10:$X$30,MATCH($B16,'Table A - Combined'!$B$10:$B$30,0),MATCH(F$6,'Table A - Combined'!$C$4:$X$4,0))</f>
        <v>63.071305455290997</v>
      </c>
      <c r="G16" s="277">
        <v>29.310656642194033</v>
      </c>
      <c r="H16" s="278">
        <f t="shared" si="1"/>
        <v>33.760648813096964</v>
      </c>
      <c r="I16" s="276">
        <f>INDEX('Table A - Combined'!$C$10:$X$30,MATCH($B16,'Table A - Combined'!$B$10:$B$30,0),MATCH(I$6,'Table A - Combined'!$C$4:$X$4,0))</f>
        <v>45.106493658129942</v>
      </c>
      <c r="J16" s="277">
        <v>18.274270237180424</v>
      </c>
      <c r="K16" s="278">
        <f t="shared" si="2"/>
        <v>26.832223420949518</v>
      </c>
      <c r="L16" s="276">
        <f>INDEX('Table A - Combined'!$C$10:$X$30,MATCH($B16,'Table A - Combined'!$B$10:$B$30,0),MATCH(L$6,'Table A - Combined'!$C$4:$X$4,0))</f>
        <v>46.896663321496625</v>
      </c>
      <c r="M16" s="277">
        <v>17.677219810224905</v>
      </c>
      <c r="N16" s="278">
        <f t="shared" si="3"/>
        <v>29.21944351127172</v>
      </c>
      <c r="O16" s="27"/>
      <c r="P16" s="27"/>
      <c r="Q16" s="27"/>
      <c r="R16" s="27"/>
    </row>
    <row r="17" spans="2:18">
      <c r="B17" s="285">
        <f t="shared" si="4"/>
        <v>2030</v>
      </c>
      <c r="C17" s="277">
        <f>INDEX('Table A - Combined'!$C$10:$X$30,MATCH($B17,'Table A - Combined'!$B$10:$B$30,0),MATCH(C$6,'Table A - Combined'!$C$4:$X$4,0))</f>
        <v>73.488158593827364</v>
      </c>
      <c r="D17" s="277">
        <v>42.177822963718711</v>
      </c>
      <c r="E17" s="278">
        <f t="shared" si="0"/>
        <v>31.310335630108654</v>
      </c>
      <c r="F17" s="276">
        <f>INDEX('Table A - Combined'!$C$10:$X$30,MATCH($B17,'Table A - Combined'!$B$10:$B$30,0),MATCH(F$6,'Table A - Combined'!$C$4:$X$4,0))</f>
        <v>58.512982898122992</v>
      </c>
      <c r="G17" s="277">
        <v>29.634751674858141</v>
      </c>
      <c r="H17" s="278">
        <f t="shared" si="1"/>
        <v>28.878231223264851</v>
      </c>
      <c r="I17" s="276">
        <f>INDEX('Table A - Combined'!$C$10:$X$30,MATCH($B17,'Table A - Combined'!$B$10:$B$30,0),MATCH(I$6,'Table A - Combined'!$C$4:$X$4,0))</f>
        <v>41.169945444683101</v>
      </c>
      <c r="J17" s="277">
        <v>18.458438841294512</v>
      </c>
      <c r="K17" s="278">
        <f t="shared" si="2"/>
        <v>22.711506603388589</v>
      </c>
      <c r="L17" s="276">
        <f>INDEX('Table A - Combined'!$C$10:$X$30,MATCH($B17,'Table A - Combined'!$B$10:$B$30,0),MATCH(L$6,'Table A - Combined'!$C$4:$X$4,0))</f>
        <v>42.734921676042802</v>
      </c>
      <c r="M17" s="277">
        <v>17.894401024153158</v>
      </c>
      <c r="N17" s="278">
        <f t="shared" si="3"/>
        <v>24.840520651889644</v>
      </c>
      <c r="O17" s="27"/>
      <c r="P17" s="27"/>
      <c r="Q17" s="27"/>
      <c r="R17" s="27"/>
    </row>
    <row r="18" spans="2:18">
      <c r="B18" s="285">
        <f t="shared" si="4"/>
        <v>2031</v>
      </c>
      <c r="C18" s="277">
        <f>INDEX('Table A - Combined'!$C$10:$X$30,MATCH($B18,'Table A - Combined'!$B$10:$B$30,0),MATCH(C$6,'Table A - Combined'!$C$4:$X$4,0))</f>
        <v>71.632272999409935</v>
      </c>
      <c r="D18" s="277">
        <v>43.59570520010346</v>
      </c>
      <c r="E18" s="287">
        <f t="shared" si="0"/>
        <v>28.036567799306475</v>
      </c>
      <c r="F18" s="276">
        <f>INDEX('Table A - Combined'!$C$10:$X$30,MATCH($B18,'Table A - Combined'!$B$10:$B$30,0),MATCH(F$6,'Table A - Combined'!$C$4:$X$4,0))</f>
        <v>56.446072583311832</v>
      </c>
      <c r="G18" s="277">
        <v>30.827335175183528</v>
      </c>
      <c r="H18" s="287">
        <f t="shared" si="1"/>
        <v>25.618737408128304</v>
      </c>
      <c r="I18" s="276">
        <f>INDEX('Table A - Combined'!$C$10:$X$30,MATCH($B18,'Table A - Combined'!$B$10:$B$30,0),MATCH(I$6,'Table A - Combined'!$C$4:$X$4,0))</f>
        <v>39.142354930845713</v>
      </c>
      <c r="J18" s="277">
        <v>19.061068215682816</v>
      </c>
      <c r="K18" s="287">
        <f t="shared" si="2"/>
        <v>20.081286715162896</v>
      </c>
      <c r="L18" s="276">
        <f>INDEX('Table A - Combined'!$C$10:$X$30,MATCH($B18,'Table A - Combined'!$B$10:$B$30,0),MATCH(L$6,'Table A - Combined'!$C$4:$X$4,0))</f>
        <v>40.578241814560634</v>
      </c>
      <c r="M18" s="277">
        <v>18.39534951934041</v>
      </c>
      <c r="N18" s="287">
        <f t="shared" si="3"/>
        <v>22.182892295220224</v>
      </c>
      <c r="O18" s="27"/>
      <c r="P18" s="27"/>
      <c r="Q18" s="27"/>
      <c r="R18" s="27"/>
    </row>
    <row r="19" spans="2:18">
      <c r="B19" s="285">
        <f t="shared" si="4"/>
        <v>2032</v>
      </c>
      <c r="C19" s="277">
        <f>INDEX('Table A - Combined'!$C$10:$X$30,MATCH($B19,'Table A - Combined'!$B$10:$B$30,0),MATCH(C$6,'Table A - Combined'!$C$4:$X$4,0))</f>
        <v>70.998317674487666</v>
      </c>
      <c r="D19" s="277">
        <v>43.337939263802319</v>
      </c>
      <c r="E19" s="287">
        <f t="shared" si="0"/>
        <v>27.660378410685347</v>
      </c>
      <c r="F19" s="276">
        <f>INDEX('Table A - Combined'!$C$10:$X$30,MATCH($B19,'Table A - Combined'!$B$10:$B$30,0),MATCH(F$6,'Table A - Combined'!$C$4:$X$4,0))</f>
        <v>55.42777021856763</v>
      </c>
      <c r="G19" s="277">
        <v>30.177070259550266</v>
      </c>
      <c r="H19" s="287">
        <f t="shared" si="1"/>
        <v>25.250699959017364</v>
      </c>
      <c r="I19" s="276">
        <f>INDEX('Table A - Combined'!$C$10:$X$30,MATCH($B19,'Table A - Combined'!$B$10:$B$30,0),MATCH(I$6,'Table A - Combined'!$C$4:$X$4,0))</f>
        <v>38.611625304825147</v>
      </c>
      <c r="J19" s="277">
        <v>18.628497500364663</v>
      </c>
      <c r="K19" s="287">
        <f t="shared" si="2"/>
        <v>19.983127804460484</v>
      </c>
      <c r="L19" s="276">
        <f>INDEX('Table A - Combined'!$C$10:$X$30,MATCH($B19,'Table A - Combined'!$B$10:$B$30,0),MATCH(L$6,'Table A - Combined'!$C$4:$X$4,0))</f>
        <v>40.189976023659746</v>
      </c>
      <c r="M19" s="277">
        <v>17.971665803410403</v>
      </c>
      <c r="N19" s="287">
        <f t="shared" si="3"/>
        <v>22.218310220249343</v>
      </c>
      <c r="O19" s="28"/>
      <c r="P19" s="27"/>
      <c r="Q19" s="27"/>
      <c r="R19" s="27"/>
    </row>
    <row r="20" spans="2:18">
      <c r="B20" s="285">
        <f t="shared" si="4"/>
        <v>2033</v>
      </c>
      <c r="C20" s="277">
        <f>INDEX('Table A - Combined'!$C$10:$X$30,MATCH($B20,'Table A - Combined'!$B$10:$B$30,0),MATCH(C$6,'Table A - Combined'!$C$4:$X$4,0))</f>
        <v>69.039487015402074</v>
      </c>
      <c r="D20" s="277">
        <v>43.253162832308689</v>
      </c>
      <c r="E20" s="287">
        <f t="shared" si="0"/>
        <v>25.786324183093384</v>
      </c>
      <c r="F20" s="276">
        <f>INDEX('Table A - Combined'!$C$10:$X$30,MATCH($B20,'Table A - Combined'!$B$10:$B$30,0),MATCH(F$6,'Table A - Combined'!$C$4:$X$4,0))</f>
        <v>53.111314215858023</v>
      </c>
      <c r="G20" s="277">
        <v>29.780054615341061</v>
      </c>
      <c r="H20" s="287">
        <f t="shared" si="1"/>
        <v>23.331259600516962</v>
      </c>
      <c r="I20" s="276">
        <f>INDEX('Table A - Combined'!$C$10:$X$30,MATCH($B20,'Table A - Combined'!$B$10:$B$30,0),MATCH(I$6,'Table A - Combined'!$C$4:$X$4,0))</f>
        <v>36.826989733924442</v>
      </c>
      <c r="J20" s="277">
        <v>17.97861111868017</v>
      </c>
      <c r="K20" s="287">
        <f t="shared" si="2"/>
        <v>18.848378615244272</v>
      </c>
      <c r="L20" s="276">
        <f>INDEX('Table A - Combined'!$C$10:$X$30,MATCH($B20,'Table A - Combined'!$B$10:$B$30,0),MATCH(L$6,'Table A - Combined'!$C$4:$X$4,0))</f>
        <v>38.263952298660932</v>
      </c>
      <c r="M20" s="277">
        <v>17.286617187768023</v>
      </c>
      <c r="N20" s="287">
        <f t="shared" si="3"/>
        <v>20.977335110892909</v>
      </c>
      <c r="O20" s="28"/>
      <c r="P20" s="27"/>
      <c r="Q20" s="27"/>
      <c r="R20" s="27"/>
    </row>
    <row r="21" spans="2:18">
      <c r="B21" s="285">
        <f t="shared" si="4"/>
        <v>2034</v>
      </c>
      <c r="C21" s="277">
        <f>INDEX('Table A - Combined'!$C$10:$X$30,MATCH($B21,'Table A - Combined'!$B$10:$B$30,0),MATCH(C$6,'Table A - Combined'!$C$4:$X$4,0))</f>
        <v>66.454358380194989</v>
      </c>
      <c r="D21" s="277">
        <v>44.135101522657258</v>
      </c>
      <c r="E21" s="287">
        <f t="shared" si="0"/>
        <v>22.319256857537731</v>
      </c>
      <c r="F21" s="276">
        <f>INDEX('Table A - Combined'!$C$10:$X$30,MATCH($B21,'Table A - Combined'!$B$10:$B$30,0),MATCH(F$6,'Table A - Combined'!$C$4:$X$4,0))</f>
        <v>50.228232792912195</v>
      </c>
      <c r="G21" s="277">
        <v>30.544306475855322</v>
      </c>
      <c r="H21" s="287">
        <f t="shared" si="1"/>
        <v>19.683926317056873</v>
      </c>
      <c r="I21" s="276">
        <f>INDEX('Table A - Combined'!$C$10:$X$30,MATCH($B21,'Table A - Combined'!$B$10:$B$30,0),MATCH(I$6,'Table A - Combined'!$C$4:$X$4,0))</f>
        <v>34.568811683045261</v>
      </c>
      <c r="J21" s="277">
        <v>18.356004627271933</v>
      </c>
      <c r="K21" s="287">
        <f t="shared" si="2"/>
        <v>16.212807055773329</v>
      </c>
      <c r="L21" s="276">
        <f>INDEX('Table A - Combined'!$C$10:$X$30,MATCH($B21,'Table A - Combined'!$B$10:$B$30,0),MATCH(L$6,'Table A - Combined'!$C$4:$X$4,0))</f>
        <v>35.978592706844289</v>
      </c>
      <c r="M21" s="277">
        <v>17.640982751031856</v>
      </c>
      <c r="N21" s="287">
        <f t="shared" si="3"/>
        <v>18.337609955812432</v>
      </c>
      <c r="O21" s="28"/>
      <c r="P21" s="27"/>
      <c r="Q21" s="27"/>
      <c r="R21" s="27"/>
    </row>
    <row r="22" spans="2:18">
      <c r="B22" s="285">
        <f t="shared" si="4"/>
        <v>2035</v>
      </c>
      <c r="C22" s="277">
        <f>INDEX('Table A - Combined'!$C$10:$X$30,MATCH($B22,'Table A - Combined'!$B$10:$B$30,0),MATCH(C$6,'Table A - Combined'!$C$4:$X$4,0))</f>
        <v>69.463406673031272</v>
      </c>
      <c r="D22" s="277">
        <v>44.933119006080105</v>
      </c>
      <c r="E22" s="278">
        <f t="shared" si="0"/>
        <v>24.530287666951168</v>
      </c>
      <c r="F22" s="276">
        <f>INDEX('Table A - Combined'!$C$10:$X$30,MATCH($B22,'Table A - Combined'!$B$10:$B$30,0),MATCH(F$6,'Table A - Combined'!$C$4:$X$4,0))</f>
        <v>52.835031458230404</v>
      </c>
      <c r="G22" s="277">
        <v>30.727568883474646</v>
      </c>
      <c r="H22" s="278">
        <f t="shared" si="1"/>
        <v>22.107462574755758</v>
      </c>
      <c r="I22" s="276">
        <f>INDEX('Table A - Combined'!$C$10:$X$30,MATCH($B22,'Table A - Combined'!$B$10:$B$30,0),MATCH(I$6,'Table A - Combined'!$C$4:$X$4,0))</f>
        <v>36.339798550520896</v>
      </c>
      <c r="J22" s="277">
        <v>18.641304996141837</v>
      </c>
      <c r="K22" s="278">
        <f t="shared" si="2"/>
        <v>17.698493554379059</v>
      </c>
      <c r="L22" s="276">
        <f>INDEX('Table A - Combined'!$C$10:$X$30,MATCH($B22,'Table A - Combined'!$B$10:$B$30,0),MATCH(L$6,'Table A - Combined'!$C$4:$X$4,0))</f>
        <v>37.859522201828078</v>
      </c>
      <c r="M22" s="277">
        <v>17.944793578557253</v>
      </c>
      <c r="N22" s="278">
        <f t="shared" si="3"/>
        <v>19.914728623270825</v>
      </c>
      <c r="O22" s="27"/>
      <c r="P22" s="27"/>
      <c r="Q22" s="27"/>
      <c r="R22" s="27"/>
    </row>
    <row r="23" spans="2:18">
      <c r="B23" s="285">
        <f t="shared" si="4"/>
        <v>2036</v>
      </c>
      <c r="C23" s="277">
        <f>INDEX('Table A - Combined'!$C$10:$X$30,MATCH($B23,'Table A - Combined'!$B$10:$B$30,0),MATCH(C$6,'Table A - Combined'!$C$4:$X$4,0))</f>
        <v>71.938396885071597</v>
      </c>
      <c r="D23" s="277">
        <v>44.644453468862146</v>
      </c>
      <c r="E23" s="278">
        <f t="shared" si="0"/>
        <v>27.293943416209451</v>
      </c>
      <c r="F23" s="276">
        <f>INDEX('Table A - Combined'!$C$10:$X$30,MATCH($B23,'Table A - Combined'!$B$10:$B$30,0),MATCH(F$6,'Table A - Combined'!$C$4:$X$4,0))</f>
        <v>54.753322816843273</v>
      </c>
      <c r="G23" s="277">
        <v>30.210147411134837</v>
      </c>
      <c r="H23" s="278">
        <f t="shared" si="1"/>
        <v>24.543175405708435</v>
      </c>
      <c r="I23" s="276">
        <f>INDEX('Table A - Combined'!$C$10:$X$30,MATCH($B23,'Table A - Combined'!$B$10:$B$30,0),MATCH(I$6,'Table A - Combined'!$C$4:$X$4,0))</f>
        <v>37.976405632590293</v>
      </c>
      <c r="J23" s="277">
        <v>18.064075604838081</v>
      </c>
      <c r="K23" s="278">
        <f t="shared" si="2"/>
        <v>19.912330027752212</v>
      </c>
      <c r="L23" s="276">
        <f>INDEX('Table A - Combined'!$C$10:$X$30,MATCH($B23,'Table A - Combined'!$B$10:$B$30,0),MATCH(L$6,'Table A - Combined'!$C$4:$X$4,0))</f>
        <v>39.659016984877411</v>
      </c>
      <c r="M23" s="277">
        <v>17.368771209199068</v>
      </c>
      <c r="N23" s="278">
        <f t="shared" si="3"/>
        <v>22.290245775678343</v>
      </c>
      <c r="O23" s="27"/>
      <c r="P23" s="27"/>
      <c r="Q23" s="27"/>
      <c r="R23" s="27"/>
    </row>
    <row r="24" spans="2:18">
      <c r="B24" s="285">
        <f t="shared" si="4"/>
        <v>2037</v>
      </c>
      <c r="C24" s="277">
        <f>INDEX('Table A - Combined'!$C$10:$X$30,MATCH($B24,'Table A - Combined'!$B$10:$B$30,0),MATCH(C$6,'Table A - Combined'!$C$4:$X$4,0))</f>
        <v>74.837531700374271</v>
      </c>
      <c r="D24" s="277">
        <v>45.48571710022955</v>
      </c>
      <c r="E24" s="278">
        <f t="shared" si="0"/>
        <v>29.351814600144721</v>
      </c>
      <c r="F24" s="276">
        <f>INDEX('Table A - Combined'!$C$10:$X$30,MATCH($B24,'Table A - Combined'!$B$10:$B$30,0),MATCH(F$6,'Table A - Combined'!$C$4:$X$4,0))</f>
        <v>57.082503999778744</v>
      </c>
      <c r="G24" s="277">
        <v>30.795911308471688</v>
      </c>
      <c r="H24" s="278">
        <f t="shared" si="1"/>
        <v>26.286592691307057</v>
      </c>
      <c r="I24" s="276">
        <f>INDEX('Table A - Combined'!$C$10:$X$30,MATCH($B24,'Table A - Combined'!$B$10:$B$30,0),MATCH(I$6,'Table A - Combined'!$C$4:$X$4,0))</f>
        <v>39.934419082659566</v>
      </c>
      <c r="J24" s="277">
        <v>18.243398236504678</v>
      </c>
      <c r="K24" s="278">
        <f t="shared" si="2"/>
        <v>21.691020846154888</v>
      </c>
      <c r="L24" s="276">
        <f>INDEX('Table A - Combined'!$C$10:$X$30,MATCH($B24,'Table A - Combined'!$B$10:$B$30,0),MATCH(L$6,'Table A - Combined'!$C$4:$X$4,0))</f>
        <v>41.751055954937215</v>
      </c>
      <c r="M24" s="277">
        <v>17.494314373513813</v>
      </c>
      <c r="N24" s="278">
        <f t="shared" si="3"/>
        <v>24.256741581423402</v>
      </c>
      <c r="O24" s="27"/>
      <c r="P24" s="27"/>
      <c r="Q24" s="27"/>
      <c r="R24" s="27"/>
    </row>
    <row r="25" spans="2:18">
      <c r="B25" s="285">
        <f t="shared" si="4"/>
        <v>2038</v>
      </c>
      <c r="C25" s="277">
        <f>INDEX('Table A - Combined'!$C$10:$X$30,MATCH($B25,'Table A - Combined'!$B$10:$B$30,0),MATCH(C$6,'Table A - Combined'!$C$4:$X$4,0))</f>
        <v>76.962693960534637</v>
      </c>
      <c r="D25" s="277">
        <v>46.12813074764459</v>
      </c>
      <c r="E25" s="278">
        <f t="shared" si="0"/>
        <v>30.834563212890046</v>
      </c>
      <c r="F25" s="276">
        <f>INDEX('Table A - Combined'!$C$10:$X$30,MATCH($B25,'Table A - Combined'!$B$10:$B$30,0),MATCH(F$6,'Table A - Combined'!$C$4:$X$4,0))</f>
        <v>58.932104209230062</v>
      </c>
      <c r="G25" s="277">
        <v>31.003367764138726</v>
      </c>
      <c r="H25" s="278">
        <f t="shared" si="1"/>
        <v>27.928736445091335</v>
      </c>
      <c r="I25" s="276">
        <f>INDEX('Table A - Combined'!$C$10:$X$30,MATCH($B25,'Table A - Combined'!$B$10:$B$30,0),MATCH(I$6,'Table A - Combined'!$C$4:$X$4,0))</f>
        <v>40.863447392919547</v>
      </c>
      <c r="J25" s="277">
        <v>18.394769937605528</v>
      </c>
      <c r="K25" s="278">
        <f t="shared" si="2"/>
        <v>22.468677455314019</v>
      </c>
      <c r="L25" s="276">
        <f>INDEX('Table A - Combined'!$C$10:$X$30,MATCH($B25,'Table A - Combined'!$B$10:$B$30,0),MATCH(L$6,'Table A - Combined'!$C$4:$X$4,0))</f>
        <v>42.50488579373593</v>
      </c>
      <c r="M25" s="277">
        <v>17.641374708955393</v>
      </c>
      <c r="N25" s="278">
        <f t="shared" si="3"/>
        <v>24.863511084780537</v>
      </c>
      <c r="O25" s="27"/>
      <c r="P25" s="27"/>
      <c r="Q25" s="27"/>
      <c r="R25" s="27"/>
    </row>
    <row r="26" spans="2:18">
      <c r="B26" s="285">
        <f t="shared" si="4"/>
        <v>2039</v>
      </c>
      <c r="C26" s="277">
        <f>INDEX('Table A - Combined'!$C$10:$X$30,MATCH($B26,'Table A - Combined'!$B$10:$B$30,0),MATCH(C$6,'Table A - Combined'!$C$4:$X$4,0))</f>
        <v>77.426472840488884</v>
      </c>
      <c r="D26" s="277">
        <v>46.614795203470543</v>
      </c>
      <c r="E26" s="278">
        <f t="shared" si="0"/>
        <v>30.811677637018342</v>
      </c>
      <c r="F26" s="276">
        <f>INDEX('Table A - Combined'!$C$10:$X$30,MATCH($B26,'Table A - Combined'!$B$10:$B$30,0),MATCH(F$6,'Table A - Combined'!$C$4:$X$4,0))</f>
        <v>59.041873148696176</v>
      </c>
      <c r="G26" s="277">
        <v>31.161714536573111</v>
      </c>
      <c r="H26" s="278">
        <f t="shared" si="1"/>
        <v>27.880158612123065</v>
      </c>
      <c r="I26" s="276">
        <f>INDEX('Table A - Combined'!$C$10:$X$30,MATCH($B26,'Table A - Combined'!$B$10:$B$30,0),MATCH(I$6,'Table A - Combined'!$C$4:$X$4,0))</f>
        <v>40.547730217580359</v>
      </c>
      <c r="J26" s="277">
        <v>18.298067145955116</v>
      </c>
      <c r="K26" s="278">
        <f t="shared" si="2"/>
        <v>22.249663071625243</v>
      </c>
      <c r="L26" s="276">
        <f>INDEX('Table A - Combined'!$C$10:$X$30,MATCH($B26,'Table A - Combined'!$B$10:$B$30,0),MATCH(L$6,'Table A - Combined'!$C$4:$X$4,0))</f>
        <v>42.15956830305884</v>
      </c>
      <c r="M26" s="277">
        <v>17.513341468807457</v>
      </c>
      <c r="N26" s="278">
        <f t="shared" si="3"/>
        <v>24.646226834251383</v>
      </c>
      <c r="O26" s="27"/>
      <c r="P26" s="27"/>
      <c r="Q26" s="27"/>
      <c r="R26" s="27"/>
    </row>
    <row r="27" spans="2:18">
      <c r="B27" s="285">
        <f t="shared" si="4"/>
        <v>2040</v>
      </c>
      <c r="C27" s="277">
        <f>INDEX('Table A - Combined'!$C$10:$X$30,MATCH($B27,'Table A - Combined'!$B$10:$B$30,0),MATCH(C$6,'Table A - Combined'!$C$4:$X$4,0))</f>
        <v>78.126082811962235</v>
      </c>
      <c r="D27" s="277">
        <v>47.373861571123527</v>
      </c>
      <c r="E27" s="278">
        <f t="shared" si="0"/>
        <v>30.752221240838708</v>
      </c>
      <c r="F27" s="276">
        <f>INDEX('Table A - Combined'!$C$10:$X$30,MATCH($B27,'Table A - Combined'!$B$10:$B$30,0),MATCH(F$6,'Table A - Combined'!$C$4:$X$4,0))</f>
        <v>59.364480491141521</v>
      </c>
      <c r="G27" s="277">
        <v>31.72486626922095</v>
      </c>
      <c r="H27" s="278">
        <f t="shared" si="1"/>
        <v>27.639614221920571</v>
      </c>
      <c r="I27" s="276">
        <f>INDEX('Table A - Combined'!$C$10:$X$30,MATCH($B27,'Table A - Combined'!$B$10:$B$30,0),MATCH(I$6,'Table A - Combined'!$C$4:$X$4,0))</f>
        <v>40.860979597478909</v>
      </c>
      <c r="J27" s="277">
        <v>18.347625047128098</v>
      </c>
      <c r="K27" s="278">
        <f t="shared" si="2"/>
        <v>22.513354550350812</v>
      </c>
      <c r="L27" s="276">
        <f>INDEX('Table A - Combined'!$C$10:$X$30,MATCH($B27,'Table A - Combined'!$B$10:$B$30,0),MATCH(L$6,'Table A - Combined'!$C$4:$X$4,0))</f>
        <v>42.629040510693478</v>
      </c>
      <c r="M27" s="277">
        <v>17.419476987023234</v>
      </c>
      <c r="N27" s="278">
        <f t="shared" si="3"/>
        <v>25.209563523670244</v>
      </c>
      <c r="O27" s="27"/>
      <c r="P27" s="27"/>
      <c r="Q27" s="27"/>
      <c r="R27" s="27"/>
    </row>
    <row r="28" spans="2:18">
      <c r="B28" s="285">
        <f t="shared" si="4"/>
        <v>2041</v>
      </c>
      <c r="C28" s="277">
        <f>INDEX('Table A - Combined'!$C$10:$X$30,MATCH($B28,'Table A - Combined'!$B$10:$B$30,0),MATCH(C$6,'Table A - Combined'!$C$4:$X$4,0))</f>
        <v>78.766988684808467</v>
      </c>
      <c r="D28" s="277">
        <v>48.197164024269036</v>
      </c>
      <c r="E28" s="278">
        <f t="shared" si="0"/>
        <v>30.569824660539432</v>
      </c>
      <c r="F28" s="276">
        <f>INDEX('Table A - Combined'!$C$10:$X$30,MATCH($B28,'Table A - Combined'!$B$10:$B$30,0),MATCH(F$6,'Table A - Combined'!$C$4:$X$4,0))</f>
        <v>59.765246206062955</v>
      </c>
      <c r="G28" s="277">
        <v>31.886548423652417</v>
      </c>
      <c r="H28" s="278">
        <f t="shared" si="1"/>
        <v>27.878697782410537</v>
      </c>
      <c r="I28" s="276">
        <f>INDEX('Table A - Combined'!$C$10:$X$30,MATCH($B28,'Table A - Combined'!$B$10:$B$30,0),MATCH(I$6,'Table A - Combined'!$C$4:$X$4,0))</f>
        <v>40.08483512968909</v>
      </c>
      <c r="J28" s="277">
        <v>18.742452992563855</v>
      </c>
      <c r="K28" s="278">
        <f t="shared" si="2"/>
        <v>21.342382137125234</v>
      </c>
      <c r="L28" s="276">
        <f>INDEX('Table A - Combined'!$C$10:$X$30,MATCH($B28,'Table A - Combined'!$B$10:$B$30,0),MATCH(L$6,'Table A - Combined'!$C$4:$X$4,0))</f>
        <v>41.581316603314228</v>
      </c>
      <c r="M28" s="277">
        <v>17.865715286504638</v>
      </c>
      <c r="N28" s="278">
        <f t="shared" si="3"/>
        <v>23.71560131680959</v>
      </c>
      <c r="O28" s="27"/>
      <c r="P28" s="27"/>
      <c r="Q28" s="27"/>
      <c r="R28" s="27"/>
    </row>
    <row r="29" spans="2:18">
      <c r="B29" s="285">
        <f t="shared" si="4"/>
        <v>2042</v>
      </c>
      <c r="C29" s="277">
        <f>INDEX('Table A - Combined'!$C$10:$X$30,MATCH($B29,'Table A - Combined'!$B$10:$B$30,0),MATCH(C$6,'Table A - Combined'!$C$4:$X$4,0))</f>
        <v>78.719045343873304</v>
      </c>
      <c r="D29" s="286">
        <f>ROUND(D28*(1+INDEX('Table D - Integration'!$G:$G,MATCH($B29,'Table D - Integration'!$B:$B,0),1)),2)</f>
        <v>49.4</v>
      </c>
      <c r="E29" s="278">
        <f t="shared" si="0"/>
        <v>29.319045343873306</v>
      </c>
      <c r="F29" s="276">
        <f>INDEX('Table A - Combined'!$C$10:$X$30,MATCH($B29,'Table A - Combined'!$B$10:$B$30,0),MATCH(F$6,'Table A - Combined'!$C$4:$X$4,0))</f>
        <v>59.369508267772936</v>
      </c>
      <c r="G29" s="286">
        <f>ROUND(G28*(1+INDEX('Table D - Integration'!$G:$G,MATCH($B29,'Table D - Integration'!$B:$B,0),1)),2)</f>
        <v>32.68</v>
      </c>
      <c r="H29" s="278">
        <f t="shared" si="1"/>
        <v>26.689508267772936</v>
      </c>
      <c r="I29" s="276">
        <f>INDEX('Table A - Combined'!$C$10:$X$30,MATCH($B29,'Table A - Combined'!$B$10:$B$30,0),MATCH(I$6,'Table A - Combined'!$C$4:$X$4,0))</f>
        <v>39.561248545553816</v>
      </c>
      <c r="J29" s="286">
        <f>ROUND(J28*(1+INDEX('Table D - Integration'!$G:$G,MATCH($B29,'Table D - Integration'!$B:$B,0),1)),2)</f>
        <v>19.21</v>
      </c>
      <c r="K29" s="278">
        <f t="shared" si="2"/>
        <v>20.351248545553815</v>
      </c>
      <c r="L29" s="276">
        <f>INDEX('Table A - Combined'!$C$10:$X$30,MATCH($B29,'Table A - Combined'!$B$10:$B$30,0),MATCH(L$6,'Table A - Combined'!$C$4:$X$4,0))</f>
        <v>40.855558112634007</v>
      </c>
      <c r="M29" s="286">
        <f>ROUND(M28*(1+INDEX('Table D - Integration'!$G:$G,MATCH($B29,'Table D - Integration'!$B:$B,0),1)),2)</f>
        <v>18.309999999999999</v>
      </c>
      <c r="N29" s="278">
        <f t="shared" si="3"/>
        <v>22.545558112634009</v>
      </c>
      <c r="O29" s="27"/>
      <c r="P29" s="27"/>
      <c r="Q29" s="27"/>
      <c r="R29" s="27"/>
    </row>
    <row r="30" spans="2:18">
      <c r="B30" s="288"/>
      <c r="C30" s="282"/>
      <c r="D30" s="282"/>
      <c r="E30" s="283"/>
      <c r="F30" s="281"/>
      <c r="G30" s="282"/>
      <c r="H30" s="283"/>
      <c r="I30" s="281"/>
      <c r="J30" s="282"/>
      <c r="K30" s="283"/>
      <c r="L30" s="282"/>
      <c r="M30" s="282"/>
      <c r="N30" s="283"/>
      <c r="O30" s="27"/>
      <c r="P30" s="27"/>
      <c r="Q30" s="27"/>
      <c r="R30" s="1"/>
    </row>
    <row r="31" spans="2:18" ht="2.25" customHeight="1">
      <c r="B31" s="289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"/>
      <c r="P31" s="27"/>
      <c r="Q31" s="1"/>
    </row>
    <row r="32" spans="2:18" ht="12" customHeight="1">
      <c r="B32" s="290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"/>
      <c r="P32" s="27"/>
      <c r="Q32" s="1"/>
    </row>
    <row r="33" spans="2:18" s="3" customFormat="1" ht="12" customHeight="1">
      <c r="B33" s="290" t="s">
        <v>193</v>
      </c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"/>
      <c r="P33" s="27"/>
      <c r="Q33" s="13"/>
    </row>
    <row r="34" spans="2:18" ht="2.25" customHeight="1">
      <c r="B34" s="289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"/>
      <c r="P34" s="27"/>
      <c r="Q34" s="1"/>
    </row>
    <row r="35" spans="2:18" s="3" customFormat="1">
      <c r="B35" s="292" t="str">
        <f>" 15 Year Nominal Levelized Price ($/MWh) at "&amp;TEXT(R36,"0.000%")&amp;" Discount Rate (2017 IRP Update)"</f>
        <v xml:space="preserve"> 15 Year Nominal Levelized Price ($/MWh) at 6.910% Discount Rate (2017 IRP Update)</v>
      </c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"/>
      <c r="P35" s="27"/>
      <c r="Q35" s="13"/>
      <c r="R35" s="45" t="s">
        <v>153</v>
      </c>
    </row>
    <row r="36" spans="2:18" s="3" customFormat="1" ht="15" customHeight="1">
      <c r="B36" s="291" t="str">
        <f>"("&amp;B10&amp;"-"&amp;B24&amp;")"</f>
        <v>(2023-2037)</v>
      </c>
      <c r="C36" s="287">
        <f t="shared" ref="C36:D38" si="5">-PMT(DiscountRate,COUNT(C10:C24),NPV(DiscountRate,C10:C24))</f>
        <v>80.598603385042765</v>
      </c>
      <c r="D36" s="287">
        <f t="shared" si="5"/>
        <v>46.490222011305647</v>
      </c>
      <c r="E36" s="287">
        <f t="shared" ref="E36" si="6">C36-D36</f>
        <v>34.108381373737117</v>
      </c>
      <c r="F36" s="287">
        <f t="shared" ref="F36:G38" si="7">-PMT(DiscountRate,COUNT(F10:F24),NPV(DiscountRate,F10:F24))</f>
        <v>65.557122329794908</v>
      </c>
      <c r="G36" s="287">
        <f t="shared" si="7"/>
        <v>33.854885103074082</v>
      </c>
      <c r="H36" s="287">
        <f t="shared" ref="H36:H38" si="8">F36-G36</f>
        <v>31.702237226720825</v>
      </c>
      <c r="I36" s="287">
        <f t="shared" ref="I36:J38" si="9">-PMT(DiscountRate,COUNT(I10:I24),NPV(DiscountRate,I10:I24))</f>
        <v>50.218843551134739</v>
      </c>
      <c r="J36" s="287">
        <f t="shared" si="9"/>
        <v>22.931211415937057</v>
      </c>
      <c r="K36" s="287">
        <f t="shared" ref="K36" si="10">I36-J36</f>
        <v>27.287632135197683</v>
      </c>
      <c r="L36" s="287">
        <f t="shared" ref="L36:M38" si="11">-PMT(DiscountRate,COUNT(L10:L24),NPV(DiscountRate,L10:L24))</f>
        <v>52.569525454634928</v>
      </c>
      <c r="M36" s="287">
        <f t="shared" si="11"/>
        <v>23.054299872936603</v>
      </c>
      <c r="N36" s="287">
        <f t="shared" ref="N36" si="12">L36-M36</f>
        <v>29.515225581698324</v>
      </c>
      <c r="O36" s="27"/>
      <c r="P36" s="27"/>
      <c r="Q36" s="13"/>
      <c r="R36" s="179">
        <v>6.9099999999999995E-2</v>
      </c>
    </row>
    <row r="37" spans="2:18" ht="15" customHeight="1">
      <c r="B37" s="291" t="str">
        <f>"("&amp;B11&amp;"-"&amp;B25&amp;")"</f>
        <v>(2024-2038)</v>
      </c>
      <c r="C37" s="287">
        <f t="shared" si="5"/>
        <v>77.929257281709695</v>
      </c>
      <c r="D37" s="287">
        <f t="shared" si="5"/>
        <v>44.582478568086003</v>
      </c>
      <c r="E37" s="287">
        <f t="shared" ref="E37" si="13">C37-D37</f>
        <v>33.346778713623692</v>
      </c>
      <c r="F37" s="287">
        <f t="shared" si="7"/>
        <v>62.675933535454121</v>
      </c>
      <c r="G37" s="287">
        <f t="shared" si="7"/>
        <v>31.831801298704015</v>
      </c>
      <c r="H37" s="287">
        <f t="shared" si="8"/>
        <v>30.844132236750106</v>
      </c>
      <c r="I37" s="287">
        <f t="shared" si="9"/>
        <v>46.801871912084586</v>
      </c>
      <c r="J37" s="287">
        <f t="shared" si="9"/>
        <v>20.790382067160873</v>
      </c>
      <c r="K37" s="287">
        <f t="shared" ref="K37" si="14">I37-J37</f>
        <v>26.011489844923712</v>
      </c>
      <c r="L37" s="287">
        <f t="shared" si="11"/>
        <v>48.975810169079963</v>
      </c>
      <c r="M37" s="287">
        <f t="shared" si="11"/>
        <v>20.66102687831356</v>
      </c>
      <c r="N37" s="287">
        <f t="shared" ref="N37" si="15">L37-M37</f>
        <v>28.314783290766403</v>
      </c>
      <c r="R37" s="1"/>
    </row>
    <row r="38" spans="2:18" ht="15" customHeight="1">
      <c r="B38" s="291" t="str">
        <f>"("&amp;B12&amp;"-"&amp;B26&amp;")"</f>
        <v>(2025-2039)</v>
      </c>
      <c r="C38" s="287">
        <f t="shared" si="5"/>
        <v>76.460583689659259</v>
      </c>
      <c r="D38" s="287">
        <f t="shared" si="5"/>
        <v>43.156079313078408</v>
      </c>
      <c r="E38" s="287">
        <f t="shared" ref="E38" si="16">C38-D38</f>
        <v>33.304504376580851</v>
      </c>
      <c r="F38" s="287">
        <f t="shared" si="7"/>
        <v>60.951298494957463</v>
      </c>
      <c r="G38" s="287">
        <f t="shared" si="7"/>
        <v>30.27453132501708</v>
      </c>
      <c r="H38" s="287">
        <f t="shared" si="8"/>
        <v>30.676767169940383</v>
      </c>
      <c r="I38" s="287">
        <f t="shared" si="9"/>
        <v>44.554318847183794</v>
      </c>
      <c r="J38" s="287">
        <f t="shared" si="9"/>
        <v>19.05491345248376</v>
      </c>
      <c r="K38" s="287">
        <f t="shared" ref="K38" si="17">I38-J38</f>
        <v>25.499405394700034</v>
      </c>
      <c r="L38" s="287">
        <f t="shared" si="11"/>
        <v>46.569188292807091</v>
      </c>
      <c r="M38" s="287">
        <f t="shared" si="11"/>
        <v>18.631449751626075</v>
      </c>
      <c r="N38" s="287">
        <f t="shared" ref="N38" si="18">L38-M38</f>
        <v>27.937738541181016</v>
      </c>
    </row>
    <row r="39" spans="2:18" s="3" customFormat="1">
      <c r="B39" s="7"/>
      <c r="O39" s="6"/>
      <c r="P39" s="6"/>
      <c r="Q39" s="6"/>
      <c r="R39" s="6"/>
    </row>
    <row r="40" spans="2:18" s="3" customFormat="1">
      <c r="B40" s="7"/>
      <c r="C40" s="45"/>
      <c r="O40" s="6"/>
      <c r="P40" s="6"/>
      <c r="Q40" s="6"/>
      <c r="R40" s="6"/>
    </row>
    <row r="41" spans="2:18" s="3" customFormat="1">
      <c r="B41" s="7"/>
      <c r="C41" s="45"/>
      <c r="O41" s="6"/>
      <c r="P41" s="6"/>
      <c r="Q41" s="6"/>
      <c r="R41" s="6"/>
    </row>
    <row r="42" spans="2:18" s="3" customFormat="1">
      <c r="B42" s="7"/>
      <c r="C42" s="1"/>
      <c r="O42" s="6"/>
      <c r="P42" s="6"/>
      <c r="Q42" s="6"/>
      <c r="R42" s="6"/>
    </row>
    <row r="44" spans="2:18" s="3" customFormat="1">
      <c r="B44" s="7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2:18" s="3" customFormat="1">
      <c r="B45" s="2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2:18">
      <c r="B46" s="7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2:18" s="45" customFormat="1">
      <c r="B47" s="135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2:18" s="45" customFormat="1">
      <c r="B48" s="136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2:18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2:18">
      <c r="B50" s="118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2:18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2:18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2:18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2:18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2:18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2:18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2:1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</sheetData>
  <mergeCells count="11">
    <mergeCell ref="B3:N3"/>
    <mergeCell ref="B2:N2"/>
    <mergeCell ref="B1:N1"/>
    <mergeCell ref="C6:E6"/>
    <mergeCell ref="F6:H6"/>
    <mergeCell ref="I6:K6"/>
    <mergeCell ref="L6:N6"/>
    <mergeCell ref="C5:E5"/>
    <mergeCell ref="F5:H5"/>
    <mergeCell ref="I5:K5"/>
    <mergeCell ref="L5:N5"/>
  </mergeCells>
  <printOptions horizontalCentered="1"/>
  <pageMargins left="0.25" right="0.25" top="0.75" bottom="0.75" header="0.3" footer="0.3"/>
  <pageSetup scale="60" orientation="landscape" r:id="rId1"/>
  <headerFooter alignWithMargins="0">
    <oddFooter>&amp;RPage &amp;P</oddFooter>
  </headerFooter>
  <colBreaks count="2" manualBreakCount="2">
    <brk id="14" max="1048575" man="1"/>
    <brk id="16" max="1048575" man="1"/>
  </colBreaks>
  <ignoredErrors>
    <ignoredError sqref="E36:E38 H36:H38 K36:K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theme="0" tint="-0.499984740745262"/>
    <pageSetUpPr fitToPage="1"/>
  </sheetPr>
  <dimension ref="A1"/>
  <sheetViews>
    <sheetView zoomScale="130" zoomScaleNormal="130" workbookViewId="0"/>
  </sheetViews>
  <sheetFormatPr defaultRowHeight="12.75"/>
  <sheetData/>
  <printOptions horizontalCentered="1"/>
  <pageMargins left="0.8" right="0.3" top="0.4" bottom="0.4" header="0.5" footer="0.2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86C5-CAD3-4121-86FA-0510CE3C7A88}">
  <sheetPr>
    <tabColor theme="0" tint="-0.499984740745262"/>
  </sheetPr>
  <dimension ref="B3:K13"/>
  <sheetViews>
    <sheetView workbookViewId="0">
      <selection activeCell="K11" sqref="K11"/>
    </sheetView>
  </sheetViews>
  <sheetFormatPr defaultRowHeight="12.75"/>
  <cols>
    <col min="3" max="3" width="2.33203125" customWidth="1"/>
    <col min="4" max="4" width="25.33203125" bestFit="1" customWidth="1"/>
    <col min="5" max="5" width="20.6640625" customWidth="1"/>
    <col min="9" max="9" width="11.1640625" customWidth="1"/>
    <col min="11" max="11" width="14.1640625" customWidth="1"/>
  </cols>
  <sheetData>
    <row r="3" spans="2:11">
      <c r="E3" t="s">
        <v>256</v>
      </c>
      <c r="F3" s="140"/>
      <c r="G3" s="368" t="s">
        <v>232</v>
      </c>
      <c r="H3" s="368"/>
      <c r="I3" s="368" t="s">
        <v>232</v>
      </c>
      <c r="J3" s="138"/>
      <c r="K3" s="138"/>
    </row>
    <row r="4" spans="2:11">
      <c r="E4" s="368" t="s">
        <v>234</v>
      </c>
      <c r="F4" s="140"/>
      <c r="G4" s="368" t="s">
        <v>235</v>
      </c>
      <c r="H4" s="368" t="s">
        <v>164</v>
      </c>
      <c r="I4" s="368" t="s">
        <v>236</v>
      </c>
      <c r="J4" s="138"/>
      <c r="K4" s="138"/>
    </row>
    <row r="5" spans="2:11" ht="38.25">
      <c r="D5" s="368"/>
      <c r="E5" s="372" t="s">
        <v>198</v>
      </c>
      <c r="F5" s="140"/>
      <c r="G5" s="369" t="s">
        <v>126</v>
      </c>
      <c r="H5" s="369"/>
      <c r="I5" s="369" t="s">
        <v>142</v>
      </c>
      <c r="J5" s="369"/>
    </row>
    <row r="6" spans="2:11">
      <c r="D6" s="368" t="s">
        <v>233</v>
      </c>
      <c r="E6" s="71" t="s">
        <v>240</v>
      </c>
      <c r="F6" s="71" t="s">
        <v>164</v>
      </c>
      <c r="G6" s="71" t="s">
        <v>15</v>
      </c>
      <c r="H6" s="71" t="s">
        <v>164</v>
      </c>
      <c r="I6" s="71" t="s">
        <v>15</v>
      </c>
      <c r="J6" s="71" t="s">
        <v>164</v>
      </c>
      <c r="K6" s="71" t="s">
        <v>259</v>
      </c>
    </row>
    <row r="7" spans="2:11">
      <c r="B7" s="118"/>
      <c r="D7" s="138" t="s">
        <v>251</v>
      </c>
      <c r="E7" s="138">
        <v>122616.93644707486</v>
      </c>
      <c r="F7" s="138"/>
      <c r="G7" s="370">
        <v>46.490222011305647</v>
      </c>
      <c r="H7" s="138"/>
      <c r="I7" s="371">
        <v>23.054299872936603</v>
      </c>
      <c r="J7" s="138"/>
      <c r="K7" s="367" t="s">
        <v>258</v>
      </c>
    </row>
    <row r="8" spans="2:11" ht="13.5" thickBot="1">
      <c r="D8" s="138" t="s">
        <v>261</v>
      </c>
      <c r="E8" s="138">
        <f>E7</f>
        <v>122616.93644707486</v>
      </c>
      <c r="F8" s="138">
        <f>E8/E$7-1</f>
        <v>0</v>
      </c>
      <c r="G8" s="370">
        <f>G10+(G9-G10)*($F8-$F10)/($F9-$F10)</f>
        <v>79.42246234364957</v>
      </c>
      <c r="H8" s="317">
        <f>G8/G$7-1</f>
        <v>0.70836917759470697</v>
      </c>
      <c r="I8" s="371">
        <f>I10+(I9-I10)*($F8-$F10)/($F9-$F10)</f>
        <v>52.474512528371704</v>
      </c>
      <c r="J8" s="317">
        <f>I8/I$7-1</f>
        <v>1.2761269185177655</v>
      </c>
      <c r="K8" s="367" t="s">
        <v>257</v>
      </c>
    </row>
    <row r="9" spans="2:11" ht="39" customHeight="1" thickBot="1">
      <c r="B9" s="415" t="s">
        <v>231</v>
      </c>
      <c r="D9" s="368" t="s">
        <v>250</v>
      </c>
      <c r="E9" s="368">
        <v>131511.48713181337</v>
      </c>
      <c r="F9" s="317">
        <f>E9/E$7-1</f>
        <v>7.2539332187423033E-2</v>
      </c>
      <c r="G9" s="370">
        <v>80.598603385042765</v>
      </c>
      <c r="H9" s="317">
        <f>G9/G$7-1</f>
        <v>0.73366785311204863</v>
      </c>
      <c r="I9" s="371">
        <v>52.569525454634928</v>
      </c>
      <c r="J9" s="137">
        <f>I9/I$7-1</f>
        <v>1.2802481855606551</v>
      </c>
      <c r="K9" s="373" t="b">
        <v>1</v>
      </c>
    </row>
    <row r="10" spans="2:11" ht="13.5" thickBot="1">
      <c r="B10" s="416"/>
      <c r="D10" s="368" t="s">
        <v>252</v>
      </c>
      <c r="E10" s="368">
        <v>109982.32546498861</v>
      </c>
      <c r="F10" s="317">
        <f>E10/E$7-1</f>
        <v>-0.10304131996920118</v>
      </c>
      <c r="G10" s="370">
        <v>77.751766988170175</v>
      </c>
      <c r="H10" s="317">
        <f>G10/G$7-1</f>
        <v>0.67243268851807669</v>
      </c>
      <c r="I10" s="371">
        <v>52.339547716302526</v>
      </c>
      <c r="J10" s="137">
        <f>I10/I$7-1</f>
        <v>1.2702727042144453</v>
      </c>
      <c r="K10" s="373"/>
    </row>
    <row r="11" spans="2:11" ht="13.5" thickBot="1">
      <c r="B11" s="417"/>
      <c r="D11" s="368" t="s">
        <v>253</v>
      </c>
      <c r="E11" s="368">
        <v>132978.02069723941</v>
      </c>
      <c r="F11" s="317">
        <f>E11/E$7-1</f>
        <v>8.449961767424119E-2</v>
      </c>
      <c r="G11" s="370">
        <v>80.792525526364372</v>
      </c>
      <c r="H11" s="317">
        <f>G11/G$7-1</f>
        <v>0.73783909886937038</v>
      </c>
      <c r="I11" s="371">
        <v>52.585191186435551</v>
      </c>
      <c r="J11" s="137">
        <f>I11/I$7-1</f>
        <v>1.2809277000931703</v>
      </c>
      <c r="K11" s="373"/>
    </row>
    <row r="12" spans="2:11" ht="13.5" thickBot="1">
      <c r="D12" s="354" t="s">
        <v>237</v>
      </c>
    </row>
    <row r="13" spans="2:11" ht="77.25" thickBot="1">
      <c r="D13" s="355" t="str">
        <f>INDEX($D$9:$D$11,MATCH(TRUE,$K$9:$K$11,0),1)</f>
        <v>2022 Update</v>
      </c>
      <c r="E13" s="356">
        <f>'Exhibit 3 - Levelized Capacity'!F9</f>
        <v>131511.48713181337</v>
      </c>
      <c r="F13" s="375">
        <f>E13/E$7-1</f>
        <v>7.2539332187423033E-2</v>
      </c>
      <c r="G13" s="357">
        <f>'Exhibit 4 - Comparison'!C36</f>
        <v>80.598603385042765</v>
      </c>
      <c r="H13" s="375">
        <f>G13/G$7-1</f>
        <v>0.73366785311204863</v>
      </c>
      <c r="I13" s="357">
        <f>'Exhibit 4 - Comparison'!L36</f>
        <v>52.569525454634928</v>
      </c>
      <c r="J13" s="375">
        <f>I13/I$7-1</f>
        <v>1.2802481855606551</v>
      </c>
      <c r="K13" s="374" t="s">
        <v>260</v>
      </c>
    </row>
  </sheetData>
  <mergeCells count="1">
    <mergeCell ref="B9:B1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  <pageSetUpPr fitToPage="1"/>
  </sheetPr>
  <dimension ref="B1:AB37"/>
  <sheetViews>
    <sheetView topLeftCell="M1" workbookViewId="0">
      <selection activeCell="AB14" sqref="AB14"/>
    </sheetView>
  </sheetViews>
  <sheetFormatPr defaultColWidth="9.33203125" defaultRowHeight="12.75"/>
  <cols>
    <col min="1" max="1" width="1.5" style="3" customWidth="1"/>
    <col min="2" max="2" width="8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0.5" style="3" customWidth="1"/>
    <col min="14" max="17" width="9.33203125" style="3" customWidth="1"/>
    <col min="18" max="18" width="10.5" style="3" customWidth="1"/>
    <col min="19" max="22" width="9.33203125" style="3" customWidth="1"/>
    <col min="23" max="24" width="9.33203125" style="3"/>
    <col min="26" max="26" width="24.83203125" customWidth="1"/>
    <col min="27" max="16384" width="9.33203125" style="3"/>
  </cols>
  <sheetData>
    <row r="1" spans="2:28" ht="15.75" customHeight="1">
      <c r="B1" s="385"/>
      <c r="C1" s="385"/>
      <c r="D1" s="385"/>
      <c r="E1" s="385"/>
      <c r="F1" s="385"/>
      <c r="G1" s="385"/>
      <c r="H1" s="385"/>
      <c r="I1" s="385"/>
    </row>
    <row r="2" spans="2:28" ht="18.75" customHeight="1">
      <c r="B2" s="385" t="s">
        <v>152</v>
      </c>
      <c r="C2" s="385"/>
      <c r="D2" s="385"/>
      <c r="E2" s="385"/>
      <c r="F2" s="385"/>
      <c r="G2" s="385"/>
      <c r="H2" s="385"/>
      <c r="I2" s="385"/>
    </row>
    <row r="3" spans="2:28" ht="14.25">
      <c r="B3" s="174"/>
      <c r="C3" s="174"/>
      <c r="D3" s="174"/>
      <c r="E3" s="174"/>
      <c r="F3" s="174"/>
      <c r="G3" s="174"/>
      <c r="H3" s="174"/>
      <c r="I3" s="183"/>
      <c r="J3" s="183"/>
    </row>
    <row r="4" spans="2:28" ht="14.25">
      <c r="B4" s="4"/>
      <c r="C4" s="421" t="s">
        <v>126</v>
      </c>
      <c r="D4" s="422"/>
      <c r="E4" s="422"/>
      <c r="F4" s="422"/>
      <c r="G4" s="423"/>
      <c r="H4" s="421" t="s">
        <v>140</v>
      </c>
      <c r="I4" s="422"/>
      <c r="J4" s="422"/>
      <c r="K4" s="422"/>
      <c r="L4" s="423"/>
      <c r="M4" s="421" t="s">
        <v>141</v>
      </c>
      <c r="N4" s="422"/>
      <c r="O4" s="422"/>
      <c r="P4" s="422"/>
      <c r="Q4" s="423"/>
      <c r="R4" s="421" t="s">
        <v>142</v>
      </c>
      <c r="S4" s="422"/>
      <c r="T4" s="422"/>
      <c r="U4" s="422"/>
      <c r="V4" s="423"/>
    </row>
    <row r="5" spans="2:28">
      <c r="C5" s="418" t="s">
        <v>151</v>
      </c>
      <c r="D5" s="419"/>
      <c r="E5" s="419"/>
      <c r="F5" s="419"/>
      <c r="G5" s="420"/>
      <c r="H5" s="418" t="s">
        <v>151</v>
      </c>
      <c r="I5" s="419"/>
      <c r="J5" s="419"/>
      <c r="K5" s="419"/>
      <c r="L5" s="420"/>
      <c r="M5" s="418" t="s">
        <v>151</v>
      </c>
      <c r="N5" s="419"/>
      <c r="O5" s="419"/>
      <c r="P5" s="419"/>
      <c r="Q5" s="420"/>
      <c r="R5" s="418" t="s">
        <v>151</v>
      </c>
      <c r="S5" s="419"/>
      <c r="T5" s="419"/>
      <c r="U5" s="419"/>
      <c r="V5" s="420"/>
    </row>
    <row r="6" spans="2:28">
      <c r="B6" s="190"/>
      <c r="C6" s="15" t="s">
        <v>143</v>
      </c>
      <c r="D6" s="15" t="s">
        <v>0</v>
      </c>
      <c r="E6" s="17" t="s">
        <v>1</v>
      </c>
      <c r="F6" s="15" t="s">
        <v>0</v>
      </c>
      <c r="G6" s="17" t="s">
        <v>1</v>
      </c>
      <c r="H6" s="15" t="s">
        <v>143</v>
      </c>
      <c r="I6" s="15" t="s">
        <v>0</v>
      </c>
      <c r="J6" s="17" t="s">
        <v>1</v>
      </c>
      <c r="K6" s="15" t="s">
        <v>0</v>
      </c>
      <c r="L6" s="17" t="s">
        <v>1</v>
      </c>
      <c r="M6" s="15" t="s">
        <v>143</v>
      </c>
      <c r="N6" s="15" t="s">
        <v>0</v>
      </c>
      <c r="O6" s="17" t="s">
        <v>1</v>
      </c>
      <c r="P6" s="15" t="s">
        <v>0</v>
      </c>
      <c r="Q6" s="17" t="s">
        <v>1</v>
      </c>
      <c r="R6" s="15" t="s">
        <v>143</v>
      </c>
      <c r="S6" s="15" t="s">
        <v>0</v>
      </c>
      <c r="T6" s="17" t="s">
        <v>1</v>
      </c>
      <c r="U6" s="15" t="s">
        <v>0</v>
      </c>
      <c r="V6" s="17" t="s">
        <v>1</v>
      </c>
    </row>
    <row r="7" spans="2:28">
      <c r="B7" s="15" t="s">
        <v>2</v>
      </c>
      <c r="C7" s="72" t="s">
        <v>145</v>
      </c>
      <c r="D7" s="72" t="s">
        <v>111</v>
      </c>
      <c r="E7" s="72" t="s">
        <v>111</v>
      </c>
      <c r="F7" s="72" t="s">
        <v>112</v>
      </c>
      <c r="G7" s="73" t="s">
        <v>112</v>
      </c>
      <c r="H7" s="72" t="s">
        <v>144</v>
      </c>
      <c r="I7" s="72" t="s">
        <v>111</v>
      </c>
      <c r="J7" s="72" t="s">
        <v>111</v>
      </c>
      <c r="K7" s="72" t="s">
        <v>112</v>
      </c>
      <c r="L7" s="73" t="s">
        <v>112</v>
      </c>
      <c r="M7" s="72" t="s">
        <v>144</v>
      </c>
      <c r="N7" s="72" t="s">
        <v>111</v>
      </c>
      <c r="O7" s="72" t="s">
        <v>111</v>
      </c>
      <c r="P7" s="72" t="s">
        <v>112</v>
      </c>
      <c r="Q7" s="73" t="s">
        <v>112</v>
      </c>
      <c r="R7" s="72" t="s">
        <v>144</v>
      </c>
      <c r="S7" s="72" t="s">
        <v>111</v>
      </c>
      <c r="T7" s="72" t="s">
        <v>111</v>
      </c>
      <c r="U7" s="72" t="s">
        <v>112</v>
      </c>
      <c r="V7" s="73" t="s">
        <v>112</v>
      </c>
    </row>
    <row r="8" spans="2:28">
      <c r="B8" s="18"/>
      <c r="C8" s="74" t="s">
        <v>146</v>
      </c>
      <c r="D8" s="74" t="s">
        <v>146</v>
      </c>
      <c r="E8" s="74" t="s">
        <v>146</v>
      </c>
      <c r="F8" s="74" t="s">
        <v>146</v>
      </c>
      <c r="G8" s="75" t="s">
        <v>146</v>
      </c>
      <c r="H8" s="74" t="s">
        <v>146</v>
      </c>
      <c r="I8" s="74" t="s">
        <v>146</v>
      </c>
      <c r="J8" s="74" t="s">
        <v>146</v>
      </c>
      <c r="K8" s="74" t="s">
        <v>146</v>
      </c>
      <c r="L8" s="75" t="s">
        <v>146</v>
      </c>
      <c r="M8" s="74" t="s">
        <v>146</v>
      </c>
      <c r="N8" s="74" t="s">
        <v>146</v>
      </c>
      <c r="O8" s="74" t="s">
        <v>146</v>
      </c>
      <c r="P8" s="74" t="s">
        <v>146</v>
      </c>
      <c r="Q8" s="75" t="s">
        <v>146</v>
      </c>
      <c r="R8" s="74" t="s">
        <v>146</v>
      </c>
      <c r="S8" s="74" t="s">
        <v>146</v>
      </c>
      <c r="T8" s="74" t="s">
        <v>146</v>
      </c>
      <c r="U8" s="74" t="s">
        <v>146</v>
      </c>
      <c r="V8" s="75" t="s">
        <v>146</v>
      </c>
      <c r="Y8" s="3"/>
      <c r="Z8" s="3"/>
    </row>
    <row r="9" spans="2:28"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3"/>
      <c r="Z9" s="3"/>
    </row>
    <row r="10" spans="2:28"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3"/>
      <c r="Z10" s="3"/>
    </row>
    <row r="11" spans="2:28">
      <c r="B11" s="318">
        <f>'Table A - Combined'!B11</f>
        <v>2023</v>
      </c>
      <c r="C11" s="184">
        <v>8760</v>
      </c>
      <c r="D11" s="185">
        <v>1944</v>
      </c>
      <c r="E11" s="185">
        <v>3888</v>
      </c>
      <c r="F11" s="185">
        <v>976</v>
      </c>
      <c r="G11" s="186">
        <v>1952</v>
      </c>
      <c r="H11" s="184">
        <v>3326.3940000000412</v>
      </c>
      <c r="I11" s="185">
        <v>785.32400000000553</v>
      </c>
      <c r="J11" s="185">
        <v>1577.4420000000348</v>
      </c>
      <c r="K11" s="185">
        <v>327.01600000000002</v>
      </c>
      <c r="L11" s="186">
        <v>636.61200000000076</v>
      </c>
      <c r="M11" s="184">
        <v>2179.578</v>
      </c>
      <c r="N11" s="185">
        <v>67.189000000000163</v>
      </c>
      <c r="O11" s="185">
        <v>1175.4509999999993</v>
      </c>
      <c r="P11" s="185">
        <v>237.51699999999963</v>
      </c>
      <c r="Q11" s="186">
        <v>699.42100000000096</v>
      </c>
      <c r="R11" s="184">
        <v>2169.6683308184001</v>
      </c>
      <c r="S11" s="185">
        <v>120.07051203950799</v>
      </c>
      <c r="T11" s="185">
        <v>941.89326967328657</v>
      </c>
      <c r="U11" s="185">
        <v>293.88037833748706</v>
      </c>
      <c r="V11" s="186">
        <v>813.82417076811862</v>
      </c>
      <c r="Y11" s="193"/>
      <c r="Z11" s="194" t="s">
        <v>158</v>
      </c>
      <c r="AA11" s="3" t="s">
        <v>200</v>
      </c>
      <c r="AB11" s="3" t="s">
        <v>144</v>
      </c>
    </row>
    <row r="12" spans="2:28">
      <c r="B12" s="14">
        <f t="shared" ref="B12:B30" si="0">B11+1</f>
        <v>2024</v>
      </c>
      <c r="C12" s="187">
        <v>8784</v>
      </c>
      <c r="D12" s="188">
        <v>1952</v>
      </c>
      <c r="E12" s="188">
        <v>3904</v>
      </c>
      <c r="F12" s="188">
        <v>976</v>
      </c>
      <c r="G12" s="189">
        <v>1952</v>
      </c>
      <c r="H12" s="187">
        <v>3336.3686785714699</v>
      </c>
      <c r="I12" s="188">
        <v>788.84557142857716</v>
      </c>
      <c r="J12" s="188">
        <v>1583.8951071428919</v>
      </c>
      <c r="K12" s="188">
        <v>327.01600000000002</v>
      </c>
      <c r="L12" s="189">
        <v>636.61200000000076</v>
      </c>
      <c r="M12" s="187">
        <v>2183.9111428571432</v>
      </c>
      <c r="N12" s="188">
        <v>67.310964285714462</v>
      </c>
      <c r="O12" s="188">
        <v>1179.6621785714283</v>
      </c>
      <c r="P12" s="188">
        <v>237.51699999999963</v>
      </c>
      <c r="Q12" s="189">
        <v>699.42100000000096</v>
      </c>
      <c r="R12" s="187">
        <v>2172.1054371859564</v>
      </c>
      <c r="S12" s="188">
        <v>120.33811927907573</v>
      </c>
      <c r="T12" s="188">
        <v>944.06276880127518</v>
      </c>
      <c r="U12" s="188">
        <v>293.88037833748706</v>
      </c>
      <c r="V12" s="189">
        <v>813.82417076811862</v>
      </c>
      <c r="Y12" s="193"/>
      <c r="Z12" s="194"/>
    </row>
    <row r="13" spans="2:28">
      <c r="B13" s="14">
        <f t="shared" si="0"/>
        <v>2025</v>
      </c>
      <c r="C13" s="187">
        <v>8760</v>
      </c>
      <c r="D13" s="188">
        <v>1944</v>
      </c>
      <c r="E13" s="188">
        <v>3888</v>
      </c>
      <c r="F13" s="188">
        <v>976</v>
      </c>
      <c r="G13" s="189">
        <v>1952</v>
      </c>
      <c r="H13" s="187">
        <v>3326.3940000000412</v>
      </c>
      <c r="I13" s="188">
        <v>785.32400000000553</v>
      </c>
      <c r="J13" s="188">
        <v>1577.4420000000348</v>
      </c>
      <c r="K13" s="188">
        <v>327.01600000000002</v>
      </c>
      <c r="L13" s="189">
        <v>636.61200000000076</v>
      </c>
      <c r="M13" s="187">
        <v>2179.578</v>
      </c>
      <c r="N13" s="188">
        <v>67.189000000000163</v>
      </c>
      <c r="O13" s="188">
        <v>1175.4509999999993</v>
      </c>
      <c r="P13" s="188">
        <v>237.51699999999963</v>
      </c>
      <c r="Q13" s="189">
        <v>699.42100000000096</v>
      </c>
      <c r="R13" s="187">
        <v>2169.6683308184001</v>
      </c>
      <c r="S13" s="188">
        <v>120.07051203950799</v>
      </c>
      <c r="T13" s="188">
        <v>941.89326967328657</v>
      </c>
      <c r="U13" s="188">
        <v>293.88037833748706</v>
      </c>
      <c r="V13" s="189">
        <v>813.82417076811862</v>
      </c>
      <c r="Y13" s="171" t="s">
        <v>122</v>
      </c>
      <c r="Z13" s="194" t="s">
        <v>123</v>
      </c>
    </row>
    <row r="14" spans="2:28">
      <c r="B14" s="14">
        <f t="shared" si="0"/>
        <v>2026</v>
      </c>
      <c r="C14" s="187">
        <v>8760</v>
      </c>
      <c r="D14" s="188">
        <v>1944</v>
      </c>
      <c r="E14" s="188">
        <v>3888</v>
      </c>
      <c r="F14" s="188">
        <v>976</v>
      </c>
      <c r="G14" s="189">
        <v>1952</v>
      </c>
      <c r="H14" s="187">
        <v>3326.3940000000412</v>
      </c>
      <c r="I14" s="188">
        <v>785.32400000000553</v>
      </c>
      <c r="J14" s="188">
        <v>1577.4420000000348</v>
      </c>
      <c r="K14" s="188">
        <v>327.01600000000002</v>
      </c>
      <c r="L14" s="189">
        <v>636.61200000000076</v>
      </c>
      <c r="M14" s="187">
        <v>2179.578</v>
      </c>
      <c r="N14" s="188">
        <v>67.189000000000163</v>
      </c>
      <c r="O14" s="188">
        <v>1175.4509999999993</v>
      </c>
      <c r="P14" s="188">
        <v>237.51699999999963</v>
      </c>
      <c r="Q14" s="189">
        <v>699.42100000000096</v>
      </c>
      <c r="R14" s="187">
        <v>2169.6683308184001</v>
      </c>
      <c r="S14" s="188">
        <v>120.07051203950799</v>
      </c>
      <c r="T14" s="188">
        <v>941.89326967328657</v>
      </c>
      <c r="U14" s="188">
        <v>293.88037833748706</v>
      </c>
      <c r="V14" s="189">
        <v>813.82417076811862</v>
      </c>
      <c r="Y14" s="171">
        <v>1</v>
      </c>
      <c r="Z14" s="195">
        <v>1.5832527047233706E-3</v>
      </c>
      <c r="AA14" s="316">
        <f>1/12</f>
        <v>8.3333333333333329E-2</v>
      </c>
      <c r="AB14" s="316">
        <f>AVERAGE(Z14:AA14)</f>
        <v>4.2458293019028349E-2</v>
      </c>
    </row>
    <row r="15" spans="2:28">
      <c r="B15" s="14">
        <f t="shared" si="0"/>
        <v>2027</v>
      </c>
      <c r="C15" s="187">
        <v>8760</v>
      </c>
      <c r="D15" s="188">
        <v>1944</v>
      </c>
      <c r="E15" s="188">
        <v>3888</v>
      </c>
      <c r="F15" s="188">
        <v>976</v>
      </c>
      <c r="G15" s="189">
        <v>1952</v>
      </c>
      <c r="H15" s="187">
        <v>3326.3940000000412</v>
      </c>
      <c r="I15" s="188">
        <v>785.32400000000553</v>
      </c>
      <c r="J15" s="188">
        <v>1577.4420000000348</v>
      </c>
      <c r="K15" s="188">
        <v>327.01600000000002</v>
      </c>
      <c r="L15" s="189">
        <v>636.61200000000076</v>
      </c>
      <c r="M15" s="187">
        <v>2179.578</v>
      </c>
      <c r="N15" s="188">
        <v>67.189000000000163</v>
      </c>
      <c r="O15" s="188">
        <v>1175.4509999999993</v>
      </c>
      <c r="P15" s="188">
        <v>237.51699999999963</v>
      </c>
      <c r="Q15" s="189">
        <v>699.42100000000096</v>
      </c>
      <c r="R15" s="187">
        <v>2169.6683308184001</v>
      </c>
      <c r="S15" s="188">
        <v>120.07051203950799</v>
      </c>
      <c r="T15" s="188">
        <v>941.89326967328657</v>
      </c>
      <c r="U15" s="188">
        <v>293.88037833748706</v>
      </c>
      <c r="V15" s="189">
        <v>813.82417076811862</v>
      </c>
      <c r="Y15" s="171">
        <v>2</v>
      </c>
      <c r="Z15" s="195">
        <v>0</v>
      </c>
      <c r="AA15" s="316">
        <f t="shared" ref="AA15:AA25" si="1">1/12</f>
        <v>8.3333333333333329E-2</v>
      </c>
      <c r="AB15" s="316">
        <f t="shared" ref="AB15:AB25" si="2">AVERAGE(Z15:AA15)</f>
        <v>4.1666666666666664E-2</v>
      </c>
    </row>
    <row r="16" spans="2:28">
      <c r="B16" s="14">
        <f t="shared" si="0"/>
        <v>2028</v>
      </c>
      <c r="C16" s="187">
        <v>8784</v>
      </c>
      <c r="D16" s="188">
        <v>1952</v>
      </c>
      <c r="E16" s="188">
        <v>3904</v>
      </c>
      <c r="F16" s="188">
        <v>976</v>
      </c>
      <c r="G16" s="189">
        <v>1952</v>
      </c>
      <c r="H16" s="187">
        <v>3336.3686785714699</v>
      </c>
      <c r="I16" s="188">
        <v>788.84557142857716</v>
      </c>
      <c r="J16" s="188">
        <v>1583.8951071428919</v>
      </c>
      <c r="K16" s="188">
        <v>327.01600000000002</v>
      </c>
      <c r="L16" s="189">
        <v>636.61200000000076</v>
      </c>
      <c r="M16" s="187">
        <v>2183.9111428571432</v>
      </c>
      <c r="N16" s="188">
        <v>67.310964285714462</v>
      </c>
      <c r="O16" s="188">
        <v>1179.6621785714283</v>
      </c>
      <c r="P16" s="188">
        <v>237.51699999999963</v>
      </c>
      <c r="Q16" s="189">
        <v>699.42100000000096</v>
      </c>
      <c r="R16" s="187">
        <v>2172.1054371859564</v>
      </c>
      <c r="S16" s="188">
        <v>120.33811927907573</v>
      </c>
      <c r="T16" s="188">
        <v>944.06276880127518</v>
      </c>
      <c r="U16" s="188">
        <v>293.88037833748706</v>
      </c>
      <c r="V16" s="189">
        <v>813.82417076811862</v>
      </c>
      <c r="Y16" s="171">
        <v>3</v>
      </c>
      <c r="Z16" s="195">
        <v>0</v>
      </c>
      <c r="AA16" s="316">
        <f t="shared" si="1"/>
        <v>8.3333333333333329E-2</v>
      </c>
      <c r="AB16" s="316">
        <f t="shared" si="2"/>
        <v>4.1666666666666664E-2</v>
      </c>
    </row>
    <row r="17" spans="2:28">
      <c r="B17" s="14">
        <f t="shared" si="0"/>
        <v>2029</v>
      </c>
      <c r="C17" s="187">
        <v>8760</v>
      </c>
      <c r="D17" s="188">
        <v>1944</v>
      </c>
      <c r="E17" s="188">
        <v>3888</v>
      </c>
      <c r="F17" s="188">
        <v>976</v>
      </c>
      <c r="G17" s="189">
        <v>1952</v>
      </c>
      <c r="H17" s="187">
        <v>3326.3940000000412</v>
      </c>
      <c r="I17" s="188">
        <v>785.32400000000553</v>
      </c>
      <c r="J17" s="188">
        <v>1577.4420000000348</v>
      </c>
      <c r="K17" s="188">
        <v>327.01600000000002</v>
      </c>
      <c r="L17" s="189">
        <v>636.61200000000076</v>
      </c>
      <c r="M17" s="187">
        <v>2179.578</v>
      </c>
      <c r="N17" s="188">
        <v>67.189000000000163</v>
      </c>
      <c r="O17" s="188">
        <v>1175.4509999999993</v>
      </c>
      <c r="P17" s="188">
        <v>237.51699999999963</v>
      </c>
      <c r="Q17" s="189">
        <v>699.42100000000096</v>
      </c>
      <c r="R17" s="187">
        <v>2169.6683308184001</v>
      </c>
      <c r="S17" s="188">
        <v>120.07051203950799</v>
      </c>
      <c r="T17" s="188">
        <v>941.89326967328657</v>
      </c>
      <c r="U17" s="188">
        <v>293.88037833748706</v>
      </c>
      <c r="V17" s="189">
        <v>813.82417076811862</v>
      </c>
      <c r="Y17" s="171">
        <v>4</v>
      </c>
      <c r="Z17" s="195">
        <v>2.1813703931744216E-3</v>
      </c>
      <c r="AA17" s="316">
        <f t="shared" si="1"/>
        <v>8.3333333333333329E-2</v>
      </c>
      <c r="AB17" s="316">
        <f t="shared" si="2"/>
        <v>4.2757351863253877E-2</v>
      </c>
    </row>
    <row r="18" spans="2:28">
      <c r="B18" s="14">
        <f t="shared" si="0"/>
        <v>2030</v>
      </c>
      <c r="C18" s="187">
        <v>8760</v>
      </c>
      <c r="D18" s="188">
        <v>1944</v>
      </c>
      <c r="E18" s="188">
        <v>3888</v>
      </c>
      <c r="F18" s="188">
        <v>976</v>
      </c>
      <c r="G18" s="189">
        <v>1952</v>
      </c>
      <c r="H18" s="187">
        <v>3326.3940000000412</v>
      </c>
      <c r="I18" s="188">
        <v>785.32400000000553</v>
      </c>
      <c r="J18" s="188">
        <v>1577.4420000000348</v>
      </c>
      <c r="K18" s="188">
        <v>327.01600000000002</v>
      </c>
      <c r="L18" s="189">
        <v>636.61200000000076</v>
      </c>
      <c r="M18" s="187">
        <v>2179.578</v>
      </c>
      <c r="N18" s="188">
        <v>67.189000000000163</v>
      </c>
      <c r="O18" s="188">
        <v>1175.4509999999993</v>
      </c>
      <c r="P18" s="188">
        <v>237.51699999999963</v>
      </c>
      <c r="Q18" s="189">
        <v>699.42100000000096</v>
      </c>
      <c r="R18" s="187">
        <v>2169.6683308184001</v>
      </c>
      <c r="S18" s="188">
        <v>120.07051203950799</v>
      </c>
      <c r="T18" s="188">
        <v>941.89326967328657</v>
      </c>
      <c r="U18" s="188">
        <v>293.88037833748706</v>
      </c>
      <c r="V18" s="189">
        <v>813.82417076811862</v>
      </c>
      <c r="Y18" s="171">
        <v>5</v>
      </c>
      <c r="Z18" s="195">
        <v>0</v>
      </c>
      <c r="AA18" s="316">
        <f t="shared" si="1"/>
        <v>8.3333333333333329E-2</v>
      </c>
      <c r="AB18" s="316">
        <f t="shared" si="2"/>
        <v>4.1666666666666664E-2</v>
      </c>
    </row>
    <row r="19" spans="2:28">
      <c r="B19" s="14">
        <f t="shared" si="0"/>
        <v>2031</v>
      </c>
      <c r="C19" s="187">
        <v>8760</v>
      </c>
      <c r="D19" s="188">
        <v>1944</v>
      </c>
      <c r="E19" s="188">
        <v>3888</v>
      </c>
      <c r="F19" s="188">
        <v>976</v>
      </c>
      <c r="G19" s="189">
        <v>1952</v>
      </c>
      <c r="H19" s="187">
        <v>3326.3940000000412</v>
      </c>
      <c r="I19" s="188">
        <v>785.32400000000553</v>
      </c>
      <c r="J19" s="188">
        <v>1577.4420000000348</v>
      </c>
      <c r="K19" s="188">
        <v>327.01600000000002</v>
      </c>
      <c r="L19" s="189">
        <v>636.61200000000076</v>
      </c>
      <c r="M19" s="187">
        <v>2179.578</v>
      </c>
      <c r="N19" s="188">
        <v>67.189000000000163</v>
      </c>
      <c r="O19" s="188">
        <v>1175.4509999999993</v>
      </c>
      <c r="P19" s="188">
        <v>237.51699999999963</v>
      </c>
      <c r="Q19" s="189">
        <v>699.42100000000096</v>
      </c>
      <c r="R19" s="187">
        <v>2169.6683308184001</v>
      </c>
      <c r="S19" s="188">
        <v>120.07051203950799</v>
      </c>
      <c r="T19" s="188">
        <v>941.89326967328657</v>
      </c>
      <c r="U19" s="188">
        <v>293.88037833748706</v>
      </c>
      <c r="V19" s="189">
        <v>813.82417076811862</v>
      </c>
      <c r="Y19" s="171">
        <v>6</v>
      </c>
      <c r="Z19" s="195">
        <v>0.38773858738675343</v>
      </c>
      <c r="AA19" s="316">
        <f t="shared" si="1"/>
        <v>8.3333333333333329E-2</v>
      </c>
      <c r="AB19" s="316">
        <f t="shared" si="2"/>
        <v>0.23553596036004337</v>
      </c>
    </row>
    <row r="20" spans="2:28">
      <c r="B20" s="14">
        <f t="shared" si="0"/>
        <v>2032</v>
      </c>
      <c r="C20" s="187">
        <v>8784</v>
      </c>
      <c r="D20" s="188">
        <v>1952</v>
      </c>
      <c r="E20" s="188">
        <v>3904</v>
      </c>
      <c r="F20" s="188">
        <v>976</v>
      </c>
      <c r="G20" s="189">
        <v>1952</v>
      </c>
      <c r="H20" s="187">
        <v>3336.3686785714699</v>
      </c>
      <c r="I20" s="188">
        <v>788.84557142857716</v>
      </c>
      <c r="J20" s="188">
        <v>1583.8951071428919</v>
      </c>
      <c r="K20" s="188">
        <v>327.01600000000002</v>
      </c>
      <c r="L20" s="189">
        <v>636.61200000000076</v>
      </c>
      <c r="M20" s="187">
        <v>2183.9111428571432</v>
      </c>
      <c r="N20" s="188">
        <v>67.310964285714462</v>
      </c>
      <c r="O20" s="188">
        <v>1179.6621785714283</v>
      </c>
      <c r="P20" s="188">
        <v>237.51699999999963</v>
      </c>
      <c r="Q20" s="189">
        <v>699.42100000000096</v>
      </c>
      <c r="R20" s="187">
        <v>2172.1054371859564</v>
      </c>
      <c r="S20" s="188">
        <v>120.33811927907573</v>
      </c>
      <c r="T20" s="188">
        <v>944.06276880127518</v>
      </c>
      <c r="U20" s="188">
        <v>293.88037833748706</v>
      </c>
      <c r="V20" s="189">
        <v>813.82417076811862</v>
      </c>
      <c r="Y20" s="171">
        <v>7</v>
      </c>
      <c r="Z20" s="195">
        <v>0.50083560559415963</v>
      </c>
      <c r="AA20" s="316">
        <f t="shared" si="1"/>
        <v>8.3333333333333329E-2</v>
      </c>
      <c r="AB20" s="316">
        <f t="shared" si="2"/>
        <v>0.2920844694637465</v>
      </c>
    </row>
    <row r="21" spans="2:28">
      <c r="B21" s="14">
        <f t="shared" si="0"/>
        <v>2033</v>
      </c>
      <c r="C21" s="187">
        <v>8760</v>
      </c>
      <c r="D21" s="188">
        <v>1944</v>
      </c>
      <c r="E21" s="188">
        <v>3888</v>
      </c>
      <c r="F21" s="188">
        <v>976</v>
      </c>
      <c r="G21" s="189">
        <v>1952</v>
      </c>
      <c r="H21" s="187">
        <v>3326.3940000000412</v>
      </c>
      <c r="I21" s="188">
        <v>785.32400000000553</v>
      </c>
      <c r="J21" s="188">
        <v>1577.4420000000348</v>
      </c>
      <c r="K21" s="188">
        <v>327.01600000000002</v>
      </c>
      <c r="L21" s="189">
        <v>636.61200000000076</v>
      </c>
      <c r="M21" s="187">
        <v>2179.578</v>
      </c>
      <c r="N21" s="188">
        <v>67.189000000000163</v>
      </c>
      <c r="O21" s="188">
        <v>1175.4509999999993</v>
      </c>
      <c r="P21" s="188">
        <v>237.51699999999963</v>
      </c>
      <c r="Q21" s="189">
        <v>699.42100000000096</v>
      </c>
      <c r="R21" s="187">
        <v>2169.6683308184001</v>
      </c>
      <c r="S21" s="188">
        <v>120.07051203950799</v>
      </c>
      <c r="T21" s="188">
        <v>941.89326967328657</v>
      </c>
      <c r="U21" s="188">
        <v>293.88037833748706</v>
      </c>
      <c r="V21" s="189">
        <v>813.82417076811862</v>
      </c>
      <c r="Y21" s="171">
        <v>8</v>
      </c>
      <c r="Z21" s="195">
        <v>0.1050224294133169</v>
      </c>
      <c r="AA21" s="316">
        <f t="shared" si="1"/>
        <v>8.3333333333333329E-2</v>
      </c>
      <c r="AB21" s="316">
        <f t="shared" si="2"/>
        <v>9.4177881373325112E-2</v>
      </c>
    </row>
    <row r="22" spans="2:28">
      <c r="B22" s="14">
        <f t="shared" si="0"/>
        <v>2034</v>
      </c>
      <c r="C22" s="187">
        <v>8760</v>
      </c>
      <c r="D22" s="188">
        <v>1944</v>
      </c>
      <c r="E22" s="188">
        <v>3888</v>
      </c>
      <c r="F22" s="188">
        <v>976</v>
      </c>
      <c r="G22" s="189">
        <v>1952</v>
      </c>
      <c r="H22" s="187">
        <v>3326.3940000000412</v>
      </c>
      <c r="I22" s="188">
        <v>785.32400000000553</v>
      </c>
      <c r="J22" s="188">
        <v>1577.4420000000348</v>
      </c>
      <c r="K22" s="188">
        <v>327.01600000000002</v>
      </c>
      <c r="L22" s="189">
        <v>636.61200000000076</v>
      </c>
      <c r="M22" s="187">
        <v>2179.578</v>
      </c>
      <c r="N22" s="188">
        <v>67.189000000000163</v>
      </c>
      <c r="O22" s="188">
        <v>1175.4509999999993</v>
      </c>
      <c r="P22" s="188">
        <v>237.51699999999963</v>
      </c>
      <c r="Q22" s="189">
        <v>699.42100000000096</v>
      </c>
      <c r="R22" s="187">
        <v>2169.6683308184001</v>
      </c>
      <c r="S22" s="188">
        <v>120.07051203950799</v>
      </c>
      <c r="T22" s="188">
        <v>941.89326967328657</v>
      </c>
      <c r="U22" s="188">
        <v>293.88037833748706</v>
      </c>
      <c r="V22" s="189">
        <v>813.82417076811862</v>
      </c>
      <c r="Y22" s="171">
        <v>9</v>
      </c>
      <c r="Z22" s="195">
        <v>0</v>
      </c>
      <c r="AA22" s="316">
        <f t="shared" si="1"/>
        <v>8.3333333333333329E-2</v>
      </c>
      <c r="AB22" s="316">
        <f t="shared" si="2"/>
        <v>4.1666666666666664E-2</v>
      </c>
    </row>
    <row r="23" spans="2:28">
      <c r="B23" s="14">
        <f t="shared" si="0"/>
        <v>2035</v>
      </c>
      <c r="C23" s="187">
        <v>8760</v>
      </c>
      <c r="D23" s="188">
        <v>1944</v>
      </c>
      <c r="E23" s="188">
        <v>3888</v>
      </c>
      <c r="F23" s="188">
        <v>976</v>
      </c>
      <c r="G23" s="189">
        <v>1952</v>
      </c>
      <c r="H23" s="187">
        <v>3326.3940000000412</v>
      </c>
      <c r="I23" s="188">
        <v>785.32400000000553</v>
      </c>
      <c r="J23" s="188">
        <v>1577.4420000000348</v>
      </c>
      <c r="K23" s="188">
        <v>327.01600000000002</v>
      </c>
      <c r="L23" s="189">
        <v>636.61200000000076</v>
      </c>
      <c r="M23" s="187">
        <v>2179.578</v>
      </c>
      <c r="N23" s="188">
        <v>67.189000000000163</v>
      </c>
      <c r="O23" s="188">
        <v>1175.4509999999993</v>
      </c>
      <c r="P23" s="188">
        <v>237.51699999999963</v>
      </c>
      <c r="Q23" s="189">
        <v>699.42100000000096</v>
      </c>
      <c r="R23" s="187">
        <v>2169.6683308184001</v>
      </c>
      <c r="S23" s="188">
        <v>120.07051203950799</v>
      </c>
      <c r="T23" s="188">
        <v>941.89326967328657</v>
      </c>
      <c r="U23" s="188">
        <v>293.88037833748706</v>
      </c>
      <c r="V23" s="189">
        <v>813.82417076811862</v>
      </c>
      <c r="Y23" s="171">
        <v>10</v>
      </c>
      <c r="Z23" s="195">
        <v>2.1110036062978277E-3</v>
      </c>
      <c r="AA23" s="316">
        <f t="shared" si="1"/>
        <v>8.3333333333333329E-2</v>
      </c>
      <c r="AB23" s="316">
        <f t="shared" si="2"/>
        <v>4.272216846981558E-2</v>
      </c>
    </row>
    <row r="24" spans="2:28">
      <c r="B24" s="14">
        <f t="shared" si="0"/>
        <v>2036</v>
      </c>
      <c r="C24" s="187">
        <v>8784</v>
      </c>
      <c r="D24" s="188">
        <v>1952</v>
      </c>
      <c r="E24" s="188">
        <v>3904</v>
      </c>
      <c r="F24" s="188">
        <v>976</v>
      </c>
      <c r="G24" s="189">
        <v>1952</v>
      </c>
      <c r="H24" s="187">
        <v>3336.3686785714699</v>
      </c>
      <c r="I24" s="188">
        <v>788.84557142857716</v>
      </c>
      <c r="J24" s="188">
        <v>1583.8951071428919</v>
      </c>
      <c r="K24" s="188">
        <v>327.01600000000002</v>
      </c>
      <c r="L24" s="189">
        <v>636.61200000000076</v>
      </c>
      <c r="M24" s="187">
        <v>2183.9111428571432</v>
      </c>
      <c r="N24" s="188">
        <v>67.310964285714462</v>
      </c>
      <c r="O24" s="188">
        <v>1179.6621785714283</v>
      </c>
      <c r="P24" s="188">
        <v>237.51699999999963</v>
      </c>
      <c r="Q24" s="189">
        <v>699.42100000000096</v>
      </c>
      <c r="R24" s="187">
        <v>2172.1054371859564</v>
      </c>
      <c r="S24" s="188">
        <v>120.33811927907573</v>
      </c>
      <c r="T24" s="188">
        <v>944.06276880127518</v>
      </c>
      <c r="U24" s="188">
        <v>293.88037833748706</v>
      </c>
      <c r="V24" s="189">
        <v>813.82417076811862</v>
      </c>
      <c r="Y24" s="171">
        <v>11</v>
      </c>
      <c r="Z24" s="195">
        <v>0</v>
      </c>
      <c r="AA24" s="316">
        <f t="shared" si="1"/>
        <v>8.3333333333333329E-2</v>
      </c>
      <c r="AB24" s="316">
        <f t="shared" si="2"/>
        <v>4.1666666666666664E-2</v>
      </c>
    </row>
    <row r="25" spans="2:28">
      <c r="B25" s="14">
        <f t="shared" si="0"/>
        <v>2037</v>
      </c>
      <c r="C25" s="187">
        <v>8760</v>
      </c>
      <c r="D25" s="188">
        <v>1944</v>
      </c>
      <c r="E25" s="188">
        <v>3888</v>
      </c>
      <c r="F25" s="188">
        <v>976</v>
      </c>
      <c r="G25" s="189">
        <v>1952</v>
      </c>
      <c r="H25" s="187">
        <v>3326.3940000000412</v>
      </c>
      <c r="I25" s="188">
        <v>785.32400000000553</v>
      </c>
      <c r="J25" s="188">
        <v>1577.4420000000348</v>
      </c>
      <c r="K25" s="188">
        <v>327.01600000000002</v>
      </c>
      <c r="L25" s="189">
        <v>636.61200000000076</v>
      </c>
      <c r="M25" s="187">
        <v>2179.578</v>
      </c>
      <c r="N25" s="188">
        <v>67.189000000000163</v>
      </c>
      <c r="O25" s="188">
        <v>1175.4509999999993</v>
      </c>
      <c r="P25" s="188">
        <v>237.51699999999963</v>
      </c>
      <c r="Q25" s="189">
        <v>699.42100000000096</v>
      </c>
      <c r="R25" s="187">
        <v>2169.6683308184001</v>
      </c>
      <c r="S25" s="188">
        <v>120.07051203950799</v>
      </c>
      <c r="T25" s="188">
        <v>941.89326967328657</v>
      </c>
      <c r="U25" s="188">
        <v>293.88037833748706</v>
      </c>
      <c r="V25" s="189">
        <v>813.82417076811862</v>
      </c>
      <c r="Y25" s="172">
        <v>12</v>
      </c>
      <c r="Z25" s="196">
        <v>5.2775090157445692E-4</v>
      </c>
      <c r="AA25" s="316">
        <f t="shared" si="1"/>
        <v>8.3333333333333329E-2</v>
      </c>
      <c r="AB25" s="316">
        <f t="shared" si="2"/>
        <v>4.1930542117453895E-2</v>
      </c>
    </row>
    <row r="26" spans="2:28">
      <c r="B26" s="14">
        <f t="shared" si="0"/>
        <v>2038</v>
      </c>
      <c r="C26" s="187">
        <v>8760</v>
      </c>
      <c r="D26" s="188">
        <v>1944</v>
      </c>
      <c r="E26" s="188">
        <v>3888</v>
      </c>
      <c r="F26" s="188">
        <v>976</v>
      </c>
      <c r="G26" s="189">
        <v>1952</v>
      </c>
      <c r="H26" s="187">
        <v>3326.3940000000412</v>
      </c>
      <c r="I26" s="188">
        <v>785.32400000000553</v>
      </c>
      <c r="J26" s="188">
        <v>1577.4420000000348</v>
      </c>
      <c r="K26" s="188">
        <v>327.01600000000002</v>
      </c>
      <c r="L26" s="189">
        <v>636.61200000000076</v>
      </c>
      <c r="M26" s="187">
        <v>2179.578</v>
      </c>
      <c r="N26" s="188">
        <v>67.189000000000163</v>
      </c>
      <c r="O26" s="188">
        <v>1175.4509999999993</v>
      </c>
      <c r="P26" s="188">
        <v>237.51699999999963</v>
      </c>
      <c r="Q26" s="189">
        <v>699.42100000000096</v>
      </c>
      <c r="R26" s="187">
        <v>2169.6683308184001</v>
      </c>
      <c r="S26" s="188">
        <v>120.07051203950799</v>
      </c>
      <c r="T26" s="188">
        <v>941.89326967328657</v>
      </c>
      <c r="U26" s="188">
        <v>293.88037833748706</v>
      </c>
      <c r="V26" s="189">
        <v>813.82417076811862</v>
      </c>
      <c r="Y26" s="193"/>
      <c r="Z26" s="195">
        <v>0.99999999999999989</v>
      </c>
      <c r="AA26" s="316">
        <v>0.99999999999999989</v>
      </c>
      <c r="AB26" s="316">
        <v>0.99999999999999989</v>
      </c>
    </row>
    <row r="27" spans="2:28">
      <c r="B27" s="14">
        <f t="shared" si="0"/>
        <v>2039</v>
      </c>
      <c r="C27" s="187">
        <v>8760</v>
      </c>
      <c r="D27" s="188">
        <v>1944</v>
      </c>
      <c r="E27" s="188">
        <v>3888</v>
      </c>
      <c r="F27" s="188">
        <v>976</v>
      </c>
      <c r="G27" s="189">
        <v>1952</v>
      </c>
      <c r="H27" s="187">
        <v>3326.3940000000412</v>
      </c>
      <c r="I27" s="188">
        <v>785.32400000000553</v>
      </c>
      <c r="J27" s="188">
        <v>1577.4420000000348</v>
      </c>
      <c r="K27" s="188">
        <v>327.01600000000002</v>
      </c>
      <c r="L27" s="189">
        <v>636.61200000000076</v>
      </c>
      <c r="M27" s="187">
        <v>2179.578</v>
      </c>
      <c r="N27" s="188">
        <v>67.189000000000163</v>
      </c>
      <c r="O27" s="188">
        <v>1175.4509999999993</v>
      </c>
      <c r="P27" s="188">
        <v>237.51699999999963</v>
      </c>
      <c r="Q27" s="189">
        <v>699.42100000000096</v>
      </c>
      <c r="R27" s="187">
        <v>2169.6683308184001</v>
      </c>
      <c r="S27" s="188">
        <v>120.07051203950799</v>
      </c>
      <c r="T27" s="188">
        <v>941.89326967328657</v>
      </c>
      <c r="U27" s="188">
        <v>293.88037833748706</v>
      </c>
      <c r="V27" s="189">
        <v>813.82417076811862</v>
      </c>
    </row>
    <row r="28" spans="2:28">
      <c r="B28" s="14">
        <f t="shared" si="0"/>
        <v>2040</v>
      </c>
      <c r="C28" s="187">
        <v>8784</v>
      </c>
      <c r="D28" s="188">
        <v>1952</v>
      </c>
      <c r="E28" s="188">
        <v>3904</v>
      </c>
      <c r="F28" s="188">
        <v>976</v>
      </c>
      <c r="G28" s="189">
        <v>1952</v>
      </c>
      <c r="H28" s="187">
        <v>3336.3686785714699</v>
      </c>
      <c r="I28" s="188">
        <v>788.84557142857716</v>
      </c>
      <c r="J28" s="188">
        <v>1583.8951071428919</v>
      </c>
      <c r="K28" s="188">
        <v>327.01600000000002</v>
      </c>
      <c r="L28" s="189">
        <v>636.61200000000076</v>
      </c>
      <c r="M28" s="187">
        <v>2183.9111428571432</v>
      </c>
      <c r="N28" s="188">
        <v>67.310964285714462</v>
      </c>
      <c r="O28" s="188">
        <v>1179.6621785714283</v>
      </c>
      <c r="P28" s="188">
        <v>237.51699999999963</v>
      </c>
      <c r="Q28" s="189">
        <v>699.42100000000096</v>
      </c>
      <c r="R28" s="187">
        <v>2172.1054371859564</v>
      </c>
      <c r="S28" s="188">
        <v>120.33811927907573</v>
      </c>
      <c r="T28" s="188">
        <v>944.06276880127518</v>
      </c>
      <c r="U28" s="188">
        <v>293.88037833748706</v>
      </c>
      <c r="V28" s="189">
        <v>813.82417076811862</v>
      </c>
      <c r="Y28" t="s">
        <v>112</v>
      </c>
      <c r="Z28" s="307">
        <f>SUM(Z19:Z22)</f>
        <v>0.99359662239422986</v>
      </c>
      <c r="AA28" s="317">
        <f>SUM(AA19:AA22)</f>
        <v>0.33333333333333331</v>
      </c>
      <c r="AB28" s="317">
        <f>SUM(AB19:AB22)</f>
        <v>0.66346497786378167</v>
      </c>
    </row>
    <row r="29" spans="2:28">
      <c r="B29" s="14">
        <f t="shared" si="0"/>
        <v>2041</v>
      </c>
      <c r="C29" s="187">
        <v>8760</v>
      </c>
      <c r="D29" s="188">
        <v>1944</v>
      </c>
      <c r="E29" s="188">
        <v>3888</v>
      </c>
      <c r="F29" s="188">
        <v>976</v>
      </c>
      <c r="G29" s="189">
        <v>1952</v>
      </c>
      <c r="H29" s="187">
        <v>3326.3940000000412</v>
      </c>
      <c r="I29" s="188">
        <v>785.32400000000553</v>
      </c>
      <c r="J29" s="188">
        <v>1577.4420000000348</v>
      </c>
      <c r="K29" s="188">
        <v>327.01600000000002</v>
      </c>
      <c r="L29" s="189">
        <v>636.61200000000076</v>
      </c>
      <c r="M29" s="187">
        <v>2179.578</v>
      </c>
      <c r="N29" s="188">
        <v>67.189000000000163</v>
      </c>
      <c r="O29" s="188">
        <v>1175.4509999999993</v>
      </c>
      <c r="P29" s="188">
        <v>237.51699999999963</v>
      </c>
      <c r="Q29" s="189">
        <v>699.42100000000096</v>
      </c>
      <c r="R29" s="187">
        <v>2169.6683308184001</v>
      </c>
      <c r="S29" s="188">
        <v>120.07051203950799</v>
      </c>
      <c r="T29" s="188">
        <v>941.89326967328657</v>
      </c>
      <c r="U29" s="188">
        <v>293.88037833748706</v>
      </c>
      <c r="V29" s="189">
        <v>813.82417076811862</v>
      </c>
      <c r="Y29" t="s">
        <v>111</v>
      </c>
      <c r="Z29" s="307">
        <f>1-Z28</f>
        <v>6.4033776057701441E-3</v>
      </c>
      <c r="AA29" s="317">
        <f t="shared" ref="AA29:AB29" si="3">1-AA28</f>
        <v>0.66666666666666674</v>
      </c>
      <c r="AB29" s="317">
        <f t="shared" si="3"/>
        <v>0.33653502213621833</v>
      </c>
    </row>
    <row r="30" spans="2:28">
      <c r="B30" s="14">
        <f t="shared" si="0"/>
        <v>2042</v>
      </c>
      <c r="C30" s="187">
        <v>8760</v>
      </c>
      <c r="D30" s="188">
        <v>1944</v>
      </c>
      <c r="E30" s="188">
        <v>3888</v>
      </c>
      <c r="F30" s="188">
        <v>976</v>
      </c>
      <c r="G30" s="189">
        <v>1952</v>
      </c>
      <c r="H30" s="187">
        <v>3326.3940000000412</v>
      </c>
      <c r="I30" s="188">
        <v>785.32400000000553</v>
      </c>
      <c r="J30" s="188">
        <v>1577.4420000000348</v>
      </c>
      <c r="K30" s="188">
        <v>327.01600000000002</v>
      </c>
      <c r="L30" s="189">
        <v>636.61200000000076</v>
      </c>
      <c r="M30" s="187">
        <v>2179.578</v>
      </c>
      <c r="N30" s="188">
        <v>67.189000000000163</v>
      </c>
      <c r="O30" s="188">
        <v>1175.4509999999993</v>
      </c>
      <c r="P30" s="188">
        <v>237.51699999999963</v>
      </c>
      <c r="Q30" s="189">
        <v>699.42100000000096</v>
      </c>
      <c r="R30" s="187">
        <v>2169.6683308184001</v>
      </c>
      <c r="S30" s="188">
        <v>120.07051203950799</v>
      </c>
      <c r="T30" s="188">
        <v>941.89326967328657</v>
      </c>
      <c r="U30" s="188">
        <v>293.88037833748706</v>
      </c>
      <c r="V30" s="189">
        <v>813.82417076811862</v>
      </c>
    </row>
    <row r="31" spans="2:28">
      <c r="B31" s="25"/>
    </row>
    <row r="32" spans="2:28">
      <c r="B32" s="25"/>
    </row>
    <row r="33" spans="2:7">
      <c r="B33" s="25"/>
    </row>
    <row r="34" spans="2:7">
      <c r="B34" s="7"/>
      <c r="F34" s="173"/>
      <c r="G34" s="7"/>
    </row>
    <row r="35" spans="2:7">
      <c r="B35" s="7"/>
      <c r="G35" s="7"/>
    </row>
    <row r="37" spans="2:7">
      <c r="B37" s="10"/>
    </row>
  </sheetData>
  <mergeCells count="10">
    <mergeCell ref="C5:G5"/>
    <mergeCell ref="H5:L5"/>
    <mergeCell ref="M5:Q5"/>
    <mergeCell ref="R5:V5"/>
    <mergeCell ref="B1:I1"/>
    <mergeCell ref="B2:I2"/>
    <mergeCell ref="C4:G4"/>
    <mergeCell ref="H4:L4"/>
    <mergeCell ref="M4:Q4"/>
    <mergeCell ref="R4:V4"/>
  </mergeCells>
  <printOptions horizontalCentered="1"/>
  <pageMargins left="0.8" right="0.3" top="0.4" bottom="0.4" header="0.5" footer="0.2"/>
  <pageSetup scale="5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  <pageSetUpPr fitToPage="1"/>
  </sheetPr>
  <dimension ref="A1:X87"/>
  <sheetViews>
    <sheetView workbookViewId="0">
      <selection activeCell="B1" sqref="B1"/>
    </sheetView>
  </sheetViews>
  <sheetFormatPr defaultRowHeight="12.75"/>
  <cols>
    <col min="2" max="2" width="51.5" customWidth="1"/>
    <col min="3" max="3" width="9.33203125" customWidth="1"/>
    <col min="4" max="4" width="11" customWidth="1"/>
    <col min="5" max="5" width="10.5" customWidth="1"/>
    <col min="6" max="6" width="10.33203125" customWidth="1"/>
    <col min="7" max="7" width="10.83203125" customWidth="1"/>
    <col min="8" max="8" width="11" customWidth="1"/>
    <col min="9" max="10" width="11.33203125" customWidth="1"/>
    <col min="11" max="14" width="10.5" customWidth="1"/>
    <col min="15" max="16" width="11" customWidth="1"/>
    <col min="17" max="17" width="10.5" customWidth="1"/>
    <col min="18" max="18" width="12.83203125" customWidth="1"/>
    <col min="19" max="19" width="11.6640625" customWidth="1"/>
    <col min="20" max="20" width="11" customWidth="1"/>
    <col min="21" max="21" width="11.6640625" customWidth="1"/>
    <col min="22" max="22" width="11.1640625" customWidth="1"/>
    <col min="23" max="23" width="13" customWidth="1"/>
    <col min="24" max="24" width="13.6640625" customWidth="1"/>
    <col min="25" max="25" width="8.6640625" customWidth="1"/>
  </cols>
  <sheetData>
    <row r="1" spans="1:24" s="57" customFormat="1" ht="15.75"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90"/>
      <c r="N1" s="90"/>
      <c r="O1" s="90"/>
      <c r="P1" s="90"/>
      <c r="Q1" s="90"/>
      <c r="R1" s="90"/>
    </row>
    <row r="2" spans="1:24" s="57" customFormat="1" ht="15.75">
      <c r="B2" s="91" t="s">
        <v>66</v>
      </c>
      <c r="C2" s="89"/>
      <c r="D2" s="89"/>
      <c r="E2" s="89"/>
      <c r="F2" s="89"/>
      <c r="G2" s="89"/>
      <c r="H2" s="89"/>
      <c r="I2" s="89"/>
      <c r="J2" s="89"/>
      <c r="K2" s="89"/>
      <c r="L2" s="90"/>
      <c r="M2" s="90"/>
      <c r="N2" s="90"/>
      <c r="O2" s="90"/>
      <c r="P2" s="90"/>
      <c r="Q2" s="90"/>
      <c r="R2" s="90"/>
    </row>
    <row r="3" spans="1:24" s="57" customFormat="1" ht="15.75">
      <c r="B3" s="91" t="s">
        <v>67</v>
      </c>
      <c r="C3" s="89"/>
      <c r="D3" s="89"/>
      <c r="E3" s="89"/>
      <c r="F3" s="89"/>
      <c r="G3" s="89"/>
      <c r="H3" s="89"/>
      <c r="I3" s="89"/>
      <c r="J3" s="89"/>
      <c r="K3" s="89"/>
      <c r="L3" s="90"/>
      <c r="M3" s="90"/>
      <c r="N3" s="90"/>
      <c r="O3" s="90"/>
      <c r="P3" s="90"/>
      <c r="Q3" s="90"/>
      <c r="R3" s="90"/>
    </row>
    <row r="7" spans="1:24" ht="18.75">
      <c r="A7" s="92"/>
      <c r="B7" s="93"/>
      <c r="C7" s="94" t="s">
        <v>17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305" t="s">
        <v>33</v>
      </c>
      <c r="X7" s="304"/>
    </row>
    <row r="8" spans="1:24" ht="15.75">
      <c r="A8" s="96"/>
      <c r="B8" s="97" t="s">
        <v>18</v>
      </c>
      <c r="C8" s="98">
        <v>2017</v>
      </c>
      <c r="D8" s="99">
        <v>2018</v>
      </c>
      <c r="E8" s="99">
        <v>2019</v>
      </c>
      <c r="F8" s="99">
        <v>2020</v>
      </c>
      <c r="G8" s="99">
        <v>2021</v>
      </c>
      <c r="H8" s="99">
        <v>2022</v>
      </c>
      <c r="I8" s="99">
        <v>2023</v>
      </c>
      <c r="J8" s="99">
        <v>2024</v>
      </c>
      <c r="K8" s="99">
        <v>2025</v>
      </c>
      <c r="L8" s="99">
        <v>2026</v>
      </c>
      <c r="M8" s="99">
        <v>2027</v>
      </c>
      <c r="N8" s="99">
        <v>2028</v>
      </c>
      <c r="O8" s="99">
        <v>2029</v>
      </c>
      <c r="P8" s="99">
        <v>2030</v>
      </c>
      <c r="Q8" s="99">
        <v>2031</v>
      </c>
      <c r="R8" s="99">
        <v>2032</v>
      </c>
      <c r="S8" s="99">
        <v>2033</v>
      </c>
      <c r="T8" s="99">
        <v>2034</v>
      </c>
      <c r="U8" s="99">
        <v>2035</v>
      </c>
      <c r="V8" s="99">
        <v>2036</v>
      </c>
      <c r="W8" s="100" t="s">
        <v>34</v>
      </c>
      <c r="X8" s="100" t="s">
        <v>35</v>
      </c>
    </row>
    <row r="9" spans="1:24" hidden="1">
      <c r="A9" s="101" t="s">
        <v>19</v>
      </c>
      <c r="B9" s="302" t="s">
        <v>29</v>
      </c>
      <c r="C9" s="301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8"/>
      <c r="W9" s="301"/>
      <c r="X9" s="298"/>
    </row>
    <row r="10" spans="1:24" ht="15.75" hidden="1">
      <c r="A10" s="102"/>
      <c r="B10" s="303" t="s">
        <v>68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-82.3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-82.3</v>
      </c>
      <c r="X10" s="58">
        <v>-82.3</v>
      </c>
    </row>
    <row r="11" spans="1:24" ht="15.75" hidden="1">
      <c r="A11" s="102"/>
      <c r="B11" s="303" t="s">
        <v>69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-81.540000000000006</v>
      </c>
      <c r="V11" s="58">
        <v>0</v>
      </c>
      <c r="W11" s="58">
        <v>0</v>
      </c>
      <c r="X11" s="58">
        <v>-81.540000000000006</v>
      </c>
    </row>
    <row r="12" spans="1:24" ht="15.75" hidden="1">
      <c r="A12" s="102"/>
      <c r="B12" s="303" t="s">
        <v>36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-45.1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-45.1</v>
      </c>
    </row>
    <row r="13" spans="1:24" ht="15.75" hidden="1">
      <c r="A13" s="102"/>
      <c r="B13" s="303" t="s">
        <v>37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-32.68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-32.68</v>
      </c>
    </row>
    <row r="14" spans="1:24" ht="15.75" hidden="1">
      <c r="A14" s="102"/>
      <c r="B14" s="303" t="s">
        <v>70</v>
      </c>
      <c r="C14" s="59">
        <v>0</v>
      </c>
      <c r="D14" s="59">
        <v>0</v>
      </c>
      <c r="E14" s="59">
        <v>-482.5</v>
      </c>
      <c r="F14" s="59">
        <v>-111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8">
        <v>-593.5</v>
      </c>
      <c r="X14" s="58">
        <v>-593.5</v>
      </c>
    </row>
    <row r="15" spans="1:24" ht="15.75" hidden="1">
      <c r="A15" s="102"/>
      <c r="B15" s="303" t="s">
        <v>71</v>
      </c>
      <c r="C15" s="59">
        <v>0</v>
      </c>
      <c r="D15" s="59">
        <v>0</v>
      </c>
      <c r="E15" s="59">
        <v>483</v>
      </c>
      <c r="F15" s="59">
        <v>111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8">
        <v>594</v>
      </c>
      <c r="X15" s="58">
        <v>594</v>
      </c>
    </row>
    <row r="16" spans="1:24" ht="15.75" hidden="1">
      <c r="A16" s="102"/>
      <c r="B16" s="303" t="s">
        <v>38</v>
      </c>
      <c r="C16" s="58">
        <v>0</v>
      </c>
      <c r="D16" s="58">
        <v>0</v>
      </c>
      <c r="E16" s="58">
        <v>0</v>
      </c>
      <c r="F16" s="58">
        <v>0</v>
      </c>
      <c r="G16" s="58">
        <v>-387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-387</v>
      </c>
      <c r="X16" s="58">
        <v>-387</v>
      </c>
    </row>
    <row r="17" spans="1:24" ht="15.75" hidden="1">
      <c r="A17" s="102"/>
      <c r="B17" s="303" t="s">
        <v>39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-106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-106</v>
      </c>
    </row>
    <row r="18" spans="1:24" ht="15.75" hidden="1">
      <c r="A18" s="102"/>
      <c r="B18" s="303" t="s">
        <v>40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-106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-106</v>
      </c>
    </row>
    <row r="19" spans="1:24" ht="15.75" hidden="1">
      <c r="A19" s="102"/>
      <c r="B19" s="303" t="s">
        <v>41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-220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-220</v>
      </c>
    </row>
    <row r="20" spans="1:24" ht="15.75" hidden="1">
      <c r="A20" s="102"/>
      <c r="B20" s="303" t="s">
        <v>42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-330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-330</v>
      </c>
    </row>
    <row r="21" spans="1:24" ht="15.75" hidden="1">
      <c r="A21" s="102"/>
      <c r="B21" s="303" t="s">
        <v>43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-156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-156</v>
      </c>
    </row>
    <row r="22" spans="1:24" ht="15.75" hidden="1">
      <c r="A22" s="102"/>
      <c r="B22" s="303" t="s">
        <v>44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-201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-201</v>
      </c>
    </row>
    <row r="23" spans="1:24" ht="15.75" hidden="1">
      <c r="A23" s="102"/>
      <c r="B23" s="303" t="s">
        <v>45</v>
      </c>
      <c r="C23" s="58">
        <v>0</v>
      </c>
      <c r="D23" s="58">
        <v>0</v>
      </c>
      <c r="E23" s="58">
        <v>-280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-280</v>
      </c>
      <c r="X23" s="58">
        <v>-280</v>
      </c>
    </row>
    <row r="24" spans="1:24" ht="15.75" hidden="1">
      <c r="A24" s="102"/>
      <c r="B24" s="303" t="s">
        <v>46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-357.5</v>
      </c>
      <c r="T24" s="59">
        <v>0</v>
      </c>
      <c r="U24" s="59">
        <v>0</v>
      </c>
      <c r="V24" s="59">
        <v>0</v>
      </c>
      <c r="W24" s="58">
        <v>0</v>
      </c>
      <c r="X24" s="58">
        <v>-357.5</v>
      </c>
    </row>
    <row r="25" spans="1:24">
      <c r="A25" s="102" t="s">
        <v>19</v>
      </c>
      <c r="B25" s="302" t="s">
        <v>30</v>
      </c>
      <c r="C25" s="301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8"/>
      <c r="W25" s="104"/>
      <c r="X25" s="105"/>
    </row>
    <row r="26" spans="1:24" ht="16.5" thickBot="1">
      <c r="A26" s="103"/>
      <c r="B26" s="106" t="s">
        <v>62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476.577</v>
      </c>
      <c r="T26" s="59">
        <v>0</v>
      </c>
      <c r="U26" s="59">
        <v>0</v>
      </c>
      <c r="V26" s="59">
        <v>0</v>
      </c>
      <c r="W26" s="58">
        <v>0</v>
      </c>
      <c r="X26" s="58">
        <v>476.577</v>
      </c>
    </row>
    <row r="27" spans="1:24" ht="16.5" thickBot="1">
      <c r="A27" s="103"/>
      <c r="B27" s="108" t="s">
        <v>47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476.577</v>
      </c>
      <c r="T27" s="60">
        <v>0</v>
      </c>
      <c r="U27" s="60">
        <v>0</v>
      </c>
      <c r="V27" s="60">
        <v>0</v>
      </c>
      <c r="W27" s="60">
        <v>0</v>
      </c>
      <c r="X27" s="60">
        <v>476.577</v>
      </c>
    </row>
    <row r="28" spans="1:24" ht="15.75">
      <c r="A28" s="103"/>
      <c r="B28" s="106" t="s">
        <v>72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107">
        <v>0</v>
      </c>
      <c r="R28" s="107">
        <v>0</v>
      </c>
      <c r="S28" s="107">
        <v>199.92400000000001</v>
      </c>
      <c r="T28" s="107">
        <v>0</v>
      </c>
      <c r="U28" s="107">
        <v>0</v>
      </c>
      <c r="V28" s="107">
        <v>0</v>
      </c>
      <c r="W28" s="120">
        <v>0</v>
      </c>
      <c r="X28" s="58">
        <v>199.92400000000001</v>
      </c>
    </row>
    <row r="29" spans="1:24" ht="15.75">
      <c r="A29" s="103"/>
      <c r="B29" s="106" t="s">
        <v>73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107">
        <v>199.92400000000001</v>
      </c>
      <c r="P29" s="59">
        <v>0</v>
      </c>
      <c r="Q29" s="107">
        <v>0</v>
      </c>
      <c r="R29" s="107">
        <v>0</v>
      </c>
      <c r="S29" s="107">
        <v>0</v>
      </c>
      <c r="T29" s="107">
        <v>0</v>
      </c>
      <c r="U29" s="107">
        <v>0</v>
      </c>
      <c r="V29" s="107">
        <v>0</v>
      </c>
      <c r="W29" s="120">
        <v>0</v>
      </c>
      <c r="X29" s="58">
        <v>199.92400000000001</v>
      </c>
    </row>
    <row r="30" spans="1:24" ht="15.75">
      <c r="A30" s="103"/>
      <c r="B30" s="106" t="s">
        <v>74</v>
      </c>
      <c r="C30" s="59">
        <v>0</v>
      </c>
      <c r="D30" s="59">
        <v>0</v>
      </c>
      <c r="E30" s="59">
        <v>0</v>
      </c>
      <c r="F30" s="59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85.498999999999995</v>
      </c>
      <c r="R30" s="107">
        <v>0</v>
      </c>
      <c r="S30" s="107">
        <v>0</v>
      </c>
      <c r="T30" s="107">
        <v>0</v>
      </c>
      <c r="U30" s="107">
        <v>0</v>
      </c>
      <c r="V30" s="107">
        <v>0</v>
      </c>
      <c r="W30" s="120">
        <v>0</v>
      </c>
      <c r="X30" s="58">
        <v>85.498999999999995</v>
      </c>
    </row>
    <row r="31" spans="1:24" ht="15.75">
      <c r="A31" s="103"/>
      <c r="B31" s="106" t="s">
        <v>75</v>
      </c>
      <c r="C31" s="59">
        <v>0</v>
      </c>
      <c r="D31" s="59">
        <v>0</v>
      </c>
      <c r="E31" s="59">
        <v>0</v>
      </c>
      <c r="F31" s="59">
        <v>0</v>
      </c>
      <c r="G31" s="107">
        <v>0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773.98800000000006</v>
      </c>
      <c r="W31" s="120">
        <v>0</v>
      </c>
      <c r="X31" s="58">
        <v>773.98800000000006</v>
      </c>
    </row>
    <row r="32" spans="1:24" ht="16.5" thickBot="1">
      <c r="A32" s="103"/>
      <c r="B32" s="106" t="s">
        <v>76</v>
      </c>
      <c r="C32" s="59">
        <v>0</v>
      </c>
      <c r="D32" s="59">
        <v>0</v>
      </c>
      <c r="E32" s="59">
        <v>0</v>
      </c>
      <c r="F32" s="59">
        <v>0</v>
      </c>
      <c r="G32" s="107">
        <v>1100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20">
        <v>1100</v>
      </c>
      <c r="X32" s="58">
        <v>1100</v>
      </c>
    </row>
    <row r="33" spans="1:24" ht="16.5" thickBot="1">
      <c r="A33" s="103"/>
      <c r="B33" s="108" t="s">
        <v>77</v>
      </c>
      <c r="C33" s="60">
        <v>0</v>
      </c>
      <c r="D33" s="60">
        <v>0</v>
      </c>
      <c r="E33" s="60">
        <v>0</v>
      </c>
      <c r="F33" s="60">
        <v>0</v>
      </c>
      <c r="G33" s="121">
        <v>1100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85.498999999999995</v>
      </c>
      <c r="R33" s="121">
        <v>0</v>
      </c>
      <c r="S33" s="121">
        <v>0</v>
      </c>
      <c r="T33" s="121">
        <v>0</v>
      </c>
      <c r="U33" s="121">
        <v>0</v>
      </c>
      <c r="V33" s="121">
        <v>773.98800000000006</v>
      </c>
      <c r="W33" s="121">
        <v>1100</v>
      </c>
      <c r="X33" s="60">
        <v>1959.4870000000001</v>
      </c>
    </row>
    <row r="34" spans="1:24" ht="16.5" thickBot="1">
      <c r="A34" s="103"/>
      <c r="B34" s="109" t="s">
        <v>78</v>
      </c>
      <c r="C34" s="122">
        <v>0</v>
      </c>
      <c r="D34" s="122">
        <v>0</v>
      </c>
      <c r="E34" s="122">
        <v>0</v>
      </c>
      <c r="F34" s="122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79.44</v>
      </c>
      <c r="R34" s="123">
        <v>166.625</v>
      </c>
      <c r="S34" s="123">
        <v>209.99100000000001</v>
      </c>
      <c r="T34" s="123">
        <v>40.779000000000003</v>
      </c>
      <c r="U34" s="123">
        <v>290.57600000000002</v>
      </c>
      <c r="V34" s="123">
        <v>12.589</v>
      </c>
      <c r="W34" s="107">
        <v>0</v>
      </c>
      <c r="X34" s="59">
        <v>800.00000000000011</v>
      </c>
    </row>
    <row r="35" spans="1:24" ht="16.5" hidden="1" thickBot="1">
      <c r="A35" s="103"/>
      <c r="B35" s="109" t="s">
        <v>79</v>
      </c>
      <c r="C35" s="61">
        <v>0</v>
      </c>
      <c r="D35" s="61">
        <v>0</v>
      </c>
      <c r="E35" s="61">
        <v>0</v>
      </c>
      <c r="F35" s="61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24">
        <v>0</v>
      </c>
      <c r="O35" s="124">
        <v>3.35</v>
      </c>
      <c r="P35" s="124">
        <v>0</v>
      </c>
      <c r="Q35" s="124">
        <v>0</v>
      </c>
      <c r="R35" s="124">
        <v>0</v>
      </c>
      <c r="S35" s="124">
        <v>0</v>
      </c>
      <c r="T35" s="124">
        <v>0</v>
      </c>
      <c r="U35" s="124">
        <v>0</v>
      </c>
      <c r="V35" s="124">
        <v>1.34</v>
      </c>
      <c r="W35" s="125">
        <v>0</v>
      </c>
      <c r="X35" s="62">
        <v>4.6900000000000004</v>
      </c>
    </row>
    <row r="36" spans="1:24" ht="16.5" hidden="1" thickBot="1">
      <c r="A36" s="103"/>
      <c r="B36" s="109" t="s">
        <v>80</v>
      </c>
      <c r="C36" s="61">
        <v>0</v>
      </c>
      <c r="D36" s="61">
        <v>0</v>
      </c>
      <c r="E36" s="61">
        <v>0</v>
      </c>
      <c r="F36" s="61">
        <v>0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L36" s="124">
        <v>0</v>
      </c>
      <c r="M36" s="124">
        <v>0</v>
      </c>
      <c r="N36" s="124">
        <v>0</v>
      </c>
      <c r="O36" s="124">
        <v>1.93</v>
      </c>
      <c r="P36" s="124">
        <v>0</v>
      </c>
      <c r="Q36" s="124">
        <v>0</v>
      </c>
      <c r="R36" s="124">
        <v>0</v>
      </c>
      <c r="S36" s="124">
        <v>0</v>
      </c>
      <c r="T36" s="124">
        <v>0</v>
      </c>
      <c r="U36" s="124">
        <v>0</v>
      </c>
      <c r="V36" s="124">
        <v>0</v>
      </c>
      <c r="W36" s="125">
        <v>0</v>
      </c>
      <c r="X36" s="62">
        <v>1.93</v>
      </c>
    </row>
    <row r="37" spans="1:24" ht="16.5" hidden="1" thickBot="1">
      <c r="A37" s="103"/>
      <c r="B37" s="109" t="s">
        <v>81</v>
      </c>
      <c r="C37" s="61">
        <v>0</v>
      </c>
      <c r="D37" s="61">
        <v>0</v>
      </c>
      <c r="E37" s="61">
        <v>0</v>
      </c>
      <c r="F37" s="61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10.93</v>
      </c>
      <c r="O37" s="124">
        <v>3.94</v>
      </c>
      <c r="P37" s="124">
        <v>0</v>
      </c>
      <c r="Q37" s="124">
        <v>0</v>
      </c>
      <c r="R37" s="124">
        <v>3.36</v>
      </c>
      <c r="S37" s="124">
        <v>0</v>
      </c>
      <c r="T37" s="124">
        <v>0</v>
      </c>
      <c r="U37" s="124">
        <v>3.05</v>
      </c>
      <c r="V37" s="124">
        <v>0</v>
      </c>
      <c r="W37" s="125">
        <v>0</v>
      </c>
      <c r="X37" s="62">
        <v>21.28</v>
      </c>
    </row>
    <row r="38" spans="1:24" ht="16.5" hidden="1" thickBot="1">
      <c r="A38" s="103"/>
      <c r="B38" s="109" t="s">
        <v>82</v>
      </c>
      <c r="C38" s="62">
        <v>0</v>
      </c>
      <c r="D38" s="62">
        <v>0</v>
      </c>
      <c r="E38" s="62">
        <v>0</v>
      </c>
      <c r="F38" s="62">
        <v>0</v>
      </c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68.37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62">
        <v>68.37</v>
      </c>
    </row>
    <row r="39" spans="1:24" ht="16.5" hidden="1" thickBot="1">
      <c r="A39" s="103"/>
      <c r="B39" s="109" t="s">
        <v>83</v>
      </c>
      <c r="C39" s="61">
        <v>0</v>
      </c>
      <c r="D39" s="61">
        <v>0</v>
      </c>
      <c r="E39" s="61">
        <v>0</v>
      </c>
      <c r="F39" s="61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34.75</v>
      </c>
      <c r="O39" s="124">
        <v>40.54</v>
      </c>
      <c r="P39" s="124">
        <v>4.75</v>
      </c>
      <c r="Q39" s="124">
        <v>0</v>
      </c>
      <c r="R39" s="124">
        <v>0</v>
      </c>
      <c r="S39" s="124">
        <v>0</v>
      </c>
      <c r="T39" s="124">
        <v>3.67</v>
      </c>
      <c r="U39" s="124">
        <v>0</v>
      </c>
      <c r="V39" s="124">
        <v>2.2200000000000002</v>
      </c>
      <c r="W39" s="125">
        <v>0</v>
      </c>
      <c r="X39" s="62">
        <v>85.929999999999993</v>
      </c>
    </row>
    <row r="40" spans="1:24" ht="16.5" hidden="1" thickBot="1">
      <c r="A40" s="103"/>
      <c r="B40" s="109" t="s">
        <v>84</v>
      </c>
      <c r="C40" s="61">
        <v>0</v>
      </c>
      <c r="D40" s="61">
        <v>0</v>
      </c>
      <c r="E40" s="61">
        <v>0</v>
      </c>
      <c r="F40" s="61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24">
        <v>3.05</v>
      </c>
      <c r="O40" s="124">
        <v>0</v>
      </c>
      <c r="P40" s="124">
        <v>0</v>
      </c>
      <c r="Q40" s="124">
        <v>0</v>
      </c>
      <c r="R40" s="124">
        <v>0</v>
      </c>
      <c r="S40" s="124">
        <v>0</v>
      </c>
      <c r="T40" s="124">
        <v>0</v>
      </c>
      <c r="U40" s="124">
        <v>0</v>
      </c>
      <c r="V40" s="124">
        <v>3.25</v>
      </c>
      <c r="W40" s="125">
        <v>0</v>
      </c>
      <c r="X40" s="62">
        <v>6.3</v>
      </c>
    </row>
    <row r="41" spans="1:24" ht="16.5" hidden="1" thickBot="1">
      <c r="A41" s="103"/>
      <c r="B41" s="109" t="s">
        <v>85</v>
      </c>
      <c r="C41" s="61">
        <v>0</v>
      </c>
      <c r="D41" s="61">
        <v>0</v>
      </c>
      <c r="E41" s="61">
        <v>0</v>
      </c>
      <c r="F41" s="61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24">
        <v>4.78</v>
      </c>
      <c r="O41" s="124">
        <v>0</v>
      </c>
      <c r="P41" s="124">
        <v>0</v>
      </c>
      <c r="Q41" s="124">
        <v>0</v>
      </c>
      <c r="R41" s="124">
        <v>0</v>
      </c>
      <c r="S41" s="124">
        <v>0</v>
      </c>
      <c r="T41" s="124">
        <v>0</v>
      </c>
      <c r="U41" s="124">
        <v>0</v>
      </c>
      <c r="V41" s="124">
        <v>2.87</v>
      </c>
      <c r="W41" s="125">
        <v>0</v>
      </c>
      <c r="X41" s="62">
        <v>7.65</v>
      </c>
    </row>
    <row r="42" spans="1:24" ht="16.5" hidden="1" thickBot="1">
      <c r="A42" s="103"/>
      <c r="B42" s="109" t="s">
        <v>86</v>
      </c>
      <c r="C42" s="61">
        <v>0</v>
      </c>
      <c r="D42" s="61">
        <v>0</v>
      </c>
      <c r="E42" s="61">
        <v>0</v>
      </c>
      <c r="F42" s="61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40.71</v>
      </c>
      <c r="P42" s="124">
        <v>0</v>
      </c>
      <c r="Q42" s="124">
        <v>0</v>
      </c>
      <c r="R42" s="124">
        <v>0</v>
      </c>
      <c r="S42" s="124">
        <v>3.11</v>
      </c>
      <c r="T42" s="124">
        <v>0</v>
      </c>
      <c r="U42" s="124">
        <v>0</v>
      </c>
      <c r="V42" s="124">
        <v>1.95</v>
      </c>
      <c r="W42" s="125">
        <v>0</v>
      </c>
      <c r="X42" s="62">
        <v>45.77</v>
      </c>
    </row>
    <row r="43" spans="1:24" ht="16.5" hidden="1" thickBot="1">
      <c r="A43" s="103"/>
      <c r="B43" s="109" t="s">
        <v>87</v>
      </c>
      <c r="C43" s="61">
        <v>0</v>
      </c>
      <c r="D43" s="61">
        <v>0</v>
      </c>
      <c r="E43" s="61">
        <v>0</v>
      </c>
      <c r="F43" s="61">
        <v>0</v>
      </c>
      <c r="G43" s="124">
        <v>0</v>
      </c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1.88</v>
      </c>
      <c r="O43" s="124">
        <v>0</v>
      </c>
      <c r="P43" s="124">
        <v>0</v>
      </c>
      <c r="Q43" s="124">
        <v>0</v>
      </c>
      <c r="R43" s="124">
        <v>0</v>
      </c>
      <c r="S43" s="124">
        <v>0</v>
      </c>
      <c r="T43" s="124">
        <v>0</v>
      </c>
      <c r="U43" s="124">
        <v>0</v>
      </c>
      <c r="V43" s="124">
        <v>0</v>
      </c>
      <c r="W43" s="125">
        <v>0</v>
      </c>
      <c r="X43" s="62">
        <v>1.88</v>
      </c>
    </row>
    <row r="44" spans="1:24" ht="16.5" thickBot="1">
      <c r="A44" s="103"/>
      <c r="B44" s="108" t="s">
        <v>20</v>
      </c>
      <c r="C44" s="63">
        <v>0</v>
      </c>
      <c r="D44" s="63">
        <v>0</v>
      </c>
      <c r="E44" s="63">
        <v>0</v>
      </c>
      <c r="F44" s="63">
        <v>0</v>
      </c>
      <c r="G44" s="126">
        <v>0</v>
      </c>
      <c r="H44" s="126">
        <v>0</v>
      </c>
      <c r="I44" s="126">
        <v>0</v>
      </c>
      <c r="J44" s="126">
        <v>0</v>
      </c>
      <c r="K44" s="126">
        <v>0</v>
      </c>
      <c r="L44" s="126">
        <v>0</v>
      </c>
      <c r="M44" s="126">
        <v>0</v>
      </c>
      <c r="N44" s="126">
        <v>123.76</v>
      </c>
      <c r="O44" s="126">
        <v>90.47</v>
      </c>
      <c r="P44" s="126">
        <v>4.75</v>
      </c>
      <c r="Q44" s="126">
        <v>0</v>
      </c>
      <c r="R44" s="126">
        <v>3.36</v>
      </c>
      <c r="S44" s="126">
        <v>3.11</v>
      </c>
      <c r="T44" s="126">
        <v>3.67</v>
      </c>
      <c r="U44" s="126">
        <v>3.05</v>
      </c>
      <c r="V44" s="126">
        <v>11.629999999999999</v>
      </c>
      <c r="W44" s="126">
        <v>0</v>
      </c>
      <c r="X44" s="63">
        <v>243.80000000000004</v>
      </c>
    </row>
    <row r="45" spans="1:24" ht="16.5" hidden="1" thickBot="1">
      <c r="A45" s="103"/>
      <c r="B45" s="297" t="s">
        <v>48</v>
      </c>
      <c r="C45" s="59">
        <v>4.57</v>
      </c>
      <c r="D45" s="59">
        <v>6.5</v>
      </c>
      <c r="E45" s="59">
        <v>6.5299999999999994</v>
      </c>
      <c r="F45" s="59">
        <v>5.59</v>
      </c>
      <c r="G45" s="107">
        <v>5.7900000000000009</v>
      </c>
      <c r="H45" s="107">
        <v>5.42</v>
      </c>
      <c r="I45" s="107">
        <v>5.24</v>
      </c>
      <c r="J45" s="107">
        <v>5.5400000000000009</v>
      </c>
      <c r="K45" s="107">
        <v>5.33</v>
      </c>
      <c r="L45" s="107">
        <v>5.58</v>
      </c>
      <c r="M45" s="107">
        <v>5.25</v>
      </c>
      <c r="N45" s="107">
        <v>4.93</v>
      </c>
      <c r="O45" s="107">
        <v>4.76</v>
      </c>
      <c r="P45" s="107">
        <v>4.57</v>
      </c>
      <c r="Q45" s="107">
        <v>4.43</v>
      </c>
      <c r="R45" s="59">
        <v>3.7300000000000004</v>
      </c>
      <c r="S45" s="59">
        <v>3.48</v>
      </c>
      <c r="T45" s="59">
        <v>2.86</v>
      </c>
      <c r="U45" s="59">
        <v>2.56</v>
      </c>
      <c r="V45" s="59">
        <v>2.64</v>
      </c>
      <c r="W45" s="59">
        <v>56.09</v>
      </c>
      <c r="X45" s="59">
        <v>95.30000000000004</v>
      </c>
    </row>
    <row r="46" spans="1:24" ht="16.5" hidden="1" thickBot="1">
      <c r="A46" s="103"/>
      <c r="B46" s="297" t="s">
        <v>49</v>
      </c>
      <c r="C46" s="59">
        <v>84.4</v>
      </c>
      <c r="D46" s="59">
        <v>57.6</v>
      </c>
      <c r="E46" s="59">
        <v>61.5</v>
      </c>
      <c r="F46" s="59">
        <v>59.4</v>
      </c>
      <c r="G46" s="107">
        <v>61.5</v>
      </c>
      <c r="H46" s="107">
        <v>58.400000000000006</v>
      </c>
      <c r="I46" s="107">
        <v>65.8</v>
      </c>
      <c r="J46" s="107">
        <v>65.7</v>
      </c>
      <c r="K46" s="107">
        <v>62.6</v>
      </c>
      <c r="L46" s="107">
        <v>64.700000000000017</v>
      </c>
      <c r="M46" s="107">
        <v>64.600000000000009</v>
      </c>
      <c r="N46" s="107">
        <v>60.70000000000001</v>
      </c>
      <c r="O46" s="107">
        <v>56.800000000000011</v>
      </c>
      <c r="P46" s="107">
        <v>56.999999999999993</v>
      </c>
      <c r="Q46" s="107">
        <v>59.000000000000007</v>
      </c>
      <c r="R46" s="59">
        <v>49.300000000000011</v>
      </c>
      <c r="S46" s="59">
        <v>43.900000000000006</v>
      </c>
      <c r="T46" s="59">
        <v>37.000000000000007</v>
      </c>
      <c r="U46" s="59">
        <v>34.200000000000003</v>
      </c>
      <c r="V46" s="59">
        <v>34.800000000000004</v>
      </c>
      <c r="W46" s="59">
        <v>641.6</v>
      </c>
      <c r="X46" s="59">
        <v>1138.9000000000001</v>
      </c>
    </row>
    <row r="47" spans="1:24" ht="16.5" hidden="1" thickBot="1">
      <c r="A47" s="103"/>
      <c r="B47" s="297" t="s">
        <v>50</v>
      </c>
      <c r="C47" s="59">
        <v>7.5449999999999999</v>
      </c>
      <c r="D47" s="59">
        <v>10.210000000000001</v>
      </c>
      <c r="E47" s="59">
        <v>10.809999999999999</v>
      </c>
      <c r="F47" s="59">
        <v>10.28</v>
      </c>
      <c r="G47" s="107">
        <v>13.26</v>
      </c>
      <c r="H47" s="107">
        <v>13.489999999999998</v>
      </c>
      <c r="I47" s="107">
        <v>13.71</v>
      </c>
      <c r="J47" s="107">
        <v>13.75</v>
      </c>
      <c r="K47" s="107">
        <v>14.48</v>
      </c>
      <c r="L47" s="107">
        <v>13.88</v>
      </c>
      <c r="M47" s="107">
        <v>12.49</v>
      </c>
      <c r="N47" s="107">
        <v>11.32</v>
      </c>
      <c r="O47" s="107">
        <v>11.48</v>
      </c>
      <c r="P47" s="107">
        <v>11.030000000000001</v>
      </c>
      <c r="Q47" s="107">
        <v>10.64</v>
      </c>
      <c r="R47" s="59">
        <v>8.92</v>
      </c>
      <c r="S47" s="59">
        <v>7.62</v>
      </c>
      <c r="T47" s="59">
        <v>6.8900000000000006</v>
      </c>
      <c r="U47" s="59">
        <v>6.96</v>
      </c>
      <c r="V47" s="59">
        <v>6.98</v>
      </c>
      <c r="W47" s="64">
        <v>121.41500000000001</v>
      </c>
      <c r="X47" s="64">
        <v>215.745</v>
      </c>
    </row>
    <row r="48" spans="1:24" ht="16.5" thickBot="1">
      <c r="A48" s="103"/>
      <c r="B48" s="108" t="s">
        <v>21</v>
      </c>
      <c r="C48" s="60">
        <v>96.515000000000001</v>
      </c>
      <c r="D48" s="60">
        <v>74.31</v>
      </c>
      <c r="E48" s="60">
        <v>78.84</v>
      </c>
      <c r="F48" s="60">
        <v>75.27</v>
      </c>
      <c r="G48" s="121">
        <v>80.550000000000011</v>
      </c>
      <c r="H48" s="121">
        <v>77.31</v>
      </c>
      <c r="I48" s="121">
        <v>84.75</v>
      </c>
      <c r="J48" s="121">
        <v>84.990000000000009</v>
      </c>
      <c r="K48" s="121">
        <v>82.410000000000011</v>
      </c>
      <c r="L48" s="121">
        <v>84.160000000000011</v>
      </c>
      <c r="M48" s="121">
        <v>82.34</v>
      </c>
      <c r="N48" s="121">
        <v>76.950000000000017</v>
      </c>
      <c r="O48" s="121">
        <v>73.040000000000006</v>
      </c>
      <c r="P48" s="121">
        <v>72.599999999999994</v>
      </c>
      <c r="Q48" s="121">
        <v>74.070000000000007</v>
      </c>
      <c r="R48" s="60">
        <v>61.950000000000017</v>
      </c>
      <c r="S48" s="60">
        <v>55</v>
      </c>
      <c r="T48" s="60">
        <v>46.750000000000007</v>
      </c>
      <c r="U48" s="60">
        <v>43.720000000000006</v>
      </c>
      <c r="V48" s="60">
        <v>44.42</v>
      </c>
      <c r="W48" s="60">
        <v>819.10500000000002</v>
      </c>
      <c r="X48" s="60">
        <v>1449.9450000000002</v>
      </c>
    </row>
    <row r="49" spans="1:24" ht="15.75">
      <c r="A49" s="103"/>
      <c r="B49" s="110" t="s">
        <v>88</v>
      </c>
      <c r="C49" s="59">
        <v>0</v>
      </c>
      <c r="D49" s="59">
        <v>0</v>
      </c>
      <c r="E49" s="59">
        <v>0</v>
      </c>
      <c r="F49" s="59">
        <v>0</v>
      </c>
      <c r="G49" s="107">
        <v>0</v>
      </c>
      <c r="H49" s="107">
        <v>0</v>
      </c>
      <c r="I49" s="107">
        <v>0</v>
      </c>
      <c r="J49" s="107">
        <v>0</v>
      </c>
      <c r="K49" s="107">
        <v>0</v>
      </c>
      <c r="L49" s="107">
        <v>27.126000000000001</v>
      </c>
      <c r="M49" s="107">
        <v>27.126000000000001</v>
      </c>
      <c r="N49" s="107">
        <v>300</v>
      </c>
      <c r="O49" s="107">
        <v>300</v>
      </c>
      <c r="P49" s="107">
        <v>290.67500000000001</v>
      </c>
      <c r="Q49" s="107">
        <v>300</v>
      </c>
      <c r="R49" s="59">
        <v>300</v>
      </c>
      <c r="S49" s="59">
        <v>300</v>
      </c>
      <c r="T49" s="59">
        <v>300</v>
      </c>
      <c r="U49" s="59">
        <v>300</v>
      </c>
      <c r="V49" s="59">
        <v>300</v>
      </c>
      <c r="W49" s="58">
        <v>2.7126000000000001</v>
      </c>
      <c r="X49" s="58">
        <v>137.24634999999998</v>
      </c>
    </row>
    <row r="50" spans="1:24" hidden="1">
      <c r="A50" s="101" t="s">
        <v>22</v>
      </c>
      <c r="B50" s="302" t="s">
        <v>29</v>
      </c>
      <c r="C50" s="301"/>
      <c r="D50" s="299"/>
      <c r="E50" s="299"/>
      <c r="F50" s="299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299"/>
      <c r="S50" s="299"/>
      <c r="T50" s="299"/>
      <c r="U50" s="299"/>
      <c r="V50" s="298"/>
      <c r="W50" s="301"/>
      <c r="X50" s="105"/>
    </row>
    <row r="51" spans="1:24" ht="15.75" hidden="1">
      <c r="A51" s="102"/>
      <c r="B51" s="303" t="s">
        <v>89</v>
      </c>
      <c r="C51" s="58">
        <v>0</v>
      </c>
      <c r="D51" s="58">
        <v>0</v>
      </c>
      <c r="E51" s="58">
        <v>0</v>
      </c>
      <c r="F51" s="58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-354</v>
      </c>
      <c r="P51" s="120">
        <v>0</v>
      </c>
      <c r="Q51" s="120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-354</v>
      </c>
    </row>
    <row r="52" spans="1:24" ht="15.75" hidden="1">
      <c r="A52" s="102"/>
      <c r="B52" s="303" t="s">
        <v>90</v>
      </c>
      <c r="C52" s="58">
        <v>0</v>
      </c>
      <c r="D52" s="58">
        <v>0</v>
      </c>
      <c r="E52" s="58">
        <v>0</v>
      </c>
      <c r="F52" s="58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58">
        <v>0</v>
      </c>
      <c r="S52" s="58">
        <v>-359.3</v>
      </c>
      <c r="T52" s="58">
        <v>0</v>
      </c>
      <c r="U52" s="58">
        <v>0</v>
      </c>
      <c r="V52" s="58">
        <v>0</v>
      </c>
      <c r="W52" s="58">
        <v>0</v>
      </c>
      <c r="X52" s="58">
        <v>-359.3</v>
      </c>
    </row>
    <row r="53" spans="1:24" ht="15.75" hidden="1">
      <c r="A53" s="102"/>
      <c r="B53" s="303" t="s">
        <v>70</v>
      </c>
      <c r="C53" s="58">
        <v>0</v>
      </c>
      <c r="D53" s="58">
        <v>0</v>
      </c>
      <c r="E53" s="59">
        <v>-311.5</v>
      </c>
      <c r="F53" s="58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-311.5</v>
      </c>
      <c r="X53" s="58">
        <v>-311.5</v>
      </c>
    </row>
    <row r="54" spans="1:24" ht="15.75" hidden="1">
      <c r="A54" s="102"/>
      <c r="B54" s="303" t="s">
        <v>91</v>
      </c>
      <c r="C54" s="59">
        <v>0</v>
      </c>
      <c r="D54" s="59">
        <v>0</v>
      </c>
      <c r="E54" s="59">
        <v>334.5</v>
      </c>
      <c r="F54" s="59">
        <v>0</v>
      </c>
      <c r="G54" s="107">
        <v>0</v>
      </c>
      <c r="H54" s="107">
        <v>0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07">
        <v>0</v>
      </c>
      <c r="Q54" s="107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8">
        <v>334.5</v>
      </c>
      <c r="X54" s="58">
        <v>334.5</v>
      </c>
    </row>
    <row r="55" spans="1:24">
      <c r="A55" s="111" t="s">
        <v>22</v>
      </c>
      <c r="B55" s="302" t="s">
        <v>30</v>
      </c>
      <c r="C55" s="301"/>
      <c r="D55" s="299"/>
      <c r="E55" s="299"/>
      <c r="F55" s="299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299"/>
      <c r="S55" s="299"/>
      <c r="T55" s="299"/>
      <c r="U55" s="299"/>
      <c r="V55" s="298"/>
      <c r="W55" s="104"/>
      <c r="X55" s="105"/>
    </row>
    <row r="56" spans="1:24" ht="16.5" thickBot="1">
      <c r="A56" s="127"/>
      <c r="B56" s="128" t="s">
        <v>92</v>
      </c>
      <c r="C56" s="59">
        <v>0</v>
      </c>
      <c r="D56" s="59">
        <v>0</v>
      </c>
      <c r="E56" s="59">
        <v>0</v>
      </c>
      <c r="F56" s="59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436.35700000000003</v>
      </c>
      <c r="Q56" s="107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8">
        <v>0</v>
      </c>
      <c r="X56" s="58">
        <v>436.35700000000003</v>
      </c>
    </row>
    <row r="57" spans="1:24" ht="16.5" thickBot="1">
      <c r="A57" s="103"/>
      <c r="B57" s="108" t="s">
        <v>47</v>
      </c>
      <c r="C57" s="60">
        <v>0</v>
      </c>
      <c r="D57" s="60">
        <v>0</v>
      </c>
      <c r="E57" s="60">
        <v>0</v>
      </c>
      <c r="F57" s="60">
        <v>0</v>
      </c>
      <c r="G57" s="121">
        <v>0</v>
      </c>
      <c r="H57" s="121">
        <v>0</v>
      </c>
      <c r="I57" s="121">
        <v>0</v>
      </c>
      <c r="J57" s="121">
        <v>0</v>
      </c>
      <c r="K57" s="121">
        <v>0</v>
      </c>
      <c r="L57" s="121">
        <v>0</v>
      </c>
      <c r="M57" s="121">
        <v>0</v>
      </c>
      <c r="N57" s="121">
        <v>0</v>
      </c>
      <c r="O57" s="121">
        <v>0</v>
      </c>
      <c r="P57" s="121">
        <v>436.35700000000003</v>
      </c>
      <c r="Q57" s="121">
        <v>0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0">
        <v>436.35700000000003</v>
      </c>
    </row>
    <row r="58" spans="1:24" ht="16.5" thickBot="1">
      <c r="A58" s="112"/>
      <c r="B58" s="296" t="s">
        <v>93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134">
        <v>11.44</v>
      </c>
      <c r="O58" s="59">
        <v>96.875</v>
      </c>
      <c r="P58" s="59">
        <v>0</v>
      </c>
      <c r="Q58" s="59">
        <v>38.485999999999997</v>
      </c>
      <c r="R58" s="59">
        <v>70.004999999999995</v>
      </c>
      <c r="S58" s="59">
        <v>15.853999999999999</v>
      </c>
      <c r="T58" s="59">
        <v>7.5119999999999996</v>
      </c>
      <c r="U58" s="59">
        <v>0</v>
      </c>
      <c r="V58" s="59">
        <v>0</v>
      </c>
      <c r="W58" s="58">
        <v>0</v>
      </c>
      <c r="X58" s="58">
        <v>240.17199999999997</v>
      </c>
    </row>
    <row r="59" spans="1:24" ht="16.5" hidden="1" thickBot="1">
      <c r="A59" s="112"/>
      <c r="B59" s="296" t="s">
        <v>94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2.41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2">
        <v>0</v>
      </c>
      <c r="X59" s="62">
        <v>2.41</v>
      </c>
    </row>
    <row r="60" spans="1:24" ht="16.5" hidden="1" thickBot="1">
      <c r="A60" s="112"/>
      <c r="B60" s="296" t="s">
        <v>95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1.21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2">
        <v>0</v>
      </c>
      <c r="X60" s="62">
        <v>1.21</v>
      </c>
    </row>
    <row r="61" spans="1:24" ht="16.5" hidden="1" thickBot="1">
      <c r="A61" s="103"/>
      <c r="B61" s="297" t="s">
        <v>96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3.69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2">
        <v>0</v>
      </c>
      <c r="X61" s="62">
        <v>3.69</v>
      </c>
    </row>
    <row r="62" spans="1:24" ht="16.5" hidden="1" thickBot="1">
      <c r="A62" s="103"/>
      <c r="B62" s="297" t="s">
        <v>97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36.06</v>
      </c>
      <c r="P62" s="61">
        <v>0</v>
      </c>
      <c r="Q62" s="61">
        <v>3.34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2">
        <v>0</v>
      </c>
      <c r="X62" s="62">
        <v>39.400000000000006</v>
      </c>
    </row>
    <row r="63" spans="1:24" ht="16.5" hidden="1" thickBot="1">
      <c r="A63" s="103"/>
      <c r="B63" s="297" t="s">
        <v>51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35.04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2">
        <v>0</v>
      </c>
      <c r="X63" s="62">
        <v>35.04</v>
      </c>
    </row>
    <row r="64" spans="1:24" ht="16.5" hidden="1" thickBot="1">
      <c r="A64" s="103"/>
      <c r="B64" s="297" t="s">
        <v>52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12.829999999999998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2">
        <v>0</v>
      </c>
      <c r="X64" s="62">
        <v>12.829999999999998</v>
      </c>
    </row>
    <row r="65" spans="1:24" ht="16.5" hidden="1" thickBot="1">
      <c r="A65" s="103"/>
      <c r="B65" s="297" t="s">
        <v>98</v>
      </c>
      <c r="C65" s="61">
        <v>0</v>
      </c>
      <c r="D65" s="61">
        <v>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13.009999999999998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2">
        <v>0</v>
      </c>
      <c r="X65" s="62">
        <v>13.009999999999998</v>
      </c>
    </row>
    <row r="66" spans="1:24" ht="16.5" hidden="1" thickBot="1">
      <c r="A66" s="103"/>
      <c r="B66" s="297" t="s">
        <v>99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9.06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2">
        <v>0</v>
      </c>
      <c r="X66" s="62">
        <v>9.06</v>
      </c>
    </row>
    <row r="67" spans="1:24" ht="16.5" hidden="1" thickBot="1">
      <c r="A67" s="103"/>
      <c r="B67" s="297" t="s">
        <v>100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4.8099999999999996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2">
        <v>0</v>
      </c>
      <c r="X67" s="62">
        <v>4.8099999999999996</v>
      </c>
    </row>
    <row r="68" spans="1:24" ht="16.5" thickBot="1">
      <c r="A68" s="103"/>
      <c r="B68" s="108" t="s">
        <v>31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69.05</v>
      </c>
      <c r="O68" s="63">
        <v>49.07</v>
      </c>
      <c r="P68" s="63">
        <v>0</v>
      </c>
      <c r="Q68" s="63">
        <v>3.34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121.46000000000001</v>
      </c>
    </row>
    <row r="69" spans="1:24" ht="16.5" hidden="1" thickBot="1">
      <c r="A69" s="112"/>
      <c r="B69" s="297" t="s">
        <v>53</v>
      </c>
      <c r="C69" s="59">
        <v>1.52</v>
      </c>
      <c r="D69" s="59">
        <v>1.74</v>
      </c>
      <c r="E69" s="59">
        <v>1.25</v>
      </c>
      <c r="F69" s="59">
        <v>1.28</v>
      </c>
      <c r="G69" s="59">
        <v>1.2800000000000002</v>
      </c>
      <c r="H69" s="59">
        <v>1.26</v>
      </c>
      <c r="I69" s="59">
        <v>1.2</v>
      </c>
      <c r="J69" s="59">
        <v>1.1299999999999999</v>
      </c>
      <c r="K69" s="59">
        <v>1.0900000000000001</v>
      </c>
      <c r="L69" s="59">
        <v>0.99</v>
      </c>
      <c r="M69" s="59">
        <v>1.25</v>
      </c>
      <c r="N69" s="59">
        <v>1.0999999999999999</v>
      </c>
      <c r="O69" s="59">
        <v>0.98</v>
      </c>
      <c r="P69" s="59">
        <v>1.07</v>
      </c>
      <c r="Q69" s="59">
        <v>0.98</v>
      </c>
      <c r="R69" s="59">
        <v>0.79</v>
      </c>
      <c r="S69" s="59">
        <v>0.7</v>
      </c>
      <c r="T69" s="59">
        <v>0.56999999999999995</v>
      </c>
      <c r="U69" s="59">
        <v>0.31</v>
      </c>
      <c r="V69" s="59">
        <v>0.25</v>
      </c>
      <c r="W69" s="59">
        <v>12.74</v>
      </c>
      <c r="X69" s="59">
        <v>20.74</v>
      </c>
    </row>
    <row r="70" spans="1:24" ht="16.5" hidden="1" thickBot="1">
      <c r="A70" s="103"/>
      <c r="B70" s="297" t="s">
        <v>54</v>
      </c>
      <c r="C70" s="59">
        <v>45.756999999999998</v>
      </c>
      <c r="D70" s="59">
        <v>43.5</v>
      </c>
      <c r="E70" s="59">
        <v>42.4</v>
      </c>
      <c r="F70" s="59">
        <v>36.800000000000004</v>
      </c>
      <c r="G70" s="59">
        <v>31.200000000000003</v>
      </c>
      <c r="H70" s="59">
        <v>26.2</v>
      </c>
      <c r="I70" s="59">
        <v>23.1</v>
      </c>
      <c r="J70" s="59">
        <v>22.500000000000004</v>
      </c>
      <c r="K70" s="59">
        <v>19.700000000000003</v>
      </c>
      <c r="L70" s="59">
        <v>18.5</v>
      </c>
      <c r="M70" s="59">
        <v>18.3</v>
      </c>
      <c r="N70" s="59">
        <v>17.100000000000001</v>
      </c>
      <c r="O70" s="59">
        <v>16.5</v>
      </c>
      <c r="P70" s="59">
        <v>16.400000000000002</v>
      </c>
      <c r="Q70" s="59">
        <v>16.100000000000001</v>
      </c>
      <c r="R70" s="59">
        <v>16.600000000000001</v>
      </c>
      <c r="S70" s="59">
        <v>15.4</v>
      </c>
      <c r="T70" s="59">
        <v>15.3</v>
      </c>
      <c r="U70" s="59">
        <v>16.3</v>
      </c>
      <c r="V70" s="59">
        <v>16.2</v>
      </c>
      <c r="W70" s="59">
        <v>309.65700000000004</v>
      </c>
      <c r="X70" s="59">
        <v>473.85700000000008</v>
      </c>
    </row>
    <row r="71" spans="1:24" ht="16.5" hidden="1" thickBot="1">
      <c r="A71" s="103"/>
      <c r="B71" s="297" t="s">
        <v>55</v>
      </c>
      <c r="C71" s="59">
        <v>9.98</v>
      </c>
      <c r="D71" s="59">
        <v>8.16</v>
      </c>
      <c r="E71" s="59">
        <v>8.7000000000000011</v>
      </c>
      <c r="F71" s="59">
        <v>8.23</v>
      </c>
      <c r="G71" s="59">
        <v>9.7200000000000006</v>
      </c>
      <c r="H71" s="59">
        <v>9.2900000000000009</v>
      </c>
      <c r="I71" s="59">
        <v>8.8100000000000023</v>
      </c>
      <c r="J71" s="59">
        <v>9.0300000000000011</v>
      </c>
      <c r="K71" s="59">
        <v>8.3800000000000008</v>
      </c>
      <c r="L71" s="59">
        <v>7.5699999999999994</v>
      </c>
      <c r="M71" s="59">
        <v>7.18</v>
      </c>
      <c r="N71" s="59">
        <v>6.5500000000000007</v>
      </c>
      <c r="O71" s="59">
        <v>5.8100000000000005</v>
      </c>
      <c r="P71" s="59">
        <v>5.2700000000000014</v>
      </c>
      <c r="Q71" s="59">
        <v>5.0500000000000016</v>
      </c>
      <c r="R71" s="59">
        <v>4.0200000000000005</v>
      </c>
      <c r="S71" s="59">
        <v>3.4499999999999997</v>
      </c>
      <c r="T71" s="59">
        <v>2.7100000000000004</v>
      </c>
      <c r="U71" s="59">
        <v>2.3999999999999995</v>
      </c>
      <c r="V71" s="59">
        <v>1.85</v>
      </c>
      <c r="W71" s="64">
        <v>87.87</v>
      </c>
      <c r="X71" s="64">
        <v>132.16</v>
      </c>
    </row>
    <row r="72" spans="1:24" ht="16.5" thickBot="1">
      <c r="A72" s="103"/>
      <c r="B72" s="108" t="s">
        <v>23</v>
      </c>
      <c r="C72" s="60">
        <v>57.257000000000005</v>
      </c>
      <c r="D72" s="60">
        <v>53.400000000000006</v>
      </c>
      <c r="E72" s="60">
        <v>52.35</v>
      </c>
      <c r="F72" s="60">
        <v>46.31</v>
      </c>
      <c r="G72" s="60">
        <v>42.2</v>
      </c>
      <c r="H72" s="60">
        <v>36.75</v>
      </c>
      <c r="I72" s="60">
        <v>33.11</v>
      </c>
      <c r="J72" s="60">
        <v>32.660000000000004</v>
      </c>
      <c r="K72" s="60">
        <v>29.17</v>
      </c>
      <c r="L72" s="60">
        <v>27.06</v>
      </c>
      <c r="M72" s="60">
        <v>26.73</v>
      </c>
      <c r="N72" s="60">
        <v>24.750000000000004</v>
      </c>
      <c r="O72" s="60">
        <v>23.29</v>
      </c>
      <c r="P72" s="60">
        <v>22.740000000000002</v>
      </c>
      <c r="Q72" s="60">
        <v>22.130000000000003</v>
      </c>
      <c r="R72" s="60">
        <v>21.41</v>
      </c>
      <c r="S72" s="60">
        <v>19.55</v>
      </c>
      <c r="T72" s="60">
        <v>18.580000000000002</v>
      </c>
      <c r="U72" s="60">
        <v>19.009999999999998</v>
      </c>
      <c r="V72" s="60">
        <v>18.3</v>
      </c>
      <c r="W72" s="60">
        <v>410.26700000000005</v>
      </c>
      <c r="X72" s="60">
        <v>626.75700000000006</v>
      </c>
    </row>
    <row r="73" spans="1:24" ht="15.75">
      <c r="A73" s="112"/>
      <c r="B73" s="296" t="s">
        <v>101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30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8">
        <v>0</v>
      </c>
      <c r="X73" s="58">
        <v>30</v>
      </c>
    </row>
    <row r="74" spans="1:24" ht="15.75">
      <c r="A74" s="112"/>
      <c r="B74" s="296" t="s">
        <v>102</v>
      </c>
      <c r="C74" s="59">
        <v>0</v>
      </c>
      <c r="D74" s="59">
        <v>0</v>
      </c>
      <c r="E74" s="59">
        <v>2.8730000000000002</v>
      </c>
      <c r="F74" s="59">
        <v>0</v>
      </c>
      <c r="G74" s="59">
        <v>0</v>
      </c>
      <c r="H74" s="59">
        <v>40.639000000000003</v>
      </c>
      <c r="I74" s="59">
        <v>0</v>
      </c>
      <c r="J74" s="59">
        <v>9.8089999999999993</v>
      </c>
      <c r="K74" s="59">
        <v>167.12899999999999</v>
      </c>
      <c r="L74" s="59">
        <v>76.040000000000006</v>
      </c>
      <c r="M74" s="59">
        <v>137.44200000000001</v>
      </c>
      <c r="N74" s="59">
        <v>400</v>
      </c>
      <c r="O74" s="59">
        <v>400</v>
      </c>
      <c r="P74" s="59">
        <v>400</v>
      </c>
      <c r="Q74" s="59">
        <v>400</v>
      </c>
      <c r="R74" s="59">
        <v>400</v>
      </c>
      <c r="S74" s="59">
        <v>400</v>
      </c>
      <c r="T74" s="59">
        <v>400</v>
      </c>
      <c r="U74" s="59">
        <v>400</v>
      </c>
      <c r="V74" s="59">
        <v>363.60700000000003</v>
      </c>
      <c r="W74" s="58">
        <v>29.649000000000001</v>
      </c>
      <c r="X74" s="58">
        <v>199.87694999999999</v>
      </c>
    </row>
    <row r="75" spans="1:24" ht="15.75">
      <c r="A75" s="112"/>
      <c r="B75" s="296" t="s">
        <v>103</v>
      </c>
      <c r="C75" s="59">
        <v>400</v>
      </c>
      <c r="D75" s="59">
        <v>400</v>
      </c>
      <c r="E75" s="59">
        <v>400</v>
      </c>
      <c r="F75" s="59">
        <v>400</v>
      </c>
      <c r="G75" s="59">
        <v>400</v>
      </c>
      <c r="H75" s="59">
        <v>400</v>
      </c>
      <c r="I75" s="59">
        <v>400</v>
      </c>
      <c r="J75" s="59">
        <v>400</v>
      </c>
      <c r="K75" s="59">
        <v>400</v>
      </c>
      <c r="L75" s="59">
        <v>400</v>
      </c>
      <c r="M75" s="59">
        <v>400</v>
      </c>
      <c r="N75" s="59">
        <v>400</v>
      </c>
      <c r="O75" s="59">
        <v>400</v>
      </c>
      <c r="P75" s="59">
        <v>400</v>
      </c>
      <c r="Q75" s="59">
        <v>400</v>
      </c>
      <c r="R75" s="59">
        <v>400</v>
      </c>
      <c r="S75" s="59">
        <v>400</v>
      </c>
      <c r="T75" s="59">
        <v>400</v>
      </c>
      <c r="U75" s="59">
        <v>400</v>
      </c>
      <c r="V75" s="59">
        <v>400</v>
      </c>
      <c r="W75" s="58">
        <v>400</v>
      </c>
      <c r="X75" s="58">
        <v>400</v>
      </c>
    </row>
    <row r="76" spans="1:24" ht="15.75">
      <c r="A76" s="112"/>
      <c r="B76" s="296" t="s">
        <v>104</v>
      </c>
      <c r="C76" s="59">
        <v>0</v>
      </c>
      <c r="D76" s="59">
        <v>21.074999999999999</v>
      </c>
      <c r="E76" s="59">
        <v>375</v>
      </c>
      <c r="F76" s="59">
        <v>307.39</v>
      </c>
      <c r="G76" s="59">
        <v>299.14100000000002</v>
      </c>
      <c r="H76" s="59">
        <v>375</v>
      </c>
      <c r="I76" s="59">
        <v>344.20600000000002</v>
      </c>
      <c r="J76" s="59">
        <v>375</v>
      </c>
      <c r="K76" s="59">
        <v>375</v>
      </c>
      <c r="L76" s="59">
        <v>375</v>
      </c>
      <c r="M76" s="59">
        <v>375</v>
      </c>
      <c r="N76" s="59">
        <v>375</v>
      </c>
      <c r="O76" s="59">
        <v>375</v>
      </c>
      <c r="P76" s="59">
        <v>375</v>
      </c>
      <c r="Q76" s="59">
        <v>375</v>
      </c>
      <c r="R76" s="59">
        <v>375</v>
      </c>
      <c r="S76" s="59">
        <v>375</v>
      </c>
      <c r="T76" s="59">
        <v>375</v>
      </c>
      <c r="U76" s="59">
        <v>375</v>
      </c>
      <c r="V76" s="59">
        <v>375</v>
      </c>
      <c r="W76" s="58">
        <v>284.68119999999999</v>
      </c>
      <c r="X76" s="58">
        <v>329.84059999999999</v>
      </c>
    </row>
    <row r="77" spans="1:24" ht="15.75">
      <c r="A77" s="112"/>
      <c r="B77" s="296" t="s">
        <v>105</v>
      </c>
      <c r="C77" s="59">
        <v>100</v>
      </c>
      <c r="D77" s="59">
        <v>100</v>
      </c>
      <c r="E77" s="59">
        <v>100</v>
      </c>
      <c r="F77" s="59">
        <v>100</v>
      </c>
      <c r="G77" s="59">
        <v>100</v>
      </c>
      <c r="H77" s="59">
        <v>100</v>
      </c>
      <c r="I77" s="59">
        <v>100</v>
      </c>
      <c r="J77" s="59">
        <v>100</v>
      </c>
      <c r="K77" s="59">
        <v>100</v>
      </c>
      <c r="L77" s="59">
        <v>100</v>
      </c>
      <c r="M77" s="59">
        <v>100</v>
      </c>
      <c r="N77" s="59">
        <v>100</v>
      </c>
      <c r="O77" s="59">
        <v>100</v>
      </c>
      <c r="P77" s="59">
        <v>100</v>
      </c>
      <c r="Q77" s="59">
        <v>100</v>
      </c>
      <c r="R77" s="59">
        <v>100</v>
      </c>
      <c r="S77" s="59">
        <v>100</v>
      </c>
      <c r="T77" s="59">
        <v>100</v>
      </c>
      <c r="U77" s="59">
        <v>100</v>
      </c>
      <c r="V77" s="59">
        <v>100</v>
      </c>
      <c r="W77" s="58">
        <v>100</v>
      </c>
      <c r="X77" s="58">
        <v>100</v>
      </c>
    </row>
    <row r="78" spans="1:24" ht="15.75">
      <c r="A78" s="129"/>
      <c r="B78" s="295" t="s">
        <v>106</v>
      </c>
      <c r="C78" s="130">
        <v>281.012</v>
      </c>
      <c r="D78" s="130">
        <v>332.17</v>
      </c>
      <c r="E78" s="130">
        <v>272.65499999999997</v>
      </c>
      <c r="F78" s="130">
        <v>307.34800000000001</v>
      </c>
      <c r="G78" s="130">
        <v>0</v>
      </c>
      <c r="H78" s="130">
        <v>307.57900000000001</v>
      </c>
      <c r="I78" s="130">
        <v>0</v>
      </c>
      <c r="J78" s="130">
        <v>287.03100000000001</v>
      </c>
      <c r="K78" s="130">
        <v>294.80599999999998</v>
      </c>
      <c r="L78" s="130">
        <v>0</v>
      </c>
      <c r="M78" s="130">
        <v>0</v>
      </c>
      <c r="N78" s="130">
        <v>0</v>
      </c>
      <c r="O78" s="130">
        <v>400</v>
      </c>
      <c r="P78" s="130">
        <v>40.570999999999998</v>
      </c>
      <c r="Q78" s="130">
        <v>390.202</v>
      </c>
      <c r="R78" s="130">
        <v>350.65800000000002</v>
      </c>
      <c r="S78" s="130">
        <v>0</v>
      </c>
      <c r="T78" s="130">
        <v>377.03399999999999</v>
      </c>
      <c r="U78" s="130">
        <v>4.4119999999999999</v>
      </c>
      <c r="V78" s="130">
        <v>291.37799999999999</v>
      </c>
      <c r="W78" s="131">
        <v>208.26009999999997</v>
      </c>
      <c r="X78" s="131">
        <v>196.84279999999998</v>
      </c>
    </row>
    <row r="79" spans="1:24" ht="15.75">
      <c r="A79" s="129"/>
      <c r="B79" s="295" t="s">
        <v>107</v>
      </c>
      <c r="C79" s="130">
        <v>0</v>
      </c>
      <c r="D79" s="130">
        <v>0</v>
      </c>
      <c r="E79" s="130">
        <v>0</v>
      </c>
      <c r="F79" s="130">
        <v>0</v>
      </c>
      <c r="G79" s="130">
        <v>319.30799999999999</v>
      </c>
      <c r="H79" s="130">
        <v>0</v>
      </c>
      <c r="I79" s="130">
        <v>305.923</v>
      </c>
      <c r="J79" s="130">
        <v>0</v>
      </c>
      <c r="K79" s="130">
        <v>0</v>
      </c>
      <c r="L79" s="130">
        <v>297.07</v>
      </c>
      <c r="M79" s="130">
        <v>288.548</v>
      </c>
      <c r="N79" s="130">
        <v>312.488</v>
      </c>
      <c r="O79" s="130">
        <v>50.639000000000003</v>
      </c>
      <c r="P79" s="130">
        <v>375</v>
      </c>
      <c r="Q79" s="130">
        <v>0</v>
      </c>
      <c r="R79" s="130">
        <v>0</v>
      </c>
      <c r="S79" s="130">
        <v>336.584</v>
      </c>
      <c r="T79" s="130">
        <v>0</v>
      </c>
      <c r="U79" s="130">
        <v>375</v>
      </c>
      <c r="V79" s="130">
        <v>375</v>
      </c>
      <c r="W79" s="131">
        <v>92.230099999999993</v>
      </c>
      <c r="X79" s="131">
        <v>151.77799999999999</v>
      </c>
    </row>
    <row r="80" spans="1:24" ht="16.5" thickBot="1">
      <c r="A80" s="132"/>
      <c r="B80" s="294" t="s">
        <v>108</v>
      </c>
      <c r="C80" s="133">
        <v>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52.73</v>
      </c>
      <c r="L80" s="133">
        <v>54.026000000000003</v>
      </c>
      <c r="M80" s="133">
        <v>8.2089999999999996</v>
      </c>
      <c r="N80" s="133">
        <v>100</v>
      </c>
      <c r="O80" s="133">
        <v>100</v>
      </c>
      <c r="P80" s="133">
        <v>100</v>
      </c>
      <c r="Q80" s="133">
        <v>100</v>
      </c>
      <c r="R80" s="133">
        <v>100</v>
      </c>
      <c r="S80" s="133">
        <v>100</v>
      </c>
      <c r="T80" s="133">
        <v>100</v>
      </c>
      <c r="U80" s="133">
        <v>100</v>
      </c>
      <c r="V80" s="133">
        <v>100</v>
      </c>
      <c r="W80" s="131">
        <v>10.675599999999999</v>
      </c>
      <c r="X80" s="131">
        <v>50.748249999999999</v>
      </c>
    </row>
    <row r="81" spans="1:24" ht="17.25" thickTop="1" thickBot="1">
      <c r="A81" s="113"/>
      <c r="B81" s="114" t="s">
        <v>29</v>
      </c>
      <c r="C81" s="65">
        <v>0</v>
      </c>
      <c r="D81" s="65">
        <v>0</v>
      </c>
      <c r="E81" s="65">
        <v>-256.5</v>
      </c>
      <c r="F81" s="65">
        <v>0</v>
      </c>
      <c r="G81" s="65">
        <v>-387</v>
      </c>
      <c r="H81" s="65">
        <v>0</v>
      </c>
      <c r="I81" s="65">
        <v>0</v>
      </c>
      <c r="J81" s="65">
        <v>0</v>
      </c>
      <c r="K81" s="65">
        <v>0</v>
      </c>
      <c r="L81" s="65">
        <v>-82.3</v>
      </c>
      <c r="M81" s="65">
        <v>0</v>
      </c>
      <c r="N81" s="65">
        <v>-762</v>
      </c>
      <c r="O81" s="65">
        <v>-354</v>
      </c>
      <c r="P81" s="65">
        <v>-357</v>
      </c>
      <c r="Q81" s="65">
        <v>-77.78</v>
      </c>
      <c r="R81" s="65">
        <v>0</v>
      </c>
      <c r="S81" s="65">
        <v>-716.8</v>
      </c>
      <c r="T81" s="65">
        <v>0</v>
      </c>
      <c r="U81" s="65">
        <v>-81.540000000000006</v>
      </c>
      <c r="V81" s="65">
        <v>0</v>
      </c>
      <c r="W81" s="88"/>
      <c r="X81" s="88"/>
    </row>
    <row r="82" spans="1:24" ht="16.5" thickTop="1">
      <c r="A82" s="115"/>
      <c r="B82" s="116" t="s">
        <v>24</v>
      </c>
      <c r="C82" s="66">
        <v>153.77200000000005</v>
      </c>
      <c r="D82" s="66">
        <v>127.71000000000004</v>
      </c>
      <c r="E82" s="66">
        <v>131.18999999999983</v>
      </c>
      <c r="F82" s="66">
        <v>121.57999999999993</v>
      </c>
      <c r="G82" s="66">
        <v>1222.75</v>
      </c>
      <c r="H82" s="66">
        <v>114.05999999999995</v>
      </c>
      <c r="I82" s="66">
        <v>117.86000000000013</v>
      </c>
      <c r="J82" s="66">
        <v>117.64999999999986</v>
      </c>
      <c r="K82" s="66">
        <v>111.57999999999993</v>
      </c>
      <c r="L82" s="66">
        <v>111.22000000000003</v>
      </c>
      <c r="M82" s="66">
        <v>109.07000000000016</v>
      </c>
      <c r="N82" s="66">
        <v>305.95000000000005</v>
      </c>
      <c r="O82" s="66">
        <v>562.66900000000032</v>
      </c>
      <c r="P82" s="66">
        <v>536.44700000000057</v>
      </c>
      <c r="Q82" s="66">
        <v>302.96500000000015</v>
      </c>
      <c r="R82" s="66">
        <v>323.35000000000036</v>
      </c>
      <c r="S82" s="66">
        <v>980.00600000000009</v>
      </c>
      <c r="T82" s="66">
        <v>117.29099999999971</v>
      </c>
      <c r="U82" s="66">
        <v>356.35599999999931</v>
      </c>
      <c r="V82" s="66">
        <v>860.92700000000059</v>
      </c>
      <c r="W82" s="67"/>
      <c r="X82" s="67"/>
    </row>
    <row r="83" spans="1:24" ht="15.75">
      <c r="A83" s="117"/>
      <c r="B83" s="293" t="s">
        <v>25</v>
      </c>
      <c r="C83" s="68">
        <v>781.01199999999994</v>
      </c>
      <c r="D83" s="68">
        <v>853.24500000000012</v>
      </c>
      <c r="E83" s="68">
        <v>1150.528</v>
      </c>
      <c r="F83" s="68">
        <v>1114.7380000000001</v>
      </c>
      <c r="G83" s="68">
        <v>1118.4490000000001</v>
      </c>
      <c r="H83" s="68">
        <v>1223.2180000000001</v>
      </c>
      <c r="I83" s="68">
        <v>1150.1289999999999</v>
      </c>
      <c r="J83" s="68">
        <v>1171.8399999999999</v>
      </c>
      <c r="K83" s="68">
        <v>1389.665</v>
      </c>
      <c r="L83" s="68">
        <v>1329.2619999999999</v>
      </c>
      <c r="M83" s="68">
        <v>1336.325</v>
      </c>
      <c r="N83" s="68">
        <v>1987.4880000000001</v>
      </c>
      <c r="O83" s="68">
        <v>2125.6390000000001</v>
      </c>
      <c r="P83" s="68">
        <v>2081.2460000000001</v>
      </c>
      <c r="Q83" s="68">
        <v>2065.2020000000002</v>
      </c>
      <c r="R83" s="68">
        <v>2025.6579999999999</v>
      </c>
      <c r="S83" s="68">
        <v>2011.5840000000001</v>
      </c>
      <c r="T83" s="68">
        <v>2052.0340000000001</v>
      </c>
      <c r="U83" s="68">
        <v>2054.4120000000003</v>
      </c>
      <c r="V83" s="68">
        <v>2304.9849999999997</v>
      </c>
      <c r="W83" s="67"/>
      <c r="X83" s="67"/>
    </row>
    <row r="84" spans="1:24" ht="15.75">
      <c r="A84" s="117"/>
      <c r="B84" s="293" t="s">
        <v>26</v>
      </c>
      <c r="C84" s="68">
        <v>934.78399999999999</v>
      </c>
      <c r="D84" s="68">
        <v>980.95500000000015</v>
      </c>
      <c r="E84" s="68">
        <v>1281.7179999999998</v>
      </c>
      <c r="F84" s="68">
        <v>1236.318</v>
      </c>
      <c r="G84" s="68">
        <v>2341.1990000000001</v>
      </c>
      <c r="H84" s="68">
        <v>1337.278</v>
      </c>
      <c r="I84" s="68">
        <v>1267.989</v>
      </c>
      <c r="J84" s="68">
        <v>1289.4899999999998</v>
      </c>
      <c r="K84" s="68">
        <v>1501.2449999999999</v>
      </c>
      <c r="L84" s="68">
        <v>1440.482</v>
      </c>
      <c r="M84" s="68">
        <v>1445.3950000000002</v>
      </c>
      <c r="N84" s="68">
        <v>2293.4380000000001</v>
      </c>
      <c r="O84" s="68">
        <v>2688.3080000000004</v>
      </c>
      <c r="P84" s="68">
        <v>2617.6930000000007</v>
      </c>
      <c r="Q84" s="68">
        <v>2368.1670000000004</v>
      </c>
      <c r="R84" s="68">
        <v>2349.0080000000003</v>
      </c>
      <c r="S84" s="68">
        <v>2991.59</v>
      </c>
      <c r="T84" s="68">
        <v>2169.3249999999998</v>
      </c>
      <c r="U84" s="68">
        <v>2410.7679999999996</v>
      </c>
      <c r="V84" s="68">
        <v>3165.9120000000003</v>
      </c>
      <c r="W84" s="67"/>
      <c r="X84" s="67"/>
    </row>
    <row r="87" spans="1:24">
      <c r="B87" t="s">
        <v>109</v>
      </c>
    </row>
  </sheetData>
  <conditionalFormatting sqref="A7:B7">
    <cfRule type="expression" dxfId="1" priority="2" stopIfTrue="1">
      <formula>ROUND($G$325,0)&lt;&gt;0</formula>
    </cfRule>
  </conditionalFormatting>
  <conditionalFormatting sqref="B24">
    <cfRule type="containsText" dxfId="0" priority="1" operator="containsText" text="Early">
      <formula>NOT(ISERROR(SEARCH("Early",B24)))</formula>
    </cfRule>
  </conditionalFormatting>
  <printOptions horizontalCentered="1"/>
  <pageMargins left="0.25" right="0.25" top="0.75" bottom="0.75" header="0.3" footer="0.3"/>
  <pageSetup scale="47" fitToHeight="0" orientation="landscape" r:id="rId1"/>
  <headerFooter alignWithMargins="0">
    <oddFooter>&amp;L&amp;8NPC Group - &amp;F   ( &amp;A )&amp;C &amp;R 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38"/>
  <sheetViews>
    <sheetView workbookViewId="0">
      <selection activeCell="C17" sqref="C17"/>
    </sheetView>
  </sheetViews>
  <sheetFormatPr defaultColWidth="9.33203125" defaultRowHeight="12.75"/>
  <cols>
    <col min="1" max="1" width="1.5" style="3" customWidth="1"/>
    <col min="2" max="2" width="9.1640625" style="3" customWidth="1"/>
    <col min="3" max="3" width="10.5" style="3" customWidth="1"/>
    <col min="4" max="7" width="9.33203125" style="3" customWidth="1"/>
    <col min="8" max="8" width="10.5" style="3" customWidth="1"/>
    <col min="9" max="12" width="9.33203125" style="3" customWidth="1"/>
    <col min="13" max="13" width="1.5" style="3" customWidth="1"/>
    <col min="14" max="14" width="9.1640625" style="3" customWidth="1"/>
    <col min="15" max="15" width="10.5" style="3" customWidth="1"/>
    <col min="16" max="19" width="9.33203125" style="3" customWidth="1"/>
    <col min="20" max="20" width="10.5" style="3" customWidth="1"/>
    <col min="21" max="23" width="9.33203125" style="3" customWidth="1"/>
    <col min="24" max="24" width="9.5" style="3" customWidth="1"/>
    <col min="25" max="25" width="3.33203125" style="3" customWidth="1"/>
    <col min="26" max="16384" width="9.33203125" style="3"/>
  </cols>
  <sheetData>
    <row r="1" spans="2:24" ht="15.75" customHeight="1">
      <c r="B1" s="385" t="s">
        <v>178</v>
      </c>
      <c r="C1" s="385"/>
      <c r="D1" s="385"/>
      <c r="E1" s="385"/>
      <c r="F1" s="385"/>
      <c r="G1" s="385"/>
      <c r="H1" s="385"/>
      <c r="I1" s="385"/>
      <c r="N1" s="385" t="s">
        <v>179</v>
      </c>
      <c r="O1" s="385"/>
      <c r="P1" s="385"/>
      <c r="Q1" s="385"/>
      <c r="R1" s="385"/>
      <c r="S1" s="385"/>
      <c r="T1" s="385"/>
      <c r="U1" s="385"/>
    </row>
    <row r="2" spans="2:24" ht="18.75" customHeight="1">
      <c r="B2" s="385" t="s">
        <v>155</v>
      </c>
      <c r="C2" s="385"/>
      <c r="D2" s="385"/>
      <c r="E2" s="385"/>
      <c r="F2" s="385"/>
      <c r="G2" s="385"/>
      <c r="H2" s="385"/>
      <c r="I2" s="385"/>
      <c r="N2" s="385" t="s">
        <v>155</v>
      </c>
      <c r="O2" s="385"/>
      <c r="P2" s="385"/>
      <c r="Q2" s="385"/>
      <c r="R2" s="385"/>
      <c r="S2" s="385"/>
      <c r="T2" s="385"/>
      <c r="U2" s="385"/>
    </row>
    <row r="3" spans="2:24" ht="15" thickBot="1">
      <c r="B3" s="174"/>
      <c r="C3" s="174"/>
      <c r="D3" s="174"/>
      <c r="E3" s="174"/>
      <c r="F3" s="174"/>
      <c r="G3" s="174"/>
      <c r="H3" s="174"/>
      <c r="I3" s="70"/>
      <c r="J3" s="70"/>
      <c r="N3" s="174"/>
    </row>
    <row r="4" spans="2:24" ht="14.25" thickTop="1" thickBot="1">
      <c r="B4" s="203"/>
      <c r="C4" s="386" t="s">
        <v>126</v>
      </c>
      <c r="D4" s="387"/>
      <c r="E4" s="387"/>
      <c r="F4" s="387"/>
      <c r="G4" s="388"/>
      <c r="H4" s="386" t="s">
        <v>140</v>
      </c>
      <c r="I4" s="387"/>
      <c r="J4" s="387"/>
      <c r="K4" s="387"/>
      <c r="L4" s="388"/>
      <c r="N4" s="203"/>
      <c r="O4" s="386" t="s">
        <v>141</v>
      </c>
      <c r="P4" s="387"/>
      <c r="Q4" s="387"/>
      <c r="R4" s="387"/>
      <c r="S4" s="388"/>
      <c r="T4" s="386" t="s">
        <v>142</v>
      </c>
      <c r="U4" s="387"/>
      <c r="V4" s="387"/>
      <c r="W4" s="387"/>
      <c r="X4" s="388"/>
    </row>
    <row r="5" spans="2:24" ht="13.5" thickBot="1">
      <c r="B5" s="204"/>
      <c r="C5" s="382" t="s">
        <v>110</v>
      </c>
      <c r="D5" s="383"/>
      <c r="E5" s="383"/>
      <c r="F5" s="383"/>
      <c r="G5" s="384"/>
      <c r="H5" s="382" t="s">
        <v>148</v>
      </c>
      <c r="I5" s="383"/>
      <c r="J5" s="383"/>
      <c r="K5" s="383"/>
      <c r="L5" s="384"/>
      <c r="N5" s="204"/>
      <c r="O5" s="382" t="s">
        <v>148</v>
      </c>
      <c r="P5" s="383"/>
      <c r="Q5" s="383"/>
      <c r="R5" s="383"/>
      <c r="S5" s="384"/>
      <c r="T5" s="382" t="s">
        <v>148</v>
      </c>
      <c r="U5" s="383"/>
      <c r="V5" s="383"/>
      <c r="W5" s="383"/>
      <c r="X5" s="384"/>
    </row>
    <row r="6" spans="2:24">
      <c r="B6" s="379" t="s">
        <v>2</v>
      </c>
      <c r="C6" s="380" t="s">
        <v>185</v>
      </c>
      <c r="D6" s="205" t="s">
        <v>0</v>
      </c>
      <c r="E6" s="206" t="s">
        <v>1</v>
      </c>
      <c r="F6" s="215" t="s">
        <v>0</v>
      </c>
      <c r="G6" s="206" t="s">
        <v>1</v>
      </c>
      <c r="H6" s="380" t="s">
        <v>185</v>
      </c>
      <c r="I6" s="205" t="s">
        <v>0</v>
      </c>
      <c r="J6" s="206" t="s">
        <v>1</v>
      </c>
      <c r="K6" s="215" t="s">
        <v>0</v>
      </c>
      <c r="L6" s="216" t="s">
        <v>1</v>
      </c>
      <c r="N6" s="379"/>
      <c r="O6" s="380" t="s">
        <v>185</v>
      </c>
      <c r="P6" s="205" t="s">
        <v>0</v>
      </c>
      <c r="Q6" s="206" t="s">
        <v>1</v>
      </c>
      <c r="R6" s="215" t="s">
        <v>0</v>
      </c>
      <c r="S6" s="206" t="s">
        <v>1</v>
      </c>
      <c r="T6" s="380" t="s">
        <v>185</v>
      </c>
      <c r="U6" s="205" t="s">
        <v>0</v>
      </c>
      <c r="V6" s="206" t="s">
        <v>1</v>
      </c>
      <c r="W6" s="215" t="s">
        <v>0</v>
      </c>
      <c r="X6" s="216" t="s">
        <v>1</v>
      </c>
    </row>
    <row r="7" spans="2:24" ht="13.5" thickBot="1">
      <c r="B7" s="379" t="s">
        <v>2</v>
      </c>
      <c r="C7" s="381" t="s">
        <v>183</v>
      </c>
      <c r="D7" s="207" t="s">
        <v>111</v>
      </c>
      <c r="E7" s="208" t="s">
        <v>111</v>
      </c>
      <c r="F7" s="208" t="s">
        <v>112</v>
      </c>
      <c r="G7" s="208" t="s">
        <v>112</v>
      </c>
      <c r="H7" s="381" t="s">
        <v>183</v>
      </c>
      <c r="I7" s="207" t="s">
        <v>111</v>
      </c>
      <c r="J7" s="208" t="s">
        <v>111</v>
      </c>
      <c r="K7" s="208" t="s">
        <v>112</v>
      </c>
      <c r="L7" s="229" t="s">
        <v>112</v>
      </c>
      <c r="N7" s="379" t="s">
        <v>2</v>
      </c>
      <c r="O7" s="381" t="s">
        <v>183</v>
      </c>
      <c r="P7" s="207" t="s">
        <v>111</v>
      </c>
      <c r="Q7" s="208" t="s">
        <v>111</v>
      </c>
      <c r="R7" s="208" t="s">
        <v>112</v>
      </c>
      <c r="S7" s="208" t="s">
        <v>112</v>
      </c>
      <c r="T7" s="381" t="s">
        <v>183</v>
      </c>
      <c r="U7" s="207" t="s">
        <v>111</v>
      </c>
      <c r="V7" s="208" t="s">
        <v>111</v>
      </c>
      <c r="W7" s="208" t="s">
        <v>112</v>
      </c>
      <c r="X7" s="229" t="s">
        <v>112</v>
      </c>
    </row>
    <row r="8" spans="2:24" ht="13.5" thickBot="1">
      <c r="B8" s="209"/>
      <c r="C8" s="376" t="s">
        <v>14</v>
      </c>
      <c r="D8" s="377"/>
      <c r="E8" s="377"/>
      <c r="F8" s="377"/>
      <c r="G8" s="378"/>
      <c r="H8" s="376" t="s">
        <v>14</v>
      </c>
      <c r="I8" s="377"/>
      <c r="J8" s="377"/>
      <c r="K8" s="377"/>
      <c r="L8" s="378"/>
      <c r="N8" s="209"/>
      <c r="O8" s="376" t="s">
        <v>14</v>
      </c>
      <c r="P8" s="377"/>
      <c r="Q8" s="377"/>
      <c r="R8" s="377"/>
      <c r="S8" s="378"/>
      <c r="T8" s="376" t="s">
        <v>14</v>
      </c>
      <c r="U8" s="377"/>
      <c r="V8" s="377"/>
      <c r="W8" s="377"/>
      <c r="X8" s="378"/>
    </row>
    <row r="9" spans="2:24" ht="13.5" thickBot="1">
      <c r="B9" s="210"/>
      <c r="C9" s="206" t="s">
        <v>4</v>
      </c>
      <c r="D9" s="206" t="s">
        <v>5</v>
      </c>
      <c r="E9" s="206" t="s">
        <v>6</v>
      </c>
      <c r="F9" s="206" t="s">
        <v>7</v>
      </c>
      <c r="G9" s="211" t="s">
        <v>8</v>
      </c>
      <c r="H9" s="206" t="s">
        <v>4</v>
      </c>
      <c r="I9" s="206" t="s">
        <v>5</v>
      </c>
      <c r="J9" s="206" t="s">
        <v>6</v>
      </c>
      <c r="K9" s="206" t="s">
        <v>7</v>
      </c>
      <c r="L9" s="211" t="s">
        <v>8</v>
      </c>
      <c r="N9" s="210"/>
      <c r="O9" s="206" t="s">
        <v>4</v>
      </c>
      <c r="P9" s="206" t="s">
        <v>5</v>
      </c>
      <c r="Q9" s="206" t="s">
        <v>6</v>
      </c>
      <c r="R9" s="206" t="s">
        <v>7</v>
      </c>
      <c r="S9" s="211" t="s">
        <v>8</v>
      </c>
      <c r="T9" s="206" t="s">
        <v>4</v>
      </c>
      <c r="U9" s="206" t="s">
        <v>5</v>
      </c>
      <c r="V9" s="206" t="s">
        <v>6</v>
      </c>
      <c r="W9" s="206" t="s">
        <v>7</v>
      </c>
      <c r="X9" s="211" t="s">
        <v>8</v>
      </c>
    </row>
    <row r="10" spans="2:24" ht="5.25" customHeight="1">
      <c r="B10" s="225"/>
      <c r="C10" s="212"/>
      <c r="D10" s="213"/>
      <c r="E10" s="214"/>
      <c r="F10" s="215"/>
      <c r="G10" s="216"/>
      <c r="H10" s="212"/>
      <c r="I10" s="213"/>
      <c r="J10" s="214"/>
      <c r="K10" s="215"/>
      <c r="L10" s="216"/>
      <c r="N10" s="225"/>
      <c r="O10" s="212"/>
      <c r="P10" s="213"/>
      <c r="Q10" s="214"/>
      <c r="R10" s="215"/>
      <c r="S10" s="216"/>
      <c r="T10" s="212"/>
      <c r="U10" s="213"/>
      <c r="V10" s="214"/>
      <c r="W10" s="215"/>
      <c r="X10" s="216"/>
    </row>
    <row r="11" spans="2:24">
      <c r="B11" s="226">
        <f>'Table A - Combined'!$B$11</f>
        <v>2023</v>
      </c>
      <c r="C11" s="217">
        <v>88.707493150682694</v>
      </c>
      <c r="D11" s="218">
        <v>107.36241769547333</v>
      </c>
      <c r="E11" s="219">
        <v>61.532721193415824</v>
      </c>
      <c r="F11" s="219">
        <v>171.21317622950829</v>
      </c>
      <c r="G11" s="220">
        <v>83.002981557377325</v>
      </c>
      <c r="H11" s="217">
        <v>84.862607896762611</v>
      </c>
      <c r="I11" s="218">
        <v>107.7864681235139</v>
      </c>
      <c r="J11" s="219">
        <v>59.369971378351956</v>
      </c>
      <c r="K11" s="219">
        <v>160.18548076573003</v>
      </c>
      <c r="L11" s="220">
        <v>81.059213257713054</v>
      </c>
      <c r="N11" s="226">
        <f>'Table A - Combined'!$B$11</f>
        <v>2023</v>
      </c>
      <c r="O11" s="217">
        <v>76.877710157584971</v>
      </c>
      <c r="P11" s="218">
        <v>74.287463188590124</v>
      </c>
      <c r="Q11" s="219">
        <v>54.390719275301798</v>
      </c>
      <c r="R11" s="219">
        <v>129.10788493654385</v>
      </c>
      <c r="S11" s="220">
        <v>97.181415079504887</v>
      </c>
      <c r="T11" s="217">
        <v>80.581389644478961</v>
      </c>
      <c r="U11" s="218">
        <v>75.21635879863139</v>
      </c>
      <c r="V11" s="219">
        <v>50.679300880243972</v>
      </c>
      <c r="W11" s="219">
        <v>133.47686628057025</v>
      </c>
      <c r="X11" s="220">
        <v>96.879523746716828</v>
      </c>
    </row>
    <row r="12" spans="2:24">
      <c r="B12" s="226">
        <f t="shared" ref="B12:B30" si="0">B11+1</f>
        <v>2024</v>
      </c>
      <c r="C12" s="217">
        <v>75.836522085609801</v>
      </c>
      <c r="D12" s="218">
        <v>91.205589139344099</v>
      </c>
      <c r="E12" s="219">
        <v>52.397289959016625</v>
      </c>
      <c r="F12" s="219">
        <v>141.7996926229508</v>
      </c>
      <c r="G12" s="220">
        <v>74.364334016393641</v>
      </c>
      <c r="H12" s="217">
        <v>72.376720342441388</v>
      </c>
      <c r="I12" s="218">
        <v>91.836334648022614</v>
      </c>
      <c r="J12" s="219">
        <v>50.632420918176472</v>
      </c>
      <c r="K12" s="219">
        <v>131.7734377443573</v>
      </c>
      <c r="L12" s="220">
        <v>71.852667955393969</v>
      </c>
      <c r="N12" s="226">
        <f t="shared" ref="N12:N30" si="1">N11+1</f>
        <v>2024</v>
      </c>
      <c r="O12" s="217">
        <v>63.858189569508589</v>
      </c>
      <c r="P12" s="218">
        <v>62.375190712196876</v>
      </c>
      <c r="Q12" s="219">
        <v>45.515115681446296</v>
      </c>
      <c r="R12" s="219">
        <v>106.89230120162117</v>
      </c>
      <c r="S12" s="220">
        <v>80.32483769000126</v>
      </c>
      <c r="T12" s="217">
        <v>67.276523685550245</v>
      </c>
      <c r="U12" s="218">
        <v>62.339268799234532</v>
      </c>
      <c r="V12" s="219">
        <v>42.452833065284217</v>
      </c>
      <c r="W12" s="219">
        <v>111.04715300811498</v>
      </c>
      <c r="X12" s="220">
        <v>80.996849723955208</v>
      </c>
    </row>
    <row r="13" spans="2:24">
      <c r="B13" s="226">
        <f t="shared" si="0"/>
        <v>2025</v>
      </c>
      <c r="C13" s="217">
        <v>70.112607305936407</v>
      </c>
      <c r="D13" s="218">
        <v>79.964156378601217</v>
      </c>
      <c r="E13" s="219">
        <v>47.610180041152013</v>
      </c>
      <c r="F13" s="219">
        <v>130.81703893442642</v>
      </c>
      <c r="G13" s="220">
        <v>74.769626024590423</v>
      </c>
      <c r="H13" s="217">
        <v>66.489480498540487</v>
      </c>
      <c r="I13" s="218">
        <v>80.490602734572988</v>
      </c>
      <c r="J13" s="219">
        <v>45.809541237523838</v>
      </c>
      <c r="K13" s="219">
        <v>122.01696135501957</v>
      </c>
      <c r="L13" s="220">
        <v>71.936460368730337</v>
      </c>
      <c r="N13" s="226">
        <f t="shared" si="1"/>
        <v>2025</v>
      </c>
      <c r="O13" s="217">
        <v>57.269584791406501</v>
      </c>
      <c r="P13" s="218">
        <v>53.820753231404197</v>
      </c>
      <c r="Q13" s="219">
        <v>39.303766279234999</v>
      </c>
      <c r="R13" s="219">
        <v>98.117241965159309</v>
      </c>
      <c r="S13" s="220">
        <v>73.922859272292115</v>
      </c>
      <c r="T13" s="217">
        <v>60.753235652567646</v>
      </c>
      <c r="U13" s="218">
        <v>53.537700985493061</v>
      </c>
      <c r="V13" s="219">
        <v>36.605686905165044</v>
      </c>
      <c r="W13" s="219">
        <v>101.58109813991008</v>
      </c>
      <c r="X13" s="220">
        <v>75.022016709968128</v>
      </c>
    </row>
    <row r="14" spans="2:24">
      <c r="B14" s="226">
        <f t="shared" si="0"/>
        <v>2026</v>
      </c>
      <c r="C14" s="217">
        <v>67.211531963469824</v>
      </c>
      <c r="D14" s="218">
        <v>76.805787037036424</v>
      </c>
      <c r="E14" s="219">
        <v>47.519071502057358</v>
      </c>
      <c r="F14" s="219">
        <v>119.56889344262301</v>
      </c>
      <c r="G14" s="220">
        <v>70.701424180327891</v>
      </c>
      <c r="H14" s="217">
        <v>63.88173055114342</v>
      </c>
      <c r="I14" s="218">
        <v>77.284327054244926</v>
      </c>
      <c r="J14" s="219">
        <v>45.585067996273217</v>
      </c>
      <c r="K14" s="219">
        <v>111.26709826085282</v>
      </c>
      <c r="L14" s="220">
        <v>68.344055909006457</v>
      </c>
      <c r="N14" s="226">
        <f t="shared" si="1"/>
        <v>2026</v>
      </c>
      <c r="O14" s="217">
        <v>53.161829258176091</v>
      </c>
      <c r="P14" s="218">
        <v>51.664639342594</v>
      </c>
      <c r="Q14" s="219">
        <v>37.458993588413811</v>
      </c>
      <c r="R14" s="219">
        <v>89.525992887708142</v>
      </c>
      <c r="S14" s="220">
        <v>67.34699317418503</v>
      </c>
      <c r="T14" s="217">
        <v>56.122095663083186</v>
      </c>
      <c r="U14" s="218">
        <v>51.023752328447877</v>
      </c>
      <c r="V14" s="219">
        <v>34.761282218404752</v>
      </c>
      <c r="W14" s="219">
        <v>92.057074462112865</v>
      </c>
      <c r="X14" s="220">
        <v>68.620104831850625</v>
      </c>
    </row>
    <row r="15" spans="2:24">
      <c r="B15" s="226">
        <f t="shared" si="0"/>
        <v>2027</v>
      </c>
      <c r="C15" s="217">
        <v>65.173043378994791</v>
      </c>
      <c r="D15" s="218">
        <v>75.806651234568363</v>
      </c>
      <c r="E15" s="219">
        <v>48.350653292181313</v>
      </c>
      <c r="F15" s="219">
        <v>108.11021516393448</v>
      </c>
      <c r="G15" s="220">
        <v>66.621321721311546</v>
      </c>
      <c r="H15" s="217">
        <v>62.308256680678561</v>
      </c>
      <c r="I15" s="218">
        <v>76.433092651297997</v>
      </c>
      <c r="J15" s="219">
        <v>46.42915276367647</v>
      </c>
      <c r="K15" s="219">
        <v>100.2817988375368</v>
      </c>
      <c r="L15" s="220">
        <v>64.723914719311253</v>
      </c>
      <c r="N15" s="226">
        <f t="shared" si="1"/>
        <v>2027</v>
      </c>
      <c r="O15" s="217">
        <v>49.650946957971755</v>
      </c>
      <c r="P15" s="218">
        <v>50.008876656008269</v>
      </c>
      <c r="Q15" s="219">
        <v>36.809053588638761</v>
      </c>
      <c r="R15" s="219">
        <v>80.801292634356656</v>
      </c>
      <c r="S15" s="220">
        <v>60.620349950411622</v>
      </c>
      <c r="T15" s="217">
        <v>51.890192981272683</v>
      </c>
      <c r="U15" s="218">
        <v>48.88252991518835</v>
      </c>
      <c r="V15" s="219">
        <v>33.952661037900626</v>
      </c>
      <c r="W15" s="219">
        <v>82.352244949378004</v>
      </c>
      <c r="X15" s="220">
        <v>62.094083695455197</v>
      </c>
    </row>
    <row r="16" spans="2:24">
      <c r="B16" s="226">
        <f t="shared" si="0"/>
        <v>2028</v>
      </c>
      <c r="C16" s="217">
        <v>63.264812158469624</v>
      </c>
      <c r="D16" s="218">
        <v>74.47788934426211</v>
      </c>
      <c r="E16" s="219">
        <v>47.798335040982934</v>
      </c>
      <c r="F16" s="219">
        <v>100.08482581967176</v>
      </c>
      <c r="G16" s="220">
        <v>64.574682377049299</v>
      </c>
      <c r="H16" s="217">
        <v>60.581009168939723</v>
      </c>
      <c r="I16" s="218">
        <v>75.134291032043137</v>
      </c>
      <c r="J16" s="219">
        <v>45.864905907339029</v>
      </c>
      <c r="K16" s="219">
        <v>93.266849609804879</v>
      </c>
      <c r="L16" s="220">
        <v>62.371234937838331</v>
      </c>
      <c r="N16" s="226">
        <f t="shared" si="1"/>
        <v>2028</v>
      </c>
      <c r="O16" s="217">
        <v>46.89769029657171</v>
      </c>
      <c r="P16" s="218">
        <v>48.607127478489701</v>
      </c>
      <c r="Q16" s="219">
        <v>35.925398740360805</v>
      </c>
      <c r="R16" s="219">
        <v>74.639531060889411</v>
      </c>
      <c r="S16" s="220">
        <v>55.81846148188054</v>
      </c>
      <c r="T16" s="217">
        <v>48.998488451453284</v>
      </c>
      <c r="U16" s="218">
        <v>47.186805042938133</v>
      </c>
      <c r="V16" s="219">
        <v>33.079229421982831</v>
      </c>
      <c r="W16" s="219">
        <v>76.882614701907855</v>
      </c>
      <c r="X16" s="220">
        <v>57.663992637681027</v>
      </c>
    </row>
    <row r="17" spans="2:24">
      <c r="B17" s="226">
        <f t="shared" si="0"/>
        <v>2029</v>
      </c>
      <c r="C17" s="217">
        <v>60.290014840182906</v>
      </c>
      <c r="D17" s="218">
        <v>71.451759259259489</v>
      </c>
      <c r="E17" s="219">
        <v>46.055774176954564</v>
      </c>
      <c r="F17" s="219">
        <v>93.470461065573929</v>
      </c>
      <c r="G17" s="220">
        <v>60.935599385245958</v>
      </c>
      <c r="H17" s="217">
        <v>57.675513644743923</v>
      </c>
      <c r="I17" s="218">
        <v>72.179781906485886</v>
      </c>
      <c r="J17" s="219">
        <v>44.042729719379388</v>
      </c>
      <c r="K17" s="219">
        <v>86.750507662312614</v>
      </c>
      <c r="L17" s="220">
        <v>58.628036890872174</v>
      </c>
      <c r="N17" s="226">
        <f t="shared" si="1"/>
        <v>2029</v>
      </c>
      <c r="O17" s="217">
        <v>43.707873966549698</v>
      </c>
      <c r="P17" s="218">
        <v>44.380551368666829</v>
      </c>
      <c r="Q17" s="219">
        <v>33.560947548688894</v>
      </c>
      <c r="R17" s="219">
        <v>69.482098694554139</v>
      </c>
      <c r="S17" s="220">
        <v>51.943545683739323</v>
      </c>
      <c r="T17" s="217">
        <v>45.491514862975905</v>
      </c>
      <c r="U17" s="218">
        <v>43.639914926388087</v>
      </c>
      <c r="V17" s="219">
        <v>30.528872554975834</v>
      </c>
      <c r="W17" s="219">
        <v>71.346069708867915</v>
      </c>
      <c r="X17" s="220">
        <v>53.745617555351664</v>
      </c>
    </row>
    <row r="18" spans="2:24">
      <c r="B18" s="226">
        <f t="shared" si="0"/>
        <v>2030</v>
      </c>
      <c r="C18" s="217">
        <v>55.6555045662097</v>
      </c>
      <c r="D18" s="218">
        <v>64.633503086419566</v>
      </c>
      <c r="E18" s="219">
        <v>42.576831275720473</v>
      </c>
      <c r="F18" s="219">
        <v>86.447756147540787</v>
      </c>
      <c r="G18" s="220">
        <v>57.368319672131044</v>
      </c>
      <c r="H18" s="217">
        <v>52.98258813070025</v>
      </c>
      <c r="I18" s="218">
        <v>65.081656403842302</v>
      </c>
      <c r="J18" s="219">
        <v>40.501424818107317</v>
      </c>
      <c r="K18" s="219">
        <v>80.022868743392365</v>
      </c>
      <c r="L18" s="220">
        <v>55.093792633233427</v>
      </c>
      <c r="N18" s="226">
        <f t="shared" si="1"/>
        <v>2030</v>
      </c>
      <c r="O18" s="217">
        <v>39.736435906971366</v>
      </c>
      <c r="P18" s="218">
        <v>38.453601853144065</v>
      </c>
      <c r="Q18" s="219">
        <v>29.982847103745595</v>
      </c>
      <c r="R18" s="219">
        <v>64.012228425799975</v>
      </c>
      <c r="S18" s="220">
        <v>48.007769821575756</v>
      </c>
      <c r="T18" s="217">
        <v>41.294720505333174</v>
      </c>
      <c r="U18" s="218">
        <v>37.44055461764809</v>
      </c>
      <c r="V18" s="219">
        <v>27.055778712057585</v>
      </c>
      <c r="W18" s="219">
        <v>65.436236010200759</v>
      </c>
      <c r="X18" s="220">
        <v>49.625288270811119</v>
      </c>
    </row>
    <row r="19" spans="2:24">
      <c r="B19" s="226">
        <f t="shared" si="0"/>
        <v>2031</v>
      </c>
      <c r="C19" s="217">
        <v>53.354767123287715</v>
      </c>
      <c r="D19" s="218">
        <v>61.99871913580229</v>
      </c>
      <c r="E19" s="219">
        <v>41.162304526749018</v>
      </c>
      <c r="F19" s="219">
        <v>81.679938524590256</v>
      </c>
      <c r="G19" s="220">
        <v>54.868642418032827</v>
      </c>
      <c r="H19" s="217">
        <v>50.777717065265264</v>
      </c>
      <c r="I19" s="218">
        <v>62.397137438108665</v>
      </c>
      <c r="J19" s="219">
        <v>39.100834530100897</v>
      </c>
      <c r="K19" s="219">
        <v>75.585049445806632</v>
      </c>
      <c r="L19" s="220">
        <v>52.634736174864301</v>
      </c>
      <c r="N19" s="226">
        <f t="shared" si="1"/>
        <v>2031</v>
      </c>
      <c r="O19" s="217">
        <v>37.67308518791009</v>
      </c>
      <c r="P19" s="218">
        <v>36.249434289964768</v>
      </c>
      <c r="Q19" s="219">
        <v>28.541999941146162</v>
      </c>
      <c r="R19" s="219">
        <v>60.475318417140279</v>
      </c>
      <c r="S19" s="220">
        <v>45.412170709603707</v>
      </c>
      <c r="T19" s="217">
        <v>39.102113509729087</v>
      </c>
      <c r="U19" s="218">
        <v>35.306344785414218</v>
      </c>
      <c r="V19" s="219">
        <v>25.666897992916461</v>
      </c>
      <c r="W19" s="219">
        <v>61.946951450412215</v>
      </c>
      <c r="X19" s="220">
        <v>46.962102901671024</v>
      </c>
    </row>
    <row r="20" spans="2:24">
      <c r="B20" s="226">
        <f t="shared" si="0"/>
        <v>2032</v>
      </c>
      <c r="C20" s="217">
        <v>52.290191256831555</v>
      </c>
      <c r="D20" s="218">
        <v>60.22234118852478</v>
      </c>
      <c r="E20" s="219">
        <v>39.895865778688787</v>
      </c>
      <c r="F20" s="219">
        <v>81.427202868852632</v>
      </c>
      <c r="G20" s="220">
        <v>54.578186475410142</v>
      </c>
      <c r="H20" s="217">
        <v>49.627158113161471</v>
      </c>
      <c r="I20" s="218">
        <v>60.607538692676535</v>
      </c>
      <c r="J20" s="219">
        <v>37.906444859278281</v>
      </c>
      <c r="K20" s="219">
        <v>74.832360121210485</v>
      </c>
      <c r="L20" s="220">
        <v>52.234792657336286</v>
      </c>
      <c r="N20" s="226">
        <f t="shared" si="1"/>
        <v>2032</v>
      </c>
      <c r="O20" s="217">
        <v>37.106928523075275</v>
      </c>
      <c r="P20" s="218">
        <v>34.594084485645702</v>
      </c>
      <c r="Q20" s="219">
        <v>27.615718625010388</v>
      </c>
      <c r="R20" s="219">
        <v>60.539723444085574</v>
      </c>
      <c r="S20" s="220">
        <v>45.399324876107379</v>
      </c>
      <c r="T20" s="217">
        <v>38.677555162451213</v>
      </c>
      <c r="U20" s="218">
        <v>33.627509367765391</v>
      </c>
      <c r="V20" s="219">
        <v>24.781057830063673</v>
      </c>
      <c r="W20" s="219">
        <v>62.151077429503353</v>
      </c>
      <c r="X20" s="220">
        <v>47.06815279026651</v>
      </c>
    </row>
    <row r="21" spans="2:24">
      <c r="B21" s="226">
        <f t="shared" si="0"/>
        <v>2033</v>
      </c>
      <c r="C21" s="217">
        <v>49.838708904109446</v>
      </c>
      <c r="D21" s="218">
        <v>57.224048353909318</v>
      </c>
      <c r="E21" s="219">
        <v>37.917955246913728</v>
      </c>
      <c r="F21" s="219">
        <v>77.988709016393258</v>
      </c>
      <c r="G21" s="220">
        <v>52.152433401639165</v>
      </c>
      <c r="H21" s="217">
        <v>47.156626672843153</v>
      </c>
      <c r="I21" s="218">
        <v>57.47912343289196</v>
      </c>
      <c r="J21" s="219">
        <v>35.927058637540817</v>
      </c>
      <c r="K21" s="219">
        <v>71.324875473062235</v>
      </c>
      <c r="L21" s="220">
        <v>49.833427872796435</v>
      </c>
      <c r="N21" s="226">
        <f t="shared" si="1"/>
        <v>2033</v>
      </c>
      <c r="O21" s="217">
        <v>35.283501114036078</v>
      </c>
      <c r="P21" s="218">
        <v>31.918621260442862</v>
      </c>
      <c r="Q21" s="219">
        <v>26.042198872823786</v>
      </c>
      <c r="R21" s="219">
        <v>57.986085874102322</v>
      </c>
      <c r="S21" s="220">
        <v>43.428139391640848</v>
      </c>
      <c r="T21" s="217">
        <v>36.713258662617292</v>
      </c>
      <c r="U21" s="218">
        <v>31.071830321336083</v>
      </c>
      <c r="V21" s="219">
        <v>23.136598598889165</v>
      </c>
      <c r="W21" s="219">
        <v>59.486501911336788</v>
      </c>
      <c r="X21" s="220">
        <v>45.035111010578561</v>
      </c>
    </row>
    <row r="22" spans="2:24">
      <c r="B22" s="226">
        <f t="shared" si="0"/>
        <v>2034</v>
      </c>
      <c r="C22" s="217">
        <v>46.77459931506823</v>
      </c>
      <c r="D22" s="218">
        <v>53.357541152263181</v>
      </c>
      <c r="E22" s="219">
        <v>35.407427983538625</v>
      </c>
      <c r="F22" s="219">
        <v>73.729170081967169</v>
      </c>
      <c r="G22" s="220">
        <v>49.382520491803639</v>
      </c>
      <c r="H22" s="217">
        <v>44.125000128309949</v>
      </c>
      <c r="I22" s="218">
        <v>53.530397641247177</v>
      </c>
      <c r="J22" s="219">
        <v>33.413488681001851</v>
      </c>
      <c r="K22" s="219">
        <v>67.381045992258322</v>
      </c>
      <c r="L22" s="220">
        <v>47.118039137577675</v>
      </c>
      <c r="N22" s="226">
        <f t="shared" si="1"/>
        <v>2034</v>
      </c>
      <c r="O22" s="217">
        <v>32.98681932924022</v>
      </c>
      <c r="P22" s="218">
        <v>29.202656454992887</v>
      </c>
      <c r="Q22" s="219">
        <v>24.070251649308705</v>
      </c>
      <c r="R22" s="219">
        <v>54.741527826984004</v>
      </c>
      <c r="S22" s="220">
        <v>40.947874855227795</v>
      </c>
      <c r="T22" s="217">
        <v>34.389215601172758</v>
      </c>
      <c r="U22" s="218">
        <v>28.421021327015591</v>
      </c>
      <c r="V22" s="219">
        <v>21.298279967280298</v>
      </c>
      <c r="W22" s="219">
        <v>56.276223886538752</v>
      </c>
      <c r="X22" s="220">
        <v>42.517145775472052</v>
      </c>
    </row>
    <row r="23" spans="2:24">
      <c r="B23" s="226">
        <f t="shared" si="0"/>
        <v>2035</v>
      </c>
      <c r="C23" s="217">
        <v>49.292718036529472</v>
      </c>
      <c r="D23" s="218">
        <v>56.463117283950695</v>
      </c>
      <c r="E23" s="219">
        <v>37.337013888888826</v>
      </c>
      <c r="F23" s="219">
        <v>77.49829918032782</v>
      </c>
      <c r="G23" s="220">
        <v>51.862325819672421</v>
      </c>
      <c r="H23" s="217">
        <v>46.579548078255243</v>
      </c>
      <c r="I23" s="218">
        <v>56.69765064646004</v>
      </c>
      <c r="J23" s="219">
        <v>35.268128400154993</v>
      </c>
      <c r="K23" s="219">
        <v>71.261081264511802</v>
      </c>
      <c r="L23" s="220">
        <v>49.44764268242529</v>
      </c>
      <c r="N23" s="226">
        <f t="shared" si="1"/>
        <v>2035</v>
      </c>
      <c r="O23" s="217">
        <v>34.718341951976257</v>
      </c>
      <c r="P23" s="218">
        <v>31.448471010828165</v>
      </c>
      <c r="Q23" s="219">
        <v>25.494432826591655</v>
      </c>
      <c r="R23" s="219">
        <v>57.303069669444291</v>
      </c>
      <c r="S23" s="220">
        <v>42.864645524124853</v>
      </c>
      <c r="T23" s="217">
        <v>36.230496632033343</v>
      </c>
      <c r="U23" s="218">
        <v>30.81143703892598</v>
      </c>
      <c r="V23" s="219">
        <v>22.706898691032492</v>
      </c>
      <c r="W23" s="219">
        <v>58.8976647661013</v>
      </c>
      <c r="X23" s="220">
        <v>44.496433473262776</v>
      </c>
    </row>
    <row r="24" spans="2:24">
      <c r="B24" s="226">
        <f t="shared" si="0"/>
        <v>2036</v>
      </c>
      <c r="C24" s="217">
        <v>51.292484061930139</v>
      </c>
      <c r="D24" s="218">
        <v>57.729518442623018</v>
      </c>
      <c r="E24" s="219">
        <v>38.26945696721311</v>
      </c>
      <c r="F24" s="219">
        <v>82.292817622950636</v>
      </c>
      <c r="G24" s="220">
        <v>55.401337090163793</v>
      </c>
      <c r="H24" s="217">
        <v>48.351883721582546</v>
      </c>
      <c r="I24" s="218">
        <v>57.884161841907364</v>
      </c>
      <c r="J24" s="219">
        <v>36.12415942659301</v>
      </c>
      <c r="K24" s="219">
        <v>75.680568926816974</v>
      </c>
      <c r="L24" s="220">
        <v>52.924559040941674</v>
      </c>
      <c r="N24" s="226">
        <f t="shared" si="1"/>
        <v>2036</v>
      </c>
      <c r="O24" s="217">
        <v>36.315852465066357</v>
      </c>
      <c r="P24" s="218">
        <v>31.896296617589478</v>
      </c>
      <c r="Q24" s="219">
        <v>26.022761837029208</v>
      </c>
      <c r="R24" s="219">
        <v>60.912148461722005</v>
      </c>
      <c r="S24" s="220">
        <v>45.749106319431363</v>
      </c>
      <c r="T24" s="217">
        <v>37.989939678293744</v>
      </c>
      <c r="U24" s="218">
        <v>31.271580694235809</v>
      </c>
      <c r="V24" s="219">
        <v>23.176689296624794</v>
      </c>
      <c r="W24" s="219">
        <v>62.398387926694518</v>
      </c>
      <c r="X24" s="220">
        <v>47.353078698834956</v>
      </c>
    </row>
    <row r="25" spans="2:24">
      <c r="B25" s="226">
        <f t="shared" si="0"/>
        <v>2037</v>
      </c>
      <c r="C25" s="217">
        <v>53.647938356163571</v>
      </c>
      <c r="D25" s="218">
        <v>60.15775720164644</v>
      </c>
      <c r="E25" s="219">
        <v>39.6072299382718</v>
      </c>
      <c r="F25" s="219">
        <v>86.909497950819571</v>
      </c>
      <c r="G25" s="220">
        <v>58.500348360655501</v>
      </c>
      <c r="H25" s="217">
        <v>50.511030344025201</v>
      </c>
      <c r="I25" s="218">
        <v>60.38686850551769</v>
      </c>
      <c r="J25" s="219">
        <v>37.429077989046384</v>
      </c>
      <c r="K25" s="219">
        <v>79.477157079947077</v>
      </c>
      <c r="L25" s="220">
        <v>55.864214791909966</v>
      </c>
      <c r="N25" s="226">
        <f t="shared" si="1"/>
        <v>2037</v>
      </c>
      <c r="O25" s="217">
        <v>38.231056021158736</v>
      </c>
      <c r="P25" s="218">
        <v>33.028661866167894</v>
      </c>
      <c r="Q25" s="219">
        <v>27.104560136997968</v>
      </c>
      <c r="R25" s="219">
        <v>64.535643593638042</v>
      </c>
      <c r="S25" s="220">
        <v>48.497272860456569</v>
      </c>
      <c r="T25" s="217">
        <v>40.039741582218959</v>
      </c>
      <c r="U25" s="218">
        <v>32.468289991624616</v>
      </c>
      <c r="V25" s="219">
        <v>24.10394461944022</v>
      </c>
      <c r="W25" s="219">
        <v>65.985863985877586</v>
      </c>
      <c r="X25" s="220">
        <v>50.230974535255505</v>
      </c>
    </row>
    <row r="26" spans="2:24">
      <c r="B26" s="226">
        <f t="shared" si="0"/>
        <v>2038</v>
      </c>
      <c r="C26" s="217">
        <v>55.244506849315187</v>
      </c>
      <c r="D26" s="218">
        <v>63.165509259259501</v>
      </c>
      <c r="E26" s="219">
        <v>41.572034465020337</v>
      </c>
      <c r="F26" s="219">
        <v>86.817530737705113</v>
      </c>
      <c r="G26" s="220">
        <v>58.802330942622966</v>
      </c>
      <c r="H26" s="217">
        <v>52.196699138746197</v>
      </c>
      <c r="I26" s="218">
        <v>63.527686660125866</v>
      </c>
      <c r="J26" s="219">
        <v>39.400392584655215</v>
      </c>
      <c r="K26" s="219">
        <v>79.199920237041994</v>
      </c>
      <c r="L26" s="220">
        <v>56.055328269800782</v>
      </c>
      <c r="N26" s="226">
        <f t="shared" si="1"/>
        <v>2038</v>
      </c>
      <c r="O26" s="217">
        <v>39.117592383478026</v>
      </c>
      <c r="P26" s="218">
        <v>34.944419023128809</v>
      </c>
      <c r="Q26" s="219">
        <v>28.684606965228408</v>
      </c>
      <c r="R26" s="219">
        <v>64.517496365330857</v>
      </c>
      <c r="S26" s="220">
        <v>48.426643003514734</v>
      </c>
      <c r="T26" s="217">
        <v>40.750881120353327</v>
      </c>
      <c r="U26" s="218">
        <v>34.09542512613158</v>
      </c>
      <c r="V26" s="219">
        <v>25.527224266980802</v>
      </c>
      <c r="W26" s="219">
        <v>65.956950761476946</v>
      </c>
      <c r="X26" s="220">
        <v>50.250002594296426</v>
      </c>
    </row>
    <row r="27" spans="2:24">
      <c r="B27" s="226">
        <f t="shared" si="0"/>
        <v>2039</v>
      </c>
      <c r="C27" s="217">
        <v>55.166505707762333</v>
      </c>
      <c r="D27" s="218">
        <v>63.573549382716415</v>
      </c>
      <c r="E27" s="219">
        <v>41.665787037037035</v>
      </c>
      <c r="F27" s="219">
        <v>85.307510245901611</v>
      </c>
      <c r="G27" s="220">
        <v>58.614190573770443</v>
      </c>
      <c r="H27" s="217">
        <v>52.138447244555067</v>
      </c>
      <c r="I27" s="218">
        <v>63.873753029948624</v>
      </c>
      <c r="J27" s="219">
        <v>39.499546615457021</v>
      </c>
      <c r="K27" s="219">
        <v>77.736882896690489</v>
      </c>
      <c r="L27" s="220">
        <v>55.829890969053814</v>
      </c>
      <c r="N27" s="226">
        <f t="shared" si="1"/>
        <v>2039</v>
      </c>
      <c r="O27" s="217">
        <v>38.758323259731547</v>
      </c>
      <c r="P27" s="218">
        <v>34.87386889824208</v>
      </c>
      <c r="Q27" s="219">
        <v>28.831138352375206</v>
      </c>
      <c r="R27" s="219">
        <v>63.401406086246844</v>
      </c>
      <c r="S27" s="220">
        <v>47.446596741547317</v>
      </c>
      <c r="T27" s="217">
        <v>40.361808380456871</v>
      </c>
      <c r="U27" s="218">
        <v>34.065990636663123</v>
      </c>
      <c r="V27" s="219">
        <v>25.571524515521794</v>
      </c>
      <c r="W27" s="219">
        <v>65.07092767156729</v>
      </c>
      <c r="X27" s="220">
        <v>49.485751647561223</v>
      </c>
    </row>
    <row r="28" spans="2:24">
      <c r="B28" s="226">
        <f t="shared" si="0"/>
        <v>2040</v>
      </c>
      <c r="C28" s="217">
        <v>55.341667805100911</v>
      </c>
      <c r="D28" s="218">
        <v>64.221055327869308</v>
      </c>
      <c r="E28" s="219">
        <v>42.03592725409829</v>
      </c>
      <c r="F28" s="219">
        <v>85.762028688524893</v>
      </c>
      <c r="G28" s="220">
        <v>57.863580942622676</v>
      </c>
      <c r="H28" s="217">
        <v>52.299980789093844</v>
      </c>
      <c r="I28" s="218">
        <v>64.352090769500208</v>
      </c>
      <c r="J28" s="219">
        <v>39.72113553714248</v>
      </c>
      <c r="K28" s="219">
        <v>78.995509080283</v>
      </c>
      <c r="L28" s="220">
        <v>54.949087284086104</v>
      </c>
      <c r="N28" s="226">
        <f t="shared" si="1"/>
        <v>2040</v>
      </c>
      <c r="O28" s="217">
        <v>39.028426450813861</v>
      </c>
      <c r="P28" s="218">
        <v>36.099469244307954</v>
      </c>
      <c r="Q28" s="219">
        <v>29.283443919790724</v>
      </c>
      <c r="R28" s="219">
        <v>63.514527324835406</v>
      </c>
      <c r="S28" s="220">
        <v>47.431195362975465</v>
      </c>
      <c r="T28" s="217">
        <v>40.787080295250206</v>
      </c>
      <c r="U28" s="218">
        <v>35.458201627216845</v>
      </c>
      <c r="V28" s="219">
        <v>26.171383221353643</v>
      </c>
      <c r="W28" s="219">
        <v>65.915557140614297</v>
      </c>
      <c r="X28" s="220">
        <v>49.455582233824366</v>
      </c>
    </row>
    <row r="29" spans="2:24">
      <c r="B29" s="226">
        <f t="shared" si="0"/>
        <v>2041</v>
      </c>
      <c r="C29" s="217">
        <v>55.382578767123611</v>
      </c>
      <c r="D29" s="218">
        <v>65.199089506173124</v>
      </c>
      <c r="E29" s="219">
        <v>42.716491769547453</v>
      </c>
      <c r="F29" s="219">
        <v>82.476249999999581</v>
      </c>
      <c r="G29" s="220">
        <v>57.287817622950811</v>
      </c>
      <c r="H29" s="217">
        <v>52.513099775825779</v>
      </c>
      <c r="I29" s="218">
        <v>65.45892436238907</v>
      </c>
      <c r="J29" s="219">
        <v>40.415177709527384</v>
      </c>
      <c r="K29" s="219">
        <v>75.956391592723136</v>
      </c>
      <c r="L29" s="220">
        <v>54.477832007851951</v>
      </c>
      <c r="N29" s="226">
        <f t="shared" si="1"/>
        <v>2041</v>
      </c>
      <c r="O29" s="217">
        <v>38.205037843269444</v>
      </c>
      <c r="P29" s="218">
        <v>36.464258560971814</v>
      </c>
      <c r="Q29" s="219">
        <v>29.418968761795803</v>
      </c>
      <c r="R29" s="219">
        <v>60.735773553232043</v>
      </c>
      <c r="S29" s="220">
        <v>45.486949815402582</v>
      </c>
      <c r="T29" s="217">
        <v>39.692744409425956</v>
      </c>
      <c r="U29" s="218">
        <v>35.998137632753703</v>
      </c>
      <c r="V29" s="219">
        <v>26.350567801244946</v>
      </c>
      <c r="W29" s="219">
        <v>62.446317786793436</v>
      </c>
      <c r="X29" s="220">
        <v>47.463084922734389</v>
      </c>
    </row>
    <row r="30" spans="2:24" ht="13.5" thickBot="1">
      <c r="B30" s="228">
        <f t="shared" si="0"/>
        <v>2042</v>
      </c>
      <c r="C30" s="221">
        <v>54.751289954338148</v>
      </c>
      <c r="D30" s="222">
        <v>64.914269547325532</v>
      </c>
      <c r="E30" s="223">
        <v>42.353870884773741</v>
      </c>
      <c r="F30" s="223">
        <v>80.916116803278896</v>
      </c>
      <c r="G30" s="224">
        <v>56.240768442622965</v>
      </c>
      <c r="H30" s="221">
        <v>51.936450418511448</v>
      </c>
      <c r="I30" s="222">
        <v>65.14084370474427</v>
      </c>
      <c r="J30" s="223">
        <v>40.003215662506591</v>
      </c>
      <c r="K30" s="223">
        <v>74.763364833189527</v>
      </c>
      <c r="L30" s="224">
        <v>53.490760583310205</v>
      </c>
      <c r="N30" s="228">
        <f t="shared" si="1"/>
        <v>2042</v>
      </c>
      <c r="O30" s="221">
        <v>37.634557998244048</v>
      </c>
      <c r="P30" s="222">
        <v>35.288330421035838</v>
      </c>
      <c r="Q30" s="223">
        <v>29.146337653774594</v>
      </c>
      <c r="R30" s="223">
        <v>59.556197791162255</v>
      </c>
      <c r="S30" s="224">
        <v>44.680908705638615</v>
      </c>
      <c r="T30" s="221">
        <v>38.91987375977191</v>
      </c>
      <c r="U30" s="222">
        <v>34.865364161177723</v>
      </c>
      <c r="V30" s="223">
        <v>25.901821872866595</v>
      </c>
      <c r="W30" s="223">
        <v>61.274941267897205</v>
      </c>
      <c r="X30" s="224">
        <v>46.512087194802895</v>
      </c>
    </row>
    <row r="31" spans="2:24" ht="5.25" customHeight="1" thickTop="1">
      <c r="B31" s="191"/>
      <c r="C31"/>
      <c r="D31"/>
      <c r="E31"/>
      <c r="F31"/>
      <c r="G31"/>
      <c r="H31"/>
      <c r="I31"/>
      <c r="J31"/>
      <c r="K31"/>
      <c r="N31" s="191"/>
    </row>
    <row r="32" spans="2:24">
      <c r="B32" s="45" t="s">
        <v>150</v>
      </c>
      <c r="F32" s="173"/>
      <c r="G32" s="7"/>
      <c r="N32" s="45" t="str">
        <f t="shared" ref="N32:N37" si="2">B32</f>
        <v>(1) Avoided cost prices have been reduced by wind and solar integration charges.</v>
      </c>
    </row>
    <row r="33" spans="2:15">
      <c r="B33" s="1" t="str">
        <f>"      If the QF resource is not in PacifiCorp's BAA, prices will be increased by the applicable integration charges."</f>
        <v xml:space="preserve">      If the QF resource is not in PacifiCorp's BAA, prices will be increased by the applicable integration charges.</v>
      </c>
      <c r="G33" s="7"/>
      <c r="N33" s="1" t="str">
        <f t="shared" si="2"/>
        <v xml:space="preserve">      If the QF resource is not in PacifiCorp's BAA, prices will be increased by the applicable integration charges.</v>
      </c>
    </row>
    <row r="34" spans="2:15">
      <c r="B34" s="7" t="str">
        <f>C9</f>
        <v>(a)</v>
      </c>
      <c r="C34" s="3" t="s">
        <v>190</v>
      </c>
      <c r="N34" s="7" t="str">
        <f t="shared" si="2"/>
        <v>(a)</v>
      </c>
      <c r="O34" s="3" t="str">
        <f t="shared" ref="O34:O38" si="3">C34</f>
        <v>Illustrative price for all hours</v>
      </c>
    </row>
    <row r="35" spans="2:15">
      <c r="B35" s="7" t="s">
        <v>5</v>
      </c>
      <c r="C35" s="3" t="s">
        <v>166</v>
      </c>
      <c r="N35" s="7" t="str">
        <f t="shared" si="2"/>
        <v>(b)</v>
      </c>
      <c r="O35" s="3" t="str">
        <f t="shared" si="3"/>
        <v>On-peak Winter hours:  6:00a - 8:00a and 5:00p - 11:00p Pacific Prevailing Time (PPT), Oct. through May</v>
      </c>
    </row>
    <row r="36" spans="2:15">
      <c r="B36" s="7" t="s">
        <v>6</v>
      </c>
      <c r="C36" s="3" t="s">
        <v>167</v>
      </c>
      <c r="N36" s="7" t="str">
        <f t="shared" si="2"/>
        <v>(c)</v>
      </c>
      <c r="O36" s="3" t="str">
        <f t="shared" si="3"/>
        <v>Off-peak Winter hours:  All other hours, Oct. through May</v>
      </c>
    </row>
    <row r="37" spans="2:15">
      <c r="B37" s="7" t="s">
        <v>7</v>
      </c>
      <c r="C37" s="3" t="s">
        <v>161</v>
      </c>
      <c r="N37" s="7" t="str">
        <f t="shared" si="2"/>
        <v>(d)</v>
      </c>
      <c r="O37" s="3" t="str">
        <f t="shared" si="3"/>
        <v>On-peak Summer hours:  2:00p - 10:00p PPT, June through September</v>
      </c>
    </row>
    <row r="38" spans="2:15">
      <c r="B38" s="7" t="s">
        <v>8</v>
      </c>
      <c r="C38" s="3" t="s">
        <v>160</v>
      </c>
      <c r="N38" s="7" t="str">
        <f>B38</f>
        <v>(e)</v>
      </c>
      <c r="O38" s="3" t="str">
        <f t="shared" si="3"/>
        <v>Off-peak Summer hours:  All other hours, June through September</v>
      </c>
    </row>
  </sheetData>
  <mergeCells count="22">
    <mergeCell ref="C5:G5"/>
    <mergeCell ref="B2:I2"/>
    <mergeCell ref="B1:I1"/>
    <mergeCell ref="C4:G4"/>
    <mergeCell ref="H4:L4"/>
    <mergeCell ref="H5:L5"/>
    <mergeCell ref="N1:U1"/>
    <mergeCell ref="N2:U2"/>
    <mergeCell ref="O4:S4"/>
    <mergeCell ref="O5:S5"/>
    <mergeCell ref="T4:X4"/>
    <mergeCell ref="T5:X5"/>
    <mergeCell ref="O8:S8"/>
    <mergeCell ref="T8:X8"/>
    <mergeCell ref="C8:G8"/>
    <mergeCell ref="H8:L8"/>
    <mergeCell ref="B6:B7"/>
    <mergeCell ref="C6:C7"/>
    <mergeCell ref="H6:H7"/>
    <mergeCell ref="N6:N7"/>
    <mergeCell ref="O6:O7"/>
    <mergeCell ref="T6:T7"/>
  </mergeCells>
  <printOptions horizontalCentered="1"/>
  <pageMargins left="0.8" right="0.3" top="0.4" bottom="0.4" header="0.5" footer="0.2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40"/>
  <sheetViews>
    <sheetView topLeftCell="A7" workbookViewId="0">
      <selection activeCell="B32" sqref="B32"/>
    </sheetView>
  </sheetViews>
  <sheetFormatPr defaultColWidth="9.33203125" defaultRowHeight="12.75"/>
  <cols>
    <col min="1" max="1" width="1.5" style="3" customWidth="1"/>
    <col min="2" max="2" width="9.33203125" style="3" customWidth="1"/>
    <col min="3" max="3" width="23.1640625" style="3" bestFit="1" customWidth="1"/>
    <col min="4" max="7" width="12" style="3" customWidth="1"/>
    <col min="8" max="8" width="1.5" style="3" customWidth="1"/>
    <col min="9" max="9" width="22.83203125" style="3" customWidth="1"/>
    <col min="10" max="11" width="11.5" style="3" customWidth="1"/>
    <col min="12" max="12" width="10" style="3" customWidth="1"/>
    <col min="13" max="13" width="11.6640625" style="3" customWidth="1"/>
    <col min="14" max="14" width="10.1640625" style="3" customWidth="1"/>
    <col min="15" max="15" width="9.6640625" style="3" customWidth="1"/>
    <col min="16" max="17" width="11.6640625" style="3" customWidth="1"/>
    <col min="18" max="18" width="1.5" style="3" customWidth="1"/>
    <col min="19" max="19" width="22.33203125" style="3" customWidth="1"/>
    <col min="20" max="23" width="18.1640625" style="3" customWidth="1"/>
    <col min="24" max="24" width="29.6640625" style="3" customWidth="1"/>
    <col min="25" max="16384" width="9.33203125" style="3"/>
  </cols>
  <sheetData>
    <row r="1" spans="2:23" ht="15.75" customHeight="1">
      <c r="B1" s="389" t="s">
        <v>173</v>
      </c>
      <c r="C1" s="390"/>
      <c r="D1" s="390"/>
      <c r="E1" s="390"/>
      <c r="F1" s="390"/>
      <c r="G1" s="390"/>
      <c r="H1" s="200"/>
      <c r="I1" s="389" t="s">
        <v>174</v>
      </c>
      <c r="J1" s="390"/>
      <c r="K1" s="390"/>
      <c r="L1" s="390"/>
      <c r="M1" s="390"/>
      <c r="N1" s="390"/>
      <c r="O1" s="390"/>
      <c r="P1" s="390"/>
      <c r="Q1" s="390"/>
      <c r="R1" s="200"/>
      <c r="S1" s="389" t="s">
        <v>175</v>
      </c>
      <c r="T1" s="390"/>
      <c r="U1" s="390"/>
      <c r="V1" s="390"/>
      <c r="W1" s="390"/>
    </row>
    <row r="2" spans="2:23" ht="15.75" customHeight="1">
      <c r="B2" s="389" t="s">
        <v>154</v>
      </c>
      <c r="C2" s="390"/>
      <c r="D2" s="390"/>
      <c r="E2" s="390"/>
      <c r="F2" s="390"/>
      <c r="G2" s="390"/>
      <c r="H2" s="200"/>
      <c r="I2" s="389" t="s">
        <v>154</v>
      </c>
      <c r="J2" s="390"/>
      <c r="K2" s="390"/>
      <c r="L2" s="390"/>
      <c r="M2" s="390"/>
      <c r="N2" s="390"/>
      <c r="O2" s="390"/>
      <c r="P2" s="390"/>
      <c r="Q2" s="390"/>
      <c r="R2" s="200"/>
      <c r="S2" s="389" t="s">
        <v>154</v>
      </c>
      <c r="T2" s="390"/>
      <c r="U2" s="390"/>
      <c r="V2" s="390"/>
      <c r="W2" s="390"/>
    </row>
    <row r="3" spans="2:23" ht="15" thickBot="1">
      <c r="B3" s="4"/>
      <c r="C3" s="4"/>
      <c r="E3" s="19"/>
      <c r="I3" s="4"/>
      <c r="J3" s="169"/>
      <c r="K3" s="4"/>
      <c r="N3" s="169"/>
      <c r="O3" s="4"/>
      <c r="S3" s="4"/>
      <c r="T3" s="169"/>
      <c r="U3" s="4"/>
    </row>
    <row r="4" spans="2:23" ht="14.25" thickTop="1" thickBot="1">
      <c r="B4" s="230"/>
      <c r="C4" s="231"/>
      <c r="D4" s="396" t="s">
        <v>126</v>
      </c>
      <c r="E4" s="397"/>
      <c r="F4" s="397"/>
      <c r="G4" s="398"/>
      <c r="I4" s="255"/>
      <c r="J4" s="393" t="s">
        <v>140</v>
      </c>
      <c r="K4" s="394"/>
      <c r="L4" s="394"/>
      <c r="M4" s="395"/>
      <c r="N4" s="393" t="s">
        <v>141</v>
      </c>
      <c r="O4" s="394"/>
      <c r="P4" s="394"/>
      <c r="Q4" s="395"/>
      <c r="S4" s="255"/>
      <c r="T4" s="393" t="s">
        <v>142</v>
      </c>
      <c r="U4" s="394"/>
      <c r="V4" s="394"/>
      <c r="W4" s="395"/>
    </row>
    <row r="5" spans="2:23" ht="69" customHeight="1" thickTop="1" thickBot="1">
      <c r="B5" s="232"/>
      <c r="C5" s="233" t="s">
        <v>199</v>
      </c>
      <c r="D5" s="234" t="s">
        <v>201</v>
      </c>
      <c r="E5" s="234" t="s">
        <v>127</v>
      </c>
      <c r="F5" s="234" t="s">
        <v>201</v>
      </c>
      <c r="G5" s="235" t="s">
        <v>127</v>
      </c>
      <c r="I5" s="256"/>
      <c r="J5" s="234" t="s">
        <v>124</v>
      </c>
      <c r="K5" s="257" t="s">
        <v>127</v>
      </c>
      <c r="L5" s="257" t="s">
        <v>124</v>
      </c>
      <c r="M5" s="258" t="s">
        <v>127</v>
      </c>
      <c r="N5" s="234" t="s">
        <v>124</v>
      </c>
      <c r="O5" s="234" t="s">
        <v>127</v>
      </c>
      <c r="P5" s="234" t="s">
        <v>124</v>
      </c>
      <c r="Q5" s="235" t="s">
        <v>127</v>
      </c>
      <c r="S5" s="256"/>
      <c r="T5" s="234" t="s">
        <v>124</v>
      </c>
      <c r="U5" s="257" t="s">
        <v>127</v>
      </c>
      <c r="V5" s="257" t="s">
        <v>124</v>
      </c>
      <c r="W5" s="258" t="s">
        <v>127</v>
      </c>
    </row>
    <row r="6" spans="2:23" ht="13.5" thickBot="1">
      <c r="B6" s="232"/>
      <c r="C6" s="236" t="s">
        <v>3</v>
      </c>
      <c r="D6" s="237" t="s">
        <v>3</v>
      </c>
      <c r="E6" s="237" t="s">
        <v>3</v>
      </c>
      <c r="F6" s="237" t="s">
        <v>3</v>
      </c>
      <c r="G6" s="238" t="s">
        <v>3</v>
      </c>
      <c r="I6" s="256"/>
      <c r="J6" s="237" t="s">
        <v>3</v>
      </c>
      <c r="K6" s="237" t="s">
        <v>3</v>
      </c>
      <c r="L6" s="237" t="s">
        <v>3</v>
      </c>
      <c r="M6" s="238" t="s">
        <v>3</v>
      </c>
      <c r="N6" s="237" t="s">
        <v>3</v>
      </c>
      <c r="O6" s="237" t="s">
        <v>3</v>
      </c>
      <c r="P6" s="237" t="s">
        <v>3</v>
      </c>
      <c r="Q6" s="238" t="s">
        <v>3</v>
      </c>
      <c r="S6" s="256"/>
      <c r="T6" s="237" t="s">
        <v>3</v>
      </c>
      <c r="U6" s="237" t="s">
        <v>3</v>
      </c>
      <c r="V6" s="237" t="s">
        <v>3</v>
      </c>
      <c r="W6" s="238" t="s">
        <v>3</v>
      </c>
    </row>
    <row r="7" spans="2:23" ht="13.5" thickBot="1">
      <c r="B7" s="232"/>
      <c r="C7" s="239"/>
      <c r="D7" s="237"/>
      <c r="E7" s="240"/>
      <c r="F7" s="237" t="s">
        <v>139</v>
      </c>
      <c r="G7" s="238" t="s">
        <v>139</v>
      </c>
      <c r="I7" s="256"/>
      <c r="J7" s="237"/>
      <c r="K7" s="240"/>
      <c r="L7" s="237" t="s">
        <v>139</v>
      </c>
      <c r="M7" s="238" t="s">
        <v>139</v>
      </c>
      <c r="N7" s="237"/>
      <c r="O7" s="240"/>
      <c r="P7" s="237" t="s">
        <v>139</v>
      </c>
      <c r="Q7" s="238" t="s">
        <v>139</v>
      </c>
      <c r="S7" s="256"/>
      <c r="T7" s="237"/>
      <c r="U7" s="240"/>
      <c r="V7" s="237" t="s">
        <v>139</v>
      </c>
      <c r="W7" s="238" t="s">
        <v>139</v>
      </c>
    </row>
    <row r="8" spans="2:23" ht="13.5" thickBot="1">
      <c r="B8" s="232" t="s">
        <v>2</v>
      </c>
      <c r="C8" s="236" t="s">
        <v>120</v>
      </c>
      <c r="D8" s="237" t="s">
        <v>120</v>
      </c>
      <c r="E8" s="237" t="s">
        <v>120</v>
      </c>
      <c r="F8" s="237" t="s">
        <v>125</v>
      </c>
      <c r="G8" s="238" t="s">
        <v>125</v>
      </c>
      <c r="I8" s="256" t="s">
        <v>2</v>
      </c>
      <c r="J8" s="237" t="s">
        <v>120</v>
      </c>
      <c r="K8" s="237" t="s">
        <v>120</v>
      </c>
      <c r="L8" s="259" t="s">
        <v>125</v>
      </c>
      <c r="M8" s="238" t="s">
        <v>125</v>
      </c>
      <c r="N8" s="237" t="s">
        <v>120</v>
      </c>
      <c r="O8" s="237" t="s">
        <v>120</v>
      </c>
      <c r="P8" s="237" t="s">
        <v>125</v>
      </c>
      <c r="Q8" s="238" t="s">
        <v>125</v>
      </c>
      <c r="S8" s="256" t="s">
        <v>2</v>
      </c>
      <c r="T8" s="237" t="s">
        <v>120</v>
      </c>
      <c r="U8" s="237" t="s">
        <v>120</v>
      </c>
      <c r="V8" s="237" t="s">
        <v>125</v>
      </c>
      <c r="W8" s="238" t="s">
        <v>125</v>
      </c>
    </row>
    <row r="9" spans="2:23" ht="13.5" thickBot="1">
      <c r="B9" s="232"/>
      <c r="C9" s="236" t="s">
        <v>4</v>
      </c>
      <c r="D9" s="237" t="s">
        <v>5</v>
      </c>
      <c r="E9" s="237" t="s">
        <v>6</v>
      </c>
      <c r="F9" s="237" t="s">
        <v>7</v>
      </c>
      <c r="G9" s="238" t="s">
        <v>8</v>
      </c>
      <c r="I9" s="260"/>
      <c r="J9" s="237" t="s">
        <v>5</v>
      </c>
      <c r="K9" s="237" t="s">
        <v>6</v>
      </c>
      <c r="L9" s="237" t="s">
        <v>7</v>
      </c>
      <c r="M9" s="238" t="s">
        <v>8</v>
      </c>
      <c r="N9" s="237" t="s">
        <v>5</v>
      </c>
      <c r="O9" s="237" t="s">
        <v>6</v>
      </c>
      <c r="P9" s="237" t="s">
        <v>7</v>
      </c>
      <c r="Q9" s="238" t="s">
        <v>8</v>
      </c>
      <c r="S9" s="260"/>
      <c r="T9" s="237" t="s">
        <v>5</v>
      </c>
      <c r="U9" s="237" t="s">
        <v>6</v>
      </c>
      <c r="V9" s="237" t="s">
        <v>7</v>
      </c>
      <c r="W9" s="238" t="s">
        <v>8</v>
      </c>
    </row>
    <row r="10" spans="2:23" ht="13.5" thickBot="1">
      <c r="B10" s="232"/>
      <c r="C10" s="306" t="s">
        <v>128</v>
      </c>
      <c r="D10" s="241">
        <v>1</v>
      </c>
      <c r="E10" s="241">
        <v>1</v>
      </c>
      <c r="F10" s="242"/>
      <c r="G10" s="238"/>
      <c r="I10" s="261" t="s">
        <v>128</v>
      </c>
      <c r="J10" s="241">
        <v>0.11776428835036618</v>
      </c>
      <c r="K10" s="241">
        <v>0.11776428835036618</v>
      </c>
      <c r="L10" s="242"/>
      <c r="M10" s="238"/>
      <c r="N10" s="241">
        <v>0.02</v>
      </c>
      <c r="O10" s="241">
        <v>0.02</v>
      </c>
      <c r="P10" s="242"/>
      <c r="Q10" s="238"/>
      <c r="S10" s="261" t="s">
        <v>128</v>
      </c>
      <c r="T10" s="241">
        <v>0.02</v>
      </c>
      <c r="U10" s="241">
        <v>0.02</v>
      </c>
      <c r="V10" s="242"/>
      <c r="W10" s="238"/>
    </row>
    <row r="11" spans="2:23" ht="13.5" thickBot="1">
      <c r="B11" s="232"/>
      <c r="C11" s="309" t="s">
        <v>171</v>
      </c>
      <c r="D11" s="243"/>
      <c r="E11" s="244"/>
      <c r="F11" s="245">
        <f>AVERAGE(Profiles!$D$11:$E$30)*2/8760</f>
        <v>0.66643835616438352</v>
      </c>
      <c r="G11" s="246">
        <f>AVERAGE(Profiles!$F$11:$G$30)*2/8760</f>
        <v>0.33424657534246577</v>
      </c>
      <c r="I11" s="262" t="s">
        <v>171</v>
      </c>
      <c r="J11" s="243"/>
      <c r="K11" s="244"/>
      <c r="L11" s="245">
        <f>AVERAGE(Profiles!$I$11:$J$30)*2/8760</f>
        <v>0.27000681160307044</v>
      </c>
      <c r="M11" s="246">
        <f>AVERAGE(Profiles!$K$11:$L$30)*2/8760</f>
        <v>0.11000319634703204</v>
      </c>
      <c r="N11" s="243"/>
      <c r="O11" s="244"/>
      <c r="P11" s="245">
        <f>AVERAGE(Profiles!$N$11:$O$30)*2/8760</f>
        <v>0.1419775440313111</v>
      </c>
      <c r="Q11" s="246">
        <f>AVERAGE(Profiles!$P$11:$Q$30)*2/8760</f>
        <v>0.106956392694064</v>
      </c>
      <c r="S11" s="262" t="s">
        <v>171</v>
      </c>
      <c r="T11" s="243"/>
      <c r="U11" s="244"/>
      <c r="V11" s="245">
        <f>AVERAGE(Profiles!$S$11:$T$30)*2/8760</f>
        <v>0.1212982943270187</v>
      </c>
      <c r="W11" s="246">
        <f>AVERAGE(Profiles!$U$11:$V$30)*2/8760</f>
        <v>0.12645029099379063</v>
      </c>
    </row>
    <row r="12" spans="2:23" ht="5.25" customHeight="1" thickBot="1">
      <c r="B12" s="225"/>
      <c r="C12" s="236"/>
      <c r="D12" s="247"/>
      <c r="E12" s="237"/>
      <c r="F12" s="248"/>
      <c r="G12" s="249"/>
      <c r="I12" s="225"/>
      <c r="J12" s="247"/>
      <c r="K12" s="237"/>
      <c r="L12" s="248"/>
      <c r="M12" s="249"/>
      <c r="N12" s="247"/>
      <c r="O12" s="237"/>
      <c r="P12" s="248"/>
      <c r="Q12" s="249"/>
      <c r="S12" s="225"/>
      <c r="T12" s="247"/>
      <c r="U12" s="237"/>
      <c r="V12" s="248"/>
      <c r="W12" s="249"/>
    </row>
    <row r="13" spans="2:23" ht="13.5" thickBot="1">
      <c r="B13" s="226">
        <f>'Table A - Combined'!$B$11</f>
        <v>2023</v>
      </c>
      <c r="C13" s="250">
        <f>INDEX('Exhibit 3 - Levelized Capacity'!$F$9:$F$29,MATCH($B13,'Exhibit 3 - Levelized Capacity'!$B$9:$B$29,0),1)</f>
        <v>131511.48713181337</v>
      </c>
      <c r="D13" s="247">
        <f>$C13*IF(LEFT(D$5,6)="Winter",Profiles!$AB$29,Profiles!$AB$28)*D$10</f>
        <v>44258.221233071803</v>
      </c>
      <c r="E13" s="247">
        <f>$C13*IF(LEFT(E$5,6)="Winter",Profiles!$AB$29,Profiles!$AB$28)*E$10</f>
        <v>87253.265898741563</v>
      </c>
      <c r="F13" s="248">
        <f t="shared" ref="F13:F32" si="0">D13/(F$11*8760)</f>
        <v>7.58105879292083</v>
      </c>
      <c r="G13" s="249">
        <f t="shared" ref="G13:G32" si="1">E13/(G$11*8760)</f>
        <v>29.799612670335232</v>
      </c>
      <c r="I13" s="226">
        <f>'Table A - Combined'!$B$11</f>
        <v>2023</v>
      </c>
      <c r="J13" s="247">
        <f>$C13*IF(LEFT(J$5,6)="Winter",Profiles!$AB$29,Profiles!$AB$28)*J$10</f>
        <v>5212.0379271657666</v>
      </c>
      <c r="K13" s="247">
        <f>$C13*IF(LEFT(K$5,6)="Winter",Profiles!$AB$29,Profiles!$AB$28)*K$10</f>
        <v>10275.318764810574</v>
      </c>
      <c r="L13" s="248">
        <f t="shared" ref="L13:L32" si="2">J13/(L$11*8760)</f>
        <v>2.203579587501558</v>
      </c>
      <c r="M13" s="249">
        <f t="shared" ref="M13:M32" si="3">K13/(M$11*8760)</f>
        <v>10.663159190902057</v>
      </c>
      <c r="N13" s="247">
        <f>$C13*IF(LEFT(N$5,6)="Winter",Profiles!$AB$29,Profiles!$AB$28)*N$10</f>
        <v>885.1644246614361</v>
      </c>
      <c r="O13" s="247">
        <f>$C13*IF(LEFT(O$5,6)="Winter",Profiles!$AB$29,Profiles!$AB$28)*O$10</f>
        <v>1745.0653179748313</v>
      </c>
      <c r="P13" s="248">
        <f t="shared" ref="P13:P32" si="4">N13/(P$11*8760)</f>
        <v>0.71170527626896962</v>
      </c>
      <c r="Q13" s="249">
        <f t="shared" ref="Q13:Q32" si="5">O13/(Q$11*8760)</f>
        <v>1.8625195242105987</v>
      </c>
      <c r="S13" s="226">
        <f>'Table A - Combined'!$B$11</f>
        <v>2023</v>
      </c>
      <c r="T13" s="247">
        <f>$C13*IF(LEFT(T$5,6)="Winter",Profiles!$AB$29,Profiles!$AB$28)*T$10</f>
        <v>885.1644246614361</v>
      </c>
      <c r="U13" s="247">
        <f>$C13*IF(LEFT(U$5,6)="Winter",Profiles!$AB$29,Profiles!$AB$28)*U$10</f>
        <v>1745.0653179748313</v>
      </c>
      <c r="V13" s="248">
        <f t="shared" ref="V13:V32" si="6">T13/(V$11*8760)</f>
        <v>0.83303864872472866</v>
      </c>
      <c r="W13" s="249">
        <f t="shared" ref="W13:W32" si="7">U13/(W$11*8760)</f>
        <v>1.5753887797823434</v>
      </c>
    </row>
    <row r="14" spans="2:23" ht="13.5" thickBot="1">
      <c r="B14" s="226">
        <f t="shared" ref="B14:B32" si="8">B13+1</f>
        <v>2024</v>
      </c>
      <c r="C14" s="250">
        <f>INDEX('Exhibit 3 - Levelized Capacity'!$F$9:$F$29,MATCH($B14,'Exhibit 3 - Levelized Capacity'!$B$9:$B$29,0),1)</f>
        <v>134792.16134102672</v>
      </c>
      <c r="D14" s="247">
        <f>$C14*IF(LEFT(D$5,6)="Winter",Profiles!$AB$29,Profiles!$AB$28)*D$10</f>
        <v>45362.283000691139</v>
      </c>
      <c r="E14" s="247">
        <f>$C14*IF(LEFT(E$5,6)="Winter",Profiles!$AB$29,Profiles!$AB$28)*E$10</f>
        <v>89429.878340335577</v>
      </c>
      <c r="F14" s="248">
        <f t="shared" si="0"/>
        <v>7.7701752313619625</v>
      </c>
      <c r="G14" s="249">
        <f t="shared" si="1"/>
        <v>30.542991236453407</v>
      </c>
      <c r="I14" s="226">
        <f t="shared" ref="I14:I32" si="9">I13+1</f>
        <v>2024</v>
      </c>
      <c r="J14" s="247">
        <f>$C14*IF(LEFT(J$5,6)="Winter",Profiles!$AB$29,Profiles!$AB$28)*J$10</f>
        <v>5342.056975524305</v>
      </c>
      <c r="K14" s="247">
        <f>$C14*IF(LEFT(K$5,6)="Winter",Profiles!$AB$29,Profiles!$AB$28)*K$10</f>
        <v>10531.645980009445</v>
      </c>
      <c r="L14" s="248">
        <f t="shared" si="2"/>
        <v>2.2585498937335871</v>
      </c>
      <c r="M14" s="249">
        <f t="shared" si="3"/>
        <v>10.929161439901538</v>
      </c>
      <c r="N14" s="247">
        <f>$C14*IF(LEFT(N$5,6)="Winter",Profiles!$AB$29,Profiles!$AB$28)*N$10</f>
        <v>907.24566001382277</v>
      </c>
      <c r="O14" s="247">
        <f>$C14*IF(LEFT(O$5,6)="Winter",Profiles!$AB$29,Profiles!$AB$28)*O$10</f>
        <v>1788.5975668067115</v>
      </c>
      <c r="P14" s="248">
        <f t="shared" si="4"/>
        <v>0.72945941467420594</v>
      </c>
      <c r="Q14" s="249">
        <f t="shared" si="5"/>
        <v>1.9089817755355318</v>
      </c>
      <c r="S14" s="226">
        <f t="shared" ref="S14:S32" si="10">S13+1</f>
        <v>2024</v>
      </c>
      <c r="T14" s="247">
        <f>$C14*IF(LEFT(T$5,6)="Winter",Profiles!$AB$29,Profiles!$AB$28)*T$10</f>
        <v>907.24566001382277</v>
      </c>
      <c r="U14" s="247">
        <f>$C14*IF(LEFT(U$5,6)="Winter",Profiles!$AB$29,Profiles!$AB$28)*U$10</f>
        <v>1788.5975668067115</v>
      </c>
      <c r="V14" s="248">
        <f t="shared" si="6"/>
        <v>0.85381955896878925</v>
      </c>
      <c r="W14" s="249">
        <f t="shared" si="7"/>
        <v>1.6146882923347019</v>
      </c>
    </row>
    <row r="15" spans="2:23" ht="13.5" thickBot="1">
      <c r="B15" s="226">
        <f t="shared" si="8"/>
        <v>2025</v>
      </c>
      <c r="C15" s="250">
        <f>INDEX('Exhibit 3 - Levelized Capacity'!$F$9:$F$29,MATCH($B15,'Exhibit 3 - Levelized Capacity'!$B$9:$B$29,0),1)</f>
        <v>138154.6749659575</v>
      </c>
      <c r="D15" s="247">
        <f>$C15*IF(LEFT(D$5,6)="Winter",Profiles!$AB$29,Profiles!$AB$28)*D$10</f>
        <v>46493.886597890552</v>
      </c>
      <c r="E15" s="247">
        <f>$C15*IF(LEFT(E$5,6)="Winter",Profiles!$AB$29,Profiles!$AB$28)*E$10</f>
        <v>91660.788368066947</v>
      </c>
      <c r="F15" s="248">
        <f t="shared" si="0"/>
        <v>7.9640093521566548</v>
      </c>
      <c r="G15" s="249">
        <f t="shared" si="1"/>
        <v>31.304914060132155</v>
      </c>
      <c r="I15" s="226">
        <f t="shared" si="9"/>
        <v>2025</v>
      </c>
      <c r="J15" s="247">
        <f>$C15*IF(LEFT(J$5,6)="Winter",Profiles!$AB$29,Profiles!$AB$28)*J$10</f>
        <v>5475.3194678432083</v>
      </c>
      <c r="K15" s="247">
        <f>$C15*IF(LEFT(K$5,6)="Winter",Profiles!$AB$29,Profiles!$AB$28)*K$10</f>
        <v>10794.367511798926</v>
      </c>
      <c r="L15" s="248">
        <f t="shared" si="2"/>
        <v>2.3148914844812207</v>
      </c>
      <c r="M15" s="249">
        <f t="shared" si="3"/>
        <v>11.201799358049911</v>
      </c>
      <c r="N15" s="247">
        <f>$C15*IF(LEFT(N$5,6)="Winter",Profiles!$AB$29,Profiles!$AB$28)*N$10</f>
        <v>929.87773195781108</v>
      </c>
      <c r="O15" s="247">
        <f>$C15*IF(LEFT(O$5,6)="Winter",Profiles!$AB$29,Profiles!$AB$28)*O$10</f>
        <v>1833.215767361339</v>
      </c>
      <c r="P15" s="248">
        <f t="shared" si="4"/>
        <v>0.74765644628400685</v>
      </c>
      <c r="Q15" s="249">
        <f t="shared" si="5"/>
        <v>1.9566030701725596</v>
      </c>
      <c r="S15" s="226">
        <f t="shared" si="10"/>
        <v>2025</v>
      </c>
      <c r="T15" s="247">
        <f>$C15*IF(LEFT(T$5,6)="Winter",Profiles!$AB$29,Profiles!$AB$28)*T$10</f>
        <v>929.87773195781108</v>
      </c>
      <c r="U15" s="247">
        <f>$C15*IF(LEFT(U$5,6)="Winter",Profiles!$AB$29,Profiles!$AB$28)*U$10</f>
        <v>1833.215767361339</v>
      </c>
      <c r="V15" s="248">
        <f t="shared" si="6"/>
        <v>0.87511886800651073</v>
      </c>
      <c r="W15" s="249">
        <f t="shared" si="7"/>
        <v>1.6549681671358423</v>
      </c>
    </row>
    <row r="16" spans="2:23" ht="13.5" thickBot="1">
      <c r="B16" s="226">
        <f t="shared" si="8"/>
        <v>2026</v>
      </c>
      <c r="C16" s="250">
        <f>INDEX('Exhibit 3 - Levelized Capacity'!$F$9:$F$29,MATCH($B16,'Exhibit 3 - Levelized Capacity'!$B$9:$B$29,0),1)</f>
        <v>141601.06956560785</v>
      </c>
      <c r="D16" s="247">
        <f>$C16*IF(LEFT(D$5,6)="Winter",Profiles!$AB$29,Profiles!$AB$28)*D$10</f>
        <v>47653.719080774026</v>
      </c>
      <c r="E16" s="247">
        <f>$C16*IF(LEFT(E$5,6)="Winter",Profiles!$AB$29,Profiles!$AB$28)*E$10</f>
        <v>93947.35048483382</v>
      </c>
      <c r="F16" s="248">
        <f t="shared" si="0"/>
        <v>8.1626788422017853</v>
      </c>
      <c r="G16" s="249">
        <f t="shared" si="1"/>
        <v>32.085843744820295</v>
      </c>
      <c r="I16" s="226">
        <f t="shared" si="9"/>
        <v>2026</v>
      </c>
      <c r="J16" s="247">
        <f>$C16*IF(LEFT(J$5,6)="Winter",Profiles!$AB$29,Profiles!$AB$28)*J$10</f>
        <v>5611.9063147956185</v>
      </c>
      <c r="K16" s="247">
        <f>$C16*IF(LEFT(K$5,6)="Winter",Profiles!$AB$29,Profiles!$AB$28)*K$10</f>
        <v>11063.642872248884</v>
      </c>
      <c r="L16" s="248">
        <f t="shared" si="2"/>
        <v>2.3726385676896502</v>
      </c>
      <c r="M16" s="249">
        <f t="shared" si="3"/>
        <v>11.481238478177135</v>
      </c>
      <c r="N16" s="247">
        <f>$C16*IF(LEFT(N$5,6)="Winter",Profiles!$AB$29,Profiles!$AB$28)*N$10</f>
        <v>953.07438161548055</v>
      </c>
      <c r="O16" s="247">
        <f>$C16*IF(LEFT(O$5,6)="Winter",Profiles!$AB$29,Profiles!$AB$28)*O$10</f>
        <v>1878.9470096966763</v>
      </c>
      <c r="P16" s="248">
        <f t="shared" si="4"/>
        <v>0.76630741947403391</v>
      </c>
      <c r="Q16" s="249">
        <f t="shared" si="5"/>
        <v>2.005412321516125</v>
      </c>
      <c r="S16" s="226">
        <f t="shared" si="10"/>
        <v>2026</v>
      </c>
      <c r="T16" s="247">
        <f>$C16*IF(LEFT(T$5,6)="Winter",Profiles!$AB$29,Profiles!$AB$28)*T$10</f>
        <v>953.07438161548055</v>
      </c>
      <c r="U16" s="247">
        <f>$C16*IF(LEFT(U$5,6)="Winter",Profiles!$AB$29,Profiles!$AB$28)*U$10</f>
        <v>1878.9470096966763</v>
      </c>
      <c r="V16" s="248">
        <f t="shared" si="6"/>
        <v>0.89694950776946436</v>
      </c>
      <c r="W16" s="249">
        <f t="shared" si="7"/>
        <v>1.6962528602178217</v>
      </c>
    </row>
    <row r="17" spans="2:23" ht="13.5" thickBot="1">
      <c r="B17" s="226">
        <f t="shared" si="8"/>
        <v>2027</v>
      </c>
      <c r="C17" s="250">
        <f>INDEX('Exhibit 3 - Levelized Capacity'!$F$9:$F$29,MATCH($B17,'Exhibit 3 - Levelized Capacity'!$B$9:$B$29,0),1)</f>
        <v>145133.43762753464</v>
      </c>
      <c r="D17" s="247">
        <f>$C17*IF(LEFT(D$5,6)="Winter",Profiles!$AB$29,Profiles!$AB$28)*D$10</f>
        <v>48842.484644687836</v>
      </c>
      <c r="E17" s="247">
        <f>$C17*IF(LEFT(E$5,6)="Winter",Profiles!$AB$29,Profiles!$AB$28)*E$10</f>
        <v>96290.952982846808</v>
      </c>
      <c r="F17" s="248">
        <f t="shared" si="0"/>
        <v>8.3663043242014101</v>
      </c>
      <c r="G17" s="249">
        <f t="shared" si="1"/>
        <v>32.886254434032381</v>
      </c>
      <c r="I17" s="226">
        <f t="shared" si="9"/>
        <v>2027</v>
      </c>
      <c r="J17" s="247">
        <f>$C17*IF(LEFT(J$5,6)="Winter",Profiles!$AB$29,Profiles!$AB$28)*J$10</f>
        <v>5751.9004454453507</v>
      </c>
      <c r="K17" s="247">
        <f>$C17*IF(LEFT(K$5,6)="Winter",Profiles!$AB$29,Profiles!$AB$28)*K$10</f>
        <v>11339.635552603524</v>
      </c>
      <c r="L17" s="248">
        <f t="shared" si="2"/>
        <v>2.4318262046525159</v>
      </c>
      <c r="M17" s="249">
        <f t="shared" si="3"/>
        <v>11.767648462480871</v>
      </c>
      <c r="N17" s="247">
        <f>$C17*IF(LEFT(N$5,6)="Winter",Profiles!$AB$29,Profiles!$AB$28)*N$10</f>
        <v>976.8496928937567</v>
      </c>
      <c r="O17" s="247">
        <f>$C17*IF(LEFT(O$5,6)="Winter",Profiles!$AB$29,Profiles!$AB$28)*O$10</f>
        <v>1925.8190596569361</v>
      </c>
      <c r="P17" s="248">
        <f t="shared" si="4"/>
        <v>0.78542365823177462</v>
      </c>
      <c r="Q17" s="249">
        <f t="shared" si="5"/>
        <v>2.0554391642317151</v>
      </c>
      <c r="S17" s="226">
        <f t="shared" si="10"/>
        <v>2027</v>
      </c>
      <c r="T17" s="247">
        <f>$C17*IF(LEFT(T$5,6)="Winter",Profiles!$AB$29,Profiles!$AB$28)*T$10</f>
        <v>976.8496928937567</v>
      </c>
      <c r="U17" s="247">
        <f>$C17*IF(LEFT(U$5,6)="Winter",Profiles!$AB$29,Profiles!$AB$28)*U$10</f>
        <v>1925.8190596569361</v>
      </c>
      <c r="V17" s="248">
        <f t="shared" si="6"/>
        <v>0.91932473278807081</v>
      </c>
      <c r="W17" s="249">
        <f t="shared" si="7"/>
        <v>1.7385674376907641</v>
      </c>
    </row>
    <row r="18" spans="2:23" ht="13.5" thickBot="1">
      <c r="B18" s="226">
        <f t="shared" si="8"/>
        <v>2028</v>
      </c>
      <c r="C18" s="250">
        <f>INDEX('Exhibit 3 - Levelized Capacity'!$F$9:$F$29,MATCH($B18,'Exhibit 3 - Levelized Capacity'!$B$9:$B$29,0),1)</f>
        <v>148753.92383830875</v>
      </c>
      <c r="D18" s="247">
        <f>$C18*IF(LEFT(D$5,6)="Winter",Profiles!$AB$29,Profiles!$AB$28)*D$10</f>
        <v>50060.905051774571</v>
      </c>
      <c r="E18" s="247">
        <f>$C18*IF(LEFT(E$5,6)="Winter",Profiles!$AB$29,Profiles!$AB$28)*E$10</f>
        <v>98693.018786534172</v>
      </c>
      <c r="F18" s="248">
        <f t="shared" si="0"/>
        <v>8.5750094299031474</v>
      </c>
      <c r="G18" s="249">
        <f t="shared" si="1"/>
        <v>33.706632099226155</v>
      </c>
      <c r="I18" s="226">
        <f t="shared" si="9"/>
        <v>2028</v>
      </c>
      <c r="J18" s="247">
        <f>$C18*IF(LEFT(J$5,6)="Winter",Profiles!$AB$29,Profiles!$AB$28)*J$10</f>
        <v>5895.386857597483</v>
      </c>
      <c r="K18" s="247">
        <f>$C18*IF(LEFT(K$5,6)="Winter",Profiles!$AB$29,Profiles!$AB$28)*K$10</f>
        <v>11622.513122545517</v>
      </c>
      <c r="L18" s="248">
        <f t="shared" si="2"/>
        <v>2.4924903312994626</v>
      </c>
      <c r="M18" s="249">
        <f t="shared" si="3"/>
        <v>12.061203205537312</v>
      </c>
      <c r="N18" s="247">
        <f>$C18*IF(LEFT(N$5,6)="Winter",Profiles!$AB$29,Profiles!$AB$28)*N$10</f>
        <v>1001.2181010354915</v>
      </c>
      <c r="O18" s="247">
        <f>$C18*IF(LEFT(O$5,6)="Winter",Profiles!$AB$29,Profiles!$AB$28)*O$10</f>
        <v>1973.8603757306835</v>
      </c>
      <c r="P18" s="248">
        <f t="shared" si="4"/>
        <v>0.8050167690319312</v>
      </c>
      <c r="Q18" s="249">
        <f t="shared" si="5"/>
        <v>2.1067139722486248</v>
      </c>
      <c r="S18" s="226">
        <f t="shared" si="10"/>
        <v>2028</v>
      </c>
      <c r="T18" s="247">
        <f>$C18*IF(LEFT(T$5,6)="Winter",Profiles!$AB$29,Profiles!$AB$28)*T$10</f>
        <v>1001.2181010354915</v>
      </c>
      <c r="U18" s="247">
        <f>$C18*IF(LEFT(U$5,6)="Winter",Profiles!$AB$29,Profiles!$AB$28)*U$10</f>
        <v>1973.8603757306835</v>
      </c>
      <c r="V18" s="248">
        <f t="shared" si="6"/>
        <v>0.94225812823912258</v>
      </c>
      <c r="W18" s="249">
        <f t="shared" si="7"/>
        <v>1.781937590961812</v>
      </c>
    </row>
    <row r="19" spans="2:23" ht="13.5" thickBot="1">
      <c r="B19" s="226">
        <f t="shared" si="8"/>
        <v>2029</v>
      </c>
      <c r="C19" s="250">
        <f>INDEX('Exhibit 3 - Levelized Capacity'!$F$9:$F$29,MATCH($B19,'Exhibit 3 - Levelized Capacity'!$B$9:$B$29,0),1)</f>
        <v>152464.72638566713</v>
      </c>
      <c r="D19" s="247">
        <f>$C19*IF(LEFT(D$5,6)="Winter",Profiles!$AB$29,Profiles!$AB$28)*D$10</f>
        <v>51309.720069192961</v>
      </c>
      <c r="E19" s="247">
        <f>$C19*IF(LEFT(E$5,6)="Winter",Profiles!$AB$29,Profiles!$AB$28)*E$10</f>
        <v>101155.00631647417</v>
      </c>
      <c r="F19" s="248">
        <f t="shared" si="0"/>
        <v>8.7889208751615211</v>
      </c>
      <c r="G19" s="249">
        <f t="shared" si="1"/>
        <v>34.547474834861397</v>
      </c>
      <c r="I19" s="226">
        <f t="shared" si="9"/>
        <v>2029</v>
      </c>
      <c r="J19" s="247">
        <f>$C19*IF(LEFT(J$5,6)="Winter",Profiles!$AB$29,Profiles!$AB$28)*J$10</f>
        <v>6042.4526694050101</v>
      </c>
      <c r="K19" s="247">
        <f>$C19*IF(LEFT(K$5,6)="Winter",Profiles!$AB$29,Profiles!$AB$28)*K$10</f>
        <v>11912.447331936377</v>
      </c>
      <c r="L19" s="248">
        <f t="shared" si="2"/>
        <v>2.5546677800147366</v>
      </c>
      <c r="M19" s="249">
        <f t="shared" si="3"/>
        <v>12.362080939881748</v>
      </c>
      <c r="N19" s="247">
        <f>$C19*IF(LEFT(N$5,6)="Winter",Profiles!$AB$29,Profiles!$AB$28)*N$10</f>
        <v>1026.1944013838593</v>
      </c>
      <c r="O19" s="247">
        <f>$C19*IF(LEFT(O$5,6)="Winter",Profiles!$AB$29,Profiles!$AB$28)*O$10</f>
        <v>2023.1001263294836</v>
      </c>
      <c r="P19" s="248">
        <f t="shared" si="4"/>
        <v>0.82509864788332188</v>
      </c>
      <c r="Q19" s="249">
        <f t="shared" si="5"/>
        <v>2.1592678772015672</v>
      </c>
      <c r="S19" s="226">
        <f t="shared" si="10"/>
        <v>2029</v>
      </c>
      <c r="T19" s="247">
        <f>$C19*IF(LEFT(T$5,6)="Winter",Profiles!$AB$29,Profiles!$AB$28)*T$10</f>
        <v>1026.1944013838593</v>
      </c>
      <c r="U19" s="247">
        <f>$C19*IF(LEFT(U$5,6)="Winter",Profiles!$AB$29,Profiles!$AB$28)*U$10</f>
        <v>2023.1001263294836</v>
      </c>
      <c r="V19" s="248">
        <f t="shared" si="6"/>
        <v>0.96576361819405987</v>
      </c>
      <c r="W19" s="249">
        <f t="shared" si="7"/>
        <v>1.8263896523337346</v>
      </c>
    </row>
    <row r="20" spans="2:23" ht="13.5" thickBot="1">
      <c r="B20" s="226">
        <f t="shared" si="8"/>
        <v>2030</v>
      </c>
      <c r="C20" s="250">
        <f>INDEX('Exhibit 3 - Levelized Capacity'!$F$9:$F$29,MATCH($B20,'Exhibit 3 - Levelized Capacity'!$B$9:$B$29,0),1)</f>
        <v>156268.09829314845</v>
      </c>
      <c r="D20" s="247">
        <f>$C20*IF(LEFT(D$5,6)="Winter",Profiles!$AB$29,Profiles!$AB$28)*D$10</f>
        <v>52589.687918269454</v>
      </c>
      <c r="E20" s="247">
        <f>$C20*IF(LEFT(E$5,6)="Winter",Profiles!$AB$29,Profiles!$AB$28)*E$10</f>
        <v>103678.41037487899</v>
      </c>
      <c r="F20" s="248">
        <f t="shared" si="0"/>
        <v>9.0081685368738356</v>
      </c>
      <c r="G20" s="249">
        <f t="shared" si="1"/>
        <v>35.409293160819331</v>
      </c>
      <c r="I20" s="226">
        <f t="shared" si="9"/>
        <v>2030</v>
      </c>
      <c r="J20" s="247">
        <f>$C20*IF(LEFT(J$5,6)="Winter",Profiles!$AB$29,Profiles!$AB$28)*J$10</f>
        <v>6193.1871722628521</v>
      </c>
      <c r="K20" s="247">
        <f>$C20*IF(LEFT(K$5,6)="Winter",Profiles!$AB$29,Profiles!$AB$28)*K$10</f>
        <v>12209.614215094845</v>
      </c>
      <c r="L20" s="248">
        <f t="shared" si="2"/>
        <v>2.6183963020000625</v>
      </c>
      <c r="M20" s="249">
        <f t="shared" si="3"/>
        <v>12.670464344222914</v>
      </c>
      <c r="N20" s="247">
        <f>$C20*IF(LEFT(N$5,6)="Winter",Profiles!$AB$29,Profiles!$AB$28)*N$10</f>
        <v>1051.7937583653891</v>
      </c>
      <c r="O20" s="247">
        <f>$C20*IF(LEFT(O$5,6)="Winter",Profiles!$AB$29,Profiles!$AB$28)*O$10</f>
        <v>2073.5682074975798</v>
      </c>
      <c r="P20" s="248">
        <f t="shared" si="4"/>
        <v>0.8456814875515748</v>
      </c>
      <c r="Q20" s="249">
        <f t="shared" si="5"/>
        <v>2.2131327873323299</v>
      </c>
      <c r="S20" s="226">
        <f t="shared" si="10"/>
        <v>2030</v>
      </c>
      <c r="T20" s="247">
        <f>$C20*IF(LEFT(T$5,6)="Winter",Profiles!$AB$29,Profiles!$AB$28)*T$10</f>
        <v>1051.7937583653891</v>
      </c>
      <c r="U20" s="247">
        <f>$C20*IF(LEFT(U$5,6)="Winter",Profiles!$AB$29,Profiles!$AB$28)*U$10</f>
        <v>2073.5682074975798</v>
      </c>
      <c r="V20" s="248">
        <f t="shared" si="6"/>
        <v>0.98985547407300822</v>
      </c>
      <c r="W20" s="249">
        <f t="shared" si="7"/>
        <v>1.8719506109926529</v>
      </c>
    </row>
    <row r="21" spans="2:23" ht="13.5" thickBot="1">
      <c r="B21" s="226">
        <f t="shared" si="8"/>
        <v>2031</v>
      </c>
      <c r="C21" s="250">
        <f>INDEX('Exhibit 3 - Levelized Capacity'!$F$9:$F$29,MATCH($B21,'Exhibit 3 - Levelized Capacity'!$B$9:$B$29,0),1)</f>
        <v>160166.34878802201</v>
      </c>
      <c r="D21" s="247">
        <f>$C21*IF(LEFT(D$5,6)="Winter",Profiles!$AB$29,Profiles!$AB$28)*D$10</f>
        <v>53901.585734854249</v>
      </c>
      <c r="E21" s="247">
        <f>$C21*IF(LEFT(E$5,6)="Winter",Profiles!$AB$29,Profiles!$AB$28)*E$10</f>
        <v>106264.76305316776</v>
      </c>
      <c r="F21" s="248">
        <f t="shared" si="0"/>
        <v>9.2328855318352598</v>
      </c>
      <c r="G21" s="249">
        <f t="shared" si="1"/>
        <v>36.292610332366039</v>
      </c>
      <c r="I21" s="226">
        <f t="shared" si="9"/>
        <v>2031</v>
      </c>
      <c r="J21" s="247">
        <f>$C21*IF(LEFT(J$5,6)="Winter",Profiles!$AB$29,Profiles!$AB$28)*J$10</f>
        <v>6347.6818850213594</v>
      </c>
      <c r="K21" s="247">
        <f>$C21*IF(LEFT(K$5,6)="Winter",Profiles!$AB$29,Profiles!$AB$28)*K$10</f>
        <v>12514.194197676585</v>
      </c>
      <c r="L21" s="248">
        <f t="shared" si="2"/>
        <v>2.6837145901953847</v>
      </c>
      <c r="M21" s="249">
        <f t="shared" si="3"/>
        <v>12.986540654356844</v>
      </c>
      <c r="N21" s="247">
        <f>$C21*IF(LEFT(N$5,6)="Winter",Profiles!$AB$29,Profiles!$AB$28)*N$10</f>
        <v>1078.0317146970849</v>
      </c>
      <c r="O21" s="247">
        <f>$C21*IF(LEFT(O$5,6)="Winter",Profiles!$AB$29,Profiles!$AB$28)*O$10</f>
        <v>2125.2952610633552</v>
      </c>
      <c r="P21" s="248">
        <f t="shared" si="4"/>
        <v>0.86677778496199676</v>
      </c>
      <c r="Q21" s="249">
        <f t="shared" si="5"/>
        <v>2.2683414068629446</v>
      </c>
      <c r="S21" s="226">
        <f t="shared" si="10"/>
        <v>2031</v>
      </c>
      <c r="T21" s="247">
        <f>$C21*IF(LEFT(T$5,6)="Winter",Profiles!$AB$29,Profiles!$AB$28)*T$10</f>
        <v>1078.0317146970849</v>
      </c>
      <c r="U21" s="247">
        <f>$C21*IF(LEFT(U$5,6)="Winter",Profiles!$AB$29,Profiles!$AB$28)*U$10</f>
        <v>2125.2952610633552</v>
      </c>
      <c r="V21" s="248">
        <f t="shared" si="6"/>
        <v>1.0145483233097072</v>
      </c>
      <c r="W21" s="249">
        <f t="shared" si="7"/>
        <v>1.9186481293945963</v>
      </c>
    </row>
    <row r="22" spans="2:23" ht="13.5" thickBot="1">
      <c r="B22" s="226">
        <f t="shared" si="8"/>
        <v>2032</v>
      </c>
      <c r="C22" s="250">
        <f>INDEX('Exhibit 3 - Levelized Capacity'!$F$9:$F$29,MATCH($B22,'Exhibit 3 - Levelized Capacity'!$B$9:$B$29,0),1)</f>
        <v>164161.84470334137</v>
      </c>
      <c r="D22" s="247">
        <f>$C22*IF(LEFT(D$5,6)="Winter",Profiles!$AB$29,Profiles!$AB$28)*D$10</f>
        <v>55246.210041161423</v>
      </c>
      <c r="E22" s="247">
        <f>$C22*IF(LEFT(E$5,6)="Winter",Profiles!$AB$29,Profiles!$AB$28)*E$10</f>
        <v>108915.63466217995</v>
      </c>
      <c r="F22" s="248">
        <f t="shared" si="0"/>
        <v>9.463208297561053</v>
      </c>
      <c r="G22" s="249">
        <f t="shared" si="1"/>
        <v>37.197962657848343</v>
      </c>
      <c r="I22" s="226">
        <f t="shared" si="9"/>
        <v>2032</v>
      </c>
      <c r="J22" s="247">
        <f>$C22*IF(LEFT(J$5,6)="Winter",Profiles!$AB$29,Profiles!$AB$28)*J$10</f>
        <v>6506.0306095522292</v>
      </c>
      <c r="K22" s="247">
        <f>$C22*IF(LEFT(K$5,6)="Winter",Profiles!$AB$29,Profiles!$AB$28)*K$10</f>
        <v>12826.372206220096</v>
      </c>
      <c r="L22" s="248">
        <f t="shared" si="2"/>
        <v>2.7506623027713899</v>
      </c>
      <c r="M22" s="249">
        <f t="shared" si="3"/>
        <v>13.310501776847588</v>
      </c>
      <c r="N22" s="247">
        <f>$C22*IF(LEFT(N$5,6)="Winter",Profiles!$AB$29,Profiles!$AB$28)*N$10</f>
        <v>1104.9242008232284</v>
      </c>
      <c r="O22" s="247">
        <f>$C22*IF(LEFT(O$5,6)="Winter",Profiles!$AB$29,Profiles!$AB$28)*O$10</f>
        <v>2178.3126932435989</v>
      </c>
      <c r="P22" s="248">
        <f t="shared" si="4"/>
        <v>0.88840034878711549</v>
      </c>
      <c r="Q22" s="249">
        <f t="shared" si="5"/>
        <v>2.3249272558521454</v>
      </c>
      <c r="S22" s="226">
        <f t="shared" si="10"/>
        <v>2032</v>
      </c>
      <c r="T22" s="247">
        <f>$C22*IF(LEFT(T$5,6)="Winter",Profiles!$AB$29,Profiles!$AB$28)*T$10</f>
        <v>1104.9242008232284</v>
      </c>
      <c r="U22" s="247">
        <f>$C22*IF(LEFT(U$5,6)="Winter",Profiles!$AB$29,Profiles!$AB$28)*U$10</f>
        <v>2178.3126932435989</v>
      </c>
      <c r="V22" s="248">
        <f t="shared" si="6"/>
        <v>1.0398571582325973</v>
      </c>
      <c r="W22" s="249">
        <f t="shared" si="7"/>
        <v>1.9665105600608344</v>
      </c>
    </row>
    <row r="23" spans="2:23" ht="13.5" thickBot="1">
      <c r="B23" s="226">
        <f t="shared" si="8"/>
        <v>2033</v>
      </c>
      <c r="C23" s="250">
        <f>INDEX('Exhibit 3 - Levelized Capacity'!$F$9:$F$29,MATCH($B23,'Exhibit 3 - Levelized Capacity'!$B$9:$B$29,0),1)</f>
        <v>168257.01191497315</v>
      </c>
      <c r="D23" s="247">
        <f>$C23*IF(LEFT(D$5,6)="Winter",Profiles!$AB$29,Profiles!$AB$28)*D$10</f>
        <v>56624.377229379439</v>
      </c>
      <c r="E23" s="247">
        <f>$C23*IF(LEFT(E$5,6)="Winter",Profiles!$AB$29,Profiles!$AB$28)*E$10</f>
        <v>111632.6346855937</v>
      </c>
      <c r="F23" s="248">
        <f t="shared" si="0"/>
        <v>9.6992766751249473</v>
      </c>
      <c r="G23" s="249">
        <f t="shared" si="1"/>
        <v>38.125899824314786</v>
      </c>
      <c r="I23" s="226">
        <f t="shared" si="9"/>
        <v>2033</v>
      </c>
      <c r="J23" s="247">
        <f>$C23*IF(LEFT(J$5,6)="Winter",Profiles!$AB$29,Profiles!$AB$28)*J$10</f>
        <v>6668.3294877005492</v>
      </c>
      <c r="K23" s="247">
        <f>$C23*IF(LEFT(K$5,6)="Winter",Profiles!$AB$29,Profiles!$AB$28)*K$10</f>
        <v>13146.337780425345</v>
      </c>
      <c r="L23" s="248">
        <f t="shared" si="2"/>
        <v>2.8192800872080661</v>
      </c>
      <c r="M23" s="249">
        <f t="shared" si="3"/>
        <v>13.642544405543775</v>
      </c>
      <c r="N23" s="247">
        <f>$C23*IF(LEFT(N$5,6)="Winter",Profiles!$AB$29,Profiles!$AB$28)*N$10</f>
        <v>1132.4875445875889</v>
      </c>
      <c r="O23" s="247">
        <f>$C23*IF(LEFT(O$5,6)="Winter",Profiles!$AB$29,Profiles!$AB$28)*O$10</f>
        <v>2232.6526937118742</v>
      </c>
      <c r="P23" s="248">
        <f t="shared" si="4"/>
        <v>0.91056230722349751</v>
      </c>
      <c r="Q23" s="249">
        <f t="shared" si="5"/>
        <v>2.3829246905471573</v>
      </c>
      <c r="S23" s="226">
        <f t="shared" si="10"/>
        <v>2033</v>
      </c>
      <c r="T23" s="247">
        <f>$C23*IF(LEFT(T$5,6)="Winter",Profiles!$AB$29,Profiles!$AB$28)*T$10</f>
        <v>1132.4875445875889</v>
      </c>
      <c r="U23" s="247">
        <f>$C23*IF(LEFT(U$5,6)="Winter",Profiles!$AB$29,Profiles!$AB$28)*U$10</f>
        <v>2232.6526937118742</v>
      </c>
      <c r="V23" s="248">
        <f t="shared" si="6"/>
        <v>1.065797345167449</v>
      </c>
      <c r="W23" s="249">
        <f t="shared" si="7"/>
        <v>2.0155669627921866</v>
      </c>
    </row>
    <row r="24" spans="2:23" ht="13.5" thickBot="1">
      <c r="B24" s="226">
        <f t="shared" si="8"/>
        <v>2034</v>
      </c>
      <c r="C24" s="250">
        <f>INDEX('Exhibit 3 - Levelized Capacity'!$F$9:$F$29,MATCH($B24,'Exhibit 3 - Levelized Capacity'!$B$9:$B$29,0),1)</f>
        <v>172454.33681447405</v>
      </c>
      <c r="D24" s="247">
        <f>$C24*IF(LEFT(D$5,6)="Winter",Profiles!$AB$29,Profiles!$AB$28)*D$10</f>
        <v>58036.924057345874</v>
      </c>
      <c r="E24" s="247">
        <f>$C24*IF(LEFT(E$5,6)="Winter",Profiles!$AB$29,Profiles!$AB$28)*E$10</f>
        <v>114417.41275712817</v>
      </c>
      <c r="F24" s="248">
        <f t="shared" si="0"/>
        <v>9.9412339940640422</v>
      </c>
      <c r="G24" s="249">
        <f t="shared" si="1"/>
        <v>39.07698523125962</v>
      </c>
      <c r="I24" s="226">
        <f t="shared" si="9"/>
        <v>2034</v>
      </c>
      <c r="J24" s="247">
        <f>$C24*IF(LEFT(J$5,6)="Winter",Profiles!$AB$29,Profiles!$AB$28)*J$10</f>
        <v>6834.6770596575834</v>
      </c>
      <c r="K24" s="247">
        <f>$C24*IF(LEFT(K$5,6)="Winter",Profiles!$AB$29,Profiles!$AB$28)*K$10</f>
        <v>13474.285188233307</v>
      </c>
      <c r="L24" s="248">
        <f t="shared" si="2"/>
        <v>2.889609604973931</v>
      </c>
      <c r="M24" s="249">
        <f t="shared" si="3"/>
        <v>13.982870141001817</v>
      </c>
      <c r="N24" s="247">
        <f>$C24*IF(LEFT(N$5,6)="Winter",Profiles!$AB$29,Profiles!$AB$28)*N$10</f>
        <v>1160.7384811469176</v>
      </c>
      <c r="O24" s="247">
        <f>$C24*IF(LEFT(O$5,6)="Winter",Profiles!$AB$29,Profiles!$AB$28)*O$10</f>
        <v>2288.3482551425636</v>
      </c>
      <c r="P24" s="248">
        <f t="shared" si="4"/>
        <v>0.93327711596256835</v>
      </c>
      <c r="Q24" s="249">
        <f t="shared" si="5"/>
        <v>2.4423689242431856</v>
      </c>
      <c r="S24" s="226">
        <f t="shared" si="10"/>
        <v>2034</v>
      </c>
      <c r="T24" s="247">
        <f>$C24*IF(LEFT(T$5,6)="Winter",Profiles!$AB$29,Profiles!$AB$28)*T$10</f>
        <v>1160.7384811469176</v>
      </c>
      <c r="U24" s="247">
        <f>$C24*IF(LEFT(U$5,6)="Winter",Profiles!$AB$29,Profiles!$AB$28)*U$10</f>
        <v>2288.3482551425636</v>
      </c>
      <c r="V24" s="248">
        <f t="shared" si="6"/>
        <v>1.09238463376707</v>
      </c>
      <c r="W24" s="249">
        <f t="shared" si="7"/>
        <v>2.0658471223127552</v>
      </c>
    </row>
    <row r="25" spans="2:23" ht="13.5" thickBot="1">
      <c r="B25" s="226">
        <f t="shared" si="8"/>
        <v>2035</v>
      </c>
      <c r="C25" s="250">
        <f>INDEX('Exhibit 3 - Levelized Capacity'!$F$9:$F$29,MATCH($B25,'Exhibit 3 - Levelized Capacity'!$B$9:$B$29,0),1)</f>
        <v>176756.36781870999</v>
      </c>
      <c r="D25" s="247">
        <f>$C25*IF(LEFT(D$5,6)="Winter",Profiles!$AB$29,Profiles!$AB$28)*D$10</f>
        <v>59484.708156587112</v>
      </c>
      <c r="E25" s="247">
        <f>$C25*IF(LEFT(E$5,6)="Winter",Profiles!$AB$29,Profiles!$AB$28)*E$10</f>
        <v>117271.65966212287</v>
      </c>
      <c r="F25" s="248">
        <f t="shared" si="0"/>
        <v>10.189227159401698</v>
      </c>
      <c r="G25" s="249">
        <f t="shared" si="1"/>
        <v>40.051796332692234</v>
      </c>
      <c r="I25" s="226">
        <f t="shared" si="9"/>
        <v>2035</v>
      </c>
      <c r="J25" s="247">
        <f>$C25*IF(LEFT(J$5,6)="Winter",Profiles!$AB$29,Profiles!$AB$28)*J$10</f>
        <v>7005.1743237897035</v>
      </c>
      <c r="K25" s="247">
        <f>$C25*IF(LEFT(K$5,6)="Winter",Profiles!$AB$29,Profiles!$AB$28)*K$10</f>
        <v>13810.413543776243</v>
      </c>
      <c r="L25" s="248">
        <f t="shared" si="2"/>
        <v>2.9616935568209017</v>
      </c>
      <c r="M25" s="249">
        <f t="shared" si="3"/>
        <v>14.331685612888204</v>
      </c>
      <c r="N25" s="247">
        <f>$C25*IF(LEFT(N$5,6)="Winter",Profiles!$AB$29,Profiles!$AB$28)*N$10</f>
        <v>1189.6941631317422</v>
      </c>
      <c r="O25" s="247">
        <f>$C25*IF(LEFT(O$5,6)="Winter",Profiles!$AB$29,Profiles!$AB$28)*O$10</f>
        <v>2345.4331932424575</v>
      </c>
      <c r="P25" s="248">
        <f t="shared" si="4"/>
        <v>0.95655856636027081</v>
      </c>
      <c r="Q25" s="249">
        <f t="shared" si="5"/>
        <v>2.5032960486632581</v>
      </c>
      <c r="S25" s="226">
        <f t="shared" si="10"/>
        <v>2035</v>
      </c>
      <c r="T25" s="247">
        <f>$C25*IF(LEFT(T$5,6)="Winter",Profiles!$AB$29,Profiles!$AB$28)*T$10</f>
        <v>1189.6941631317422</v>
      </c>
      <c r="U25" s="247">
        <f>$C25*IF(LEFT(U$5,6)="Winter",Profiles!$AB$29,Profiles!$AB$28)*U$10</f>
        <v>2345.4331932424575</v>
      </c>
      <c r="V25" s="248">
        <f t="shared" si="6"/>
        <v>1.1196351665737487</v>
      </c>
      <c r="W25" s="249">
        <f t="shared" si="7"/>
        <v>2.1173815663538003</v>
      </c>
    </row>
    <row r="26" spans="2:23" ht="13.5" thickBot="1">
      <c r="B26" s="226">
        <f t="shared" si="8"/>
        <v>2036</v>
      </c>
      <c r="C26" s="250">
        <f>INDEX('Exhibit 3 - Levelized Capacity'!$F$9:$F$29,MATCH($B26,'Exhibit 3 - Levelized Capacity'!$B$9:$B$29,0),1)</f>
        <v>181165.71691713404</v>
      </c>
      <c r="D26" s="247">
        <f>$C26*IF(LEFT(D$5,6)="Winter",Profiles!$AB$29,Profiles!$AB$28)*D$10</f>
        <v>60968.608553031569</v>
      </c>
      <c r="E26" s="247">
        <f>$C26*IF(LEFT(E$5,6)="Winter",Profiles!$AB$29,Profiles!$AB$28)*E$10</f>
        <v>120197.10836410247</v>
      </c>
      <c r="F26" s="248">
        <f t="shared" si="0"/>
        <v>10.44340674084131</v>
      </c>
      <c r="G26" s="249">
        <f t="shared" si="1"/>
        <v>41.050924987739918</v>
      </c>
      <c r="I26" s="226">
        <f t="shared" si="9"/>
        <v>2036</v>
      </c>
      <c r="J26" s="247">
        <f>$C26*IF(LEFT(J$5,6)="Winter",Profiles!$AB$29,Profiles!$AB$28)*J$10</f>
        <v>7179.9247979598113</v>
      </c>
      <c r="K26" s="247">
        <f>$C26*IF(LEFT(K$5,6)="Winter",Profiles!$AB$29,Profiles!$AB$28)*K$10</f>
        <v>14154.926928270374</v>
      </c>
      <c r="L26" s="248">
        <f t="shared" si="2"/>
        <v>3.0355757087101662</v>
      </c>
      <c r="M26" s="249">
        <f t="shared" si="3"/>
        <v>14.689202605435256</v>
      </c>
      <c r="N26" s="247">
        <f>$C26*IF(LEFT(N$5,6)="Winter",Profiles!$AB$29,Profiles!$AB$28)*N$10</f>
        <v>1219.3721710606314</v>
      </c>
      <c r="O26" s="247">
        <f>$C26*IF(LEFT(O$5,6)="Winter",Profiles!$AB$29,Profiles!$AB$28)*O$10</f>
        <v>2403.9421672820495</v>
      </c>
      <c r="P26" s="248">
        <f t="shared" si="4"/>
        <v>0.98042079381052294</v>
      </c>
      <c r="Q26" s="249">
        <f t="shared" si="5"/>
        <v>2.5657430558714105</v>
      </c>
      <c r="S26" s="226">
        <f t="shared" si="10"/>
        <v>2036</v>
      </c>
      <c r="T26" s="247">
        <f>$C26*IF(LEFT(T$5,6)="Winter",Profiles!$AB$29,Profiles!$AB$28)*T$10</f>
        <v>1219.3721710606314</v>
      </c>
      <c r="U26" s="247">
        <f>$C26*IF(LEFT(U$5,6)="Winter",Profiles!$AB$29,Profiles!$AB$28)*U$10</f>
        <v>2403.9421672820495</v>
      </c>
      <c r="V26" s="248">
        <f t="shared" si="6"/>
        <v>1.1475654888202396</v>
      </c>
      <c r="W26" s="249">
        <f t="shared" si="7"/>
        <v>2.1702015841887308</v>
      </c>
    </row>
    <row r="27" spans="2:23" ht="13.5" thickBot="1">
      <c r="B27" s="226">
        <f t="shared" si="8"/>
        <v>2037</v>
      </c>
      <c r="C27" s="250">
        <f>INDEX('Exhibit 3 - Levelized Capacity'!$F$9:$F$29,MATCH($B27,'Exhibit 3 - Levelized Capacity'!$B$9:$B$29,0),1)</f>
        <v>185685.0612576628</v>
      </c>
      <c r="D27" s="247">
        <f>$C27*IF(LEFT(D$5,6)="Winter",Profiles!$AB$29,Profiles!$AB$28)*D$10</f>
        <v>62489.526200712608</v>
      </c>
      <c r="E27" s="247">
        <f>$C27*IF(LEFT(E$5,6)="Winter",Profiles!$AB$29,Profiles!$AB$28)*E$10</f>
        <v>123195.53505695019</v>
      </c>
      <c r="F27" s="248">
        <f t="shared" si="0"/>
        <v>10.703927064185098</v>
      </c>
      <c r="G27" s="249">
        <f t="shared" si="1"/>
        <v>42.074977819996647</v>
      </c>
      <c r="I27" s="226">
        <f t="shared" si="9"/>
        <v>2037</v>
      </c>
      <c r="J27" s="247">
        <f>$C27*IF(LEFT(J$5,6)="Winter",Profiles!$AB$29,Profiles!$AB$28)*J$10</f>
        <v>7359.0345823784819</v>
      </c>
      <c r="K27" s="247">
        <f>$C27*IF(LEFT(K$5,6)="Winter",Profiles!$AB$29,Profiles!$AB$28)*K$10</f>
        <v>14508.034513924327</v>
      </c>
      <c r="L27" s="248">
        <f t="shared" si="2"/>
        <v>3.1113009183848028</v>
      </c>
      <c r="M27" s="249">
        <f t="shared" si="3"/>
        <v>15.055638186026473</v>
      </c>
      <c r="N27" s="247">
        <f>$C27*IF(LEFT(N$5,6)="Winter",Profiles!$AB$29,Profiles!$AB$28)*N$10</f>
        <v>1249.7905240142522</v>
      </c>
      <c r="O27" s="247">
        <f>$C27*IF(LEFT(O$5,6)="Winter",Profiles!$AB$29,Profiles!$AB$28)*O$10</f>
        <v>2463.9107011390038</v>
      </c>
      <c r="P27" s="248">
        <f t="shared" si="4"/>
        <v>1.0048782863275592</v>
      </c>
      <c r="Q27" s="249">
        <f t="shared" si="5"/>
        <v>2.629747860732516</v>
      </c>
      <c r="S27" s="226">
        <f t="shared" si="10"/>
        <v>2037</v>
      </c>
      <c r="T27" s="247">
        <f>$C27*IF(LEFT(T$5,6)="Winter",Profiles!$AB$29,Profiles!$AB$28)*T$10</f>
        <v>1249.7905240142522</v>
      </c>
      <c r="U27" s="247">
        <f>$C27*IF(LEFT(U$5,6)="Winter",Profiles!$AB$29,Profiles!$AB$28)*U$10</f>
        <v>2463.9107011390038</v>
      </c>
      <c r="V27" s="248">
        <f t="shared" si="6"/>
        <v>1.1761925584752455</v>
      </c>
      <c r="W27" s="249">
        <f t="shared" si="7"/>
        <v>2.2243392456304707</v>
      </c>
    </row>
    <row r="28" spans="2:23" ht="13.5" thickBot="1">
      <c r="B28" s="226">
        <f t="shared" si="8"/>
        <v>2038</v>
      </c>
      <c r="C28" s="250">
        <f>INDEX('Exhibit 3 - Levelized Capacity'!$F$9:$F$29,MATCH($B28,'Exhibit 3 - Levelized Capacity'!$B$9:$B$29,0),1)</f>
        <v>190317.14477211385</v>
      </c>
      <c r="D28" s="247">
        <f>$C28*IF(LEFT(D$5,6)="Winter",Profiles!$AB$29,Profiles!$AB$28)*D$10</f>
        <v>64048.384528785202</v>
      </c>
      <c r="E28" s="247">
        <f>$C28*IF(LEFT(E$5,6)="Winter",Profiles!$AB$29,Profiles!$AB$28)*E$10</f>
        <v>126268.76024332865</v>
      </c>
      <c r="F28" s="248">
        <f t="shared" si="0"/>
        <v>10.970946305033436</v>
      </c>
      <c r="G28" s="249">
        <f t="shared" si="1"/>
        <v>43.124576585836287</v>
      </c>
      <c r="I28" s="226">
        <f t="shared" si="9"/>
        <v>2038</v>
      </c>
      <c r="J28" s="247">
        <f>$C28*IF(LEFT(J$5,6)="Winter",Profiles!$AB$29,Profiles!$AB$28)*J$10</f>
        <v>7542.6124240229919</v>
      </c>
      <c r="K28" s="247">
        <f>$C28*IF(LEFT(K$5,6)="Winter",Profiles!$AB$29,Profiles!$AB$28)*K$10</f>
        <v>14869.950690938607</v>
      </c>
      <c r="L28" s="248">
        <f t="shared" si="2"/>
        <v>3.1889151626052805</v>
      </c>
      <c r="M28" s="249">
        <f t="shared" si="3"/>
        <v>15.431214836989582</v>
      </c>
      <c r="N28" s="247">
        <f>$C28*IF(LEFT(N$5,6)="Winter",Profiles!$AB$29,Profiles!$AB$28)*N$10</f>
        <v>1280.967690575704</v>
      </c>
      <c r="O28" s="247">
        <f>$C28*IF(LEFT(O$5,6)="Winter",Profiles!$AB$29,Profiles!$AB$28)*O$10</f>
        <v>2525.3752048665733</v>
      </c>
      <c r="P28" s="248">
        <f t="shared" si="4"/>
        <v>1.0299458933423673</v>
      </c>
      <c r="Q28" s="249">
        <f t="shared" si="5"/>
        <v>2.6953493239323962</v>
      </c>
      <c r="S28" s="226">
        <f t="shared" si="10"/>
        <v>2038</v>
      </c>
      <c r="T28" s="247">
        <f>$C28*IF(LEFT(T$5,6)="Winter",Profiles!$AB$29,Profiles!$AB$28)*T$10</f>
        <v>1280.967690575704</v>
      </c>
      <c r="U28" s="247">
        <f>$C28*IF(LEFT(U$5,6)="Winter",Profiles!$AB$29,Profiles!$AB$28)*U$10</f>
        <v>2525.3752048665733</v>
      </c>
      <c r="V28" s="248">
        <f t="shared" si="6"/>
        <v>1.2055337565394937</v>
      </c>
      <c r="W28" s="249">
        <f t="shared" si="7"/>
        <v>2.2798274205027305</v>
      </c>
    </row>
    <row r="29" spans="2:23" ht="13.5" thickBot="1">
      <c r="B29" s="226">
        <f t="shared" si="8"/>
        <v>2039</v>
      </c>
      <c r="C29" s="250">
        <f>INDEX('Exhibit 3 - Levelized Capacity'!$F$9:$F$29,MATCH($B29,'Exhibit 3 - Levelized Capacity'!$B$9:$B$29,0),1)</f>
        <v>195064.779842191</v>
      </c>
      <c r="D29" s="247">
        <f>$C29*IF(LEFT(D$5,6)="Winter",Profiles!$AB$29,Profiles!$AB$28)*D$10</f>
        <v>65646.130002188307</v>
      </c>
      <c r="E29" s="247">
        <f>$C29*IF(LEFT(E$5,6)="Winter",Profiles!$AB$29,Profiles!$AB$28)*E$10</f>
        <v>129418.64984000269</v>
      </c>
      <c r="F29" s="248">
        <f t="shared" si="0"/>
        <v>11.244626584821567</v>
      </c>
      <c r="G29" s="249">
        <f t="shared" si="1"/>
        <v>44.200358551913489</v>
      </c>
      <c r="I29" s="226">
        <f t="shared" si="9"/>
        <v>2039</v>
      </c>
      <c r="J29" s="247">
        <f>$C29*IF(LEFT(J$5,6)="Winter",Profiles!$AB$29,Profiles!$AB$28)*J$10</f>
        <v>7730.7697826633275</v>
      </c>
      <c r="K29" s="247">
        <f>$C29*IF(LEFT(K$5,6)="Winter",Profiles!$AB$29,Profiles!$AB$28)*K$10</f>
        <v>15240.895197673148</v>
      </c>
      <c r="L29" s="248">
        <f t="shared" si="2"/>
        <v>3.2684655650643659</v>
      </c>
      <c r="M29" s="249">
        <f t="shared" si="3"/>
        <v>15.816160590677251</v>
      </c>
      <c r="N29" s="247">
        <f>$C29*IF(LEFT(N$5,6)="Winter",Profiles!$AB$29,Profiles!$AB$28)*N$10</f>
        <v>1312.9226000437661</v>
      </c>
      <c r="O29" s="247">
        <f>$C29*IF(LEFT(O$5,6)="Winter",Profiles!$AB$29,Profiles!$AB$28)*O$10</f>
        <v>2588.3729968000539</v>
      </c>
      <c r="P29" s="248">
        <f t="shared" si="4"/>
        <v>1.0556388347185595</v>
      </c>
      <c r="Q29" s="249">
        <f t="shared" si="5"/>
        <v>2.762587275572185</v>
      </c>
      <c r="S29" s="226">
        <f t="shared" si="10"/>
        <v>2039</v>
      </c>
      <c r="T29" s="247">
        <f>$C29*IF(LEFT(T$5,6)="Winter",Profiles!$AB$29,Profiles!$AB$28)*T$10</f>
        <v>1312.9226000437661</v>
      </c>
      <c r="U29" s="247">
        <f>$C29*IF(LEFT(U$5,6)="Winter",Profiles!$AB$29,Profiles!$AB$28)*U$10</f>
        <v>2588.3729968000539</v>
      </c>
      <c r="V29" s="248">
        <f t="shared" si="6"/>
        <v>1.2356068975986558</v>
      </c>
      <c r="W29" s="249">
        <f t="shared" si="7"/>
        <v>2.3366997985970039</v>
      </c>
    </row>
    <row r="30" spans="2:23" ht="13.5" thickBot="1">
      <c r="B30" s="226">
        <f t="shared" si="8"/>
        <v>2040</v>
      </c>
      <c r="C30" s="250">
        <f>INDEX('Exhibit 3 - Levelized Capacity'!$F$9:$F$29,MATCH($B30,'Exhibit 3 - Levelized Capacity'!$B$9:$B$29,0),1)</f>
        <v>199930.84900702938</v>
      </c>
      <c r="D30" s="247">
        <f>$C30*IF(LEFT(D$5,6)="Winter",Profiles!$AB$29,Profiles!$AB$28)*D$10</f>
        <v>67283.732696293562</v>
      </c>
      <c r="E30" s="247">
        <f>$C30*IF(LEFT(E$5,6)="Winter",Profiles!$AB$29,Profiles!$AB$28)*E$10</f>
        <v>132647.11631073582</v>
      </c>
      <c r="F30" s="248">
        <f t="shared" si="0"/>
        <v>11.525134069252067</v>
      </c>
      <c r="G30" s="249">
        <f t="shared" si="1"/>
        <v>45.302976882081907</v>
      </c>
      <c r="I30" s="226">
        <f t="shared" si="9"/>
        <v>2040</v>
      </c>
      <c r="J30" s="247">
        <f>$C30*IF(LEFT(J$5,6)="Winter",Profiles!$AB$29,Profiles!$AB$28)*J$10</f>
        <v>7923.620898535276</v>
      </c>
      <c r="K30" s="247">
        <f>$C30*IF(LEFT(K$5,6)="Winter",Profiles!$AB$29,Profiles!$AB$28)*K$10</f>
        <v>15621.093254062052</v>
      </c>
      <c r="L30" s="248">
        <f t="shared" si="2"/>
        <v>3.3500004249983979</v>
      </c>
      <c r="M30" s="249">
        <f t="shared" si="3"/>
        <v>16.210709167917539</v>
      </c>
      <c r="N30" s="247">
        <f>$C30*IF(LEFT(N$5,6)="Winter",Profiles!$AB$29,Profiles!$AB$28)*N$10</f>
        <v>1345.6746539258713</v>
      </c>
      <c r="O30" s="247">
        <f>$C30*IF(LEFT(O$5,6)="Winter",Profiles!$AB$29,Profiles!$AB$28)*O$10</f>
        <v>2652.9423262147166</v>
      </c>
      <c r="P30" s="248">
        <f t="shared" si="4"/>
        <v>1.0819727099931511</v>
      </c>
      <c r="Q30" s="249">
        <f t="shared" si="5"/>
        <v>2.8315025393512854</v>
      </c>
      <c r="S30" s="226">
        <f t="shared" si="10"/>
        <v>2040</v>
      </c>
      <c r="T30" s="247">
        <f>$C30*IF(LEFT(T$5,6)="Winter",Profiles!$AB$29,Profiles!$AB$28)*T$10</f>
        <v>1345.6746539258713</v>
      </c>
      <c r="U30" s="247">
        <f>$C30*IF(LEFT(U$5,6)="Winter",Profiles!$AB$29,Profiles!$AB$28)*U$10</f>
        <v>2652.9423262147166</v>
      </c>
      <c r="V30" s="248">
        <f t="shared" si="6"/>
        <v>1.2664302406395198</v>
      </c>
      <c r="W30" s="249">
        <f t="shared" si="7"/>
        <v>2.3949909101274187</v>
      </c>
    </row>
    <row r="31" spans="2:23" ht="13.5" thickBot="1">
      <c r="B31" s="226">
        <f t="shared" si="8"/>
        <v>2041</v>
      </c>
      <c r="C31" s="250">
        <f>INDEX('Exhibit 3 - Levelized Capacity'!$F$9:$F$29,MATCH($B31,'Exhibit 3 - Levelized Capacity'!$B$9:$B$29,0),1)</f>
        <v>204918.30671333661</v>
      </c>
      <c r="D31" s="247">
        <f>$C31*IF(LEFT(D$5,6)="Winter",Profiles!$AB$29,Profiles!$AB$28)*D$10</f>
        <v>68962.18688588911</v>
      </c>
      <c r="E31" s="247">
        <f>$C31*IF(LEFT(E$5,6)="Winter",Profiles!$AB$29,Profiles!$AB$28)*E$10</f>
        <v>135956.11982744749</v>
      </c>
      <c r="F31" s="248">
        <f t="shared" si="0"/>
        <v>11.812639069182786</v>
      </c>
      <c r="G31" s="249">
        <f t="shared" si="1"/>
        <v>46.433101033964306</v>
      </c>
      <c r="I31" s="226">
        <f t="shared" si="9"/>
        <v>2041</v>
      </c>
      <c r="J31" s="247">
        <f>$C31*IF(LEFT(J$5,6)="Winter",Profiles!$AB$29,Profiles!$AB$28)*J$10</f>
        <v>8121.2828617016858</v>
      </c>
      <c r="K31" s="247">
        <f>$C31*IF(LEFT(K$5,6)="Winter",Profiles!$AB$29,Profiles!$AB$28)*K$10</f>
        <v>16010.775698356461</v>
      </c>
      <c r="L31" s="248">
        <f t="shared" si="2"/>
        <v>3.4335692465122962</v>
      </c>
      <c r="M31" s="249">
        <f t="shared" si="3"/>
        <v>16.615100119918115</v>
      </c>
      <c r="N31" s="247">
        <f>$C31*IF(LEFT(N$5,6)="Winter",Profiles!$AB$29,Profiles!$AB$28)*N$10</f>
        <v>1379.2437377177823</v>
      </c>
      <c r="O31" s="247">
        <f>$C31*IF(LEFT(O$5,6)="Winter",Profiles!$AB$29,Profiles!$AB$28)*O$10</f>
        <v>2719.1223965489498</v>
      </c>
      <c r="P31" s="248">
        <f t="shared" si="4"/>
        <v>1.1089635078478617</v>
      </c>
      <c r="Q31" s="249">
        <f t="shared" si="5"/>
        <v>2.9021369573535791</v>
      </c>
      <c r="S31" s="226">
        <f t="shared" si="10"/>
        <v>2041</v>
      </c>
      <c r="T31" s="247">
        <f>$C31*IF(LEFT(T$5,6)="Winter",Profiles!$AB$29,Profiles!$AB$28)*T$10</f>
        <v>1379.2437377177823</v>
      </c>
      <c r="U31" s="247">
        <f>$C31*IF(LEFT(U$5,6)="Winter",Profiles!$AB$29,Profiles!$AB$28)*U$10</f>
        <v>2719.1223965489498</v>
      </c>
      <c r="V31" s="248">
        <f t="shared" si="6"/>
        <v>1.298022500135982</v>
      </c>
      <c r="W31" s="249">
        <f t="shared" si="7"/>
        <v>2.4547361466958422</v>
      </c>
    </row>
    <row r="32" spans="2:23" ht="13.5" thickBot="1">
      <c r="B32" s="228">
        <f t="shared" si="8"/>
        <v>2042</v>
      </c>
      <c r="C32" s="251">
        <f>INDEX('Exhibit 3 - Levelized Capacity'!$F$9:$F$29,MATCH($B32,'Exhibit 3 - Levelized Capacity'!$B$9:$B$29,0),1)</f>
        <v>210030.18110919296</v>
      </c>
      <c r="D32" s="252">
        <f>$C32*IF(LEFT(D$5,6)="Winter",Profiles!$AB$29,Profiles!$AB$28)*D$10</f>
        <v>70682.511648856191</v>
      </c>
      <c r="E32" s="252">
        <f>$C32*IF(LEFT(E$5,6)="Winter",Profiles!$AB$29,Profiles!$AB$28)*E$10</f>
        <v>139347.66946033677</v>
      </c>
      <c r="F32" s="253">
        <f t="shared" si="0"/>
        <v>12.10731614403155</v>
      </c>
      <c r="G32" s="254">
        <f t="shared" si="1"/>
        <v>47.591417165415564</v>
      </c>
      <c r="I32" s="228">
        <f t="shared" si="9"/>
        <v>2042</v>
      </c>
      <c r="J32" s="252">
        <f>$C32*IF(LEFT(J$5,6)="Winter",Profiles!$AB$29,Profiles!$AB$28)*J$10</f>
        <v>8323.8756831440169</v>
      </c>
      <c r="K32" s="252">
        <f>$C32*IF(LEFT(K$5,6)="Winter",Profiles!$AB$29,Profiles!$AB$28)*K$10</f>
        <v>16410.179127278614</v>
      </c>
      <c r="L32" s="253">
        <f t="shared" si="2"/>
        <v>3.5192227686361139</v>
      </c>
      <c r="M32" s="254">
        <f t="shared" si="3"/>
        <v>17.029578973710397</v>
      </c>
      <c r="N32" s="252">
        <f>$C32*IF(LEFT(N$5,6)="Winter",Profiles!$AB$29,Profiles!$AB$28)*N$10</f>
        <v>1413.6502329771238</v>
      </c>
      <c r="O32" s="252">
        <f>$C32*IF(LEFT(O$5,6)="Winter",Profiles!$AB$29,Profiles!$AB$28)*O$10</f>
        <v>2786.9533892067352</v>
      </c>
      <c r="P32" s="253">
        <f t="shared" si="4"/>
        <v>1.1366276158166866</v>
      </c>
      <c r="Q32" s="254">
        <f t="shared" si="5"/>
        <v>2.9745334154519649</v>
      </c>
      <c r="S32" s="228">
        <f t="shared" si="10"/>
        <v>2042</v>
      </c>
      <c r="T32" s="252">
        <f>$C32*IF(LEFT(T$5,6)="Winter",Profiles!$AB$29,Profiles!$AB$28)*T$10</f>
        <v>1413.6502329771238</v>
      </c>
      <c r="U32" s="252">
        <f>$C32*IF(LEFT(U$5,6)="Winter",Profiles!$AB$29,Profiles!$AB$28)*U$10</f>
        <v>2786.9533892067352</v>
      </c>
      <c r="V32" s="253">
        <f t="shared" si="6"/>
        <v>1.3304028574115903</v>
      </c>
      <c r="W32" s="254">
        <f t="shared" si="7"/>
        <v>2.5159717827799892</v>
      </c>
    </row>
    <row r="33" spans="2:24" ht="6.75" customHeight="1" thickTop="1">
      <c r="B33" s="25"/>
      <c r="D33" s="5"/>
      <c r="F33" s="119"/>
      <c r="I33" s="198"/>
      <c r="K33" s="26"/>
      <c r="M33" s="13"/>
      <c r="O33" s="26"/>
      <c r="Q33" s="13"/>
      <c r="S33" s="198"/>
      <c r="U33" s="26"/>
      <c r="W33" s="13"/>
    </row>
    <row r="34" spans="2:24">
      <c r="B34" s="198" t="s">
        <v>216</v>
      </c>
      <c r="C34" s="308"/>
      <c r="D34" s="308"/>
      <c r="E34" s="308"/>
      <c r="F34" s="308"/>
      <c r="G34" s="308"/>
      <c r="I34" s="198" t="s">
        <v>217</v>
      </c>
      <c r="J34" s="10"/>
      <c r="K34" s="10"/>
      <c r="N34" s="10"/>
      <c r="O34" s="10"/>
      <c r="S34" s="198" t="str">
        <f t="shared" ref="S34:S39" si="11">I34</f>
        <v>Capacity Contribution: UE-190666, Order 01 (solar)</v>
      </c>
      <c r="T34" s="10"/>
      <c r="U34" s="10"/>
    </row>
    <row r="35" spans="2:24">
      <c r="B35" s="198" t="s">
        <v>168</v>
      </c>
      <c r="C35" s="308"/>
      <c r="D35" s="308"/>
      <c r="E35" s="308"/>
      <c r="F35" s="308"/>
      <c r="G35" s="308"/>
      <c r="I35" s="198" t="str">
        <f t="shared" ref="I35:I39" si="12">B35</f>
        <v>Capacity Factor Weighting: The resource's annual capacity factor divided by season.</v>
      </c>
      <c r="S35" s="198" t="str">
        <f t="shared" si="11"/>
        <v>Capacity Factor Weighting: The resource's annual capacity factor divided by season.</v>
      </c>
    </row>
    <row r="36" spans="2:24">
      <c r="B36" s="136" t="s">
        <v>4</v>
      </c>
      <c r="C36" s="391" t="s">
        <v>184</v>
      </c>
      <c r="D36" s="392"/>
      <c r="E36" s="392"/>
      <c r="F36" s="392"/>
      <c r="G36" s="392"/>
      <c r="H36" s="199"/>
      <c r="I36" s="201" t="str">
        <f t="shared" si="12"/>
        <v>(a)</v>
      </c>
      <c r="J36" s="392" t="str">
        <f t="shared" ref="J36:J39" si="13">C36</f>
        <v>Levelized capacity cost at 100% capacity contribution</v>
      </c>
      <c r="K36" s="392"/>
      <c r="L36" s="392"/>
      <c r="M36" s="392"/>
      <c r="N36" s="392"/>
      <c r="O36" s="392"/>
      <c r="P36" s="392"/>
      <c r="Q36" s="392"/>
      <c r="R36" s="10"/>
      <c r="S36" s="202" t="str">
        <f t="shared" si="11"/>
        <v>(a)</v>
      </c>
      <c r="T36" s="399" t="str">
        <f t="shared" ref="T36:T39" si="14">J36</f>
        <v>Levelized capacity cost at 100% capacity contribution</v>
      </c>
      <c r="U36" s="392"/>
      <c r="V36" s="392"/>
      <c r="W36" s="392"/>
      <c r="X36" s="392"/>
    </row>
    <row r="37" spans="2:24">
      <c r="B37" s="136" t="s">
        <v>205</v>
      </c>
      <c r="C37" s="391" t="s">
        <v>204</v>
      </c>
      <c r="D37" s="392"/>
      <c r="E37" s="392"/>
      <c r="F37" s="392"/>
      <c r="G37" s="392"/>
      <c r="H37" s="199"/>
      <c r="I37" s="201" t="str">
        <f t="shared" si="12"/>
        <v>(b),(c)</v>
      </c>
      <c r="J37" s="392" t="str">
        <f t="shared" si="13"/>
        <v>Summer-winter split based on months and 2017 IRP loss of load probability</v>
      </c>
      <c r="K37" s="392"/>
      <c r="L37" s="392"/>
      <c r="M37" s="392"/>
      <c r="N37" s="392"/>
      <c r="O37" s="392"/>
      <c r="P37" s="392"/>
      <c r="Q37" s="392"/>
      <c r="R37" s="10"/>
      <c r="S37" s="202" t="str">
        <f t="shared" si="11"/>
        <v>(b),(c)</v>
      </c>
      <c r="T37" s="399" t="str">
        <f t="shared" si="14"/>
        <v>Summer-winter split based on months and 2017 IRP loss of load probability</v>
      </c>
      <c r="U37" s="392"/>
      <c r="V37" s="392"/>
      <c r="W37" s="392"/>
      <c r="X37" s="392"/>
    </row>
    <row r="38" spans="2:24">
      <c r="B38" s="136" t="s">
        <v>7</v>
      </c>
      <c r="C38" s="391" t="s">
        <v>202</v>
      </c>
      <c r="D38" s="392"/>
      <c r="E38" s="392"/>
      <c r="F38" s="392"/>
      <c r="G38" s="392"/>
      <c r="H38" s="199"/>
      <c r="I38" s="201" t="str">
        <f t="shared" si="12"/>
        <v>(d)</v>
      </c>
      <c r="J38" s="392" t="str">
        <f t="shared" si="13"/>
        <v>Winter Capacity Cost (b) divided by seasonal capacity factor weighting</v>
      </c>
      <c r="K38" s="392"/>
      <c r="L38" s="392"/>
      <c r="M38" s="392"/>
      <c r="N38" s="392"/>
      <c r="O38" s="392"/>
      <c r="P38" s="392"/>
      <c r="Q38" s="392"/>
      <c r="R38" s="10"/>
      <c r="S38" s="202" t="str">
        <f t="shared" si="11"/>
        <v>(d)</v>
      </c>
      <c r="T38" s="399" t="str">
        <f t="shared" si="14"/>
        <v>Winter Capacity Cost (b) divided by seasonal capacity factor weighting</v>
      </c>
      <c r="U38" s="392"/>
      <c r="V38" s="392"/>
      <c r="W38" s="392"/>
      <c r="X38" s="392"/>
    </row>
    <row r="39" spans="2:24">
      <c r="B39" s="136" t="s">
        <v>8</v>
      </c>
      <c r="C39" s="391" t="s">
        <v>203</v>
      </c>
      <c r="D39" s="392"/>
      <c r="E39" s="392"/>
      <c r="F39" s="392"/>
      <c r="G39" s="392"/>
      <c r="H39" s="199"/>
      <c r="I39" s="201" t="str">
        <f t="shared" si="12"/>
        <v>(e)</v>
      </c>
      <c r="J39" s="392" t="str">
        <f t="shared" si="13"/>
        <v>Summer Capacity Cost (c) divided by seasonal capacity factor weighting</v>
      </c>
      <c r="K39" s="392"/>
      <c r="L39" s="392"/>
      <c r="M39" s="392"/>
      <c r="N39" s="392"/>
      <c r="O39" s="392"/>
      <c r="P39" s="392"/>
      <c r="Q39" s="392"/>
      <c r="R39" s="10"/>
      <c r="S39" s="202" t="str">
        <f t="shared" si="11"/>
        <v>(e)</v>
      </c>
      <c r="T39" s="399" t="str">
        <f t="shared" si="14"/>
        <v>Summer Capacity Cost (c) divided by seasonal capacity factor weighting</v>
      </c>
      <c r="U39" s="392"/>
      <c r="V39" s="392"/>
      <c r="W39" s="392"/>
      <c r="X39" s="392"/>
    </row>
    <row r="40" spans="2:24">
      <c r="B40" s="45"/>
      <c r="C40" s="24"/>
      <c r="I40" s="45"/>
      <c r="S40" s="45"/>
    </row>
  </sheetData>
  <mergeCells count="22">
    <mergeCell ref="C37:G37"/>
    <mergeCell ref="C38:G38"/>
    <mergeCell ref="C39:G39"/>
    <mergeCell ref="T36:X36"/>
    <mergeCell ref="T37:X37"/>
    <mergeCell ref="T38:X38"/>
    <mergeCell ref="J37:Q37"/>
    <mergeCell ref="T39:X39"/>
    <mergeCell ref="J39:Q39"/>
    <mergeCell ref="J38:Q38"/>
    <mergeCell ref="B1:G1"/>
    <mergeCell ref="B2:G2"/>
    <mergeCell ref="C36:G36"/>
    <mergeCell ref="T4:W4"/>
    <mergeCell ref="D4:G4"/>
    <mergeCell ref="J4:M4"/>
    <mergeCell ref="N4:Q4"/>
    <mergeCell ref="S1:W1"/>
    <mergeCell ref="S2:W2"/>
    <mergeCell ref="I2:Q2"/>
    <mergeCell ref="I1:Q1"/>
    <mergeCell ref="J36:Q36"/>
  </mergeCells>
  <printOptions horizontalCentered="1"/>
  <pageMargins left="0.8" right="0.3" top="0.4" bottom="0.4" header="0.5" footer="0.2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83"/>
  <sheetViews>
    <sheetView workbookViewId="0">
      <selection activeCell="K13" sqref="K13"/>
    </sheetView>
  </sheetViews>
  <sheetFormatPr defaultColWidth="9.33203125" defaultRowHeight="12.75"/>
  <cols>
    <col min="1" max="1" width="1.5" style="31" customWidth="1"/>
    <col min="2" max="2" width="10.83203125" style="31" customWidth="1"/>
    <col min="3" max="3" width="15" style="31" customWidth="1"/>
    <col min="4" max="4" width="12.33203125" style="31" customWidth="1"/>
    <col min="5" max="5" width="2.6640625" style="31" customWidth="1"/>
    <col min="6" max="6" width="9.83203125" style="31" bestFit="1" customWidth="1"/>
    <col min="7" max="7" width="9.83203125" style="31" customWidth="1"/>
    <col min="8" max="8" width="12.6640625" style="31" customWidth="1"/>
    <col min="9" max="10" width="12.5" style="31" customWidth="1"/>
    <col min="11" max="11" width="22.33203125" style="31" customWidth="1"/>
    <col min="12" max="16384" width="9.33203125" style="31"/>
  </cols>
  <sheetData>
    <row r="1" spans="2:13" ht="15.75">
      <c r="B1" s="400" t="s">
        <v>172</v>
      </c>
      <c r="C1" s="400"/>
      <c r="D1" s="400"/>
      <c r="E1" s="400"/>
      <c r="F1" s="400"/>
      <c r="G1" s="400"/>
      <c r="H1" s="400"/>
      <c r="J1" s="330" t="s">
        <v>221</v>
      </c>
      <c r="K1" s="320"/>
      <c r="L1" s="320"/>
      <c r="M1" s="320"/>
    </row>
    <row r="2" spans="2:13" ht="15.75">
      <c r="B2" s="401" t="s">
        <v>63</v>
      </c>
      <c r="C2" s="401"/>
      <c r="D2" s="401"/>
      <c r="E2" s="401"/>
      <c r="F2" s="401"/>
      <c r="G2" s="401"/>
      <c r="H2" s="401"/>
      <c r="J2" s="331"/>
      <c r="K2" s="320"/>
      <c r="L2" s="320"/>
      <c r="M2" s="320"/>
    </row>
    <row r="3" spans="2:13" ht="15.75">
      <c r="B3" s="29"/>
      <c r="C3" s="30"/>
      <c r="D3" s="30"/>
      <c r="E3" s="30"/>
      <c r="F3" s="30"/>
      <c r="J3" s="332" t="s">
        <v>222</v>
      </c>
      <c r="K3" s="333"/>
      <c r="L3" s="333"/>
      <c r="M3" s="333"/>
    </row>
    <row r="4" spans="2:13" ht="15.75" thickBot="1">
      <c r="B4" s="33"/>
      <c r="J4" s="334"/>
      <c r="K4" s="335" t="s">
        <v>223</v>
      </c>
      <c r="L4" s="335" t="s">
        <v>224</v>
      </c>
      <c r="M4" s="335" t="s">
        <v>145</v>
      </c>
    </row>
    <row r="5" spans="2:13" ht="51.75" customHeight="1">
      <c r="B5" s="34" t="s">
        <v>2</v>
      </c>
      <c r="C5" s="35" t="s">
        <v>32</v>
      </c>
      <c r="D5" s="35" t="s">
        <v>65</v>
      </c>
      <c r="F5" s="326" t="s">
        <v>226</v>
      </c>
      <c r="G5" s="326"/>
      <c r="H5" s="326"/>
      <c r="J5" s="332" t="s">
        <v>140</v>
      </c>
      <c r="K5" s="336">
        <v>0.42889830042325666</v>
      </c>
      <c r="L5" s="337">
        <v>0.144532267904389</v>
      </c>
      <c r="M5" s="338">
        <v>0.57343056832764572</v>
      </c>
    </row>
    <row r="6" spans="2:13" ht="24" customHeight="1" thickBot="1">
      <c r="B6" s="36"/>
      <c r="C6" s="37" t="s">
        <v>15</v>
      </c>
      <c r="D6" s="37" t="s">
        <v>15</v>
      </c>
      <c r="F6" s="327" t="s">
        <v>2</v>
      </c>
      <c r="G6" s="328" t="s">
        <v>219</v>
      </c>
      <c r="H6" s="329" t="s">
        <v>220</v>
      </c>
      <c r="J6" s="332" t="s">
        <v>114</v>
      </c>
      <c r="K6" s="339">
        <v>0.45801214757039699</v>
      </c>
      <c r="L6" s="340">
        <v>0.14453226790433146</v>
      </c>
      <c r="M6" s="341">
        <v>0.60254441547472848</v>
      </c>
    </row>
    <row r="7" spans="2:13" ht="15">
      <c r="C7" s="38"/>
      <c r="J7" s="342"/>
      <c r="K7" s="342" t="s">
        <v>225</v>
      </c>
      <c r="L7" s="333"/>
      <c r="M7" s="333"/>
    </row>
    <row r="8" spans="2:13" ht="6" customHeight="1"/>
    <row r="9" spans="2:13">
      <c r="B9" s="319">
        <v>2016</v>
      </c>
      <c r="C9" s="325">
        <f>$M$5</f>
        <v>0.57343056832764572</v>
      </c>
      <c r="D9" s="325">
        <f>$M$6</f>
        <v>0.60254441547472848</v>
      </c>
      <c r="E9" s="320"/>
      <c r="F9" s="321">
        <f>B9</f>
        <v>2016</v>
      </c>
      <c r="G9" s="322"/>
      <c r="H9" s="323">
        <v>1</v>
      </c>
    </row>
    <row r="10" spans="2:13">
      <c r="B10" s="324">
        <f t="shared" ref="B10:B35" si="0">B9+1</f>
        <v>2017</v>
      </c>
      <c r="C10" s="325">
        <f>ROUND($C$9*$H10,2)</f>
        <v>0.57999999999999996</v>
      </c>
      <c r="D10" s="325">
        <f>ROUND($D$9*$H10,2)</f>
        <v>0.61</v>
      </c>
      <c r="E10" s="320"/>
      <c r="F10" s="321">
        <f t="shared" ref="F10:F16" si="1">F9+1</f>
        <v>2017</v>
      </c>
      <c r="G10" s="322">
        <v>0.02</v>
      </c>
      <c r="H10" s="323">
        <f>(1+G10)*H9</f>
        <v>1.02</v>
      </c>
    </row>
    <row r="11" spans="2:13">
      <c r="B11" s="324">
        <f t="shared" si="0"/>
        <v>2018</v>
      </c>
      <c r="C11" s="325">
        <f t="shared" ref="C11:C35" si="2">ROUND($C$9*$H11,2)</f>
        <v>0.6</v>
      </c>
      <c r="D11" s="325">
        <f t="shared" ref="D11:D35" si="3">ROUND($D$9*$H11,2)</f>
        <v>0.63</v>
      </c>
      <c r="E11" s="320"/>
      <c r="F11" s="321">
        <f t="shared" si="1"/>
        <v>2018</v>
      </c>
      <c r="G11" s="322">
        <v>2.4E-2</v>
      </c>
      <c r="H11" s="323">
        <f t="shared" ref="H11:H35" si="4">(1+G11)*H10</f>
        <v>1.0444800000000001</v>
      </c>
    </row>
    <row r="12" spans="2:13">
      <c r="B12" s="324">
        <f t="shared" si="0"/>
        <v>2019</v>
      </c>
      <c r="C12" s="325">
        <f t="shared" si="2"/>
        <v>0.61</v>
      </c>
      <c r="D12" s="325">
        <f t="shared" si="3"/>
        <v>0.64</v>
      </c>
      <c r="E12" s="320"/>
      <c r="F12" s="321">
        <f t="shared" si="1"/>
        <v>2019</v>
      </c>
      <c r="G12" s="322">
        <v>1.7999999999999999E-2</v>
      </c>
      <c r="H12" s="323">
        <f t="shared" si="4"/>
        <v>1.0632806400000001</v>
      </c>
      <c r="I12" s="43"/>
      <c r="J12" s="44"/>
    </row>
    <row r="13" spans="2:13">
      <c r="B13" s="324">
        <f t="shared" si="0"/>
        <v>2020</v>
      </c>
      <c r="C13" s="325">
        <f t="shared" si="2"/>
        <v>0.62</v>
      </c>
      <c r="D13" s="325">
        <f t="shared" si="3"/>
        <v>0.65</v>
      </c>
      <c r="E13" s="320"/>
      <c r="F13" s="321">
        <f t="shared" si="1"/>
        <v>2020</v>
      </c>
      <c r="G13" s="322">
        <v>1.2999999999999999E-2</v>
      </c>
      <c r="H13" s="323">
        <f t="shared" si="4"/>
        <v>1.07710328832</v>
      </c>
      <c r="I13" s="43"/>
      <c r="J13" s="44"/>
    </row>
    <row r="14" spans="2:13">
      <c r="B14" s="324">
        <f t="shared" si="0"/>
        <v>2021</v>
      </c>
      <c r="C14" s="325">
        <f t="shared" si="2"/>
        <v>0.64</v>
      </c>
      <c r="D14" s="325">
        <f t="shared" si="3"/>
        <v>0.68</v>
      </c>
      <c r="E14" s="320"/>
      <c r="F14" s="321">
        <f t="shared" si="1"/>
        <v>2021</v>
      </c>
      <c r="G14" s="322">
        <v>4.3999999999999997E-2</v>
      </c>
      <c r="H14" s="323">
        <f t="shared" si="4"/>
        <v>1.1244958330060801</v>
      </c>
    </row>
    <row r="15" spans="2:13">
      <c r="B15" s="324">
        <f t="shared" si="0"/>
        <v>2022</v>
      </c>
      <c r="C15" s="325">
        <f t="shared" si="2"/>
        <v>0.66</v>
      </c>
      <c r="D15" s="325">
        <f t="shared" si="3"/>
        <v>0.69</v>
      </c>
      <c r="E15" s="320"/>
      <c r="F15" s="321">
        <f t="shared" si="1"/>
        <v>2022</v>
      </c>
      <c r="G15" s="322">
        <v>2.4945913705052489E-2</v>
      </c>
      <c r="H15" s="323">
        <f t="shared" si="4"/>
        <v>1.1525474090179408</v>
      </c>
    </row>
    <row r="16" spans="2:13">
      <c r="B16" s="324">
        <f t="shared" si="0"/>
        <v>2023</v>
      </c>
      <c r="C16" s="325">
        <f t="shared" si="2"/>
        <v>0.68</v>
      </c>
      <c r="D16" s="325">
        <f t="shared" si="3"/>
        <v>0.71</v>
      </c>
      <c r="E16" s="320"/>
      <c r="F16" s="321">
        <f t="shared" si="1"/>
        <v>2023</v>
      </c>
      <c r="G16" s="322">
        <v>2.4945913705052489E-2</v>
      </c>
      <c r="H16" s="323">
        <f t="shared" si="4"/>
        <v>1.1812987572242843</v>
      </c>
    </row>
    <row r="17" spans="2:8">
      <c r="B17" s="324">
        <f t="shared" si="0"/>
        <v>2024</v>
      </c>
      <c r="C17" s="325">
        <f t="shared" si="2"/>
        <v>0.69</v>
      </c>
      <c r="D17" s="325">
        <f t="shared" si="3"/>
        <v>0.73</v>
      </c>
      <c r="E17" s="320"/>
      <c r="F17" s="321">
        <f>F16+1</f>
        <v>2024</v>
      </c>
      <c r="G17" s="322">
        <v>2.4945913705052489E-2</v>
      </c>
      <c r="H17" s="323">
        <f t="shared" si="4"/>
        <v>1.2107673340818872</v>
      </c>
    </row>
    <row r="18" spans="2:8">
      <c r="B18" s="324">
        <f t="shared" si="0"/>
        <v>2025</v>
      </c>
      <c r="C18" s="325">
        <f t="shared" si="2"/>
        <v>0.71</v>
      </c>
      <c r="D18" s="325">
        <f t="shared" si="3"/>
        <v>0.75</v>
      </c>
      <c r="E18" s="320"/>
      <c r="F18" s="321">
        <f t="shared" ref="F18:F25" si="5">F17+1</f>
        <v>2025</v>
      </c>
      <c r="G18" s="322">
        <v>2.4945913705052489E-2</v>
      </c>
      <c r="H18" s="323">
        <f t="shared" si="4"/>
        <v>1.2409710315147904</v>
      </c>
    </row>
    <row r="19" spans="2:8">
      <c r="B19" s="324">
        <f t="shared" si="0"/>
        <v>2026</v>
      </c>
      <c r="C19" s="325">
        <f t="shared" si="2"/>
        <v>0.73</v>
      </c>
      <c r="D19" s="325">
        <f t="shared" si="3"/>
        <v>0.77</v>
      </c>
      <c r="E19" s="320"/>
      <c r="F19" s="321">
        <f t="shared" si="5"/>
        <v>2026</v>
      </c>
      <c r="G19" s="322">
        <v>2.4945913705052489E-2</v>
      </c>
      <c r="H19" s="323">
        <f t="shared" si="4"/>
        <v>1.2719281877774282</v>
      </c>
    </row>
    <row r="20" spans="2:8">
      <c r="B20" s="324">
        <f t="shared" si="0"/>
        <v>2027</v>
      </c>
      <c r="C20" s="325">
        <f t="shared" si="2"/>
        <v>0.75</v>
      </c>
      <c r="D20" s="325">
        <f t="shared" si="3"/>
        <v>0.79</v>
      </c>
      <c r="E20" s="320"/>
      <c r="F20" s="321">
        <f t="shared" si="5"/>
        <v>2027</v>
      </c>
      <c r="G20" s="322">
        <v>2.4945913705052489E-2</v>
      </c>
      <c r="H20" s="323">
        <f t="shared" si="4"/>
        <v>1.3036575985887477</v>
      </c>
    </row>
    <row r="21" spans="2:8">
      <c r="B21" s="324">
        <f t="shared" si="0"/>
        <v>2028</v>
      </c>
      <c r="C21" s="325">
        <f t="shared" si="2"/>
        <v>0.77</v>
      </c>
      <c r="D21" s="325">
        <f t="shared" si="3"/>
        <v>0.81</v>
      </c>
      <c r="E21" s="320"/>
      <c r="F21" s="321">
        <f t="shared" si="5"/>
        <v>2028</v>
      </c>
      <c r="G21" s="322">
        <v>2.4945913705052489E-2</v>
      </c>
      <c r="H21" s="323">
        <f t="shared" si="4"/>
        <v>1.3361785285440786</v>
      </c>
    </row>
    <row r="22" spans="2:8">
      <c r="B22" s="324">
        <f t="shared" si="0"/>
        <v>2029</v>
      </c>
      <c r="C22" s="325">
        <f t="shared" si="2"/>
        <v>0.79</v>
      </c>
      <c r="D22" s="325">
        <f t="shared" si="3"/>
        <v>0.83</v>
      </c>
      <c r="E22" s="320"/>
      <c r="F22" s="321">
        <f t="shared" si="5"/>
        <v>2029</v>
      </c>
      <c r="G22" s="322">
        <v>2.4945913705052489E-2</v>
      </c>
      <c r="H22" s="323">
        <f t="shared" si="4"/>
        <v>1.3695107228116832</v>
      </c>
    </row>
    <row r="23" spans="2:8">
      <c r="B23" s="324">
        <f t="shared" si="0"/>
        <v>2030</v>
      </c>
      <c r="C23" s="325">
        <f t="shared" si="2"/>
        <v>0.8</v>
      </c>
      <c r="D23" s="325">
        <f t="shared" si="3"/>
        <v>0.85</v>
      </c>
      <c r="E23" s="320"/>
      <c r="F23" s="321">
        <f t="shared" si="5"/>
        <v>2030</v>
      </c>
      <c r="G23" s="322">
        <v>2.4945913705052489E-2</v>
      </c>
      <c r="H23" s="323">
        <f t="shared" si="4"/>
        <v>1.4036744191210875</v>
      </c>
    </row>
    <row r="24" spans="2:8">
      <c r="B24" s="324">
        <f t="shared" si="0"/>
        <v>2031</v>
      </c>
      <c r="C24" s="325">
        <f t="shared" si="2"/>
        <v>0.82</v>
      </c>
      <c r="D24" s="325">
        <f t="shared" si="3"/>
        <v>0.87</v>
      </c>
      <c r="E24" s="320"/>
      <c r="F24" s="321">
        <f t="shared" si="5"/>
        <v>2031</v>
      </c>
      <c r="G24" s="322">
        <v>2.4945913705052489E-2</v>
      </c>
      <c r="H24" s="323">
        <f t="shared" si="4"/>
        <v>1.4386903600504719</v>
      </c>
    </row>
    <row r="25" spans="2:8">
      <c r="B25" s="324">
        <f t="shared" si="0"/>
        <v>2032</v>
      </c>
      <c r="C25" s="325">
        <f t="shared" si="2"/>
        <v>0.85</v>
      </c>
      <c r="D25" s="325">
        <f t="shared" si="3"/>
        <v>0.89</v>
      </c>
      <c r="E25" s="320"/>
      <c r="F25" s="321">
        <f t="shared" si="5"/>
        <v>2032</v>
      </c>
      <c r="G25" s="322">
        <v>2.4945913705052489E-2</v>
      </c>
      <c r="H25" s="323">
        <f t="shared" si="4"/>
        <v>1.4745798056205819</v>
      </c>
    </row>
    <row r="26" spans="2:8">
      <c r="B26" s="324">
        <f t="shared" si="0"/>
        <v>2033</v>
      </c>
      <c r="C26" s="325">
        <f t="shared" si="2"/>
        <v>0.87</v>
      </c>
      <c r="D26" s="325">
        <f t="shared" si="3"/>
        <v>0.91</v>
      </c>
      <c r="E26" s="320"/>
      <c r="F26" s="321">
        <f>F25+1</f>
        <v>2033</v>
      </c>
      <c r="G26" s="322">
        <v>2.4945913705052489E-2</v>
      </c>
      <c r="H26" s="323">
        <f t="shared" si="4"/>
        <v>1.511364546202806</v>
      </c>
    </row>
    <row r="27" spans="2:8">
      <c r="B27" s="324">
        <f t="shared" si="0"/>
        <v>2034</v>
      </c>
      <c r="C27" s="325">
        <f t="shared" si="2"/>
        <v>0.89</v>
      </c>
      <c r="D27" s="325">
        <f t="shared" si="3"/>
        <v>0.93</v>
      </c>
      <c r="E27" s="320"/>
      <c r="F27" s="321">
        <f t="shared" ref="F27:F35" si="6">F26+1</f>
        <v>2034</v>
      </c>
      <c r="G27" s="322">
        <v>2.4945913705052489E-2</v>
      </c>
      <c r="H27" s="323">
        <f t="shared" si="4"/>
        <v>1.5490669157492571</v>
      </c>
    </row>
    <row r="28" spans="2:8">
      <c r="B28" s="324">
        <f t="shared" si="0"/>
        <v>2035</v>
      </c>
      <c r="C28" s="325">
        <f t="shared" si="2"/>
        <v>0.91</v>
      </c>
      <c r="D28" s="325">
        <f t="shared" si="3"/>
        <v>0.96</v>
      </c>
      <c r="E28" s="320"/>
      <c r="F28" s="321">
        <f t="shared" si="6"/>
        <v>2035</v>
      </c>
      <c r="G28" s="322">
        <v>2.4945913705052489E-2</v>
      </c>
      <c r="H28" s="323">
        <f t="shared" si="4"/>
        <v>1.58770980535289</v>
      </c>
    </row>
    <row r="29" spans="2:8">
      <c r="B29" s="324">
        <f t="shared" si="0"/>
        <v>2036</v>
      </c>
      <c r="C29" s="325">
        <f t="shared" si="2"/>
        <v>0.93</v>
      </c>
      <c r="D29" s="325">
        <f t="shared" si="3"/>
        <v>0.98</v>
      </c>
      <c r="E29" s="320"/>
      <c r="F29" s="321">
        <f t="shared" si="6"/>
        <v>2036</v>
      </c>
      <c r="G29" s="322">
        <v>2.4945913705052489E-2</v>
      </c>
      <c r="H29" s="323">
        <f t="shared" si="4"/>
        <v>1.6273166771458889</v>
      </c>
    </row>
    <row r="30" spans="2:8">
      <c r="B30" s="324">
        <f t="shared" si="0"/>
        <v>2037</v>
      </c>
      <c r="C30" s="325">
        <f t="shared" si="2"/>
        <v>0.96</v>
      </c>
      <c r="D30" s="325">
        <f t="shared" si="3"/>
        <v>1</v>
      </c>
      <c r="E30" s="320"/>
      <c r="F30" s="321">
        <f t="shared" si="6"/>
        <v>2037</v>
      </c>
      <c r="G30" s="322">
        <v>2.4945913705052489E-2</v>
      </c>
      <c r="H30" s="323">
        <f t="shared" si="4"/>
        <v>1.6679115785447631</v>
      </c>
    </row>
    <row r="31" spans="2:8">
      <c r="B31" s="324">
        <f t="shared" si="0"/>
        <v>2038</v>
      </c>
      <c r="C31" s="325">
        <f t="shared" si="2"/>
        <v>0.98</v>
      </c>
      <c r="D31" s="325">
        <f t="shared" si="3"/>
        <v>1.03</v>
      </c>
      <c r="E31" s="320"/>
      <c r="F31" s="321">
        <f t="shared" si="6"/>
        <v>2038</v>
      </c>
      <c r="G31" s="322">
        <v>2.4945913705052489E-2</v>
      </c>
      <c r="H31" s="323">
        <f t="shared" si="4"/>
        <v>1.7095191568507986</v>
      </c>
    </row>
    <row r="32" spans="2:8">
      <c r="B32" s="324">
        <f t="shared" si="0"/>
        <v>2039</v>
      </c>
      <c r="C32" s="325">
        <f t="shared" si="2"/>
        <v>1</v>
      </c>
      <c r="D32" s="325">
        <f t="shared" si="3"/>
        <v>1.06</v>
      </c>
      <c r="E32" s="320"/>
      <c r="F32" s="321">
        <f t="shared" si="6"/>
        <v>2039</v>
      </c>
      <c r="G32" s="322">
        <v>2.4945913705052489E-2</v>
      </c>
      <c r="H32" s="323">
        <f t="shared" si="4"/>
        <v>1.7521646742147328</v>
      </c>
    </row>
    <row r="33" spans="2:11">
      <c r="B33" s="324">
        <f t="shared" si="0"/>
        <v>2040</v>
      </c>
      <c r="C33" s="325">
        <f t="shared" si="2"/>
        <v>1.03</v>
      </c>
      <c r="D33" s="325">
        <f t="shared" si="3"/>
        <v>1.08</v>
      </c>
      <c r="E33" s="320"/>
      <c r="F33" s="321">
        <f t="shared" si="6"/>
        <v>2040</v>
      </c>
      <c r="G33" s="322">
        <v>2.4945913705052489E-2</v>
      </c>
      <c r="H33" s="323">
        <f t="shared" si="4"/>
        <v>1.795874022974735</v>
      </c>
    </row>
    <row r="34" spans="2:11">
      <c r="B34" s="324">
        <f t="shared" si="0"/>
        <v>2041</v>
      </c>
      <c r="C34" s="325">
        <f t="shared" si="2"/>
        <v>1.06</v>
      </c>
      <c r="D34" s="325">
        <f t="shared" si="3"/>
        <v>1.1100000000000001</v>
      </c>
      <c r="E34" s="320"/>
      <c r="F34" s="321">
        <f t="shared" si="6"/>
        <v>2041</v>
      </c>
      <c r="G34" s="322">
        <v>2.4945913705052489E-2</v>
      </c>
      <c r="H34" s="323">
        <f t="shared" si="4"/>
        <v>1.8406737413770082</v>
      </c>
    </row>
    <row r="35" spans="2:11">
      <c r="B35" s="324">
        <f t="shared" si="0"/>
        <v>2042</v>
      </c>
      <c r="C35" s="325">
        <f t="shared" si="2"/>
        <v>1.08</v>
      </c>
      <c r="D35" s="325">
        <f t="shared" si="3"/>
        <v>1.1399999999999999</v>
      </c>
      <c r="E35" s="320"/>
      <c r="F35" s="321">
        <f t="shared" si="6"/>
        <v>2042</v>
      </c>
      <c r="G35" s="322">
        <v>2.4945913705052489E-2</v>
      </c>
      <c r="H35" s="323">
        <f t="shared" si="4"/>
        <v>1.8865910296885553</v>
      </c>
    </row>
    <row r="36" spans="2:11">
      <c r="B36" s="40"/>
      <c r="C36" s="48"/>
    </row>
    <row r="37" spans="2:11">
      <c r="B37" s="10" t="s">
        <v>59</v>
      </c>
      <c r="C37" s="45" t="s">
        <v>64</v>
      </c>
      <c r="D37" s="3"/>
      <c r="E37" s="47"/>
      <c r="F37" s="3"/>
      <c r="H37" s="3"/>
      <c r="I37" s="3"/>
    </row>
    <row r="38" spans="2:11">
      <c r="B38" s="10"/>
      <c r="C38" s="45"/>
      <c r="D38" s="3"/>
      <c r="E38" s="47"/>
      <c r="F38" s="3"/>
      <c r="H38" s="3"/>
      <c r="I38" s="3"/>
    </row>
    <row r="39" spans="2:11">
      <c r="B39" s="40"/>
      <c r="C39" s="3"/>
    </row>
    <row r="40" spans="2:11">
      <c r="B40"/>
      <c r="C40"/>
      <c r="D40"/>
      <c r="E40"/>
      <c r="F40"/>
      <c r="G40"/>
      <c r="H40"/>
      <c r="I40"/>
      <c r="J40"/>
      <c r="K40"/>
    </row>
    <row r="41" spans="2:11">
      <c r="B41"/>
      <c r="C41"/>
      <c r="D41"/>
      <c r="E41"/>
      <c r="F41"/>
      <c r="G41"/>
      <c r="H41"/>
      <c r="I41"/>
      <c r="J41"/>
      <c r="K41"/>
    </row>
    <row r="42" spans="2:11">
      <c r="B42"/>
      <c r="C42"/>
      <c r="D42"/>
      <c r="E42"/>
      <c r="F42"/>
      <c r="G42"/>
      <c r="H42"/>
      <c r="I42"/>
      <c r="J42"/>
      <c r="K42"/>
    </row>
    <row r="43" spans="2:11">
      <c r="B43"/>
      <c r="C43"/>
      <c r="D43"/>
      <c r="E43"/>
      <c r="F43"/>
      <c r="G43"/>
      <c r="H43"/>
      <c r="I43"/>
      <c r="J43"/>
      <c r="K43"/>
    </row>
    <row r="44" spans="2:11">
      <c r="B44"/>
      <c r="C44"/>
      <c r="D44"/>
      <c r="E44"/>
      <c r="F44"/>
      <c r="G44"/>
      <c r="H44"/>
      <c r="I44"/>
      <c r="J44"/>
      <c r="K44"/>
    </row>
    <row r="45" spans="2:11">
      <c r="B45"/>
      <c r="C45"/>
      <c r="D45"/>
      <c r="E45"/>
      <c r="F45"/>
      <c r="G45"/>
      <c r="H45"/>
      <c r="I45"/>
      <c r="J45"/>
      <c r="K45"/>
    </row>
    <row r="46" spans="2:11">
      <c r="B46"/>
      <c r="C46"/>
      <c r="D46"/>
      <c r="E46"/>
      <c r="F46"/>
      <c r="G46"/>
      <c r="H46"/>
      <c r="I46"/>
      <c r="J46"/>
      <c r="K46"/>
    </row>
    <row r="47" spans="2:11">
      <c r="B47"/>
      <c r="C47"/>
      <c r="D47"/>
      <c r="E47"/>
      <c r="F47"/>
      <c r="G47"/>
      <c r="H47"/>
      <c r="I47"/>
      <c r="J47"/>
      <c r="K47"/>
    </row>
    <row r="48" spans="2:11">
      <c r="B48"/>
      <c r="C48"/>
      <c r="D48"/>
      <c r="E48"/>
      <c r="F48"/>
      <c r="G48"/>
      <c r="H48"/>
      <c r="I48"/>
      <c r="J48"/>
      <c r="K48"/>
    </row>
    <row r="49" spans="2:11">
      <c r="B49" s="139"/>
      <c r="C49" s="139"/>
      <c r="D49" s="51"/>
      <c r="E49" s="140"/>
      <c r="F49" s="137"/>
      <c r="G49" s="137"/>
      <c r="H49" s="140"/>
      <c r="I49" s="137"/>
      <c r="J49" s="139"/>
      <c r="K49" s="51"/>
    </row>
    <row r="53" spans="2:11" s="32" customFormat="1"/>
    <row r="54" spans="2:11" s="32" customFormat="1"/>
    <row r="55" spans="2:11" s="32" customFormat="1">
      <c r="H55" s="42"/>
      <c r="I55" s="24"/>
      <c r="J55" s="24"/>
    </row>
    <row r="56" spans="2:11" s="32" customFormat="1">
      <c r="H56" s="42"/>
      <c r="I56" s="24"/>
      <c r="J56" s="24"/>
    </row>
    <row r="57" spans="2:11" s="32" customFormat="1">
      <c r="H57" s="42"/>
      <c r="I57" s="24"/>
      <c r="J57" s="24"/>
    </row>
    <row r="74" spans="3:4">
      <c r="C74" s="42"/>
      <c r="D74" s="24"/>
    </row>
    <row r="75" spans="3:4">
      <c r="C75" s="42"/>
      <c r="D75" s="24"/>
    </row>
    <row r="76" spans="3:4">
      <c r="C76" s="42"/>
      <c r="D76" s="24"/>
    </row>
    <row r="77" spans="3:4">
      <c r="C77" s="42"/>
      <c r="D77" s="24"/>
    </row>
    <row r="78" spans="3:4">
      <c r="C78" s="42"/>
      <c r="D78" s="24"/>
    </row>
    <row r="79" spans="3:4">
      <c r="C79" s="42"/>
      <c r="D79" s="24"/>
    </row>
    <row r="80" spans="3:4">
      <c r="C80" s="42"/>
      <c r="D80" s="24"/>
    </row>
    <row r="81" spans="3:4">
      <c r="C81" s="42"/>
      <c r="D81" s="24"/>
    </row>
    <row r="82" spans="3:4">
      <c r="C82" s="42"/>
      <c r="D82" s="24"/>
    </row>
    <row r="83" spans="3:4">
      <c r="C83" s="42"/>
      <c r="D83" s="24"/>
    </row>
  </sheetData>
  <mergeCells count="2">
    <mergeCell ref="B1:H1"/>
    <mergeCell ref="B2:H2"/>
  </mergeCells>
  <printOptions horizontalCentered="1"/>
  <pageMargins left="0.8" right="0.3" top="0.4" bottom="0.4" header="0.5" footer="0.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selection activeCell="G13" sqref="G13"/>
    </sheetView>
  </sheetViews>
  <sheetFormatPr defaultColWidth="9.33203125" defaultRowHeight="12.75"/>
  <cols>
    <col min="1" max="1" width="1.33203125" style="138" customWidth="1"/>
    <col min="2" max="2" width="13.6640625" style="138" customWidth="1"/>
    <col min="3" max="3" width="9.83203125" style="138" customWidth="1"/>
    <col min="4" max="4" width="12.1640625" style="138" customWidth="1"/>
    <col min="5" max="5" width="9.1640625" style="138" customWidth="1"/>
    <col min="6" max="6" width="11.33203125" style="138" customWidth="1"/>
    <col min="7" max="8" width="10.1640625" style="138" customWidth="1"/>
    <col min="9" max="9" width="11.5" style="138" customWidth="1"/>
    <col min="10" max="10" width="9" style="138" customWidth="1"/>
    <col min="11" max="11" width="3.5" style="138" customWidth="1"/>
    <col min="12" max="12" width="12" style="138" bestFit="1" customWidth="1"/>
    <col min="13" max="13" width="9.33203125" style="138" customWidth="1"/>
    <col min="14" max="16384" width="9.33203125" style="138"/>
  </cols>
  <sheetData>
    <row r="1" spans="1:15" ht="15.75">
      <c r="B1" s="151" t="s">
        <v>180</v>
      </c>
      <c r="C1" s="150"/>
      <c r="D1" s="150"/>
      <c r="E1" s="150"/>
      <c r="F1" s="150"/>
      <c r="G1" s="150"/>
      <c r="H1" s="150"/>
      <c r="I1" s="150"/>
      <c r="J1" s="151"/>
    </row>
    <row r="2" spans="1:15" ht="15.75">
      <c r="B2" s="151" t="s">
        <v>137</v>
      </c>
      <c r="C2" s="150"/>
      <c r="D2" s="150"/>
      <c r="E2" s="150"/>
      <c r="F2" s="150"/>
      <c r="G2" s="150"/>
      <c r="H2" s="150"/>
      <c r="I2" s="150"/>
      <c r="J2" s="150"/>
    </row>
    <row r="3" spans="1:15" ht="15.75">
      <c r="B3" s="29" t="str">
        <f>"2017 IRP: "&amp;B9</f>
        <v>2017 IRP: SCCT Frame "F"x1 - West Side Options (1500')</v>
      </c>
      <c r="C3" s="150"/>
      <c r="D3" s="150"/>
      <c r="E3" s="150"/>
      <c r="F3" s="150"/>
      <c r="G3" s="150"/>
      <c r="H3" s="150"/>
      <c r="I3" s="150"/>
      <c r="J3" s="150"/>
    </row>
    <row r="4" spans="1:15"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5" ht="51.75" customHeight="1">
      <c r="A5" s="168"/>
      <c r="B5" s="161" t="s">
        <v>2</v>
      </c>
      <c r="C5" s="160" t="s">
        <v>10</v>
      </c>
      <c r="D5" s="160" t="s">
        <v>11</v>
      </c>
      <c r="E5" s="160" t="s">
        <v>12</v>
      </c>
      <c r="F5"/>
      <c r="G5" s="144" t="s">
        <v>115</v>
      </c>
      <c r="H5" s="144" t="s">
        <v>121</v>
      </c>
      <c r="I5" s="160" t="s">
        <v>136</v>
      </c>
      <c r="J5" s="149"/>
      <c r="L5" s="326"/>
      <c r="M5"/>
      <c r="N5"/>
      <c r="O5"/>
    </row>
    <row r="6" spans="1:15" ht="24.75" customHeight="1">
      <c r="B6" s="159"/>
      <c r="C6" s="158" t="s">
        <v>129</v>
      </c>
      <c r="D6" s="157" t="s">
        <v>120</v>
      </c>
      <c r="E6" s="157" t="s">
        <v>120</v>
      </c>
      <c r="F6"/>
      <c r="G6" s="157" t="s">
        <v>120</v>
      </c>
      <c r="H6" s="37" t="s">
        <v>119</v>
      </c>
      <c r="I6" s="157" t="s">
        <v>120</v>
      </c>
      <c r="J6" s="149"/>
      <c r="L6" s="343" t="s">
        <v>228</v>
      </c>
      <c r="M6"/>
      <c r="N6"/>
      <c r="O6"/>
    </row>
    <row r="7" spans="1:15">
      <c r="C7" s="156" t="s">
        <v>4</v>
      </c>
      <c r="D7" s="156" t="s">
        <v>5</v>
      </c>
      <c r="E7" s="156" t="s">
        <v>6</v>
      </c>
      <c r="F7"/>
      <c r="G7" s="156" t="s">
        <v>7</v>
      </c>
      <c r="H7" s="156" t="s">
        <v>8</v>
      </c>
      <c r="I7" s="156" t="s">
        <v>9</v>
      </c>
      <c r="J7" s="149"/>
      <c r="L7" s="31"/>
      <c r="M7"/>
      <c r="N7"/>
      <c r="O7"/>
    </row>
    <row r="8" spans="1:15" ht="6" customHeight="1">
      <c r="F8"/>
      <c r="J8" s="149"/>
      <c r="L8" s="31"/>
      <c r="M8"/>
      <c r="N8"/>
      <c r="O8"/>
    </row>
    <row r="9" spans="1:15" ht="15.75">
      <c r="B9" s="39" t="str">
        <f>C42</f>
        <v>SCCT Frame "F"x1 - West Side Options (1500')</v>
      </c>
      <c r="C9" s="139"/>
      <c r="E9" s="139"/>
      <c r="F9"/>
      <c r="G9" s="139"/>
      <c r="H9" s="139"/>
      <c r="I9" s="139"/>
      <c r="J9" s="149"/>
      <c r="M9"/>
      <c r="N9"/>
      <c r="O9"/>
    </row>
    <row r="10" spans="1:15">
      <c r="B10" s="148">
        <v>2016</v>
      </c>
      <c r="C10" s="155">
        <f>C44*1000</f>
        <v>616137.73555279954</v>
      </c>
      <c r="D10" s="155">
        <f>ROUND(C10*C49,0)</f>
        <v>43863</v>
      </c>
      <c r="E10" s="155">
        <f>C47*1000</f>
        <v>48461.415653539763</v>
      </c>
      <c r="F10"/>
      <c r="G10" s="154"/>
      <c r="H10" s="154"/>
      <c r="I10" s="154"/>
      <c r="J10" s="149"/>
      <c r="L10" s="322"/>
      <c r="M10"/>
      <c r="N10"/>
      <c r="O10"/>
    </row>
    <row r="11" spans="1:15">
      <c r="B11" s="148">
        <f t="shared" ref="B11:B36" si="0">B10+1</f>
        <v>2017</v>
      </c>
      <c r="C11" s="153"/>
      <c r="D11" s="155">
        <f t="shared" ref="D11:D36" si="1">ROUND(D10*(1+$L11),2)</f>
        <v>44740.26</v>
      </c>
      <c r="E11" s="155">
        <f t="shared" ref="E11:E36" si="2">ROUND(E10*(1+$L11),2)</f>
        <v>49430.64</v>
      </c>
      <c r="F11"/>
      <c r="G11" s="154"/>
      <c r="H11" s="154"/>
      <c r="I11" s="154"/>
      <c r="J11" s="149"/>
      <c r="L11" s="322">
        <f>INDEX('Table D - Integration'!$G:$G,MATCH($B11,'Table D - Integration'!$B:$B,0))</f>
        <v>0.02</v>
      </c>
      <c r="M11"/>
      <c r="N11"/>
      <c r="O11"/>
    </row>
    <row r="12" spans="1:15">
      <c r="B12" s="148">
        <f t="shared" si="0"/>
        <v>2018</v>
      </c>
      <c r="C12" s="153"/>
      <c r="D12" s="155">
        <f t="shared" si="1"/>
        <v>45814.03</v>
      </c>
      <c r="E12" s="155">
        <f t="shared" si="2"/>
        <v>50616.98</v>
      </c>
      <c r="F12"/>
      <c r="G12" s="154"/>
      <c r="H12" s="154"/>
      <c r="I12" s="154"/>
      <c r="J12" s="167"/>
      <c r="L12" s="322">
        <f>INDEX('Table D - Integration'!$G:$G,MATCH($B12,'Table D - Integration'!$B:$B,0))</f>
        <v>2.4E-2</v>
      </c>
      <c r="M12"/>
      <c r="N12"/>
      <c r="O12"/>
    </row>
    <row r="13" spans="1:15">
      <c r="B13" s="148">
        <f t="shared" si="0"/>
        <v>2019</v>
      </c>
      <c r="C13" s="153"/>
      <c r="D13" s="155">
        <f t="shared" si="1"/>
        <v>46638.68</v>
      </c>
      <c r="E13" s="155">
        <f t="shared" si="2"/>
        <v>51528.09</v>
      </c>
      <c r="F13"/>
      <c r="G13" s="155">
        <f>D13+E13</f>
        <v>98166.76999999999</v>
      </c>
      <c r="H13" s="140">
        <v>12</v>
      </c>
      <c r="I13" s="155">
        <f t="shared" ref="I13:I34" si="3">G13*H13/12</f>
        <v>98166.769999999975</v>
      </c>
      <c r="J13" s="167"/>
      <c r="L13" s="322">
        <f>INDEX('Table D - Integration'!$G:$G,MATCH($B13,'Table D - Integration'!$B:$B,0))</f>
        <v>1.7999999999999999E-2</v>
      </c>
      <c r="M13"/>
      <c r="N13"/>
      <c r="O13"/>
    </row>
    <row r="14" spans="1:15">
      <c r="B14" s="148">
        <f t="shared" si="0"/>
        <v>2020</v>
      </c>
      <c r="C14" s="153"/>
      <c r="D14" s="155">
        <f t="shared" si="1"/>
        <v>47244.98</v>
      </c>
      <c r="E14" s="155">
        <f t="shared" si="2"/>
        <v>52197.96</v>
      </c>
      <c r="F14"/>
      <c r="G14" s="155">
        <f t="shared" ref="G14:G34" si="4">D14+E14</f>
        <v>99442.94</v>
      </c>
      <c r="H14" s="140">
        <v>12</v>
      </c>
      <c r="I14" s="155">
        <f t="shared" si="3"/>
        <v>99442.94</v>
      </c>
      <c r="J14" s="167"/>
      <c r="L14" s="322">
        <f>INDEX('Table D - Integration'!$G:$G,MATCH($B14,'Table D - Integration'!$B:$B,0))</f>
        <v>1.2999999999999999E-2</v>
      </c>
      <c r="M14"/>
      <c r="N14"/>
      <c r="O14"/>
    </row>
    <row r="15" spans="1:15">
      <c r="B15" s="148">
        <f t="shared" si="0"/>
        <v>2021</v>
      </c>
      <c r="C15" s="153"/>
      <c r="D15" s="155">
        <f t="shared" si="1"/>
        <v>49323.76</v>
      </c>
      <c r="E15" s="155">
        <f t="shared" si="2"/>
        <v>54494.67</v>
      </c>
      <c r="F15"/>
      <c r="G15" s="155">
        <f t="shared" si="4"/>
        <v>103818.43</v>
      </c>
      <c r="H15" s="140">
        <v>12</v>
      </c>
      <c r="I15" s="155">
        <f t="shared" si="3"/>
        <v>103818.43</v>
      </c>
      <c r="J15" s="167"/>
      <c r="L15" s="322">
        <f>INDEX('Table D - Integration'!$G:$G,MATCH($B15,'Table D - Integration'!$B:$B,0))</f>
        <v>4.3999999999999997E-2</v>
      </c>
      <c r="M15"/>
      <c r="N15"/>
      <c r="O15"/>
    </row>
    <row r="16" spans="1:15">
      <c r="B16" s="148">
        <f t="shared" si="0"/>
        <v>2022</v>
      </c>
      <c r="C16" s="153"/>
      <c r="D16" s="155">
        <f t="shared" si="1"/>
        <v>50554.19</v>
      </c>
      <c r="E16" s="155">
        <f t="shared" si="2"/>
        <v>55854.09</v>
      </c>
      <c r="F16"/>
      <c r="G16" s="155">
        <f t="shared" si="4"/>
        <v>106408.28</v>
      </c>
      <c r="H16" s="140">
        <v>12</v>
      </c>
      <c r="I16" s="155">
        <f t="shared" si="3"/>
        <v>106408.27999999998</v>
      </c>
      <c r="J16" s="167"/>
      <c r="L16" s="322">
        <f>INDEX('Table D - Integration'!$G:$G,MATCH($B16,'Table D - Integration'!$B:$B,0))</f>
        <v>2.4945913705052489E-2</v>
      </c>
      <c r="M16"/>
      <c r="N16"/>
      <c r="O16"/>
    </row>
    <row r="17" spans="2:15">
      <c r="B17" s="148">
        <f t="shared" si="0"/>
        <v>2023</v>
      </c>
      <c r="C17" s="153"/>
      <c r="D17" s="155">
        <f t="shared" si="1"/>
        <v>51815.31</v>
      </c>
      <c r="E17" s="155">
        <f t="shared" si="2"/>
        <v>57247.42</v>
      </c>
      <c r="F17"/>
      <c r="G17" s="155">
        <f t="shared" si="4"/>
        <v>109062.73</v>
      </c>
      <c r="H17" s="140">
        <v>12</v>
      </c>
      <c r="I17" s="155">
        <f t="shared" si="3"/>
        <v>109062.73</v>
      </c>
      <c r="J17" s="167"/>
      <c r="L17" s="322">
        <f>INDEX('Table D - Integration'!$G:$G,MATCH($B17,'Table D - Integration'!$B:$B,0))</f>
        <v>2.4945913705052489E-2</v>
      </c>
      <c r="M17"/>
      <c r="N17"/>
      <c r="O17"/>
    </row>
    <row r="18" spans="2:15">
      <c r="B18" s="148">
        <f t="shared" si="0"/>
        <v>2024</v>
      </c>
      <c r="C18" s="153"/>
      <c r="D18" s="155">
        <f t="shared" si="1"/>
        <v>53107.89</v>
      </c>
      <c r="E18" s="155">
        <f t="shared" si="2"/>
        <v>58675.51</v>
      </c>
      <c r="F18"/>
      <c r="G18" s="155">
        <f t="shared" si="4"/>
        <v>111783.4</v>
      </c>
      <c r="H18" s="140">
        <v>12</v>
      </c>
      <c r="I18" s="155">
        <f t="shared" si="3"/>
        <v>111783.39999999998</v>
      </c>
      <c r="J18" s="167"/>
      <c r="L18" s="322">
        <f>INDEX('Table D - Integration'!$G:$G,MATCH($B18,'Table D - Integration'!$B:$B,0))</f>
        <v>2.4945913705052489E-2</v>
      </c>
      <c r="M18"/>
      <c r="N18"/>
      <c r="O18"/>
    </row>
    <row r="19" spans="2:15">
      <c r="B19" s="148">
        <f t="shared" si="0"/>
        <v>2025</v>
      </c>
      <c r="C19" s="153"/>
      <c r="D19" s="155">
        <f t="shared" si="1"/>
        <v>54432.71</v>
      </c>
      <c r="E19" s="155">
        <f t="shared" si="2"/>
        <v>60139.22</v>
      </c>
      <c r="F19"/>
      <c r="G19" s="155">
        <f t="shared" si="4"/>
        <v>114571.93</v>
      </c>
      <c r="H19" s="140">
        <v>12</v>
      </c>
      <c r="I19" s="155">
        <f t="shared" si="3"/>
        <v>114571.93</v>
      </c>
      <c r="J19" s="167"/>
      <c r="L19" s="322">
        <f>INDEX('Table D - Integration'!$G:$G,MATCH($B19,'Table D - Integration'!$B:$B,0))</f>
        <v>2.4945913705052489E-2</v>
      </c>
      <c r="M19"/>
      <c r="N19"/>
      <c r="O19"/>
    </row>
    <row r="20" spans="2:15">
      <c r="B20" s="148">
        <f t="shared" si="0"/>
        <v>2026</v>
      </c>
      <c r="C20" s="153"/>
      <c r="D20" s="155">
        <f t="shared" si="1"/>
        <v>55790.58</v>
      </c>
      <c r="E20" s="155">
        <f t="shared" si="2"/>
        <v>61639.45</v>
      </c>
      <c r="F20"/>
      <c r="G20" s="155">
        <f t="shared" si="4"/>
        <v>117430.03</v>
      </c>
      <c r="H20" s="140">
        <v>12</v>
      </c>
      <c r="I20" s="155">
        <f t="shared" si="3"/>
        <v>117430.02999999998</v>
      </c>
      <c r="J20" s="167"/>
      <c r="L20" s="322">
        <f>INDEX('Table D - Integration'!$G:$G,MATCH($B20,'Table D - Integration'!$B:$B,0))</f>
        <v>2.4945913705052489E-2</v>
      </c>
      <c r="M20"/>
      <c r="N20"/>
      <c r="O20"/>
    </row>
    <row r="21" spans="2:15">
      <c r="B21" s="148">
        <f t="shared" si="0"/>
        <v>2027</v>
      </c>
      <c r="C21" s="153"/>
      <c r="D21" s="155">
        <f t="shared" si="1"/>
        <v>57182.33</v>
      </c>
      <c r="E21" s="155">
        <f t="shared" si="2"/>
        <v>63177.1</v>
      </c>
      <c r="F21"/>
      <c r="G21" s="155">
        <f t="shared" si="4"/>
        <v>120359.43</v>
      </c>
      <c r="H21" s="140">
        <v>12</v>
      </c>
      <c r="I21" s="155">
        <f t="shared" si="3"/>
        <v>120359.43</v>
      </c>
      <c r="J21" s="167"/>
      <c r="L21" s="322">
        <f>INDEX('Table D - Integration'!$G:$G,MATCH($B21,'Table D - Integration'!$B:$B,0))</f>
        <v>2.4945913705052489E-2</v>
      </c>
      <c r="M21"/>
      <c r="N21"/>
      <c r="O21"/>
    </row>
    <row r="22" spans="2:15">
      <c r="B22" s="148">
        <f t="shared" si="0"/>
        <v>2028</v>
      </c>
      <c r="C22" s="153"/>
      <c r="D22" s="155">
        <f t="shared" si="1"/>
        <v>58608.800000000003</v>
      </c>
      <c r="E22" s="155">
        <f t="shared" si="2"/>
        <v>64753.11</v>
      </c>
      <c r="F22"/>
      <c r="G22" s="155">
        <f t="shared" si="4"/>
        <v>123361.91</v>
      </c>
      <c r="H22" s="140">
        <v>12</v>
      </c>
      <c r="I22" s="155">
        <f t="shared" si="3"/>
        <v>123361.90999999999</v>
      </c>
      <c r="J22" s="167"/>
      <c r="L22" s="322">
        <f>INDEX('Table D - Integration'!$G:$G,MATCH($B22,'Table D - Integration'!$B:$B,0))</f>
        <v>2.4945913705052489E-2</v>
      </c>
      <c r="M22"/>
      <c r="N22"/>
      <c r="O22"/>
    </row>
    <row r="23" spans="2:15">
      <c r="B23" s="148">
        <f t="shared" si="0"/>
        <v>2029</v>
      </c>
      <c r="C23" s="153"/>
      <c r="D23" s="155">
        <f t="shared" si="1"/>
        <v>60070.85</v>
      </c>
      <c r="E23" s="155">
        <f t="shared" si="2"/>
        <v>66368.44</v>
      </c>
      <c r="F23"/>
      <c r="G23" s="155">
        <f t="shared" si="4"/>
        <v>126439.29000000001</v>
      </c>
      <c r="H23" s="140">
        <v>12</v>
      </c>
      <c r="I23" s="155">
        <f t="shared" si="3"/>
        <v>126439.29</v>
      </c>
      <c r="J23" s="167"/>
      <c r="L23" s="322">
        <f>INDEX('Table D - Integration'!$G:$G,MATCH($B23,'Table D - Integration'!$B:$B,0))</f>
        <v>2.4945913705052489E-2</v>
      </c>
      <c r="M23"/>
      <c r="N23"/>
      <c r="O23"/>
    </row>
    <row r="24" spans="2:15">
      <c r="B24" s="148">
        <f t="shared" si="0"/>
        <v>2030</v>
      </c>
      <c r="C24" s="153"/>
      <c r="D24" s="155">
        <f t="shared" si="1"/>
        <v>61569.37</v>
      </c>
      <c r="E24" s="155">
        <f t="shared" si="2"/>
        <v>68024.06</v>
      </c>
      <c r="F24"/>
      <c r="G24" s="155">
        <f t="shared" si="4"/>
        <v>129593.43</v>
      </c>
      <c r="H24" s="140">
        <v>12</v>
      </c>
      <c r="I24" s="155">
        <f t="shared" si="3"/>
        <v>129593.43</v>
      </c>
      <c r="J24" s="167"/>
      <c r="L24" s="322">
        <f>INDEX('Table D - Integration'!$G:$G,MATCH($B24,'Table D - Integration'!$B:$B,0))</f>
        <v>2.4945913705052489E-2</v>
      </c>
      <c r="M24"/>
      <c r="N24"/>
      <c r="O24"/>
    </row>
    <row r="25" spans="2:15">
      <c r="B25" s="148">
        <f t="shared" si="0"/>
        <v>2031</v>
      </c>
      <c r="C25" s="153"/>
      <c r="D25" s="155">
        <f t="shared" si="1"/>
        <v>63105.27</v>
      </c>
      <c r="E25" s="155">
        <f t="shared" si="2"/>
        <v>69720.98</v>
      </c>
      <c r="F25"/>
      <c r="G25" s="155">
        <f t="shared" si="4"/>
        <v>132826.25</v>
      </c>
      <c r="H25" s="140">
        <v>12</v>
      </c>
      <c r="I25" s="155">
        <f t="shared" si="3"/>
        <v>132826.25</v>
      </c>
      <c r="J25" s="167"/>
      <c r="L25" s="322">
        <f>INDEX('Table D - Integration'!$G:$G,MATCH($B25,'Table D - Integration'!$B:$B,0))</f>
        <v>2.4945913705052489E-2</v>
      </c>
      <c r="M25"/>
      <c r="N25"/>
      <c r="O25"/>
    </row>
    <row r="26" spans="2:15">
      <c r="B26" s="148">
        <f t="shared" si="0"/>
        <v>2032</v>
      </c>
      <c r="C26" s="153"/>
      <c r="D26" s="155">
        <f t="shared" si="1"/>
        <v>64679.49</v>
      </c>
      <c r="E26" s="155">
        <f t="shared" si="2"/>
        <v>71460.23</v>
      </c>
      <c r="F26"/>
      <c r="G26" s="155">
        <f t="shared" si="4"/>
        <v>136139.72</v>
      </c>
      <c r="H26" s="140">
        <v>12</v>
      </c>
      <c r="I26" s="155">
        <f t="shared" si="3"/>
        <v>136139.72</v>
      </c>
      <c r="J26" s="167"/>
      <c r="L26" s="322">
        <f>INDEX('Table D - Integration'!$G:$G,MATCH($B26,'Table D - Integration'!$B:$B,0))</f>
        <v>2.4945913705052489E-2</v>
      </c>
      <c r="M26"/>
      <c r="N26"/>
      <c r="O26"/>
    </row>
    <row r="27" spans="2:15">
      <c r="B27" s="148">
        <f t="shared" si="0"/>
        <v>2033</v>
      </c>
      <c r="C27" s="153"/>
      <c r="D27" s="155">
        <f t="shared" si="1"/>
        <v>66292.98</v>
      </c>
      <c r="E27" s="155">
        <f t="shared" si="2"/>
        <v>73242.87</v>
      </c>
      <c r="F27"/>
      <c r="G27" s="155">
        <f t="shared" si="4"/>
        <v>139535.84999999998</v>
      </c>
      <c r="H27" s="140">
        <v>12</v>
      </c>
      <c r="I27" s="155">
        <f t="shared" si="3"/>
        <v>139535.84999999998</v>
      </c>
      <c r="J27" s="167"/>
      <c r="L27" s="322">
        <f>INDEX('Table D - Integration'!$G:$G,MATCH($B27,'Table D - Integration'!$B:$B,0))</f>
        <v>2.4945913705052489E-2</v>
      </c>
      <c r="M27"/>
      <c r="N27"/>
      <c r="O27"/>
    </row>
    <row r="28" spans="2:15">
      <c r="B28" s="148">
        <f t="shared" si="0"/>
        <v>2034</v>
      </c>
      <c r="C28" s="153"/>
      <c r="D28" s="155">
        <f t="shared" si="1"/>
        <v>67946.720000000001</v>
      </c>
      <c r="E28" s="155">
        <f t="shared" si="2"/>
        <v>75069.98</v>
      </c>
      <c r="F28"/>
      <c r="G28" s="155">
        <f t="shared" si="4"/>
        <v>143016.70000000001</v>
      </c>
      <c r="H28" s="140">
        <v>12</v>
      </c>
      <c r="I28" s="155">
        <f t="shared" si="3"/>
        <v>143016.70000000001</v>
      </c>
      <c r="J28" s="167"/>
      <c r="L28" s="322">
        <f>INDEX('Table D - Integration'!$G:$G,MATCH($B28,'Table D - Integration'!$B:$B,0))</f>
        <v>2.4945913705052489E-2</v>
      </c>
      <c r="M28"/>
      <c r="N28"/>
      <c r="O28"/>
    </row>
    <row r="29" spans="2:15">
      <c r="B29" s="148">
        <f t="shared" si="0"/>
        <v>2035</v>
      </c>
      <c r="C29" s="153"/>
      <c r="D29" s="155">
        <f t="shared" si="1"/>
        <v>69641.710000000006</v>
      </c>
      <c r="E29" s="155">
        <f t="shared" si="2"/>
        <v>76942.67</v>
      </c>
      <c r="F29"/>
      <c r="G29" s="155">
        <f t="shared" si="4"/>
        <v>146584.38</v>
      </c>
      <c r="H29" s="140">
        <v>12</v>
      </c>
      <c r="I29" s="155">
        <f t="shared" si="3"/>
        <v>146584.38</v>
      </c>
      <c r="J29" s="167"/>
      <c r="L29" s="322">
        <f>INDEX('Table D - Integration'!$G:$G,MATCH($B29,'Table D - Integration'!$B:$B,0))</f>
        <v>2.4945913705052489E-2</v>
      </c>
      <c r="M29"/>
      <c r="N29"/>
      <c r="O29"/>
    </row>
    <row r="30" spans="2:15">
      <c r="B30" s="148">
        <f t="shared" si="0"/>
        <v>2036</v>
      </c>
      <c r="C30" s="153"/>
      <c r="D30" s="155">
        <f t="shared" si="1"/>
        <v>71378.990000000005</v>
      </c>
      <c r="E30" s="155">
        <f t="shared" si="2"/>
        <v>78862.080000000002</v>
      </c>
      <c r="F30"/>
      <c r="G30" s="155">
        <f t="shared" si="4"/>
        <v>150241.07</v>
      </c>
      <c r="H30" s="140">
        <v>12</v>
      </c>
      <c r="I30" s="155">
        <f t="shared" si="3"/>
        <v>150241.07</v>
      </c>
      <c r="J30" s="167"/>
      <c r="L30" s="322">
        <f>INDEX('Table D - Integration'!$G:$G,MATCH($B30,'Table D - Integration'!$B:$B,0))</f>
        <v>2.4945913705052489E-2</v>
      </c>
      <c r="M30"/>
      <c r="N30"/>
      <c r="O30"/>
    </row>
    <row r="31" spans="2:15">
      <c r="B31" s="148">
        <f t="shared" si="0"/>
        <v>2037</v>
      </c>
      <c r="C31" s="153"/>
      <c r="D31" s="155">
        <f t="shared" si="1"/>
        <v>73159.600000000006</v>
      </c>
      <c r="E31" s="155">
        <f t="shared" si="2"/>
        <v>80829.37</v>
      </c>
      <c r="F31"/>
      <c r="G31" s="155">
        <f t="shared" si="4"/>
        <v>153988.97</v>
      </c>
      <c r="H31" s="140">
        <v>12</v>
      </c>
      <c r="I31" s="155">
        <f t="shared" si="3"/>
        <v>153988.97</v>
      </c>
      <c r="J31" s="167"/>
      <c r="L31" s="322">
        <f>INDEX('Table D - Integration'!$G:$G,MATCH($B31,'Table D - Integration'!$B:$B,0))</f>
        <v>2.4945913705052489E-2</v>
      </c>
      <c r="M31"/>
      <c r="N31"/>
      <c r="O31"/>
    </row>
    <row r="32" spans="2:15">
      <c r="B32" s="148">
        <f t="shared" si="0"/>
        <v>2038</v>
      </c>
      <c r="C32" s="153"/>
      <c r="D32" s="155">
        <f t="shared" si="1"/>
        <v>74984.63</v>
      </c>
      <c r="E32" s="155">
        <f t="shared" si="2"/>
        <v>82845.73</v>
      </c>
      <c r="F32"/>
      <c r="G32" s="155">
        <f t="shared" si="4"/>
        <v>157830.35999999999</v>
      </c>
      <c r="H32" s="140">
        <v>12</v>
      </c>
      <c r="I32" s="155">
        <f t="shared" si="3"/>
        <v>157830.35999999999</v>
      </c>
      <c r="J32" s="167"/>
      <c r="L32" s="322">
        <f>INDEX('Table D - Integration'!$G:$G,MATCH($B32,'Table D - Integration'!$B:$B,0))</f>
        <v>2.4945913705052489E-2</v>
      </c>
      <c r="M32"/>
      <c r="N32"/>
      <c r="O32"/>
    </row>
    <row r="33" spans="2:15">
      <c r="B33" s="148">
        <f t="shared" si="0"/>
        <v>2039</v>
      </c>
      <c r="C33" s="153"/>
      <c r="D33" s="155">
        <f t="shared" si="1"/>
        <v>76855.19</v>
      </c>
      <c r="E33" s="155">
        <f t="shared" si="2"/>
        <v>84912.39</v>
      </c>
      <c r="F33"/>
      <c r="G33" s="155">
        <f t="shared" si="4"/>
        <v>161767.58000000002</v>
      </c>
      <c r="H33" s="140">
        <v>12</v>
      </c>
      <c r="I33" s="155">
        <f t="shared" si="3"/>
        <v>161767.58000000002</v>
      </c>
      <c r="J33" s="167"/>
      <c r="L33" s="322">
        <f>INDEX('Table D - Integration'!$G:$G,MATCH($B33,'Table D - Integration'!$B:$B,0))</f>
        <v>2.4945913705052489E-2</v>
      </c>
      <c r="M33"/>
      <c r="N33"/>
      <c r="O33"/>
    </row>
    <row r="34" spans="2:15">
      <c r="B34" s="148">
        <f t="shared" si="0"/>
        <v>2040</v>
      </c>
      <c r="C34" s="153"/>
      <c r="D34" s="155">
        <f t="shared" si="1"/>
        <v>78772.41</v>
      </c>
      <c r="E34" s="155">
        <f t="shared" si="2"/>
        <v>87030.61</v>
      </c>
      <c r="F34"/>
      <c r="G34" s="155">
        <f t="shared" si="4"/>
        <v>165803.02000000002</v>
      </c>
      <c r="H34" s="140">
        <v>12</v>
      </c>
      <c r="I34" s="155">
        <f t="shared" si="3"/>
        <v>165803.02000000002</v>
      </c>
      <c r="J34" s="167"/>
      <c r="L34" s="322">
        <f>INDEX('Table D - Integration'!$G:$G,MATCH($B34,'Table D - Integration'!$B:$B,0))</f>
        <v>2.4945913705052489E-2</v>
      </c>
      <c r="M34"/>
      <c r="N34"/>
      <c r="O34"/>
    </row>
    <row r="35" spans="2:15">
      <c r="B35" s="148">
        <f t="shared" si="0"/>
        <v>2041</v>
      </c>
      <c r="C35" s="153"/>
      <c r="D35" s="155">
        <f t="shared" si="1"/>
        <v>80737.460000000006</v>
      </c>
      <c r="E35" s="155">
        <f t="shared" si="2"/>
        <v>89201.67</v>
      </c>
      <c r="F35"/>
      <c r="G35" s="155">
        <f t="shared" ref="G35" si="5">D35+E35</f>
        <v>169939.13</v>
      </c>
      <c r="H35" s="140">
        <v>12</v>
      </c>
      <c r="I35" s="155">
        <f t="shared" ref="I35" si="6">G35*H35/12</f>
        <v>169939.13</v>
      </c>
      <c r="J35" s="167"/>
      <c r="L35" s="322">
        <f>INDEX('Table D - Integration'!$G:$G,MATCH($B35,'Table D - Integration'!$B:$B,0))</f>
        <v>2.4945913705052489E-2</v>
      </c>
      <c r="M35"/>
      <c r="N35"/>
      <c r="O35"/>
    </row>
    <row r="36" spans="2:15">
      <c r="B36" s="148">
        <f t="shared" si="0"/>
        <v>2042</v>
      </c>
      <c r="C36" s="153"/>
      <c r="D36" s="155">
        <f t="shared" si="1"/>
        <v>82751.53</v>
      </c>
      <c r="E36" s="155">
        <f t="shared" si="2"/>
        <v>91426.89</v>
      </c>
      <c r="F36"/>
      <c r="G36" s="155">
        <f t="shared" ref="G36" si="7">D36+E36</f>
        <v>174178.41999999998</v>
      </c>
      <c r="H36" s="140">
        <v>12</v>
      </c>
      <c r="I36" s="155">
        <f t="shared" ref="I36" si="8">G36*H36/12</f>
        <v>174178.41999999998</v>
      </c>
      <c r="J36" s="152"/>
      <c r="K36" s="152"/>
      <c r="L36" s="322">
        <f>INDEX('Table D - Integration'!$G:$G,MATCH($B36,'Table D - Integration'!$B:$B,0))</f>
        <v>2.4945913705052489E-2</v>
      </c>
    </row>
    <row r="37" spans="2:15">
      <c r="B37" s="152"/>
      <c r="C37" s="166" t="str">
        <f>D7</f>
        <v>(b)</v>
      </c>
      <c r="D37" s="165" t="str">
        <f>"= "&amp;C7&amp;" x "&amp;TEXT(C49,"0.000% ")&amp;"Payment Factor"</f>
        <v>= (a) x 7.119% Payment Factor</v>
      </c>
      <c r="E37" s="152"/>
      <c r="F37" s="152"/>
      <c r="G37" s="152"/>
      <c r="H37" s="152"/>
      <c r="I37" s="152"/>
      <c r="J37" s="152"/>
      <c r="K37" s="152"/>
    </row>
    <row r="38" spans="2:15">
      <c r="B38" s="152"/>
      <c r="C38" s="166" t="s">
        <v>7</v>
      </c>
      <c r="D38" s="165" t="str">
        <f>"= "&amp;D7&amp;" + "&amp;E7</f>
        <v>= (b) + (c)</v>
      </c>
      <c r="E38" s="152"/>
      <c r="F38" s="152"/>
      <c r="G38" s="152"/>
      <c r="H38" s="152"/>
      <c r="I38" s="152"/>
      <c r="J38" s="152"/>
      <c r="K38" s="152"/>
    </row>
    <row r="39" spans="2:15">
      <c r="B39" s="152"/>
      <c r="C39" s="166" t="str">
        <f>H7</f>
        <v>(e)</v>
      </c>
      <c r="D39" s="165" t="s">
        <v>157</v>
      </c>
      <c r="E39" s="152"/>
      <c r="F39" s="152"/>
      <c r="G39" s="152"/>
      <c r="H39" s="152"/>
      <c r="I39" s="152"/>
      <c r="J39" s="152"/>
      <c r="K39" s="152"/>
    </row>
    <row r="40" spans="2:15">
      <c r="B40" s="152"/>
      <c r="C40" s="166" t="str">
        <f>I7</f>
        <v>(f)</v>
      </c>
      <c r="D40" s="165" t="str">
        <f>"= "&amp;G7&amp;" x "&amp;H7&amp;" / 12"</f>
        <v>= (d) x (e) / 12</v>
      </c>
      <c r="E40" s="152"/>
      <c r="F40" s="152"/>
      <c r="G40" s="152"/>
      <c r="H40" s="152"/>
      <c r="I40" s="152"/>
      <c r="J40" s="152"/>
      <c r="K40" s="152"/>
    </row>
    <row r="41" spans="2:15" ht="6" customHeight="1" thickBot="1">
      <c r="B41" s="152"/>
      <c r="C41" s="166"/>
      <c r="D41" s="165"/>
      <c r="E41" s="152"/>
      <c r="F41" s="152"/>
      <c r="G41" s="152"/>
      <c r="H41" s="152"/>
      <c r="I41" s="152"/>
      <c r="J41" s="152"/>
      <c r="K41" s="152"/>
    </row>
    <row r="42" spans="2:15" ht="13.5" thickBot="1">
      <c r="B42" s="152"/>
      <c r="C42" s="164" t="s">
        <v>118</v>
      </c>
      <c r="D42" s="86"/>
      <c r="E42" s="163"/>
      <c r="F42" s="86"/>
      <c r="G42" s="86"/>
      <c r="H42" s="86"/>
      <c r="I42" s="86"/>
      <c r="J42" s="21"/>
    </row>
    <row r="43" spans="2:15">
      <c r="B43" s="152"/>
      <c r="C43" s="152">
        <v>227.654578125</v>
      </c>
      <c r="D43" s="138" t="s">
        <v>16</v>
      </c>
      <c r="E43" s="152"/>
      <c r="J43" s="152"/>
    </row>
    <row r="44" spans="2:15">
      <c r="B44" s="152" t="s">
        <v>113</v>
      </c>
      <c r="C44" s="147">
        <v>616.13773555279954</v>
      </c>
      <c r="D44" s="138" t="s">
        <v>117</v>
      </c>
      <c r="E44" s="162"/>
      <c r="F44" s="22"/>
      <c r="G44" s="23"/>
      <c r="H44" s="23"/>
      <c r="I44" s="152"/>
      <c r="J44" s="152"/>
    </row>
    <row r="45" spans="2:15">
      <c r="B45" s="152" t="s">
        <v>113</v>
      </c>
      <c r="C45" s="145">
        <v>14.060233397539761</v>
      </c>
      <c r="D45" s="45" t="s">
        <v>28</v>
      </c>
      <c r="E45" s="162"/>
      <c r="F45" s="22"/>
      <c r="G45" s="23"/>
      <c r="H45" s="23"/>
      <c r="I45" s="152"/>
      <c r="J45" s="152"/>
    </row>
    <row r="46" spans="2:15">
      <c r="B46" s="152" t="s">
        <v>113</v>
      </c>
      <c r="C46" s="146">
        <v>34.401182255999998</v>
      </c>
      <c r="D46" s="45" t="s">
        <v>27</v>
      </c>
      <c r="E46" s="162"/>
      <c r="F46" s="22"/>
      <c r="G46" s="23"/>
      <c r="H46" s="23"/>
      <c r="I46" s="152"/>
      <c r="J46" s="152"/>
    </row>
    <row r="47" spans="2:15">
      <c r="B47" s="152"/>
      <c r="C47" s="145">
        <f>C45+C46</f>
        <v>48.46141565353976</v>
      </c>
      <c r="D47" s="45" t="s">
        <v>116</v>
      </c>
      <c r="E47" s="162"/>
      <c r="F47" s="22"/>
      <c r="G47" s="23"/>
      <c r="H47" s="23"/>
      <c r="I47" s="152"/>
      <c r="J47" s="152"/>
    </row>
    <row r="48" spans="2:15">
      <c r="B48" s="152"/>
      <c r="C48" s="145"/>
      <c r="D48" s="45"/>
      <c r="E48" s="162"/>
      <c r="F48" s="22"/>
      <c r="G48" s="23"/>
      <c r="H48" s="23"/>
      <c r="I48" s="152"/>
      <c r="J48" s="152"/>
    </row>
    <row r="49" spans="2:13">
      <c r="B49" s="152"/>
      <c r="C49" s="192">
        <v>7.1190000000000003E-2</v>
      </c>
      <c r="D49" s="138" t="s">
        <v>156</v>
      </c>
      <c r="E49" s="152"/>
      <c r="F49" s="152"/>
      <c r="G49" s="152"/>
      <c r="H49" s="152"/>
      <c r="I49" s="152"/>
      <c r="J49" s="152"/>
    </row>
    <row r="50" spans="2:13">
      <c r="B50" s="32"/>
      <c r="C50" s="32"/>
      <c r="D50" s="32"/>
      <c r="E50" s="32"/>
      <c r="F50" s="32"/>
      <c r="G50" s="32"/>
      <c r="H50" s="32"/>
      <c r="I50" s="32"/>
    </row>
    <row r="51" spans="2:13" s="139" customFormat="1">
      <c r="E51" s="51"/>
      <c r="F51" s="140"/>
      <c r="G51" s="137"/>
      <c r="H51" s="137"/>
      <c r="I51"/>
      <c r="J51"/>
      <c r="K51" s="51"/>
      <c r="M51" s="137"/>
    </row>
  </sheetData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Q48"/>
  <sheetViews>
    <sheetView workbookViewId="0">
      <selection activeCell="C9" sqref="C9"/>
    </sheetView>
  </sheetViews>
  <sheetFormatPr defaultRowHeight="15"/>
  <cols>
    <col min="1" max="3" width="9.33203125" style="175"/>
    <col min="4" max="4" width="20.1640625" style="175" customWidth="1"/>
    <col min="5" max="5" width="15.33203125" style="175" customWidth="1"/>
    <col min="6" max="6" width="14.83203125" style="175" customWidth="1"/>
    <col min="7" max="7" width="14.33203125" style="175" customWidth="1"/>
    <col min="8" max="8" width="11.83203125" style="175" customWidth="1"/>
    <col min="9" max="9" width="11.1640625" style="175" customWidth="1"/>
    <col min="10" max="10" width="13.33203125" style="175" customWidth="1"/>
    <col min="11" max="11" width="12.83203125" style="175" customWidth="1"/>
    <col min="12" max="16384" width="9.33203125" style="175"/>
  </cols>
  <sheetData>
    <row r="1" spans="2:17" ht="15.75">
      <c r="B1" s="402" t="s">
        <v>181</v>
      </c>
      <c r="C1" s="392"/>
      <c r="D1" s="392"/>
      <c r="E1" s="392"/>
      <c r="F1" s="392"/>
      <c r="G1" s="392"/>
      <c r="H1" s="392"/>
    </row>
    <row r="2" spans="2:17" ht="15.75">
      <c r="B2" s="402" t="s">
        <v>138</v>
      </c>
      <c r="C2" s="392"/>
      <c r="D2" s="392"/>
      <c r="E2" s="392"/>
      <c r="F2" s="392"/>
      <c r="G2" s="392"/>
      <c r="H2" s="392"/>
      <c r="J2" s="404" t="s">
        <v>229</v>
      </c>
      <c r="K2" s="405"/>
      <c r="L2" s="405"/>
    </row>
    <row r="3" spans="2:17" s="138" customFormat="1" ht="15.75">
      <c r="B3" s="29" t="s">
        <v>135</v>
      </c>
      <c r="C3" s="30"/>
      <c r="D3" s="30"/>
      <c r="E3" s="30"/>
      <c r="F3" s="30"/>
      <c r="G3" s="30"/>
      <c r="H3" s="30"/>
      <c r="J3" s="403" t="s">
        <v>191</v>
      </c>
      <c r="K3" s="392"/>
      <c r="L3" s="392"/>
      <c r="M3" s="140"/>
    </row>
    <row r="4" spans="2:17" s="138" customFormat="1">
      <c r="B4" s="33"/>
      <c r="C4" s="33"/>
      <c r="D4" s="33"/>
      <c r="E4" s="33"/>
      <c r="F4" s="33"/>
      <c r="G4" s="33"/>
      <c r="H4" s="33"/>
      <c r="K4" s="176"/>
      <c r="M4" s="140"/>
      <c r="O4" s="310"/>
      <c r="P4" s="310" t="s">
        <v>206</v>
      </c>
    </row>
    <row r="5" spans="2:17" s="138" customFormat="1" ht="51.75">
      <c r="B5" s="77" t="s">
        <v>2</v>
      </c>
      <c r="C5" s="78" t="s">
        <v>134</v>
      </c>
      <c r="D5" s="78" t="s">
        <v>215</v>
      </c>
      <c r="E5" s="144" t="str">
        <f>"Total Capacity Cost @ "&amp;TEXT(C44,"00.0%")&amp;" Contribution"</f>
        <v>Total Capacity Cost @ 64.8% Contribution</v>
      </c>
      <c r="F5" s="144" t="s">
        <v>115</v>
      </c>
      <c r="G5"/>
      <c r="H5" s="175"/>
      <c r="I5" s="144" t="s">
        <v>227</v>
      </c>
      <c r="J5" s="144" t="s">
        <v>192</v>
      </c>
      <c r="K5" s="144" t="s">
        <v>170</v>
      </c>
      <c r="L5" s="144"/>
      <c r="M5" s="140"/>
      <c r="O5" s="311" t="s">
        <v>207</v>
      </c>
      <c r="P5" s="311" t="s">
        <v>208</v>
      </c>
      <c r="Q5" s="138" t="s">
        <v>209</v>
      </c>
    </row>
    <row r="6" spans="2:17" s="138" customFormat="1">
      <c r="B6" s="36"/>
      <c r="C6" s="157" t="s">
        <v>120</v>
      </c>
      <c r="D6" s="157" t="s">
        <v>120</v>
      </c>
      <c r="E6" s="157" t="s">
        <v>120</v>
      </c>
      <c r="F6" s="157" t="s">
        <v>120</v>
      </c>
      <c r="G6"/>
      <c r="H6" s="175"/>
      <c r="I6" s="37" t="s">
        <v>133</v>
      </c>
      <c r="J6" s="37" t="s">
        <v>15</v>
      </c>
      <c r="K6" s="37" t="s">
        <v>133</v>
      </c>
      <c r="L6" s="37"/>
      <c r="M6" s="140"/>
      <c r="O6" s="310">
        <v>2017</v>
      </c>
      <c r="P6" s="312">
        <v>1789.0158140000001</v>
      </c>
    </row>
    <row r="7" spans="2:17" s="138" customFormat="1">
      <c r="B7" s="31"/>
      <c r="C7" s="38" t="s">
        <v>4</v>
      </c>
      <c r="D7" s="38" t="s">
        <v>5</v>
      </c>
      <c r="E7" s="38" t="s">
        <v>6</v>
      </c>
      <c r="F7" s="38" t="s">
        <v>7</v>
      </c>
      <c r="G7"/>
      <c r="K7" s="176"/>
      <c r="M7"/>
      <c r="N7"/>
      <c r="O7" s="310">
        <f t="shared" ref="O7:O31" si="0">O6+1</f>
        <v>2018</v>
      </c>
      <c r="P7" s="312">
        <v>1816.554097</v>
      </c>
      <c r="Q7" s="137">
        <f>P7/P6-1</f>
        <v>1.539297908073145E-2</v>
      </c>
    </row>
    <row r="8" spans="2:17" s="138" customFormat="1" ht="33.75" customHeight="1">
      <c r="C8" s="32"/>
      <c r="D8" s="31"/>
      <c r="E8" s="32"/>
      <c r="F8" s="32"/>
      <c r="G8"/>
      <c r="H8" s="170" t="s">
        <v>159</v>
      </c>
      <c r="I8" s="265">
        <f>-PMT($C$45,COUNT(I$10:I$24),NPV($C$45,I$10:I$24))</f>
        <v>1.1591683876184347</v>
      </c>
      <c r="J8" s="181"/>
      <c r="M8"/>
      <c r="N8"/>
      <c r="O8" s="310">
        <f t="shared" si="0"/>
        <v>2019</v>
      </c>
      <c r="P8" s="312">
        <v>1844.5162769999999</v>
      </c>
      <c r="Q8" s="137">
        <f t="shared" ref="Q8:Q25" si="1">P8/P7-1</f>
        <v>1.5392979513342731E-2</v>
      </c>
    </row>
    <row r="9" spans="2:17" s="138" customFormat="1">
      <c r="B9" s="56">
        <v>2020</v>
      </c>
      <c r="C9" s="32"/>
      <c r="D9" s="31"/>
      <c r="E9" s="32"/>
      <c r="F9" s="197">
        <v>0</v>
      </c>
      <c r="G9"/>
      <c r="H9" s="175"/>
      <c r="I9" s="182"/>
      <c r="M9"/>
      <c r="N9"/>
      <c r="O9" s="310">
        <f t="shared" si="0"/>
        <v>2020</v>
      </c>
      <c r="P9" s="312">
        <v>1872.9088790000001</v>
      </c>
      <c r="Q9" s="137">
        <f t="shared" si="1"/>
        <v>1.5392979912423943E-2</v>
      </c>
    </row>
    <row r="10" spans="2:17" s="138" customFormat="1">
      <c r="B10" s="56">
        <v>2021</v>
      </c>
      <c r="C10" s="345">
        <v>75110.766943950861</v>
      </c>
      <c r="D10" s="197">
        <f>C10</f>
        <v>75110.766943950861</v>
      </c>
      <c r="E10" s="197"/>
      <c r="F10" s="197">
        <f t="shared" ref="F10:F28" si="2">E10*100%/$C$44</f>
        <v>0</v>
      </c>
      <c r="G10"/>
      <c r="H10" s="175"/>
      <c r="I10" s="182">
        <v>1</v>
      </c>
      <c r="J10" s="263"/>
      <c r="K10" s="266"/>
      <c r="L10"/>
      <c r="M10"/>
      <c r="N10"/>
      <c r="O10" s="310">
        <f t="shared" si="0"/>
        <v>2021</v>
      </c>
      <c r="P10" s="312">
        <v>1901.738527</v>
      </c>
      <c r="Q10" s="137">
        <f t="shared" si="1"/>
        <v>1.5392979510777227E-2</v>
      </c>
    </row>
    <row r="11" spans="2:17" s="138" customFormat="1">
      <c r="B11" s="56">
        <f t="shared" ref="B11:B31" si="3">B10+1</f>
        <v>2022</v>
      </c>
      <c r="C11"/>
      <c r="D11" s="197">
        <f t="shared" ref="D11:D13" si="4">(1+INDEX($Q$6:$Q$28,MATCH($B11,$O$6:$O$28,0),1))*D10</f>
        <v>76266.945433410423</v>
      </c>
      <c r="E11" s="197"/>
      <c r="F11" s="197">
        <f t="shared" si="2"/>
        <v>0</v>
      </c>
      <c r="G11"/>
      <c r="H11" s="175"/>
      <c r="I11" s="182">
        <f>I10*(1+INDEX('Table D - Integration'!$G:$G,MATCH($B11,'Table D - Integration'!$B:$B,0),1))</f>
        <v>1.0249459137050525</v>
      </c>
      <c r="J11"/>
      <c r="K11"/>
      <c r="L11"/>
      <c r="M11"/>
      <c r="N11"/>
      <c r="O11" s="310">
        <f t="shared" si="0"/>
        <v>2022</v>
      </c>
      <c r="P11" s="312">
        <v>1931.011949</v>
      </c>
      <c r="Q11" s="137">
        <f t="shared" si="1"/>
        <v>1.5392979415618679E-2</v>
      </c>
    </row>
    <row r="12" spans="2:17" s="138" customFormat="1">
      <c r="B12" s="56">
        <f t="shared" si="3"/>
        <v>2023</v>
      </c>
      <c r="C12"/>
      <c r="D12" s="197">
        <f t="shared" si="4"/>
        <v>77440.920947360079</v>
      </c>
      <c r="E12" s="197"/>
      <c r="F12" s="197">
        <f t="shared" si="2"/>
        <v>0</v>
      </c>
      <c r="G12"/>
      <c r="H12" s="175"/>
      <c r="I12" s="182">
        <f>I11*(1+INDEX('Table D - Integration'!$G:$G,MATCH($B12,'Table D - Integration'!$B:$B,0),1))</f>
        <v>1.0505141260206849</v>
      </c>
      <c r="J12"/>
      <c r="K12"/>
      <c r="L12"/>
      <c r="M12"/>
      <c r="N12"/>
      <c r="O12" s="310">
        <f t="shared" si="0"/>
        <v>2023</v>
      </c>
      <c r="P12" s="312">
        <v>1960.7359759999999</v>
      </c>
      <c r="Q12" s="137">
        <f t="shared" si="1"/>
        <v>1.5392979321227296E-2</v>
      </c>
    </row>
    <row r="13" spans="2:17" s="138" customFormat="1">
      <c r="B13" s="56">
        <f t="shared" si="3"/>
        <v>2024</v>
      </c>
      <c r="C13"/>
      <c r="D13" s="197">
        <f t="shared" si="4"/>
        <v>78632.967468465125</v>
      </c>
      <c r="E13" s="315"/>
      <c r="F13" s="197">
        <f t="shared" si="2"/>
        <v>0</v>
      </c>
      <c r="G13"/>
      <c r="H13" s="175"/>
      <c r="I13" s="182">
        <f>I12*(1+INDEX('Table D - Integration'!$G:$G,MATCH($B13,'Table D - Integration'!$B:$B,0),1))</f>
        <v>1.0767201607543355</v>
      </c>
      <c r="J13"/>
      <c r="K13"/>
      <c r="L13"/>
      <c r="M13"/>
      <c r="N13"/>
      <c r="O13" s="310">
        <f t="shared" si="0"/>
        <v>2024</v>
      </c>
      <c r="P13" s="312">
        <v>1990.917545</v>
      </c>
      <c r="Q13" s="137">
        <f t="shared" si="1"/>
        <v>1.539297966142894E-2</v>
      </c>
    </row>
    <row r="14" spans="2:17" s="138" customFormat="1">
      <c r="B14" s="56">
        <f t="shared" si="3"/>
        <v>2025</v>
      </c>
      <c r="C14"/>
      <c r="D14" s="197">
        <f>(1+INDEX($Q$6:$Q$28,MATCH($B14,$O$6:$O$28,0),1))*D13*$H$44/$H$43</f>
        <v>105986.76521210758</v>
      </c>
      <c r="E14" s="197"/>
      <c r="F14" s="197">
        <f t="shared" si="2"/>
        <v>0</v>
      </c>
      <c r="G14"/>
      <c r="H14" s="175"/>
      <c r="I14" s="182">
        <f>I13*(1+INDEX('Table D - Integration'!$G:$G,MATCH($B14,'Table D - Integration'!$B:$B,0),1))</f>
        <v>1.1035799289690034</v>
      </c>
      <c r="J14"/>
      <c r="K14"/>
      <c r="L14"/>
      <c r="M14"/>
      <c r="N14"/>
      <c r="O14" s="310">
        <f t="shared" si="0"/>
        <v>2025</v>
      </c>
      <c r="P14" s="312">
        <v>2021.5636980000002</v>
      </c>
      <c r="Q14" s="137">
        <f t="shared" si="1"/>
        <v>1.5392979521911876E-2</v>
      </c>
    </row>
    <row r="15" spans="2:17" s="138" customFormat="1">
      <c r="B15" s="56">
        <f t="shared" si="3"/>
        <v>2026</v>
      </c>
      <c r="C15"/>
      <c r="D15" s="197">
        <f t="shared" ref="D15:D29" si="5">(1+INDEX($Q:$Q,MATCH($B15,$O:$O,0),1))*D14</f>
        <v>107618.21733929127</v>
      </c>
      <c r="E15" s="197"/>
      <c r="F15" s="197">
        <f t="shared" si="2"/>
        <v>0</v>
      </c>
      <c r="G15"/>
      <c r="H15" s="175"/>
      <c r="I15" s="182">
        <f>I14*(1+INDEX('Table D - Integration'!$G:$G,MATCH($B15,'Table D - Integration'!$B:$B,0),1))</f>
        <v>1.1311097386436921</v>
      </c>
      <c r="J15"/>
      <c r="K15"/>
      <c r="L15"/>
      <c r="M15"/>
      <c r="N15"/>
      <c r="O15" s="310">
        <f t="shared" si="0"/>
        <v>2026</v>
      </c>
      <c r="P15" s="312">
        <v>2052.681587</v>
      </c>
      <c r="Q15" s="137">
        <f t="shared" si="1"/>
        <v>1.5392979717030908E-2</v>
      </c>
    </row>
    <row r="16" spans="2:17" s="138" customFormat="1">
      <c r="B16" s="56">
        <f t="shared" si="3"/>
        <v>2027</v>
      </c>
      <c r="C16"/>
      <c r="D16" s="197">
        <f t="shared" si="5"/>
        <v>107618.21733929127</v>
      </c>
      <c r="E16" s="197"/>
      <c r="F16" s="197">
        <f t="shared" si="2"/>
        <v>0</v>
      </c>
      <c r="G16"/>
      <c r="H16" s="175"/>
      <c r="I16" s="182">
        <f>I15*(1+INDEX('Table D - Integration'!$G:$G,MATCH($B16,'Table D - Integration'!$B:$B,0),1))</f>
        <v>1.1593263045748421</v>
      </c>
      <c r="J16"/>
      <c r="K16"/>
      <c r="L16"/>
      <c r="M16"/>
      <c r="N16"/>
      <c r="O16" s="310">
        <f t="shared" si="0"/>
        <v>2027</v>
      </c>
      <c r="P16" s="312">
        <v>2052.681587</v>
      </c>
      <c r="Q16" s="137">
        <f t="shared" si="1"/>
        <v>0</v>
      </c>
    </row>
    <row r="17" spans="2:17" s="138" customFormat="1">
      <c r="B17" s="56">
        <f t="shared" si="3"/>
        <v>2028</v>
      </c>
      <c r="C17"/>
      <c r="D17" s="197">
        <f t="shared" si="5"/>
        <v>107618.21733929127</v>
      </c>
      <c r="E17" s="197">
        <f>D17</f>
        <v>107618.21733929127</v>
      </c>
      <c r="F17" s="197">
        <f t="shared" si="2"/>
        <v>166077.49589396801</v>
      </c>
      <c r="G17"/>
      <c r="H17" s="175"/>
      <c r="I17" s="182">
        <f>I16*(1+INDEX('Table D - Integration'!$G:$G,MATCH($B17,'Table D - Integration'!$B:$B,0),1))</f>
        <v>1.1882467585247636</v>
      </c>
      <c r="J17"/>
      <c r="K17"/>
      <c r="L17"/>
      <c r="M17"/>
      <c r="N17"/>
      <c r="O17" s="310">
        <f t="shared" si="0"/>
        <v>2028</v>
      </c>
      <c r="P17" s="312">
        <v>2052.681587</v>
      </c>
      <c r="Q17" s="137">
        <f t="shared" si="1"/>
        <v>0</v>
      </c>
    </row>
    <row r="18" spans="2:17" s="138" customFormat="1">
      <c r="B18" s="56">
        <f t="shared" si="3"/>
        <v>2029</v>
      </c>
      <c r="C18"/>
      <c r="D18" s="197">
        <f t="shared" si="5"/>
        <v>107618.21733929127</v>
      </c>
      <c r="E18" s="197">
        <f>ROUND(E17*I18/I17,2)</f>
        <v>110302.85</v>
      </c>
      <c r="F18" s="197">
        <f t="shared" si="2"/>
        <v>170220.44753086421</v>
      </c>
      <c r="G18"/>
      <c r="H18" s="175"/>
      <c r="I18" s="182">
        <f>I17*(1+INDEX('Table D - Integration'!$G:$G,MATCH($B18,'Table D - Integration'!$B:$B,0),1))</f>
        <v>1.2178886596232308</v>
      </c>
      <c r="J18"/>
      <c r="K18"/>
      <c r="L18"/>
      <c r="M18"/>
      <c r="N18"/>
      <c r="O18" s="310">
        <f t="shared" si="0"/>
        <v>2029</v>
      </c>
      <c r="P18" s="312">
        <v>2052.681587</v>
      </c>
      <c r="Q18" s="137">
        <f t="shared" si="1"/>
        <v>0</v>
      </c>
    </row>
    <row r="19" spans="2:17" s="138" customFormat="1">
      <c r="B19" s="56">
        <f t="shared" si="3"/>
        <v>2030</v>
      </c>
      <c r="C19"/>
      <c r="D19" s="197">
        <f t="shared" si="5"/>
        <v>107618.21733929127</v>
      </c>
      <c r="E19" s="197">
        <f t="shared" ref="E19:E30" si="6">ROUND(E18*I19/I18,2)</f>
        <v>113054.46</v>
      </c>
      <c r="F19" s="197">
        <f t="shared" si="2"/>
        <v>174466.75925925927</v>
      </c>
      <c r="G19"/>
      <c r="H19" s="175"/>
      <c r="I19" s="182">
        <f>I18*(1+INDEX('Table D - Integration'!$G:$G,MATCH($B19,'Table D - Integration'!$B:$B,0),1))</f>
        <v>1.248270005028554</v>
      </c>
      <c r="J19"/>
      <c r="K19"/>
      <c r="L19"/>
      <c r="M19"/>
      <c r="N19"/>
      <c r="O19" s="310">
        <f t="shared" si="0"/>
        <v>2030</v>
      </c>
      <c r="P19" s="312">
        <v>2052.681587</v>
      </c>
      <c r="Q19" s="137">
        <f t="shared" si="1"/>
        <v>0</v>
      </c>
    </row>
    <row r="20" spans="2:17" s="138" customFormat="1">
      <c r="B20" s="56">
        <f t="shared" si="3"/>
        <v>2031</v>
      </c>
      <c r="C20"/>
      <c r="D20" s="197">
        <f t="shared" si="5"/>
        <v>107618.21733929127</v>
      </c>
      <c r="E20" s="197">
        <f t="shared" si="6"/>
        <v>115874.71</v>
      </c>
      <c r="F20" s="197">
        <f t="shared" si="2"/>
        <v>178818.99691358025</v>
      </c>
      <c r="G20"/>
      <c r="H20" s="175"/>
      <c r="I20" s="182">
        <f>I19*(1+INDEX('Table D - Integration'!$G:$G,MATCH($B20,'Table D - Integration'!$B:$B,0),1))</f>
        <v>1.2794092408546018</v>
      </c>
      <c r="J20"/>
      <c r="K20"/>
      <c r="L20"/>
      <c r="M20"/>
      <c r="N20"/>
      <c r="O20" s="310">
        <f t="shared" si="0"/>
        <v>2031</v>
      </c>
      <c r="P20" s="312">
        <v>2052.681587</v>
      </c>
      <c r="Q20" s="137">
        <f t="shared" si="1"/>
        <v>0</v>
      </c>
    </row>
    <row r="21" spans="2:17" s="138" customFormat="1">
      <c r="B21" s="56">
        <f t="shared" si="3"/>
        <v>2032</v>
      </c>
      <c r="C21"/>
      <c r="D21" s="197">
        <f t="shared" si="5"/>
        <v>107618.21733929127</v>
      </c>
      <c r="E21" s="197">
        <f t="shared" si="6"/>
        <v>118765.31</v>
      </c>
      <c r="F21" s="197">
        <f t="shared" si="2"/>
        <v>183279.79938271604</v>
      </c>
      <c r="G21"/>
      <c r="H21" s="175"/>
      <c r="I21" s="182">
        <f>I20*(1+INDEX('Table D - Integration'!$G:$G,MATCH($B21,'Table D - Integration'!$B:$B,0),1))</f>
        <v>1.3113252733704075</v>
      </c>
      <c r="J21"/>
      <c r="K21"/>
      <c r="L21"/>
      <c r="M21"/>
      <c r="N21"/>
      <c r="O21" s="310">
        <f t="shared" si="0"/>
        <v>2032</v>
      </c>
      <c r="P21" s="312">
        <v>2052.681587</v>
      </c>
      <c r="Q21" s="137">
        <f t="shared" si="1"/>
        <v>0</v>
      </c>
    </row>
    <row r="22" spans="2:17" s="138" customFormat="1">
      <c r="B22" s="56">
        <f t="shared" si="3"/>
        <v>2033</v>
      </c>
      <c r="C22"/>
      <c r="D22" s="197">
        <f t="shared" si="5"/>
        <v>107618.21733929127</v>
      </c>
      <c r="E22" s="197">
        <f t="shared" si="6"/>
        <v>121728.02</v>
      </c>
      <c r="F22" s="197">
        <f t="shared" si="2"/>
        <v>187851.88271604938</v>
      </c>
      <c r="G22"/>
      <c r="H22" s="175"/>
      <c r="I22" s="182">
        <f>I21*(1+INDEX('Table D - Integration'!$G:$G,MATCH($B22,'Table D - Integration'!$B:$B,0),1))</f>
        <v>1.3440374804791602</v>
      </c>
      <c r="J22"/>
      <c r="K22"/>
      <c r="L22"/>
      <c r="M22"/>
      <c r="N22"/>
      <c r="O22" s="310">
        <f t="shared" si="0"/>
        <v>2033</v>
      </c>
      <c r="P22" s="312">
        <v>2052.681587</v>
      </c>
      <c r="Q22" s="137">
        <f t="shared" si="1"/>
        <v>0</v>
      </c>
    </row>
    <row r="23" spans="2:17" s="138" customFormat="1">
      <c r="B23" s="56">
        <f t="shared" si="3"/>
        <v>2034</v>
      </c>
      <c r="C23"/>
      <c r="D23" s="197">
        <f t="shared" si="5"/>
        <v>107618.21733929127</v>
      </c>
      <c r="E23" s="197">
        <f t="shared" si="6"/>
        <v>124764.64</v>
      </c>
      <c r="F23" s="197">
        <f t="shared" si="2"/>
        <v>192538.024691358</v>
      </c>
      <c r="G23"/>
      <c r="H23" s="175"/>
      <c r="I23" s="182">
        <f>I22*(1+INDEX('Table D - Integration'!$G:$G,MATCH($B23,'Table D - Integration'!$B:$B,0),1))</f>
        <v>1.3775657234835494</v>
      </c>
      <c r="J23"/>
      <c r="K23"/>
      <c r="L23"/>
      <c r="M23"/>
      <c r="N23"/>
      <c r="O23" s="310">
        <f t="shared" si="0"/>
        <v>2034</v>
      </c>
      <c r="P23" s="312">
        <v>2052.681587</v>
      </c>
      <c r="Q23" s="137">
        <f t="shared" si="1"/>
        <v>0</v>
      </c>
    </row>
    <row r="24" spans="2:17" s="138" customFormat="1">
      <c r="B24" s="56">
        <f t="shared" si="3"/>
        <v>2035</v>
      </c>
      <c r="C24"/>
      <c r="D24" s="197">
        <f t="shared" si="5"/>
        <v>107618.21733929127</v>
      </c>
      <c r="E24" s="197">
        <f t="shared" si="6"/>
        <v>127877.01</v>
      </c>
      <c r="F24" s="197">
        <f t="shared" si="2"/>
        <v>197341.0648148148</v>
      </c>
      <c r="G24"/>
      <c r="H24" s="175"/>
      <c r="I24" s="182">
        <f>I23*(1+INDEX('Table D - Integration'!$G:$G,MATCH($B24,'Table D - Integration'!$B:$B,0),1))</f>
        <v>1.4119303591446082</v>
      </c>
      <c r="J24"/>
      <c r="K24"/>
      <c r="L24"/>
      <c r="M24"/>
      <c r="N24"/>
      <c r="O24" s="310">
        <f t="shared" si="0"/>
        <v>2035</v>
      </c>
      <c r="P24" s="312">
        <v>2052.681587</v>
      </c>
      <c r="Q24" s="137">
        <f t="shared" si="1"/>
        <v>0</v>
      </c>
    </row>
    <row r="25" spans="2:17" s="138" customFormat="1">
      <c r="B25" s="56">
        <f t="shared" si="3"/>
        <v>2036</v>
      </c>
      <c r="C25"/>
      <c r="D25" s="197">
        <f t="shared" si="5"/>
        <v>107618.21733929127</v>
      </c>
      <c r="E25" s="197">
        <f t="shared" si="6"/>
        <v>131067.02</v>
      </c>
      <c r="F25" s="197">
        <f t="shared" si="2"/>
        <v>202263.91975308643</v>
      </c>
      <c r="G25"/>
      <c r="H25" s="175"/>
      <c r="I25" s="182">
        <f>I24*(1+INDEX('Table D - Integration'!$G:$G,MATCH($B25,'Table D - Integration'!$B:$B,0),1))</f>
        <v>1.4471522520413733</v>
      </c>
      <c r="J25"/>
      <c r="K25"/>
      <c r="L25"/>
      <c r="M25"/>
      <c r="N25"/>
      <c r="O25" s="310">
        <f t="shared" si="0"/>
        <v>2036</v>
      </c>
      <c r="P25" s="312">
        <v>2052.681587</v>
      </c>
      <c r="Q25" s="137">
        <f t="shared" si="1"/>
        <v>0</v>
      </c>
    </row>
    <row r="26" spans="2:17" s="138" customFormat="1">
      <c r="B26" s="56">
        <f t="shared" si="3"/>
        <v>2037</v>
      </c>
      <c r="C26"/>
      <c r="D26" s="197">
        <f t="shared" si="5"/>
        <v>107618.21733929127</v>
      </c>
      <c r="E26" s="197">
        <f t="shared" si="6"/>
        <v>134336.60999999999</v>
      </c>
      <c r="F26" s="197">
        <f t="shared" si="2"/>
        <v>207309.58333333331</v>
      </c>
      <c r="G26"/>
      <c r="H26" s="175"/>
      <c r="I26" s="182">
        <f>I25*(1+INDEX('Table D - Integration'!$G:$G,MATCH($B26,'Table D - Integration'!$B:$B,0),1))</f>
        <v>1.4832527872388699</v>
      </c>
      <c r="J26"/>
      <c r="K26"/>
      <c r="L26"/>
      <c r="M26"/>
      <c r="N26"/>
      <c r="O26" s="310">
        <f t="shared" si="0"/>
        <v>2037</v>
      </c>
      <c r="Q26" s="137">
        <f>Q25</f>
        <v>0</v>
      </c>
    </row>
    <row r="27" spans="2:17" s="138" customFormat="1">
      <c r="B27" s="56">
        <f t="shared" si="3"/>
        <v>2038</v>
      </c>
      <c r="C27"/>
      <c r="D27" s="197">
        <f t="shared" si="5"/>
        <v>107618.21733929127</v>
      </c>
      <c r="E27" s="197">
        <f t="shared" si="6"/>
        <v>137687.76</v>
      </c>
      <c r="F27" s="197">
        <f t="shared" si="2"/>
        <v>212481.11111111112</v>
      </c>
      <c r="G27"/>
      <c r="H27" s="175"/>
      <c r="I27" s="182">
        <f>I26*(1+INDEX('Table D - Integration'!$G:$G,MATCH($B27,'Table D - Integration'!$B:$B,0),1))</f>
        <v>1.5202538832721093</v>
      </c>
      <c r="J27"/>
      <c r="K27"/>
      <c r="L27"/>
      <c r="M27"/>
      <c r="N27"/>
      <c r="O27" s="310">
        <f t="shared" si="0"/>
        <v>2038</v>
      </c>
      <c r="Q27" s="137">
        <f t="shared" ref="Q27:Q31" si="7">Q26</f>
        <v>0</v>
      </c>
    </row>
    <row r="28" spans="2:17" s="138" customFormat="1">
      <c r="B28" s="56">
        <f t="shared" si="3"/>
        <v>2039</v>
      </c>
      <c r="C28"/>
      <c r="D28" s="197">
        <f t="shared" si="5"/>
        <v>107618.21733929127</v>
      </c>
      <c r="E28" s="197">
        <f t="shared" si="6"/>
        <v>141122.51</v>
      </c>
      <c r="F28" s="197">
        <f t="shared" si="2"/>
        <v>217781.65123456792</v>
      </c>
      <c r="G28"/>
      <c r="H28" s="175"/>
      <c r="I28" s="182">
        <f>I27*(1+INDEX('Table D - Integration'!$G:$G,MATCH($B28,'Table D - Integration'!$B:$B,0),1))</f>
        <v>1.5581780054539862</v>
      </c>
      <c r="J28"/>
      <c r="K28"/>
      <c r="L28"/>
      <c r="M28"/>
      <c r="N28"/>
      <c r="O28" s="310">
        <f t="shared" si="0"/>
        <v>2039</v>
      </c>
      <c r="Q28" s="137">
        <f t="shared" si="7"/>
        <v>0</v>
      </c>
    </row>
    <row r="29" spans="2:17" s="138" customFormat="1">
      <c r="B29" s="56">
        <f t="shared" si="3"/>
        <v>2040</v>
      </c>
      <c r="C29" s="87"/>
      <c r="D29" s="197">
        <f t="shared" si="5"/>
        <v>107618.21733929127</v>
      </c>
      <c r="E29" s="197">
        <f t="shared" si="6"/>
        <v>144642.94</v>
      </c>
      <c r="F29" s="197">
        <f t="shared" ref="F29" si="8">E29*100%/$C$44</f>
        <v>223214.41358024691</v>
      </c>
      <c r="G29" s="175"/>
      <c r="H29" s="175"/>
      <c r="I29" s="182">
        <f>I28*(1+INDEX('Table D - Integration'!$G:$G,MATCH($B29,'Table D - Integration'!$B:$B,0),1))</f>
        <v>1.5970481795151521</v>
      </c>
      <c r="J29"/>
      <c r="K29"/>
      <c r="L29"/>
      <c r="M29"/>
      <c r="N29"/>
      <c r="O29" s="310">
        <f t="shared" si="0"/>
        <v>2040</v>
      </c>
      <c r="Q29" s="137">
        <f t="shared" si="7"/>
        <v>0</v>
      </c>
    </row>
    <row r="30" spans="2:17" s="138" customFormat="1">
      <c r="B30" s="56">
        <f t="shared" si="3"/>
        <v>2041</v>
      </c>
      <c r="C30" s="87"/>
      <c r="D30" s="197">
        <f>(1+INDEX($Q:$Q,MATCH($B30,$O:$O,0),1))*D29</f>
        <v>107618.21733929127</v>
      </c>
      <c r="E30" s="197">
        <f t="shared" si="6"/>
        <v>148251.19</v>
      </c>
      <c r="F30" s="197">
        <f t="shared" ref="F30" si="9">E30*100%/$C$44</f>
        <v>228782.70061728396</v>
      </c>
      <c r="G30" s="175"/>
      <c r="H30" s="175"/>
      <c r="I30" s="182">
        <f>I29*(1+INDEX('Table D - Integration'!$G:$G,MATCH($B30,'Table D - Integration'!$B:$B,0),1))</f>
        <v>1.6368880055841484</v>
      </c>
      <c r="J30"/>
      <c r="K30"/>
      <c r="L30"/>
      <c r="M30"/>
      <c r="N30"/>
      <c r="O30" s="310">
        <f t="shared" si="0"/>
        <v>2041</v>
      </c>
      <c r="Q30" s="137">
        <f t="shared" si="7"/>
        <v>0</v>
      </c>
    </row>
    <row r="31" spans="2:17" s="138" customFormat="1">
      <c r="B31" s="56">
        <f t="shared" si="3"/>
        <v>2042</v>
      </c>
      <c r="C31" s="87"/>
      <c r="D31" s="197">
        <f t="shared" ref="D31" si="10">(1+INDEX($Q:$Q,MATCH($B31,$O:$O,0),1))*D30</f>
        <v>107618.21733929127</v>
      </c>
      <c r="E31" s="197">
        <f t="shared" ref="E31" si="11">ROUND(E30*I31/I30,2)</f>
        <v>151949.45000000001</v>
      </c>
      <c r="F31" s="197">
        <f t="shared" ref="F31" si="12">E31*100%/$C$44</f>
        <v>234489.89197530865</v>
      </c>
      <c r="G31" s="175"/>
      <c r="H31" s="175"/>
      <c r="I31" s="182">
        <f>I30*(1+INDEX('Table D - Integration'!$G:$G,MATCH($B31,'Table D - Integration'!$B:$B,0),1))</f>
        <v>1.677721672516286</v>
      </c>
      <c r="J31"/>
      <c r="K31"/>
      <c r="L31"/>
      <c r="M31"/>
      <c r="N31"/>
      <c r="O31" s="310">
        <f t="shared" si="0"/>
        <v>2042</v>
      </c>
      <c r="Q31" s="137">
        <f t="shared" si="7"/>
        <v>0</v>
      </c>
    </row>
    <row r="32" spans="2:17" s="138" customFormat="1" ht="14.25">
      <c r="B32" s="81" t="s">
        <v>13</v>
      </c>
      <c r="C32" s="82"/>
      <c r="D32" s="82"/>
      <c r="E32" s="82"/>
      <c r="F32" s="82"/>
      <c r="G32" s="82"/>
      <c r="H32" s="82"/>
    </row>
    <row r="33" spans="2:14" s="138" customFormat="1" ht="12.75">
      <c r="B33" s="31"/>
      <c r="C33" s="31"/>
      <c r="D33" s="31"/>
      <c r="E33" s="31"/>
      <c r="F33" s="31"/>
      <c r="G33" s="31"/>
      <c r="H33" s="31"/>
    </row>
    <row r="34" spans="2:14" s="138" customFormat="1" ht="12.75">
      <c r="B34" s="31" t="s">
        <v>59</v>
      </c>
      <c r="C34" s="20" t="s">
        <v>147</v>
      </c>
      <c r="D34" s="20"/>
      <c r="E34" s="31"/>
      <c r="F34" s="31"/>
      <c r="G34" s="31"/>
      <c r="H34" s="31"/>
    </row>
    <row r="35" spans="2:14" s="138" customFormat="1" ht="12.75">
      <c r="B35" s="31"/>
      <c r="C35" s="83" t="str">
        <f>C7</f>
        <v>(a)</v>
      </c>
      <c r="D35" s="31" t="s">
        <v>218</v>
      </c>
      <c r="E35" s="31"/>
      <c r="F35" s="31"/>
      <c r="G35" s="31"/>
      <c r="H35" s="31"/>
    </row>
    <row r="36" spans="2:14" s="138" customFormat="1" ht="12.75">
      <c r="B36" s="31"/>
      <c r="C36" s="83" t="str">
        <f>D7</f>
        <v>(b)</v>
      </c>
      <c r="D36" s="363" t="s">
        <v>248</v>
      </c>
      <c r="E36" s="31"/>
      <c r="F36" s="31"/>
      <c r="G36" s="31"/>
      <c r="H36" s="31"/>
    </row>
    <row r="37" spans="2:14" s="138" customFormat="1" ht="12.75">
      <c r="B37" s="31"/>
      <c r="C37" s="83" t="str">
        <f>E7</f>
        <v>(c)</v>
      </c>
      <c r="D37" s="80" t="str">
        <f>"= "&amp;D7&amp;" escalated at inflation"</f>
        <v>= (b) escalated at inflation</v>
      </c>
      <c r="E37" s="31"/>
      <c r="F37" s="31"/>
      <c r="G37" s="31"/>
      <c r="H37" s="31"/>
    </row>
    <row r="38" spans="2:14" s="138" customFormat="1" ht="12.75">
      <c r="B38" s="31"/>
      <c r="C38" s="83" t="str">
        <f>F7</f>
        <v>(d)</v>
      </c>
      <c r="D38" s="80" t="str">
        <f>"= "&amp;E7&amp;" * 100% / "&amp;TEXT(C44,"00.0%")</f>
        <v>= (c) * 100% / 64.8%</v>
      </c>
      <c r="E38" s="31"/>
      <c r="F38" s="31"/>
      <c r="G38" s="31"/>
      <c r="H38" s="31"/>
    </row>
    <row r="39" spans="2:14" s="138" customFormat="1" ht="12.75">
      <c r="B39" s="31"/>
      <c r="C39" s="83"/>
      <c r="D39" s="3"/>
      <c r="E39" s="31"/>
      <c r="F39" s="31"/>
      <c r="G39" s="31"/>
      <c r="H39" s="31"/>
    </row>
    <row r="40" spans="2:14" s="138" customFormat="1" ht="13.5" thickBot="1">
      <c r="B40" s="31"/>
      <c r="C40" s="31"/>
      <c r="D40" s="31"/>
      <c r="E40" s="31"/>
      <c r="F40" s="31"/>
      <c r="G40" s="31"/>
      <c r="H40" s="31"/>
    </row>
    <row r="41" spans="2:14" s="138" customFormat="1" ht="13.5" thickBot="1">
      <c r="B41" s="31"/>
      <c r="C41" s="84" t="str">
        <f>B3</f>
        <v>2017S RFP: 2021 Solar (Oregon)</v>
      </c>
      <c r="D41" s="41"/>
      <c r="E41" s="41"/>
      <c r="F41" s="41"/>
      <c r="G41" s="41"/>
      <c r="H41" s="76"/>
    </row>
    <row r="42" spans="2:14" s="138" customFormat="1" ht="15.75" thickBot="1">
      <c r="B42" s="31"/>
      <c r="C42" s="85" t="s">
        <v>114</v>
      </c>
      <c r="D42" s="86" t="s">
        <v>60</v>
      </c>
      <c r="E42" s="86"/>
      <c r="F42" s="86"/>
      <c r="G42" s="86"/>
      <c r="H42" s="180"/>
      <c r="J42" s="175"/>
    </row>
    <row r="43" spans="2:14" s="138" customFormat="1">
      <c r="B43" s="31"/>
      <c r="C43" s="264"/>
      <c r="D43" s="31" t="s">
        <v>132</v>
      </c>
      <c r="E43" s="31"/>
      <c r="F43" s="31"/>
      <c r="G43" s="31"/>
      <c r="H43" s="313">
        <v>5.0849999999999999E-2</v>
      </c>
      <c r="I43" s="138" t="s">
        <v>213</v>
      </c>
      <c r="K43" s="175"/>
      <c r="L43" s="175"/>
      <c r="M43" s="175"/>
      <c r="N43" s="175"/>
    </row>
    <row r="44" spans="2:14" s="138" customFormat="1">
      <c r="B44" s="31"/>
      <c r="C44" s="142">
        <v>0.64800000000000002</v>
      </c>
      <c r="D44" s="31" t="s">
        <v>131</v>
      </c>
      <c r="E44" s="31"/>
      <c r="F44" s="31"/>
      <c r="G44" s="31"/>
      <c r="H44" s="314">
        <v>6.7500000000000004E-2</v>
      </c>
      <c r="I44" s="138" t="s">
        <v>214</v>
      </c>
      <c r="J44" s="178"/>
    </row>
    <row r="45" spans="2:14" s="138" customFormat="1">
      <c r="B45" s="31"/>
      <c r="C45" s="179">
        <v>6.9099999999999995E-2</v>
      </c>
      <c r="D45" s="141" t="s">
        <v>130</v>
      </c>
      <c r="E45" s="31"/>
      <c r="F45" s="31"/>
      <c r="G45" s="31"/>
      <c r="H45" s="31"/>
      <c r="J45" s="178"/>
    </row>
    <row r="46" spans="2:14" s="138" customFormat="1">
      <c r="B46" s="32"/>
      <c r="C46" s="32"/>
      <c r="D46" s="32"/>
      <c r="E46" s="32"/>
      <c r="F46" s="32"/>
      <c r="G46" s="32"/>
      <c r="H46" s="32"/>
      <c r="I46" s="178"/>
    </row>
    <row r="47" spans="2:14" s="139" customFormat="1">
      <c r="E47" s="140"/>
      <c r="F47" s="176"/>
      <c r="G47"/>
      <c r="H47"/>
      <c r="I47" s="175"/>
      <c r="J47" s="175"/>
      <c r="L47" s="140"/>
      <c r="M47" s="176"/>
    </row>
    <row r="48" spans="2:14" s="138" customFormat="1">
      <c r="J48" s="175"/>
    </row>
  </sheetData>
  <mergeCells count="4">
    <mergeCell ref="B1:H1"/>
    <mergeCell ref="B2:H2"/>
    <mergeCell ref="J2:L2"/>
    <mergeCell ref="J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C18B-5AB3-42D7-9A6B-4C4E67A2F5D8}">
  <sheetPr>
    <tabColor theme="5" tint="0.59999389629810485"/>
  </sheetPr>
  <dimension ref="B1:Q48"/>
  <sheetViews>
    <sheetView workbookViewId="0">
      <selection activeCell="J2" sqref="J2:L2"/>
    </sheetView>
  </sheetViews>
  <sheetFormatPr defaultRowHeight="15"/>
  <cols>
    <col min="1" max="3" width="9.33203125" style="175"/>
    <col min="4" max="4" width="20.1640625" style="175" customWidth="1"/>
    <col min="5" max="5" width="15.33203125" style="175" customWidth="1"/>
    <col min="6" max="6" width="14.83203125" style="175" customWidth="1"/>
    <col min="7" max="7" width="14.33203125" style="175" customWidth="1"/>
    <col min="8" max="8" width="11.83203125" style="175" customWidth="1"/>
    <col min="9" max="9" width="11.1640625" style="175" customWidth="1"/>
    <col min="10" max="10" width="13.33203125" style="175" customWidth="1"/>
    <col min="11" max="11" width="12.83203125" style="175" customWidth="1"/>
    <col min="12" max="16384" width="9.33203125" style="175"/>
  </cols>
  <sheetData>
    <row r="1" spans="2:17" ht="15.75">
      <c r="B1" s="402" t="s">
        <v>254</v>
      </c>
      <c r="C1" s="392"/>
      <c r="D1" s="392"/>
      <c r="E1" s="392"/>
      <c r="F1" s="392"/>
      <c r="G1" s="392"/>
      <c r="H1" s="392"/>
    </row>
    <row r="2" spans="2:17" ht="15.75">
      <c r="B2" s="402" t="s">
        <v>138</v>
      </c>
      <c r="C2" s="392"/>
      <c r="D2" s="392"/>
      <c r="E2" s="392"/>
      <c r="F2" s="392"/>
      <c r="G2" s="392"/>
      <c r="H2" s="392"/>
      <c r="J2" s="404" t="s">
        <v>229</v>
      </c>
      <c r="K2" s="405"/>
      <c r="L2" s="405"/>
    </row>
    <row r="3" spans="2:17" s="138" customFormat="1" ht="15.75">
      <c r="B3" s="29" t="s">
        <v>135</v>
      </c>
      <c r="C3" s="30"/>
      <c r="D3" s="30"/>
      <c r="E3" s="30"/>
      <c r="F3" s="30"/>
      <c r="G3" s="30"/>
      <c r="H3" s="30"/>
      <c r="J3" s="403" t="s">
        <v>191</v>
      </c>
      <c r="K3" s="392"/>
      <c r="L3" s="392"/>
      <c r="M3" s="140"/>
    </row>
    <row r="4" spans="2:17" s="138" customFormat="1">
      <c r="B4" s="33"/>
      <c r="C4" s="33"/>
      <c r="D4" s="33"/>
      <c r="E4" s="33"/>
      <c r="F4" s="33"/>
      <c r="G4" s="33"/>
      <c r="H4" s="33"/>
      <c r="K4" s="176"/>
      <c r="M4" s="140"/>
      <c r="O4" s="310"/>
      <c r="P4" s="310" t="s">
        <v>206</v>
      </c>
    </row>
    <row r="5" spans="2:17" s="138" customFormat="1" ht="51.75">
      <c r="B5" s="77" t="s">
        <v>2</v>
      </c>
      <c r="C5" s="78" t="s">
        <v>134</v>
      </c>
      <c r="D5" s="78" t="s">
        <v>215</v>
      </c>
      <c r="E5" s="144" t="str">
        <f>"Total Capacity Cost @ "&amp;TEXT(C44,"00.0%")&amp;" Contribution"</f>
        <v>Total Capacity Cost @ 64.8% Contribution</v>
      </c>
      <c r="F5" s="144" t="s">
        <v>115</v>
      </c>
      <c r="G5"/>
      <c r="H5" s="175"/>
      <c r="I5" s="144" t="s">
        <v>227</v>
      </c>
      <c r="J5" s="144" t="s">
        <v>192</v>
      </c>
      <c r="K5" s="144" t="s">
        <v>170</v>
      </c>
      <c r="L5" s="144"/>
      <c r="M5" s="140"/>
      <c r="O5" s="311" t="s">
        <v>207</v>
      </c>
      <c r="P5" s="311" t="s">
        <v>208</v>
      </c>
      <c r="Q5" s="138" t="s">
        <v>209</v>
      </c>
    </row>
    <row r="6" spans="2:17" s="138" customFormat="1">
      <c r="B6" s="36"/>
      <c r="C6" s="157" t="s">
        <v>120</v>
      </c>
      <c r="D6" s="157" t="s">
        <v>120</v>
      </c>
      <c r="E6" s="157" t="s">
        <v>120</v>
      </c>
      <c r="F6" s="157" t="s">
        <v>120</v>
      </c>
      <c r="G6"/>
      <c r="H6" s="175"/>
      <c r="I6" s="37" t="s">
        <v>133</v>
      </c>
      <c r="J6" s="37" t="s">
        <v>15</v>
      </c>
      <c r="K6" s="37" t="s">
        <v>133</v>
      </c>
      <c r="L6" s="37"/>
      <c r="M6" s="140"/>
      <c r="O6" s="310">
        <v>2017</v>
      </c>
      <c r="P6" s="312">
        <v>1789.0158140000001</v>
      </c>
    </row>
    <row r="7" spans="2:17" s="138" customFormat="1">
      <c r="B7" s="31"/>
      <c r="C7" s="38" t="s">
        <v>4</v>
      </c>
      <c r="D7" s="38" t="s">
        <v>5</v>
      </c>
      <c r="E7" s="38" t="s">
        <v>6</v>
      </c>
      <c r="F7" s="38" t="s">
        <v>7</v>
      </c>
      <c r="G7"/>
      <c r="K7" s="176"/>
      <c r="M7"/>
      <c r="N7"/>
      <c r="O7" s="310">
        <f t="shared" ref="O7:O31" si="0">O6+1</f>
        <v>2018</v>
      </c>
      <c r="P7" s="312">
        <v>1816.554097</v>
      </c>
      <c r="Q7" s="137">
        <f>P7/P6-1</f>
        <v>1.539297908073145E-2</v>
      </c>
    </row>
    <row r="8" spans="2:17" s="138" customFormat="1" ht="33.75" customHeight="1">
      <c r="C8" s="32"/>
      <c r="D8" s="31"/>
      <c r="E8" s="32"/>
      <c r="F8" s="32"/>
      <c r="G8"/>
      <c r="H8" s="170" t="s">
        <v>159</v>
      </c>
      <c r="I8" s="265">
        <f>-PMT($C$45,COUNT(I$10:I$24),NPV($C$45,I$10:I$24))</f>
        <v>1.1591683876184347</v>
      </c>
      <c r="J8" s="181"/>
      <c r="M8"/>
      <c r="N8"/>
      <c r="O8" s="310">
        <f t="shared" si="0"/>
        <v>2019</v>
      </c>
      <c r="P8" s="312">
        <v>1844.5162769999999</v>
      </c>
      <c r="Q8" s="137">
        <f t="shared" ref="Q8:Q25" si="1">P8/P7-1</f>
        <v>1.5392979513342731E-2</v>
      </c>
    </row>
    <row r="9" spans="2:17" s="138" customFormat="1">
      <c r="B9" s="56">
        <v>2020</v>
      </c>
      <c r="C9" s="32"/>
      <c r="D9" s="31"/>
      <c r="E9" s="32"/>
      <c r="F9" s="197">
        <v>0</v>
      </c>
      <c r="G9"/>
      <c r="H9" s="175"/>
      <c r="I9" s="182"/>
      <c r="M9"/>
      <c r="N9"/>
      <c r="O9" s="310">
        <f t="shared" si="0"/>
        <v>2020</v>
      </c>
      <c r="P9" s="312">
        <v>1872.9088790000001</v>
      </c>
      <c r="Q9" s="137">
        <f t="shared" si="1"/>
        <v>1.5392979912423943E-2</v>
      </c>
    </row>
    <row r="10" spans="2:17" s="138" customFormat="1">
      <c r="B10" s="56">
        <v>2021</v>
      </c>
      <c r="C10" s="345">
        <v>75110.766943950861</v>
      </c>
      <c r="D10" s="197">
        <f>C10</f>
        <v>75110.766943950861</v>
      </c>
      <c r="E10" s="197"/>
      <c r="F10" s="197">
        <f t="shared" ref="F10:F31" si="2">E10*100%/$C$44</f>
        <v>0</v>
      </c>
      <c r="G10"/>
      <c r="H10" s="175"/>
      <c r="I10" s="182">
        <v>1</v>
      </c>
      <c r="J10" s="263"/>
      <c r="K10" s="266"/>
      <c r="L10"/>
      <c r="M10"/>
      <c r="N10"/>
      <c r="O10" s="310">
        <f t="shared" si="0"/>
        <v>2021</v>
      </c>
      <c r="P10" s="312">
        <v>1901.738527</v>
      </c>
      <c r="Q10" s="137">
        <f t="shared" si="1"/>
        <v>1.5392979510777227E-2</v>
      </c>
    </row>
    <row r="11" spans="2:17" s="138" customFormat="1">
      <c r="B11" s="56">
        <f t="shared" ref="B11:B31" si="3">B10+1</f>
        <v>2022</v>
      </c>
      <c r="C11"/>
      <c r="D11" s="197">
        <f t="shared" ref="D11:D13" si="4">(1+INDEX($Q$6:$Q$28,MATCH($B11,$O$6:$O$28,0),1))*D10</f>
        <v>76266.945433410423</v>
      </c>
      <c r="E11" s="197"/>
      <c r="F11" s="197">
        <f t="shared" si="2"/>
        <v>0</v>
      </c>
      <c r="G11"/>
      <c r="H11" s="175"/>
      <c r="I11" s="182">
        <f>I10*(1+INDEX('Table D - Integration'!$G:$G,MATCH($B11,'Table D - Integration'!$B:$B,0),1))</f>
        <v>1.0249459137050525</v>
      </c>
      <c r="J11"/>
      <c r="K11"/>
      <c r="L11"/>
      <c r="M11"/>
      <c r="N11"/>
      <c r="O11" s="310">
        <f t="shared" si="0"/>
        <v>2022</v>
      </c>
      <c r="P11" s="312">
        <v>1931.011949</v>
      </c>
      <c r="Q11" s="137">
        <f t="shared" si="1"/>
        <v>1.5392979415618679E-2</v>
      </c>
    </row>
    <row r="12" spans="2:17" s="138" customFormat="1">
      <c r="B12" s="56">
        <f t="shared" si="3"/>
        <v>2023</v>
      </c>
      <c r="C12"/>
      <c r="D12" s="197">
        <f t="shared" si="4"/>
        <v>77440.920947360079</v>
      </c>
      <c r="E12" s="197"/>
      <c r="F12" s="197">
        <f t="shared" si="2"/>
        <v>0</v>
      </c>
      <c r="G12"/>
      <c r="H12" s="175"/>
      <c r="I12" s="182">
        <f>I11*(1+INDEX('Table D - Integration'!$G:$G,MATCH($B12,'Table D - Integration'!$B:$B,0),1))</f>
        <v>1.0505141260206849</v>
      </c>
      <c r="J12"/>
      <c r="K12"/>
      <c r="L12"/>
      <c r="M12"/>
      <c r="N12"/>
      <c r="O12" s="310">
        <f t="shared" si="0"/>
        <v>2023</v>
      </c>
      <c r="P12" s="312">
        <v>1960.7359759999999</v>
      </c>
      <c r="Q12" s="137">
        <f t="shared" si="1"/>
        <v>1.5392979321227296E-2</v>
      </c>
    </row>
    <row r="13" spans="2:17" s="138" customFormat="1">
      <c r="B13" s="56">
        <f t="shared" si="3"/>
        <v>2024</v>
      </c>
      <c r="C13"/>
      <c r="D13" s="197">
        <f t="shared" si="4"/>
        <v>78632.967468465125</v>
      </c>
      <c r="E13" s="315"/>
      <c r="F13" s="197">
        <f t="shared" si="2"/>
        <v>0</v>
      </c>
      <c r="G13"/>
      <c r="H13" s="175"/>
      <c r="I13" s="182">
        <f>I12*(1+INDEX('Table D - Integration'!$G:$G,MATCH($B13,'Table D - Integration'!$B:$B,0),1))</f>
        <v>1.0767201607543355</v>
      </c>
      <c r="J13"/>
      <c r="K13"/>
      <c r="L13"/>
      <c r="M13"/>
      <c r="N13"/>
      <c r="O13" s="310">
        <f t="shared" si="0"/>
        <v>2024</v>
      </c>
      <c r="P13" s="312">
        <v>1990.917545</v>
      </c>
      <c r="Q13" s="137">
        <f t="shared" si="1"/>
        <v>1.539297966142894E-2</v>
      </c>
    </row>
    <row r="14" spans="2:17" s="138" customFormat="1">
      <c r="B14" s="56">
        <f t="shared" si="3"/>
        <v>2025</v>
      </c>
      <c r="C14"/>
      <c r="D14" s="344">
        <f>(1+INDEX($Q$6:$Q$28,MATCH($B14,$O$6:$O$28,0),1))*D13*1</f>
        <v>79843.363126454366</v>
      </c>
      <c r="E14" s="197"/>
      <c r="F14" s="197">
        <f t="shared" si="2"/>
        <v>0</v>
      </c>
      <c r="G14"/>
      <c r="H14" s="175"/>
      <c r="I14" s="182">
        <f>I13*(1+INDEX('Table D - Integration'!$G:$G,MATCH($B14,'Table D - Integration'!$B:$B,0),1))</f>
        <v>1.1035799289690034</v>
      </c>
      <c r="J14"/>
      <c r="K14"/>
      <c r="L14"/>
      <c r="M14"/>
      <c r="N14"/>
      <c r="O14" s="310">
        <f t="shared" si="0"/>
        <v>2025</v>
      </c>
      <c r="P14" s="312">
        <v>2021.5636980000002</v>
      </c>
      <c r="Q14" s="137">
        <f t="shared" si="1"/>
        <v>1.5392979521911876E-2</v>
      </c>
    </row>
    <row r="15" spans="2:17" s="138" customFormat="1">
      <c r="B15" s="56">
        <f t="shared" si="3"/>
        <v>2026</v>
      </c>
      <c r="C15"/>
      <c r="D15" s="197">
        <f t="shared" ref="D15:D29" si="5">(1+INDEX($Q:$Q,MATCH($B15,$O:$O,0),1))*D14</f>
        <v>81072.390395599417</v>
      </c>
      <c r="E15" s="197"/>
      <c r="F15" s="197">
        <f t="shared" si="2"/>
        <v>0</v>
      </c>
      <c r="G15"/>
      <c r="H15" s="175"/>
      <c r="I15" s="182">
        <f>I14*(1+INDEX('Table D - Integration'!$G:$G,MATCH($B15,'Table D - Integration'!$B:$B,0),1))</f>
        <v>1.1311097386436921</v>
      </c>
      <c r="J15"/>
      <c r="K15"/>
      <c r="L15"/>
      <c r="M15"/>
      <c r="N15"/>
      <c r="O15" s="310">
        <f t="shared" si="0"/>
        <v>2026</v>
      </c>
      <c r="P15" s="312">
        <v>2052.681587</v>
      </c>
      <c r="Q15" s="137">
        <f t="shared" si="1"/>
        <v>1.5392979717030908E-2</v>
      </c>
    </row>
    <row r="16" spans="2:17" s="138" customFormat="1">
      <c r="B16" s="56">
        <f t="shared" si="3"/>
        <v>2027</v>
      </c>
      <c r="C16"/>
      <c r="D16" s="197">
        <f t="shared" si="5"/>
        <v>81072.390395599417</v>
      </c>
      <c r="E16" s="197"/>
      <c r="F16" s="197">
        <f t="shared" si="2"/>
        <v>0</v>
      </c>
      <c r="G16"/>
      <c r="H16" s="175"/>
      <c r="I16" s="182">
        <f>I15*(1+INDEX('Table D - Integration'!$G:$G,MATCH($B16,'Table D - Integration'!$B:$B,0),1))</f>
        <v>1.1593263045748421</v>
      </c>
      <c r="J16"/>
      <c r="K16"/>
      <c r="L16"/>
      <c r="M16"/>
      <c r="N16"/>
      <c r="O16" s="310">
        <f t="shared" si="0"/>
        <v>2027</v>
      </c>
      <c r="P16" s="312">
        <v>2052.681587</v>
      </c>
      <c r="Q16" s="137">
        <f t="shared" si="1"/>
        <v>0</v>
      </c>
    </row>
    <row r="17" spans="2:17" s="138" customFormat="1">
      <c r="B17" s="56">
        <f t="shared" si="3"/>
        <v>2028</v>
      </c>
      <c r="C17"/>
      <c r="D17" s="197">
        <f t="shared" si="5"/>
        <v>81072.390395599417</v>
      </c>
      <c r="E17" s="197">
        <f>D17</f>
        <v>81072.390395599417</v>
      </c>
      <c r="F17" s="197">
        <f t="shared" si="2"/>
        <v>125111.71357345588</v>
      </c>
      <c r="G17"/>
      <c r="H17" s="175"/>
      <c r="I17" s="182">
        <f>I16*(1+INDEX('Table D - Integration'!$G:$G,MATCH($B17,'Table D - Integration'!$B:$B,0),1))</f>
        <v>1.1882467585247636</v>
      </c>
      <c r="J17"/>
      <c r="K17"/>
      <c r="L17"/>
      <c r="M17"/>
      <c r="N17"/>
      <c r="O17" s="310">
        <f t="shared" si="0"/>
        <v>2028</v>
      </c>
      <c r="P17" s="312">
        <v>2052.681587</v>
      </c>
      <c r="Q17" s="137">
        <f t="shared" si="1"/>
        <v>0</v>
      </c>
    </row>
    <row r="18" spans="2:17" s="138" customFormat="1">
      <c r="B18" s="56">
        <f t="shared" si="3"/>
        <v>2029</v>
      </c>
      <c r="C18"/>
      <c r="D18" s="197">
        <f t="shared" si="5"/>
        <v>81072.390395599417</v>
      </c>
      <c r="E18" s="197">
        <f>ROUND(E17*I18/I17,2)</f>
        <v>83094.820000000007</v>
      </c>
      <c r="F18" s="197">
        <f t="shared" si="2"/>
        <v>128232.74691358025</v>
      </c>
      <c r="G18"/>
      <c r="H18" s="175"/>
      <c r="I18" s="182">
        <f>I17*(1+INDEX('Table D - Integration'!$G:$G,MATCH($B18,'Table D - Integration'!$B:$B,0),1))</f>
        <v>1.2178886596232308</v>
      </c>
      <c r="J18"/>
      <c r="K18"/>
      <c r="L18"/>
      <c r="M18"/>
      <c r="N18"/>
      <c r="O18" s="310">
        <f t="shared" si="0"/>
        <v>2029</v>
      </c>
      <c r="P18" s="312">
        <v>2052.681587</v>
      </c>
      <c r="Q18" s="137">
        <f t="shared" si="1"/>
        <v>0</v>
      </c>
    </row>
    <row r="19" spans="2:17" s="138" customFormat="1">
      <c r="B19" s="56">
        <f t="shared" si="3"/>
        <v>2030</v>
      </c>
      <c r="C19"/>
      <c r="D19" s="197">
        <f t="shared" si="5"/>
        <v>81072.390395599417</v>
      </c>
      <c r="E19" s="197">
        <f t="shared" ref="E19:E31" si="6">ROUND(E18*I19/I18,2)</f>
        <v>85167.7</v>
      </c>
      <c r="F19" s="197">
        <f t="shared" si="2"/>
        <v>131431.63580246913</v>
      </c>
      <c r="G19"/>
      <c r="H19" s="175"/>
      <c r="I19" s="182">
        <f>I18*(1+INDEX('Table D - Integration'!$G:$G,MATCH($B19,'Table D - Integration'!$B:$B,0),1))</f>
        <v>1.248270005028554</v>
      </c>
      <c r="J19"/>
      <c r="K19"/>
      <c r="L19"/>
      <c r="M19"/>
      <c r="N19"/>
      <c r="O19" s="310">
        <f t="shared" si="0"/>
        <v>2030</v>
      </c>
      <c r="P19" s="312">
        <v>2052.681587</v>
      </c>
      <c r="Q19" s="137">
        <f t="shared" si="1"/>
        <v>0</v>
      </c>
    </row>
    <row r="20" spans="2:17" s="138" customFormat="1">
      <c r="B20" s="56">
        <f t="shared" si="3"/>
        <v>2031</v>
      </c>
      <c r="C20"/>
      <c r="D20" s="197">
        <f t="shared" si="5"/>
        <v>81072.390395599417</v>
      </c>
      <c r="E20" s="197">
        <f t="shared" si="6"/>
        <v>87292.29</v>
      </c>
      <c r="F20" s="197">
        <f t="shared" si="2"/>
        <v>134710.32407407407</v>
      </c>
      <c r="G20"/>
      <c r="H20" s="175"/>
      <c r="I20" s="182">
        <f>I19*(1+INDEX('Table D - Integration'!$G:$G,MATCH($B20,'Table D - Integration'!$B:$B,0),1))</f>
        <v>1.2794092408546018</v>
      </c>
      <c r="J20"/>
      <c r="K20"/>
      <c r="L20"/>
      <c r="M20"/>
      <c r="N20"/>
      <c r="O20" s="310">
        <f t="shared" si="0"/>
        <v>2031</v>
      </c>
      <c r="P20" s="312">
        <v>2052.681587</v>
      </c>
      <c r="Q20" s="137">
        <f t="shared" si="1"/>
        <v>0</v>
      </c>
    </row>
    <row r="21" spans="2:17" s="138" customFormat="1">
      <c r="B21" s="56">
        <f t="shared" si="3"/>
        <v>2032</v>
      </c>
      <c r="C21"/>
      <c r="D21" s="197">
        <f t="shared" si="5"/>
        <v>81072.390395599417</v>
      </c>
      <c r="E21" s="197">
        <f t="shared" si="6"/>
        <v>89469.88</v>
      </c>
      <c r="F21" s="197">
        <f t="shared" si="2"/>
        <v>138070.80246913582</v>
      </c>
      <c r="G21"/>
      <c r="H21" s="175"/>
      <c r="I21" s="182">
        <f>I20*(1+INDEX('Table D - Integration'!$G:$G,MATCH($B21,'Table D - Integration'!$B:$B,0),1))</f>
        <v>1.3113252733704075</v>
      </c>
      <c r="J21"/>
      <c r="K21"/>
      <c r="L21"/>
      <c r="M21"/>
      <c r="N21"/>
      <c r="O21" s="310">
        <f t="shared" si="0"/>
        <v>2032</v>
      </c>
      <c r="P21" s="312">
        <v>2052.681587</v>
      </c>
      <c r="Q21" s="137">
        <f t="shared" si="1"/>
        <v>0</v>
      </c>
    </row>
    <row r="22" spans="2:17" s="138" customFormat="1">
      <c r="B22" s="56">
        <f t="shared" si="3"/>
        <v>2033</v>
      </c>
      <c r="C22"/>
      <c r="D22" s="197">
        <f t="shared" si="5"/>
        <v>81072.390395599417</v>
      </c>
      <c r="E22" s="197">
        <f t="shared" si="6"/>
        <v>91701.79</v>
      </c>
      <c r="F22" s="197">
        <f t="shared" si="2"/>
        <v>141515.10802469135</v>
      </c>
      <c r="G22"/>
      <c r="H22" s="175"/>
      <c r="I22" s="182">
        <f>I21*(1+INDEX('Table D - Integration'!$G:$G,MATCH($B22,'Table D - Integration'!$B:$B,0),1))</f>
        <v>1.3440374804791602</v>
      </c>
      <c r="J22"/>
      <c r="K22"/>
      <c r="L22"/>
      <c r="M22"/>
      <c r="N22"/>
      <c r="O22" s="310">
        <f t="shared" si="0"/>
        <v>2033</v>
      </c>
      <c r="P22" s="312">
        <v>2052.681587</v>
      </c>
      <c r="Q22" s="137">
        <f t="shared" si="1"/>
        <v>0</v>
      </c>
    </row>
    <row r="23" spans="2:17" s="138" customFormat="1">
      <c r="B23" s="56">
        <f t="shared" si="3"/>
        <v>2034</v>
      </c>
      <c r="C23"/>
      <c r="D23" s="197">
        <f t="shared" si="5"/>
        <v>81072.390395599417</v>
      </c>
      <c r="E23" s="197">
        <f t="shared" si="6"/>
        <v>93989.37</v>
      </c>
      <c r="F23" s="197">
        <f t="shared" si="2"/>
        <v>145045.32407407407</v>
      </c>
      <c r="G23"/>
      <c r="H23" s="175"/>
      <c r="I23" s="182">
        <f>I22*(1+INDEX('Table D - Integration'!$G:$G,MATCH($B23,'Table D - Integration'!$B:$B,0),1))</f>
        <v>1.3775657234835494</v>
      </c>
      <c r="J23"/>
      <c r="K23"/>
      <c r="L23"/>
      <c r="M23"/>
      <c r="N23"/>
      <c r="O23" s="310">
        <f t="shared" si="0"/>
        <v>2034</v>
      </c>
      <c r="P23" s="312">
        <v>2052.681587</v>
      </c>
      <c r="Q23" s="137">
        <f t="shared" si="1"/>
        <v>0</v>
      </c>
    </row>
    <row r="24" spans="2:17" s="138" customFormat="1">
      <c r="B24" s="56">
        <f t="shared" si="3"/>
        <v>2035</v>
      </c>
      <c r="C24"/>
      <c r="D24" s="197">
        <f t="shared" si="5"/>
        <v>81072.390395599417</v>
      </c>
      <c r="E24" s="197">
        <f t="shared" si="6"/>
        <v>96334.02</v>
      </c>
      <c r="F24" s="197">
        <f t="shared" si="2"/>
        <v>148663.61111111112</v>
      </c>
      <c r="G24"/>
      <c r="H24" s="175"/>
      <c r="I24" s="182">
        <f>I23*(1+INDEX('Table D - Integration'!$G:$G,MATCH($B24,'Table D - Integration'!$B:$B,0),1))</f>
        <v>1.4119303591446082</v>
      </c>
      <c r="J24"/>
      <c r="K24"/>
      <c r="L24"/>
      <c r="M24"/>
      <c r="N24"/>
      <c r="O24" s="310">
        <f t="shared" si="0"/>
        <v>2035</v>
      </c>
      <c r="P24" s="312">
        <v>2052.681587</v>
      </c>
      <c r="Q24" s="137">
        <f t="shared" si="1"/>
        <v>0</v>
      </c>
    </row>
    <row r="25" spans="2:17" s="138" customFormat="1">
      <c r="B25" s="56">
        <f t="shared" si="3"/>
        <v>2036</v>
      </c>
      <c r="C25"/>
      <c r="D25" s="197">
        <f t="shared" si="5"/>
        <v>81072.390395599417</v>
      </c>
      <c r="E25" s="197">
        <f t="shared" si="6"/>
        <v>98737.16</v>
      </c>
      <c r="F25" s="197">
        <f t="shared" si="2"/>
        <v>152372.16049382716</v>
      </c>
      <c r="G25"/>
      <c r="H25" s="175"/>
      <c r="I25" s="182">
        <f>I24*(1+INDEX('Table D - Integration'!$G:$G,MATCH($B25,'Table D - Integration'!$B:$B,0),1))</f>
        <v>1.4471522520413733</v>
      </c>
      <c r="J25"/>
      <c r="K25"/>
      <c r="L25"/>
      <c r="M25"/>
      <c r="N25"/>
      <c r="O25" s="310">
        <f t="shared" si="0"/>
        <v>2036</v>
      </c>
      <c r="P25" s="312">
        <v>2052.681587</v>
      </c>
      <c r="Q25" s="137">
        <f t="shared" si="1"/>
        <v>0</v>
      </c>
    </row>
    <row r="26" spans="2:17" s="138" customFormat="1">
      <c r="B26" s="56">
        <f t="shared" si="3"/>
        <v>2037</v>
      </c>
      <c r="C26"/>
      <c r="D26" s="197">
        <f t="shared" si="5"/>
        <v>81072.390395599417</v>
      </c>
      <c r="E26" s="197">
        <f t="shared" si="6"/>
        <v>101200.25</v>
      </c>
      <c r="F26" s="197">
        <f t="shared" si="2"/>
        <v>156173.22530864197</v>
      </c>
      <c r="G26"/>
      <c r="H26" s="175"/>
      <c r="I26" s="182">
        <f>I25*(1+INDEX('Table D - Integration'!$G:$G,MATCH($B26,'Table D - Integration'!$B:$B,0),1))</f>
        <v>1.4832527872388699</v>
      </c>
      <c r="J26"/>
      <c r="K26"/>
      <c r="L26"/>
      <c r="M26"/>
      <c r="N26"/>
      <c r="O26" s="310">
        <f t="shared" si="0"/>
        <v>2037</v>
      </c>
      <c r="Q26" s="137">
        <f>Q25</f>
        <v>0</v>
      </c>
    </row>
    <row r="27" spans="2:17" s="138" customFormat="1">
      <c r="B27" s="56">
        <f t="shared" si="3"/>
        <v>2038</v>
      </c>
      <c r="C27"/>
      <c r="D27" s="197">
        <f t="shared" si="5"/>
        <v>81072.390395599417</v>
      </c>
      <c r="E27" s="197">
        <f t="shared" si="6"/>
        <v>103724.78</v>
      </c>
      <c r="F27" s="197">
        <f t="shared" si="2"/>
        <v>160069.1049382716</v>
      </c>
      <c r="G27"/>
      <c r="H27" s="175"/>
      <c r="I27" s="182">
        <f>I26*(1+INDEX('Table D - Integration'!$G:$G,MATCH($B27,'Table D - Integration'!$B:$B,0),1))</f>
        <v>1.5202538832721093</v>
      </c>
      <c r="J27"/>
      <c r="K27"/>
      <c r="L27"/>
      <c r="M27"/>
      <c r="N27"/>
      <c r="O27" s="310">
        <f t="shared" si="0"/>
        <v>2038</v>
      </c>
      <c r="Q27" s="137">
        <f t="shared" ref="Q27:Q31" si="7">Q26</f>
        <v>0</v>
      </c>
    </row>
    <row r="28" spans="2:17" s="138" customFormat="1">
      <c r="B28" s="56">
        <f t="shared" si="3"/>
        <v>2039</v>
      </c>
      <c r="C28"/>
      <c r="D28" s="197">
        <f t="shared" si="5"/>
        <v>81072.390395599417</v>
      </c>
      <c r="E28" s="197">
        <f t="shared" si="6"/>
        <v>106312.29</v>
      </c>
      <c r="F28" s="197">
        <f t="shared" si="2"/>
        <v>164062.1759259259</v>
      </c>
      <c r="G28"/>
      <c r="H28" s="175"/>
      <c r="I28" s="182">
        <f>I27*(1+INDEX('Table D - Integration'!$G:$G,MATCH($B28,'Table D - Integration'!$B:$B,0),1))</f>
        <v>1.5581780054539862</v>
      </c>
      <c r="J28"/>
      <c r="K28"/>
      <c r="L28"/>
      <c r="M28"/>
      <c r="N28"/>
      <c r="O28" s="310">
        <f t="shared" si="0"/>
        <v>2039</v>
      </c>
      <c r="Q28" s="137">
        <f t="shared" si="7"/>
        <v>0</v>
      </c>
    </row>
    <row r="29" spans="2:17" s="138" customFormat="1">
      <c r="B29" s="56">
        <f t="shared" si="3"/>
        <v>2040</v>
      </c>
      <c r="C29" s="87"/>
      <c r="D29" s="197">
        <f t="shared" si="5"/>
        <v>81072.390395599417</v>
      </c>
      <c r="E29" s="197">
        <f t="shared" si="6"/>
        <v>108964.35</v>
      </c>
      <c r="F29" s="197">
        <f t="shared" si="2"/>
        <v>168154.86111111112</v>
      </c>
      <c r="G29" s="175"/>
      <c r="H29" s="175"/>
      <c r="I29" s="182">
        <f>I28*(1+INDEX('Table D - Integration'!$G:$G,MATCH($B29,'Table D - Integration'!$B:$B,0),1))</f>
        <v>1.5970481795151521</v>
      </c>
      <c r="J29"/>
      <c r="K29"/>
      <c r="L29"/>
      <c r="M29"/>
      <c r="N29"/>
      <c r="O29" s="310">
        <f t="shared" si="0"/>
        <v>2040</v>
      </c>
      <c r="Q29" s="137">
        <f t="shared" si="7"/>
        <v>0</v>
      </c>
    </row>
    <row r="30" spans="2:17" s="138" customFormat="1">
      <c r="B30" s="56">
        <f t="shared" si="3"/>
        <v>2041</v>
      </c>
      <c r="C30" s="87"/>
      <c r="D30" s="197">
        <f>(1+INDEX($Q:$Q,MATCH($B30,$O:$O,0),1))*D29</f>
        <v>81072.390395599417</v>
      </c>
      <c r="E30" s="197">
        <f t="shared" si="6"/>
        <v>111682.57</v>
      </c>
      <c r="F30" s="197">
        <f t="shared" si="2"/>
        <v>172349.6450617284</v>
      </c>
      <c r="G30" s="175"/>
      <c r="H30" s="175"/>
      <c r="I30" s="182">
        <f>I29*(1+INDEX('Table D - Integration'!$G:$G,MATCH($B30,'Table D - Integration'!$B:$B,0),1))</f>
        <v>1.6368880055841484</v>
      </c>
      <c r="J30"/>
      <c r="K30"/>
      <c r="L30"/>
      <c r="M30"/>
      <c r="N30"/>
      <c r="O30" s="310">
        <f t="shared" si="0"/>
        <v>2041</v>
      </c>
      <c r="Q30" s="137">
        <f t="shared" si="7"/>
        <v>0</v>
      </c>
    </row>
    <row r="31" spans="2:17" s="138" customFormat="1">
      <c r="B31" s="56">
        <f t="shared" si="3"/>
        <v>2042</v>
      </c>
      <c r="C31" s="87"/>
      <c r="D31" s="197">
        <f t="shared" ref="D31" si="8">(1+INDEX($Q:$Q,MATCH($B31,$O:$O,0),1))*D30</f>
        <v>81072.390395599417</v>
      </c>
      <c r="E31" s="197">
        <f t="shared" si="6"/>
        <v>114468.59</v>
      </c>
      <c r="F31" s="197">
        <f t="shared" si="2"/>
        <v>176649.05864197531</v>
      </c>
      <c r="G31" s="175"/>
      <c r="H31" s="175"/>
      <c r="I31" s="182">
        <f>I30*(1+INDEX('Table D - Integration'!$G:$G,MATCH($B31,'Table D - Integration'!$B:$B,0),1))</f>
        <v>1.677721672516286</v>
      </c>
      <c r="J31"/>
      <c r="K31"/>
      <c r="L31"/>
      <c r="M31"/>
      <c r="N31"/>
      <c r="O31" s="310">
        <f t="shared" si="0"/>
        <v>2042</v>
      </c>
      <c r="Q31" s="137">
        <f t="shared" si="7"/>
        <v>0</v>
      </c>
    </row>
    <row r="32" spans="2:17" s="138" customFormat="1" ht="14.25">
      <c r="B32" s="81" t="s">
        <v>13</v>
      </c>
      <c r="C32" s="82"/>
      <c r="D32" s="82"/>
      <c r="E32" s="82"/>
      <c r="F32" s="82"/>
      <c r="G32" s="82"/>
      <c r="H32" s="82"/>
    </row>
    <row r="33" spans="2:14" s="138" customFormat="1" ht="12.75">
      <c r="B33" s="31"/>
      <c r="C33" s="31"/>
      <c r="D33" s="31"/>
      <c r="E33" s="31"/>
      <c r="F33" s="31"/>
      <c r="G33" s="31"/>
      <c r="H33" s="31"/>
    </row>
    <row r="34" spans="2:14" s="138" customFormat="1" ht="12.75">
      <c r="B34" s="31" t="s">
        <v>59</v>
      </c>
      <c r="C34" s="20" t="s">
        <v>147</v>
      </c>
      <c r="D34" s="20"/>
      <c r="E34" s="31"/>
      <c r="F34" s="31"/>
      <c r="G34" s="31"/>
      <c r="H34" s="31"/>
    </row>
    <row r="35" spans="2:14" s="138" customFormat="1" ht="12.75">
      <c r="B35" s="31"/>
      <c r="C35" s="83" t="str">
        <f>C7</f>
        <v>(a)</v>
      </c>
      <c r="D35" s="31" t="s">
        <v>218</v>
      </c>
      <c r="E35" s="31"/>
      <c r="F35" s="31"/>
      <c r="G35" s="31"/>
      <c r="H35" s="31"/>
    </row>
    <row r="36" spans="2:14" s="138" customFormat="1" ht="12.75">
      <c r="B36" s="31"/>
      <c r="C36" s="83" t="str">
        <f>D7</f>
        <v>(b)</v>
      </c>
      <c r="D36" s="364" t="s">
        <v>249</v>
      </c>
      <c r="E36" s="365"/>
      <c r="F36" s="365"/>
      <c r="G36" s="365"/>
      <c r="H36" s="365"/>
      <c r="I36" s="353"/>
    </row>
    <row r="37" spans="2:14" s="138" customFormat="1" ht="12.75">
      <c r="B37" s="31"/>
      <c r="C37" s="83" t="str">
        <f>E7</f>
        <v>(c)</v>
      </c>
      <c r="D37" s="80" t="str">
        <f>"= "&amp;D7&amp;" escalated at inflation"</f>
        <v>= (b) escalated at inflation</v>
      </c>
      <c r="E37" s="31"/>
      <c r="F37" s="31"/>
      <c r="G37" s="31"/>
      <c r="H37" s="31"/>
    </row>
    <row r="38" spans="2:14" s="138" customFormat="1" ht="12.75">
      <c r="B38" s="31"/>
      <c r="C38" s="83" t="str">
        <f>F7</f>
        <v>(d)</v>
      </c>
      <c r="D38" s="80" t="str">
        <f>"= "&amp;E7&amp;" * 100% / "&amp;TEXT(C44,"00.0%")</f>
        <v>= (c) * 100% / 64.8%</v>
      </c>
      <c r="E38" s="31"/>
      <c r="F38" s="31"/>
      <c r="G38" s="31"/>
      <c r="H38" s="31"/>
    </row>
    <row r="39" spans="2:14" s="138" customFormat="1" ht="12.75">
      <c r="B39" s="31"/>
      <c r="C39" s="83"/>
      <c r="D39" s="3"/>
      <c r="E39" s="31"/>
      <c r="F39" s="31"/>
      <c r="G39" s="31"/>
      <c r="H39" s="31"/>
    </row>
    <row r="40" spans="2:14" s="138" customFormat="1" ht="13.5" thickBot="1">
      <c r="B40" s="31"/>
      <c r="C40" s="31"/>
      <c r="D40" s="31"/>
      <c r="E40" s="31"/>
      <c r="F40" s="31"/>
      <c r="G40" s="31"/>
      <c r="H40" s="31"/>
    </row>
    <row r="41" spans="2:14" s="138" customFormat="1" ht="13.5" thickBot="1">
      <c r="B41" s="31"/>
      <c r="C41" s="84" t="str">
        <f>B3</f>
        <v>2017S RFP: 2021 Solar (Oregon)</v>
      </c>
      <c r="D41" s="41"/>
      <c r="E41" s="41"/>
      <c r="F41" s="41"/>
      <c r="G41" s="41"/>
      <c r="H41" s="76"/>
    </row>
    <row r="42" spans="2:14" s="138" customFormat="1" ht="15.75" thickBot="1">
      <c r="B42" s="31"/>
      <c r="C42" s="85" t="s">
        <v>114</v>
      </c>
      <c r="D42" s="86" t="s">
        <v>60</v>
      </c>
      <c r="E42" s="86"/>
      <c r="F42" s="86"/>
      <c r="G42" s="86"/>
      <c r="H42" s="180"/>
      <c r="J42" s="175"/>
    </row>
    <row r="43" spans="2:14" s="138" customFormat="1">
      <c r="B43" s="31"/>
      <c r="C43" s="264"/>
      <c r="D43" s="31" t="s">
        <v>132</v>
      </c>
      <c r="E43" s="31"/>
      <c r="F43" s="31"/>
      <c r="G43" s="31"/>
      <c r="H43" s="313">
        <v>5.0849999999999999E-2</v>
      </c>
      <c r="I43" s="138" t="s">
        <v>213</v>
      </c>
      <c r="K43" s="175"/>
      <c r="L43" s="175"/>
      <c r="M43" s="175"/>
      <c r="N43" s="175"/>
    </row>
    <row r="44" spans="2:14" s="138" customFormat="1">
      <c r="B44" s="31"/>
      <c r="C44" s="142">
        <v>0.64800000000000002</v>
      </c>
      <c r="D44" s="31" t="s">
        <v>131</v>
      </c>
      <c r="E44" s="31"/>
      <c r="F44" s="31"/>
      <c r="G44" s="31"/>
      <c r="H44" s="314">
        <v>6.7500000000000004E-2</v>
      </c>
      <c r="I44" s="138" t="s">
        <v>214</v>
      </c>
      <c r="J44" s="178"/>
    </row>
    <row r="45" spans="2:14" s="138" customFormat="1">
      <c r="B45" s="31"/>
      <c r="C45" s="179">
        <v>6.9099999999999995E-2</v>
      </c>
      <c r="D45" s="141" t="s">
        <v>130</v>
      </c>
      <c r="E45" s="31"/>
      <c r="F45" s="31"/>
      <c r="G45" s="31"/>
      <c r="H45" s="31"/>
      <c r="J45" s="178"/>
    </row>
    <row r="46" spans="2:14" s="138" customFormat="1">
      <c r="B46" s="32"/>
      <c r="C46" s="32"/>
      <c r="D46" s="32"/>
      <c r="E46" s="32"/>
      <c r="F46" s="32"/>
      <c r="G46" s="32"/>
      <c r="H46" s="32"/>
      <c r="I46" s="178"/>
    </row>
    <row r="47" spans="2:14" s="139" customFormat="1">
      <c r="E47" s="140"/>
      <c r="F47" s="176"/>
      <c r="G47"/>
      <c r="H47"/>
      <c r="I47" s="175"/>
      <c r="J47" s="175"/>
      <c r="L47" s="140"/>
      <c r="M47" s="176"/>
    </row>
    <row r="48" spans="2:14" s="138" customFormat="1">
      <c r="J48" s="175"/>
    </row>
  </sheetData>
  <mergeCells count="4">
    <mergeCell ref="B1:H1"/>
    <mergeCell ref="B2:H2"/>
    <mergeCell ref="J2:L2"/>
    <mergeCell ref="J3:L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589F-B7F8-4421-BA41-CD8B7D806218}">
  <sheetPr>
    <tabColor theme="5" tint="0.59999389629810485"/>
  </sheetPr>
  <dimension ref="B1:R57"/>
  <sheetViews>
    <sheetView workbookViewId="0">
      <selection activeCell="A8" sqref="A8"/>
    </sheetView>
  </sheetViews>
  <sheetFormatPr defaultRowHeight="15"/>
  <cols>
    <col min="1" max="3" width="9.33203125" style="175"/>
    <col min="4" max="4" width="20.1640625" style="175" customWidth="1"/>
    <col min="5" max="5" width="15.33203125" style="175" customWidth="1"/>
    <col min="6" max="6" width="14.83203125" style="175" customWidth="1"/>
    <col min="7" max="7" width="14.33203125" style="175" customWidth="1"/>
    <col min="8" max="8" width="11.83203125" style="175" customWidth="1"/>
    <col min="9" max="9" width="11.1640625" style="175" customWidth="1"/>
    <col min="10" max="10" width="13.33203125" style="175" customWidth="1"/>
    <col min="11" max="11" width="12.83203125" style="175" customWidth="1"/>
    <col min="12" max="16" width="9.33203125" style="175"/>
    <col min="17" max="17" width="11.1640625" style="175" customWidth="1"/>
    <col min="18" max="18" width="20.83203125" style="175" customWidth="1"/>
    <col min="19" max="16384" width="9.33203125" style="175"/>
  </cols>
  <sheetData>
    <row r="1" spans="2:18" ht="15.75">
      <c r="B1" s="402" t="s">
        <v>255</v>
      </c>
      <c r="C1" s="392"/>
      <c r="D1" s="392"/>
      <c r="E1" s="392"/>
      <c r="F1" s="392"/>
      <c r="G1" s="392"/>
      <c r="H1" s="392"/>
    </row>
    <row r="2" spans="2:18" ht="15.75">
      <c r="B2" s="402" t="s">
        <v>138</v>
      </c>
      <c r="C2" s="392"/>
      <c r="D2" s="392"/>
      <c r="E2" s="392"/>
      <c r="F2" s="392"/>
      <c r="G2" s="392"/>
      <c r="H2" s="392"/>
      <c r="J2"/>
      <c r="K2"/>
      <c r="L2"/>
    </row>
    <row r="3" spans="2:18" s="138" customFormat="1" ht="15.75">
      <c r="B3" s="361" t="s">
        <v>244</v>
      </c>
      <c r="C3" s="362"/>
      <c r="D3" s="362"/>
      <c r="E3" s="362"/>
      <c r="F3" s="362"/>
      <c r="G3" s="362"/>
      <c r="H3" s="362"/>
      <c r="J3"/>
      <c r="K3"/>
      <c r="L3"/>
      <c r="M3" s="140"/>
      <c r="O3" s="350"/>
      <c r="P3" s="310" t="s">
        <v>230</v>
      </c>
      <c r="Q3" s="350"/>
      <c r="R3" s="350"/>
    </row>
    <row r="4" spans="2:18" s="138" customFormat="1" ht="60">
      <c r="B4" s="33"/>
      <c r="C4" s="33"/>
      <c r="D4" s="33"/>
      <c r="E4" s="33"/>
      <c r="F4" s="33"/>
      <c r="G4" s="33"/>
      <c r="H4" s="33"/>
      <c r="K4" s="176"/>
      <c r="M4" s="140"/>
      <c r="O4" s="310"/>
      <c r="P4" s="358" t="s">
        <v>238</v>
      </c>
      <c r="Q4" s="359" t="s">
        <v>239</v>
      </c>
      <c r="R4" s="358" t="s">
        <v>241</v>
      </c>
    </row>
    <row r="5" spans="2:18" s="138" customFormat="1" ht="39">
      <c r="B5" s="77" t="s">
        <v>2</v>
      </c>
      <c r="C5" s="360" t="s">
        <v>242</v>
      </c>
      <c r="D5" s="360" t="s">
        <v>243</v>
      </c>
      <c r="E5" s="144" t="str">
        <f>"Total Capacity Cost @ "&amp;TEXT(C44,"00.0%")&amp;" Contribution"</f>
        <v>Total Capacity Cost @ 64.8% Contribution</v>
      </c>
      <c r="F5" s="144" t="s">
        <v>115</v>
      </c>
      <c r="G5"/>
      <c r="H5" s="175"/>
      <c r="I5" s="144" t="s">
        <v>227</v>
      </c>
      <c r="J5" s="144" t="s">
        <v>192</v>
      </c>
      <c r="K5" s="144" t="s">
        <v>170</v>
      </c>
      <c r="L5" s="144"/>
      <c r="M5" s="140"/>
      <c r="O5" s="311"/>
      <c r="P5" s="311" t="s">
        <v>207</v>
      </c>
      <c r="R5" s="138" t="s">
        <v>240</v>
      </c>
    </row>
    <row r="6" spans="2:18" s="138" customFormat="1">
      <c r="B6" s="36"/>
      <c r="C6" s="157" t="s">
        <v>120</v>
      </c>
      <c r="D6" s="157" t="s">
        <v>120</v>
      </c>
      <c r="E6" s="157" t="s">
        <v>120</v>
      </c>
      <c r="F6" s="157" t="s">
        <v>120</v>
      </c>
      <c r="G6"/>
      <c r="H6" s="175"/>
      <c r="I6" s="37" t="s">
        <v>133</v>
      </c>
      <c r="J6" s="37" t="s">
        <v>15</v>
      </c>
      <c r="K6" s="37" t="s">
        <v>133</v>
      </c>
      <c r="L6" s="37"/>
      <c r="M6" s="140"/>
      <c r="O6" s="310">
        <v>2017</v>
      </c>
      <c r="P6" s="312"/>
      <c r="Q6" s="350"/>
      <c r="R6" s="350"/>
    </row>
    <row r="7" spans="2:18" s="138" customFormat="1">
      <c r="B7" s="31"/>
      <c r="C7" s="38" t="s">
        <v>4</v>
      </c>
      <c r="D7" s="38" t="s">
        <v>5</v>
      </c>
      <c r="E7" s="38" t="s">
        <v>6</v>
      </c>
      <c r="F7" s="38" t="s">
        <v>7</v>
      </c>
      <c r="G7"/>
      <c r="K7" s="176"/>
      <c r="M7"/>
      <c r="N7"/>
      <c r="O7" s="310">
        <f t="shared" ref="O7:O31" si="0">O6+1</f>
        <v>2018</v>
      </c>
      <c r="P7" s="312"/>
      <c r="Q7" s="137"/>
      <c r="R7" s="350"/>
    </row>
    <row r="8" spans="2:18" s="138" customFormat="1" ht="33.75" customHeight="1">
      <c r="C8" s="32"/>
      <c r="D8" s="31"/>
      <c r="E8" s="32"/>
      <c r="F8" s="32"/>
      <c r="G8"/>
      <c r="H8" s="170" t="s">
        <v>159</v>
      </c>
      <c r="I8" s="265">
        <f>-PMT($C$45,COUNT(I$10:I$24),NPV($C$45,I$10:I$24))</f>
        <v>1.1591683876184347</v>
      </c>
      <c r="J8" s="181"/>
      <c r="M8"/>
      <c r="N8"/>
      <c r="O8" s="310">
        <f t="shared" si="0"/>
        <v>2019</v>
      </c>
      <c r="P8" s="312"/>
      <c r="Q8" s="137"/>
      <c r="R8" s="350"/>
    </row>
    <row r="9" spans="2:18" s="138" customFormat="1">
      <c r="B9" s="56">
        <v>2020</v>
      </c>
      <c r="C9" s="346"/>
      <c r="D9" s="346"/>
      <c r="E9" s="32"/>
      <c r="F9" s="197">
        <v>0</v>
      </c>
      <c r="G9"/>
      <c r="H9" s="175"/>
      <c r="I9" s="182"/>
      <c r="M9"/>
      <c r="N9"/>
      <c r="O9" s="310">
        <f t="shared" si="0"/>
        <v>2020</v>
      </c>
      <c r="P9" s="312"/>
      <c r="Q9" s="137"/>
      <c r="R9" s="350"/>
    </row>
    <row r="10" spans="2:18" s="138" customFormat="1">
      <c r="B10" s="56">
        <v>2021</v>
      </c>
      <c r="C10" s="347"/>
      <c r="D10" s="348"/>
      <c r="E10" s="197"/>
      <c r="F10" s="197">
        <f t="shared" ref="F10:F31" si="1">E10*100%/$C$44</f>
        <v>0</v>
      </c>
      <c r="G10"/>
      <c r="H10" s="175"/>
      <c r="I10" s="182">
        <v>1</v>
      </c>
      <c r="J10"/>
      <c r="K10"/>
      <c r="L10"/>
      <c r="M10"/>
      <c r="N10"/>
      <c r="O10" s="310">
        <f t="shared" si="0"/>
        <v>2021</v>
      </c>
      <c r="P10" s="312"/>
      <c r="Q10" s="137"/>
      <c r="R10" s="350"/>
    </row>
    <row r="11" spans="2:18" s="138" customFormat="1">
      <c r="B11" s="56">
        <f t="shared" ref="B11:B31" si="2">B10+1</f>
        <v>2022</v>
      </c>
      <c r="C11" s="349"/>
      <c r="D11" s="348"/>
      <c r="E11" s="197"/>
      <c r="F11" s="197">
        <f t="shared" si="1"/>
        <v>0</v>
      </c>
      <c r="G11"/>
      <c r="H11" s="175"/>
      <c r="I11" s="182">
        <f>I10*(1+INDEX('Table D - Integration'!$G:$G,MATCH($B11,'Table D - Integration'!$B:$B,0),1))</f>
        <v>1.0249459137050525</v>
      </c>
      <c r="J11"/>
      <c r="K11"/>
      <c r="L11"/>
      <c r="M11"/>
      <c r="N11"/>
      <c r="O11" s="310">
        <f t="shared" si="0"/>
        <v>2022</v>
      </c>
      <c r="P11" s="351">
        <v>1241.6666575456402</v>
      </c>
      <c r="Q11" s="137"/>
      <c r="R11" s="350">
        <v>21.155919000000001</v>
      </c>
    </row>
    <row r="12" spans="2:18" s="138" customFormat="1">
      <c r="B12" s="56">
        <f t="shared" si="2"/>
        <v>2023</v>
      </c>
      <c r="C12" s="349"/>
      <c r="D12" s="348"/>
      <c r="E12" s="197"/>
      <c r="F12" s="197">
        <f t="shared" si="1"/>
        <v>0</v>
      </c>
      <c r="G12"/>
      <c r="H12" s="175"/>
      <c r="I12" s="182">
        <f>I11*(1+INDEX('Table D - Integration'!$G:$G,MATCH($B12,'Table D - Integration'!$B:$B,0),1))</f>
        <v>1.0505141260206849</v>
      </c>
      <c r="J12"/>
      <c r="K12"/>
      <c r="L12"/>
      <c r="M12"/>
      <c r="N12"/>
      <c r="O12" s="310">
        <f t="shared" si="0"/>
        <v>2023</v>
      </c>
      <c r="P12" s="312">
        <f>P11*(1+Q12)</f>
        <v>1669.6140812544968</v>
      </c>
      <c r="Q12" s="137">
        <v>0.34465564578722407</v>
      </c>
      <c r="R12" s="350">
        <f>R11*(I12/I11)</f>
        <v>21.683672729725082</v>
      </c>
    </row>
    <row r="13" spans="2:18" s="138" customFormat="1">
      <c r="B13" s="56">
        <f t="shared" si="2"/>
        <v>2024</v>
      </c>
      <c r="C13" s="349"/>
      <c r="D13" s="348"/>
      <c r="E13" s="315"/>
      <c r="F13" s="197">
        <f t="shared" si="1"/>
        <v>0</v>
      </c>
      <c r="G13"/>
      <c r="H13" s="175"/>
      <c r="I13" s="182">
        <f>I12*(1+INDEX('Table D - Integration'!$G:$G,MATCH($B13,'Table D - Integration'!$B:$B,0),1))</f>
        <v>1.0767201607543355</v>
      </c>
      <c r="J13"/>
      <c r="K13"/>
      <c r="L13"/>
      <c r="M13"/>
      <c r="N13"/>
      <c r="O13" s="310">
        <f t="shared" si="0"/>
        <v>2024</v>
      </c>
      <c r="P13" s="312">
        <f t="shared" ref="P13:P31" si="3">P12*(1+Q13)</f>
        <v>1669.6140812544968</v>
      </c>
      <c r="Q13" s="137">
        <v>0</v>
      </c>
      <c r="R13" s="350">
        <f t="shared" ref="R13:R31" si="4">R12*(I13/I12)</f>
        <v>22.224591758449403</v>
      </c>
    </row>
    <row r="14" spans="2:18" s="138" customFormat="1">
      <c r="B14" s="56">
        <f t="shared" si="2"/>
        <v>2025</v>
      </c>
      <c r="C14" s="349"/>
      <c r="D14" s="348"/>
      <c r="E14" s="197"/>
      <c r="F14" s="197">
        <f t="shared" si="1"/>
        <v>0</v>
      </c>
      <c r="G14"/>
      <c r="H14" s="175"/>
      <c r="I14" s="182">
        <f>I13*(1+INDEX('Table D - Integration'!$G:$G,MATCH($B14,'Table D - Integration'!$B:$B,0),1))</f>
        <v>1.1035799289690034</v>
      </c>
      <c r="J14"/>
      <c r="K14"/>
      <c r="L14"/>
      <c r="M14"/>
      <c r="N14"/>
      <c r="O14" s="310">
        <f t="shared" si="0"/>
        <v>2025</v>
      </c>
      <c r="P14" s="312">
        <f t="shared" si="3"/>
        <v>1669.6140812544968</v>
      </c>
      <c r="Q14" s="137">
        <v>0</v>
      </c>
      <c r="R14" s="350">
        <f t="shared" si="4"/>
        <v>22.779004506585704</v>
      </c>
    </row>
    <row r="15" spans="2:18" s="138" customFormat="1">
      <c r="B15" s="56">
        <f t="shared" si="2"/>
        <v>2026</v>
      </c>
      <c r="C15" s="349"/>
      <c r="D15" s="348"/>
      <c r="E15" s="197"/>
      <c r="F15" s="197">
        <f t="shared" si="1"/>
        <v>0</v>
      </c>
      <c r="G15"/>
      <c r="H15" s="175"/>
      <c r="I15" s="182">
        <f>I14*(1+INDEX('Table D - Integration'!$G:$G,MATCH($B15,'Table D - Integration'!$B:$B,0),1))</f>
        <v>1.1311097386436921</v>
      </c>
      <c r="J15"/>
      <c r="K15"/>
      <c r="L15"/>
      <c r="M15"/>
      <c r="N15"/>
      <c r="O15" s="310">
        <f t="shared" si="0"/>
        <v>2026</v>
      </c>
      <c r="P15" s="312">
        <f t="shared" si="3"/>
        <v>1669.6140812544968</v>
      </c>
      <c r="Q15" s="137">
        <v>0</v>
      </c>
      <c r="R15" s="350">
        <f t="shared" si="4"/>
        <v>23.347247587293992</v>
      </c>
    </row>
    <row r="16" spans="2:18" s="138" customFormat="1">
      <c r="B16" s="56">
        <f t="shared" si="2"/>
        <v>2027</v>
      </c>
      <c r="C16" s="349"/>
      <c r="D16" s="348"/>
      <c r="E16" s="197"/>
      <c r="F16" s="197">
        <f t="shared" si="1"/>
        <v>0</v>
      </c>
      <c r="G16"/>
      <c r="H16" s="175"/>
      <c r="I16" s="182">
        <f>I15*(1+INDEX('Table D - Integration'!$G:$G,MATCH($B16,'Table D - Integration'!$B:$B,0),1))</f>
        <v>1.1593263045748421</v>
      </c>
      <c r="J16"/>
      <c r="K16"/>
      <c r="L16"/>
      <c r="M16"/>
      <c r="N16"/>
      <c r="O16" s="310">
        <f t="shared" si="0"/>
        <v>2027</v>
      </c>
      <c r="P16" s="312">
        <f t="shared" si="3"/>
        <v>1669.6140812544968</v>
      </c>
      <c r="Q16" s="137">
        <v>0</v>
      </c>
      <c r="R16" s="350">
        <f t="shared" si="4"/>
        <v>23.929666010857122</v>
      </c>
    </row>
    <row r="17" spans="2:18" s="138" customFormat="1">
      <c r="B17" s="56">
        <f t="shared" si="2"/>
        <v>2028</v>
      </c>
      <c r="C17" s="348">
        <f>P17*H43*1000</f>
        <v>84899.876031791166</v>
      </c>
      <c r="D17" s="348">
        <f>C17+R17*1000</f>
        <v>109426.48942594585</v>
      </c>
      <c r="E17" s="352">
        <f>D17</f>
        <v>109426.48942594585</v>
      </c>
      <c r="F17" s="352">
        <f t="shared" si="1"/>
        <v>168868.03923757075</v>
      </c>
      <c r="G17"/>
      <c r="H17" s="175"/>
      <c r="I17" s="182">
        <f>I16*(1+INDEX('Table D - Integration'!$G:$G,MATCH($B17,'Table D - Integration'!$B:$B,0),1))</f>
        <v>1.1882467585247636</v>
      </c>
      <c r="J17"/>
      <c r="K17"/>
      <c r="L17"/>
      <c r="M17"/>
      <c r="N17"/>
      <c r="O17" s="310">
        <f t="shared" si="0"/>
        <v>2028</v>
      </c>
      <c r="P17" s="312">
        <f t="shared" si="3"/>
        <v>1669.6140812544968</v>
      </c>
      <c r="Q17" s="137">
        <v>0</v>
      </c>
      <c r="R17" s="350">
        <f t="shared" si="4"/>
        <v>24.52661339415469</v>
      </c>
    </row>
    <row r="18" spans="2:18" s="138" customFormat="1">
      <c r="B18" s="56">
        <f t="shared" si="2"/>
        <v>2029</v>
      </c>
      <c r="C18"/>
      <c r="D18" s="197"/>
      <c r="E18" s="352">
        <f>ROUND(E17*I18/I17,2)</f>
        <v>112156.23</v>
      </c>
      <c r="F18" s="352">
        <f t="shared" si="1"/>
        <v>173080.60185185185</v>
      </c>
      <c r="G18"/>
      <c r="H18" s="175"/>
      <c r="I18" s="182">
        <f>I17*(1+INDEX('Table D - Integration'!$G:$G,MATCH($B18,'Table D - Integration'!$B:$B,0),1))</f>
        <v>1.2178886596232308</v>
      </c>
      <c r="J18"/>
      <c r="K18"/>
      <c r="L18"/>
      <c r="M18"/>
      <c r="N18"/>
      <c r="O18" s="310">
        <f t="shared" si="0"/>
        <v>2029</v>
      </c>
      <c r="P18" s="312">
        <f t="shared" si="3"/>
        <v>1584.2671975826313</v>
      </c>
      <c r="Q18" s="137">
        <v>-5.1117731115287723E-2</v>
      </c>
      <c r="R18" s="350">
        <f t="shared" si="4"/>
        <v>25.13845217536246</v>
      </c>
    </row>
    <row r="19" spans="2:18" s="138" customFormat="1">
      <c r="B19" s="56">
        <f t="shared" si="2"/>
        <v>2030</v>
      </c>
      <c r="C19"/>
      <c r="D19" s="197"/>
      <c r="E19" s="352">
        <f t="shared" ref="E19:E31" si="5">ROUND(E18*I19/I18,2)</f>
        <v>114954.07</v>
      </c>
      <c r="F19" s="352">
        <f t="shared" si="1"/>
        <v>177398.25617283952</v>
      </c>
      <c r="G19"/>
      <c r="H19" s="175"/>
      <c r="I19" s="182">
        <f>I18*(1+INDEX('Table D - Integration'!$G:$G,MATCH($B19,'Table D - Integration'!$B:$B,0),1))</f>
        <v>1.248270005028554</v>
      </c>
      <c r="J19"/>
      <c r="K19"/>
      <c r="L19"/>
      <c r="M19"/>
      <c r="N19"/>
      <c r="O19" s="310">
        <f t="shared" si="0"/>
        <v>2030</v>
      </c>
      <c r="P19" s="312">
        <f t="shared" si="3"/>
        <v>1498.9203139107658</v>
      </c>
      <c r="Q19" s="137">
        <v>-5.3871521042721082E-2</v>
      </c>
      <c r="R19" s="350">
        <f t="shared" si="4"/>
        <v>25.76555383400764</v>
      </c>
    </row>
    <row r="20" spans="2:18" s="138" customFormat="1">
      <c r="B20" s="56">
        <f t="shared" si="2"/>
        <v>2031</v>
      </c>
      <c r="C20"/>
      <c r="D20" s="197"/>
      <c r="E20" s="352">
        <f t="shared" si="5"/>
        <v>117821.7</v>
      </c>
      <c r="F20" s="352">
        <f t="shared" si="1"/>
        <v>181823.61111111109</v>
      </c>
      <c r="G20"/>
      <c r="H20" s="175"/>
      <c r="I20" s="182">
        <f>I19*(1+INDEX('Table D - Integration'!$G:$G,MATCH($B20,'Table D - Integration'!$B:$B,0),1))</f>
        <v>1.2794092408546018</v>
      </c>
      <c r="J20"/>
      <c r="K20"/>
      <c r="L20"/>
      <c r="M20"/>
      <c r="N20"/>
      <c r="O20" s="310">
        <f t="shared" si="0"/>
        <v>2031</v>
      </c>
      <c r="P20" s="312">
        <f t="shared" si="3"/>
        <v>1413.5734302389003</v>
      </c>
      <c r="Q20" s="137">
        <v>-5.6938906544798717E-2</v>
      </c>
      <c r="R20" s="350">
        <f t="shared" si="4"/>
        <v>26.408299116513678</v>
      </c>
    </row>
    <row r="21" spans="2:18" s="138" customFormat="1">
      <c r="B21" s="56">
        <f t="shared" si="2"/>
        <v>2032</v>
      </c>
      <c r="C21"/>
      <c r="D21" s="197"/>
      <c r="E21" s="352">
        <f t="shared" si="5"/>
        <v>120760.87</v>
      </c>
      <c r="F21" s="352">
        <f t="shared" si="1"/>
        <v>186359.36728395062</v>
      </c>
      <c r="G21"/>
      <c r="H21" s="175"/>
      <c r="I21" s="182">
        <f>I20*(1+INDEX('Table D - Integration'!$G:$G,MATCH($B21,'Table D - Integration'!$B:$B,0),1))</f>
        <v>1.3113252733704075</v>
      </c>
      <c r="J21"/>
      <c r="K21"/>
      <c r="L21"/>
      <c r="M21"/>
      <c r="N21"/>
      <c r="O21" s="310">
        <f t="shared" si="0"/>
        <v>2032</v>
      </c>
      <c r="P21" s="312">
        <f t="shared" si="3"/>
        <v>1328.2265465670346</v>
      </c>
      <c r="Q21" s="137">
        <v>-6.0376689209163836E-2</v>
      </c>
      <c r="R21" s="350">
        <f t="shared" si="4"/>
        <v>27.067078267371443</v>
      </c>
    </row>
    <row r="22" spans="2:18" s="138" customFormat="1">
      <c r="B22" s="56">
        <f t="shared" si="2"/>
        <v>2033</v>
      </c>
      <c r="C22"/>
      <c r="D22" s="197"/>
      <c r="E22" s="352">
        <f t="shared" si="5"/>
        <v>123773.36</v>
      </c>
      <c r="F22" s="352">
        <f t="shared" si="1"/>
        <v>191008.27160493826</v>
      </c>
      <c r="G22"/>
      <c r="H22" s="175"/>
      <c r="I22" s="182">
        <f>I21*(1+INDEX('Table D - Integration'!$G:$G,MATCH($B22,'Table D - Integration'!$B:$B,0),1))</f>
        <v>1.3440374804791602</v>
      </c>
      <c r="J22"/>
      <c r="K22"/>
      <c r="L22"/>
      <c r="M22"/>
      <c r="N22"/>
      <c r="O22" s="310">
        <f t="shared" si="0"/>
        <v>2033</v>
      </c>
      <c r="P22" s="312">
        <f t="shared" si="3"/>
        <v>1334.4345431252725</v>
      </c>
      <c r="Q22" s="137">
        <v>4.6738988723598052E-3</v>
      </c>
      <c r="R22" s="350">
        <f t="shared" si="4"/>
        <v>27.742291266077192</v>
      </c>
    </row>
    <row r="23" spans="2:18" s="138" customFormat="1">
      <c r="B23" s="56">
        <f t="shared" si="2"/>
        <v>2034</v>
      </c>
      <c r="C23"/>
      <c r="D23" s="197"/>
      <c r="E23" s="352">
        <f t="shared" si="5"/>
        <v>126861</v>
      </c>
      <c r="F23" s="352">
        <f t="shared" si="1"/>
        <v>195773.14814814815</v>
      </c>
      <c r="G23"/>
      <c r="H23" s="175"/>
      <c r="I23" s="182">
        <f>I22*(1+INDEX('Table D - Integration'!$G:$G,MATCH($B23,'Table D - Integration'!$B:$B,0),1))</f>
        <v>1.3775657234835494</v>
      </c>
      <c r="J23"/>
      <c r="K23"/>
      <c r="L23"/>
      <c r="M23"/>
      <c r="N23"/>
      <c r="O23" s="310">
        <f t="shared" si="0"/>
        <v>2034</v>
      </c>
      <c r="P23" s="312">
        <f t="shared" si="3"/>
        <v>1337.3540397474108</v>
      </c>
      <c r="Q23" s="137">
        <v>2.1878155336871874E-3</v>
      </c>
      <c r="R23" s="350">
        <f t="shared" si="4"/>
        <v>28.434348069981187</v>
      </c>
    </row>
    <row r="24" spans="2:18" s="138" customFormat="1">
      <c r="B24" s="56">
        <f t="shared" si="2"/>
        <v>2035</v>
      </c>
      <c r="C24"/>
      <c r="D24" s="197"/>
      <c r="E24" s="352">
        <f t="shared" si="5"/>
        <v>130025.66</v>
      </c>
      <c r="F24" s="352">
        <f t="shared" si="1"/>
        <v>200656.88271604938</v>
      </c>
      <c r="G24"/>
      <c r="H24" s="175"/>
      <c r="I24" s="182">
        <f>I23*(1+INDEX('Table D - Integration'!$G:$G,MATCH($B24,'Table D - Integration'!$B:$B,0),1))</f>
        <v>1.4119303591446082</v>
      </c>
      <c r="J24"/>
      <c r="K24"/>
      <c r="L24"/>
      <c r="M24"/>
      <c r="N24"/>
      <c r="O24" s="310">
        <f t="shared" si="0"/>
        <v>2035</v>
      </c>
      <c r="P24" s="312">
        <f t="shared" si="3"/>
        <v>1339.7054486246004</v>
      </c>
      <c r="Q24" s="137">
        <v>1.7582545887653289E-3</v>
      </c>
      <c r="R24" s="350">
        <f t="shared" si="4"/>
        <v>29.143668863194364</v>
      </c>
    </row>
    <row r="25" spans="2:18" s="138" customFormat="1">
      <c r="B25" s="56">
        <f t="shared" si="2"/>
        <v>2036</v>
      </c>
      <c r="C25"/>
      <c r="D25" s="197"/>
      <c r="E25" s="352">
        <f t="shared" si="5"/>
        <v>133269.26999999999</v>
      </c>
      <c r="F25" s="352">
        <f t="shared" si="1"/>
        <v>205662.45370370368</v>
      </c>
      <c r="G25"/>
      <c r="H25" s="175"/>
      <c r="I25" s="182">
        <f>I24*(1+INDEX('Table D - Integration'!$G:$G,MATCH($B25,'Table D - Integration'!$B:$B,0),1))</f>
        <v>1.4471522520413733</v>
      </c>
      <c r="J25"/>
      <c r="K25"/>
      <c r="L25"/>
      <c r="M25"/>
      <c r="N25"/>
      <c r="O25" s="310">
        <f t="shared" si="0"/>
        <v>2036</v>
      </c>
      <c r="P25" s="312">
        <f t="shared" si="3"/>
        <v>1341.4608878497907</v>
      </c>
      <c r="Q25" s="137">
        <v>1.3103172992185996E-3</v>
      </c>
      <c r="R25" s="350">
        <f t="shared" si="4"/>
        <v>29.870684311704235</v>
      </c>
    </row>
    <row r="26" spans="2:18" s="138" customFormat="1">
      <c r="B26" s="56">
        <f t="shared" si="2"/>
        <v>2037</v>
      </c>
      <c r="C26"/>
      <c r="D26" s="197"/>
      <c r="E26" s="352">
        <f t="shared" si="5"/>
        <v>136593.79</v>
      </c>
      <c r="F26" s="352">
        <f t="shared" si="1"/>
        <v>210792.88580246913</v>
      </c>
      <c r="G26"/>
      <c r="H26" s="175"/>
      <c r="I26" s="182">
        <f>I25*(1+INDEX('Table D - Integration'!$G:$G,MATCH($B26,'Table D - Integration'!$B:$B,0),1))</f>
        <v>1.4832527872388699</v>
      </c>
      <c r="J26"/>
      <c r="K26"/>
      <c r="L26"/>
      <c r="M26"/>
      <c r="N26"/>
      <c r="O26" s="310">
        <f t="shared" si="0"/>
        <v>2037</v>
      </c>
      <c r="P26" s="312">
        <f t="shared" si="3"/>
        <v>1342.5914693403679</v>
      </c>
      <c r="Q26" s="137">
        <v>8.4279869865566681E-4</v>
      </c>
      <c r="R26" s="350">
        <f t="shared" si="4"/>
        <v>30.615835824854873</v>
      </c>
    </row>
    <row r="27" spans="2:18" s="138" customFormat="1">
      <c r="B27" s="56">
        <f t="shared" si="2"/>
        <v>2038</v>
      </c>
      <c r="C27"/>
      <c r="D27" s="197"/>
      <c r="E27" s="352">
        <f t="shared" si="5"/>
        <v>140001.25</v>
      </c>
      <c r="F27" s="352">
        <f t="shared" si="1"/>
        <v>216051.31172839506</v>
      </c>
      <c r="G27"/>
      <c r="H27" s="175"/>
      <c r="I27" s="182">
        <f>I26*(1+INDEX('Table D - Integration'!$G:$G,MATCH($B27,'Table D - Integration'!$B:$B,0),1))</f>
        <v>1.5202538832721093</v>
      </c>
      <c r="J27"/>
      <c r="K27"/>
      <c r="L27"/>
      <c r="M27"/>
      <c r="N27"/>
      <c r="O27" s="310">
        <f t="shared" si="0"/>
        <v>2038</v>
      </c>
      <c r="P27" s="312">
        <f t="shared" si="3"/>
        <v>1343.0672651190205</v>
      </c>
      <c r="Q27" s="137">
        <v>3.5438611783100704E-4</v>
      </c>
      <c r="R27" s="350">
        <f t="shared" si="4"/>
        <v>31.379575823349757</v>
      </c>
    </row>
    <row r="28" spans="2:18" s="138" customFormat="1">
      <c r="B28" s="56">
        <f t="shared" si="2"/>
        <v>2039</v>
      </c>
      <c r="C28"/>
      <c r="D28" s="197"/>
      <c r="E28" s="352">
        <f t="shared" si="5"/>
        <v>143493.71</v>
      </c>
      <c r="F28" s="352">
        <f t="shared" si="1"/>
        <v>221440.91049382713</v>
      </c>
      <c r="G28"/>
      <c r="H28" s="175"/>
      <c r="I28" s="182">
        <f>I27*(1+INDEX('Table D - Integration'!$G:$G,MATCH($B28,'Table D - Integration'!$B:$B,0),1))</f>
        <v>1.5581780054539862</v>
      </c>
      <c r="J28"/>
      <c r="K28"/>
      <c r="L28"/>
      <c r="M28"/>
      <c r="N28"/>
      <c r="O28" s="310">
        <f t="shared" si="0"/>
        <v>2039</v>
      </c>
      <c r="P28" s="312">
        <f t="shared" si="3"/>
        <v>1342.8572723566072</v>
      </c>
      <c r="Q28" s="137">
        <v>-1.5635312382855648E-4</v>
      </c>
      <c r="R28" s="350">
        <f t="shared" si="4"/>
        <v>32.162368013940196</v>
      </c>
    </row>
    <row r="29" spans="2:18" s="138" customFormat="1">
      <c r="B29" s="56">
        <f t="shared" si="2"/>
        <v>2040</v>
      </c>
      <c r="C29" s="87"/>
      <c r="D29" s="197"/>
      <c r="E29" s="352">
        <f t="shared" si="5"/>
        <v>147073.29</v>
      </c>
      <c r="F29" s="352">
        <f t="shared" si="1"/>
        <v>226964.95370370371</v>
      </c>
      <c r="G29" s="175"/>
      <c r="H29" s="175"/>
      <c r="I29" s="182">
        <f>I28*(1+INDEX('Table D - Integration'!$G:$G,MATCH($B29,'Table D - Integration'!$B:$B,0),1))</f>
        <v>1.5970481795151521</v>
      </c>
      <c r="J29"/>
      <c r="K29"/>
      <c r="L29"/>
      <c r="M29"/>
      <c r="N29"/>
      <c r="O29" s="310">
        <f t="shared" si="0"/>
        <v>2040</v>
      </c>
      <c r="P29" s="312">
        <f t="shared" si="3"/>
        <v>1341.9293771115661</v>
      </c>
      <c r="Q29" s="137">
        <v>-6.9098575413950591E-4</v>
      </c>
      <c r="R29" s="350">
        <f t="shared" si="4"/>
        <v>32.964687670966086</v>
      </c>
    </row>
    <row r="30" spans="2:18" s="138" customFormat="1">
      <c r="B30" s="56">
        <f t="shared" si="2"/>
        <v>2041</v>
      </c>
      <c r="C30" s="87"/>
      <c r="D30" s="197"/>
      <c r="E30" s="352">
        <f t="shared" si="5"/>
        <v>150742.17000000001</v>
      </c>
      <c r="F30" s="352">
        <f t="shared" si="1"/>
        <v>232626.80555555556</v>
      </c>
      <c r="G30" s="175"/>
      <c r="H30" s="175"/>
      <c r="I30" s="182">
        <f>I29*(1+INDEX('Table D - Integration'!$G:$G,MATCH($B30,'Table D - Integration'!$B:$B,0),1))</f>
        <v>1.6368880055841484</v>
      </c>
      <c r="J30"/>
      <c r="K30"/>
      <c r="L30"/>
      <c r="M30"/>
      <c r="N30"/>
      <c r="O30" s="310">
        <f t="shared" si="0"/>
        <v>2041</v>
      </c>
      <c r="P30" s="312">
        <f t="shared" si="3"/>
        <v>1340.2503166942097</v>
      </c>
      <c r="Q30" s="137">
        <v>-1.2512286011432394E-3</v>
      </c>
      <c r="R30" s="350">
        <f t="shared" si="4"/>
        <v>33.787021924920012</v>
      </c>
    </row>
    <row r="31" spans="2:18" s="138" customFormat="1">
      <c r="B31" s="56">
        <f t="shared" si="2"/>
        <v>2042</v>
      </c>
      <c r="C31" s="87"/>
      <c r="D31" s="197"/>
      <c r="E31" s="352">
        <f t="shared" si="5"/>
        <v>154502.57</v>
      </c>
      <c r="F31" s="352">
        <f t="shared" si="1"/>
        <v>238429.89197530865</v>
      </c>
      <c r="G31" s="175"/>
      <c r="H31" s="175"/>
      <c r="I31" s="182">
        <f>I30*(1+INDEX('Table D - Integration'!$G:$G,MATCH($B31,'Table D - Integration'!$B:$B,0),1))</f>
        <v>1.677721672516286</v>
      </c>
      <c r="J31"/>
      <c r="K31"/>
      <c r="L31"/>
      <c r="M31"/>
      <c r="N31"/>
      <c r="O31" s="310">
        <f t="shared" si="0"/>
        <v>2042</v>
      </c>
      <c r="P31" s="312">
        <f t="shared" si="3"/>
        <v>1337.7856405771672</v>
      </c>
      <c r="Q31" s="137">
        <v>-1.838967009626824E-3</v>
      </c>
      <c r="R31" s="350">
        <f t="shared" si="4"/>
        <v>34.629870058209782</v>
      </c>
    </row>
    <row r="32" spans="2:18" s="138" customFormat="1" ht="14.25">
      <c r="B32" s="81" t="s">
        <v>13</v>
      </c>
      <c r="C32" s="82"/>
      <c r="D32" s="82"/>
      <c r="E32" s="82"/>
      <c r="F32" s="82"/>
      <c r="G32" s="82"/>
      <c r="H32" s="82"/>
      <c r="O32" s="350"/>
      <c r="P32" s="350"/>
      <c r="Q32" s="350"/>
      <c r="R32" s="350"/>
    </row>
    <row r="33" spans="2:18" s="138" customFormat="1" ht="12.75">
      <c r="B33" s="31"/>
      <c r="C33" s="31"/>
      <c r="D33" s="31"/>
      <c r="E33" s="31"/>
      <c r="F33" s="31"/>
      <c r="G33" s="31"/>
      <c r="H33" s="31"/>
      <c r="O33" s="350"/>
      <c r="P33" s="350"/>
      <c r="Q33" s="350"/>
      <c r="R33" s="350"/>
    </row>
    <row r="34" spans="2:18" s="138" customFormat="1" ht="12.75">
      <c r="B34" s="31" t="s">
        <v>59</v>
      </c>
      <c r="C34" s="20" t="s">
        <v>245</v>
      </c>
      <c r="D34" s="20"/>
      <c r="E34" s="31"/>
      <c r="F34" s="31"/>
      <c r="G34" s="31"/>
      <c r="H34" s="31"/>
      <c r="O34" s="350"/>
      <c r="P34" s="350"/>
      <c r="Q34" s="350"/>
      <c r="R34" s="350"/>
    </row>
    <row r="35" spans="2:18" s="138" customFormat="1" ht="12.75">
      <c r="B35" s="31"/>
      <c r="C35" s="83" t="str">
        <f>C7</f>
        <v>(a)</v>
      </c>
      <c r="D35" s="31" t="s">
        <v>247</v>
      </c>
      <c r="E35" s="31"/>
      <c r="F35" s="31"/>
      <c r="G35" s="31"/>
      <c r="H35" s="31"/>
      <c r="O35" s="350"/>
      <c r="P35" s="350"/>
      <c r="Q35" s="350"/>
      <c r="R35" s="350"/>
    </row>
    <row r="36" spans="2:18" s="138" customFormat="1" ht="12.75">
      <c r="B36" s="31"/>
      <c r="C36" s="83" t="str">
        <f>D7</f>
        <v>(b)</v>
      </c>
      <c r="D36" s="363" t="s">
        <v>246</v>
      </c>
      <c r="E36" s="31"/>
      <c r="F36" s="31"/>
      <c r="G36" s="31"/>
      <c r="H36" s="31"/>
      <c r="O36" s="350"/>
      <c r="P36" s="350"/>
      <c r="Q36" s="350"/>
      <c r="R36" s="350"/>
    </row>
    <row r="37" spans="2:18" s="138" customFormat="1" ht="12.75">
      <c r="B37" s="31"/>
      <c r="C37" s="83" t="str">
        <f>E7</f>
        <v>(c)</v>
      </c>
      <c r="D37" s="80" t="str">
        <f>"= "&amp;D7&amp;" escalated at inflation"</f>
        <v>= (b) escalated at inflation</v>
      </c>
      <c r="E37" s="31"/>
      <c r="F37" s="31"/>
      <c r="G37" s="31"/>
      <c r="H37" s="31"/>
      <c r="O37" s="350"/>
      <c r="P37" s="350"/>
      <c r="Q37" s="350"/>
      <c r="R37" s="350"/>
    </row>
    <row r="38" spans="2:18" s="138" customFormat="1" ht="12.75">
      <c r="B38" s="31"/>
      <c r="C38" s="83" t="str">
        <f>F7</f>
        <v>(d)</v>
      </c>
      <c r="D38" s="80" t="str">
        <f>"= "&amp;E7&amp;" * 100% / "&amp;TEXT(C44,"00.0%")</f>
        <v>= (c) * 100% / 64.8%</v>
      </c>
      <c r="E38" s="31"/>
      <c r="F38" s="31"/>
      <c r="G38" s="31"/>
      <c r="H38" s="31"/>
      <c r="O38" s="350"/>
      <c r="P38" s="350"/>
      <c r="Q38" s="350"/>
      <c r="R38" s="350"/>
    </row>
    <row r="39" spans="2:18" s="138" customFormat="1" ht="12.75">
      <c r="B39" s="31"/>
      <c r="C39" s="83"/>
      <c r="D39" s="3"/>
      <c r="E39" s="31"/>
      <c r="F39" s="31"/>
      <c r="G39" s="31"/>
      <c r="H39" s="31"/>
      <c r="O39" s="350"/>
      <c r="P39" s="350"/>
      <c r="Q39" s="350"/>
      <c r="R39" s="350"/>
    </row>
    <row r="40" spans="2:18" s="138" customFormat="1" ht="13.5" thickBot="1">
      <c r="B40" s="31"/>
      <c r="C40" s="31"/>
      <c r="D40" s="31"/>
      <c r="E40" s="31"/>
      <c r="F40" s="31"/>
      <c r="G40" s="31"/>
      <c r="H40" s="31"/>
      <c r="O40" s="350"/>
      <c r="P40" s="350"/>
      <c r="Q40" s="350"/>
      <c r="R40" s="350"/>
    </row>
    <row r="41" spans="2:18" s="138" customFormat="1" ht="13.5" thickBot="1">
      <c r="B41" s="31"/>
      <c r="C41" s="84" t="str">
        <f>B3</f>
        <v>2020AS RFP / 2023 IRP Solar (Yakima)</v>
      </c>
      <c r="D41" s="41"/>
      <c r="E41" s="41"/>
      <c r="F41" s="41"/>
      <c r="G41" s="41"/>
      <c r="H41" s="76"/>
      <c r="O41" s="350"/>
      <c r="P41" s="350"/>
      <c r="Q41" s="350"/>
      <c r="R41" s="350"/>
    </row>
    <row r="42" spans="2:18" s="138" customFormat="1" ht="15.75" thickBot="1">
      <c r="B42" s="31"/>
      <c r="C42" s="85" t="s">
        <v>114</v>
      </c>
      <c r="D42" s="86" t="s">
        <v>60</v>
      </c>
      <c r="E42" s="86"/>
      <c r="F42" s="86"/>
      <c r="G42" s="86"/>
      <c r="H42" s="180"/>
      <c r="J42" s="175"/>
      <c r="O42" s="350"/>
      <c r="P42" s="350"/>
      <c r="Q42" s="350"/>
      <c r="R42" s="350"/>
    </row>
    <row r="43" spans="2:18" s="138" customFormat="1">
      <c r="B43" s="31"/>
      <c r="C43" s="366">
        <f>VALUE(MID(P3,21,5))</f>
        <v>0.24199999999999999</v>
      </c>
      <c r="D43" s="31" t="s">
        <v>132</v>
      </c>
      <c r="E43" s="31"/>
      <c r="F43" s="31"/>
      <c r="G43" s="31"/>
      <c r="H43" s="313">
        <v>5.0849999999999999E-2</v>
      </c>
      <c r="I43" s="138" t="s">
        <v>213</v>
      </c>
      <c r="K43" s="175"/>
      <c r="L43" s="175"/>
      <c r="M43" s="175"/>
      <c r="N43" s="175"/>
      <c r="O43" s="350"/>
      <c r="P43" s="350"/>
      <c r="Q43" s="350"/>
      <c r="R43" s="350"/>
    </row>
    <row r="44" spans="2:18" s="138" customFormat="1">
      <c r="B44" s="31"/>
      <c r="C44" s="142">
        <v>0.64800000000000002</v>
      </c>
      <c r="D44" s="31" t="s">
        <v>131</v>
      </c>
      <c r="E44" s="31"/>
      <c r="F44" s="31"/>
      <c r="G44" s="31"/>
      <c r="H44" s="314">
        <v>6.7500000000000004E-2</v>
      </c>
      <c r="I44" s="138" t="s">
        <v>214</v>
      </c>
      <c r="J44" s="178"/>
      <c r="O44" s="350"/>
      <c r="P44" s="350"/>
      <c r="Q44" s="350"/>
      <c r="R44" s="350"/>
    </row>
    <row r="45" spans="2:18" s="138" customFormat="1">
      <c r="B45" s="31"/>
      <c r="C45" s="179">
        <v>6.9099999999999995E-2</v>
      </c>
      <c r="D45" s="141" t="s">
        <v>130</v>
      </c>
      <c r="E45" s="31"/>
      <c r="F45" s="31"/>
      <c r="G45" s="31"/>
      <c r="H45" s="31"/>
      <c r="J45" s="178"/>
      <c r="O45" s="350"/>
      <c r="P45" s="350"/>
      <c r="Q45" s="350"/>
      <c r="R45" s="350"/>
    </row>
    <row r="46" spans="2:18" s="138" customFormat="1">
      <c r="B46" s="32"/>
      <c r="C46" s="32"/>
      <c r="D46" s="32"/>
      <c r="E46" s="32"/>
      <c r="F46" s="32"/>
      <c r="G46" s="32"/>
      <c r="H46" s="32"/>
      <c r="I46" s="178"/>
      <c r="O46" s="350"/>
      <c r="P46" s="350"/>
      <c r="Q46" s="350"/>
      <c r="R46" s="350"/>
    </row>
    <row r="47" spans="2:18" s="139" customFormat="1">
      <c r="E47" s="140"/>
      <c r="F47" s="176"/>
      <c r="G47"/>
      <c r="H47"/>
      <c r="I47" s="175"/>
      <c r="J47" s="175"/>
      <c r="L47" s="140"/>
      <c r="M47" s="176"/>
      <c r="O47" s="350"/>
      <c r="P47" s="350"/>
      <c r="Q47" s="350"/>
      <c r="R47" s="350"/>
    </row>
    <row r="48" spans="2:18" s="138" customFormat="1">
      <c r="J48" s="175"/>
      <c r="O48" s="350"/>
      <c r="P48" s="350"/>
      <c r="Q48" s="350"/>
      <c r="R48" s="350"/>
    </row>
    <row r="49" spans="15:18">
      <c r="O49" s="350"/>
      <c r="P49" s="350"/>
      <c r="Q49" s="350"/>
      <c r="R49" s="350"/>
    </row>
    <row r="50" spans="15:18">
      <c r="O50" s="350"/>
      <c r="P50" s="350"/>
      <c r="Q50" s="350"/>
      <c r="R50" s="350"/>
    </row>
    <row r="51" spans="15:18">
      <c r="O51" s="350"/>
      <c r="P51" s="350"/>
      <c r="Q51" s="350"/>
      <c r="R51" s="350"/>
    </row>
    <row r="52" spans="15:18">
      <c r="O52" s="350"/>
      <c r="P52" s="350"/>
      <c r="Q52" s="350"/>
      <c r="R52" s="350"/>
    </row>
    <row r="53" spans="15:18">
      <c r="O53" s="350"/>
      <c r="P53" s="350"/>
      <c r="Q53" s="350"/>
      <c r="R53" s="350"/>
    </row>
    <row r="54" spans="15:18">
      <c r="O54" s="350"/>
      <c r="P54" s="350"/>
      <c r="Q54" s="350"/>
      <c r="R54" s="350"/>
    </row>
    <row r="55" spans="15:18">
      <c r="O55" s="350"/>
      <c r="P55" s="350"/>
      <c r="Q55" s="350"/>
      <c r="R55" s="350"/>
    </row>
    <row r="56" spans="15:18">
      <c r="O56" s="350"/>
      <c r="P56" s="350"/>
      <c r="Q56" s="350"/>
      <c r="R56" s="350"/>
    </row>
    <row r="57" spans="15:18">
      <c r="O57" s="350"/>
      <c r="P57" s="350"/>
      <c r="Q57" s="350"/>
      <c r="R57" s="350"/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S47"/>
  <sheetViews>
    <sheetView workbookViewId="0">
      <selection activeCell="F9" sqref="F9"/>
    </sheetView>
  </sheetViews>
  <sheetFormatPr defaultRowHeight="15"/>
  <cols>
    <col min="1" max="3" width="9.33203125" style="175"/>
    <col min="4" max="4" width="12.1640625" style="175" customWidth="1"/>
    <col min="5" max="5" width="15.33203125" style="175" customWidth="1"/>
    <col min="6" max="6" width="14.83203125" style="175" customWidth="1"/>
    <col min="7" max="7" width="14.33203125" style="175" customWidth="1"/>
    <col min="8" max="8" width="11.83203125" style="175" customWidth="1"/>
    <col min="9" max="9" width="11.5" style="175" customWidth="1"/>
    <col min="10" max="10" width="13.33203125" customWidth="1"/>
    <col min="11" max="11" width="25.33203125" bestFit="1" customWidth="1"/>
    <col min="12" max="12" width="20.6640625" customWidth="1"/>
    <col min="13" max="15" width="9.33203125" style="175"/>
    <col min="16" max="16" width="11.1640625" style="175" customWidth="1"/>
    <col min="17" max="16384" width="9.33203125" style="175"/>
  </cols>
  <sheetData>
    <row r="1" spans="2:15" ht="15.75">
      <c r="B1" s="402" t="s">
        <v>182</v>
      </c>
      <c r="C1" s="392"/>
      <c r="D1" s="392"/>
      <c r="E1" s="392"/>
      <c r="F1" s="392"/>
      <c r="G1" s="392"/>
      <c r="H1" s="392"/>
    </row>
    <row r="2" spans="2:15" ht="15.75">
      <c r="B2" s="402" t="s">
        <v>194</v>
      </c>
      <c r="C2" s="392"/>
      <c r="D2" s="392"/>
      <c r="E2" s="392"/>
      <c r="F2" s="392"/>
      <c r="G2" s="392"/>
      <c r="H2" s="392"/>
    </row>
    <row r="3" spans="2:15" s="138" customFormat="1" ht="15.75">
      <c r="B3" s="29"/>
      <c r="C3" s="30"/>
      <c r="D3" s="30"/>
      <c r="E3" s="30"/>
      <c r="F3" s="30"/>
      <c r="G3" s="30"/>
      <c r="H3" s="30"/>
      <c r="J3"/>
    </row>
    <row r="4" spans="2:15" s="138" customFormat="1" ht="12.75">
      <c r="B4" s="33"/>
      <c r="C4" s="33"/>
      <c r="D4" s="33"/>
      <c r="E4" s="33"/>
      <c r="F4" s="33"/>
      <c r="G4" s="33"/>
      <c r="H4" s="33"/>
      <c r="J4"/>
    </row>
    <row r="5" spans="2:15" s="138" customFormat="1" ht="64.5">
      <c r="B5" s="77" t="s">
        <v>2</v>
      </c>
      <c r="C5" s="78" t="s">
        <v>195</v>
      </c>
      <c r="D5" s="78" t="s">
        <v>196</v>
      </c>
      <c r="E5" s="144" t="s">
        <v>197</v>
      </c>
      <c r="F5" s="144" t="s">
        <v>198</v>
      </c>
      <c r="H5" s="175"/>
      <c r="I5" s="144" t="s">
        <v>227</v>
      </c>
      <c r="J5"/>
    </row>
    <row r="6" spans="2:15" s="138" customFormat="1">
      <c r="B6" s="36"/>
      <c r="C6" s="157" t="s">
        <v>120</v>
      </c>
      <c r="D6" s="157" t="s">
        <v>120</v>
      </c>
      <c r="E6" s="157" t="s">
        <v>120</v>
      </c>
      <c r="F6" s="157" t="s">
        <v>120</v>
      </c>
      <c r="H6" s="175"/>
      <c r="I6" s="37" t="s">
        <v>133</v>
      </c>
      <c r="J6"/>
    </row>
    <row r="7" spans="2:15" s="138" customFormat="1" ht="12.75">
      <c r="B7" s="31"/>
      <c r="C7" s="38" t="s">
        <v>4</v>
      </c>
      <c r="D7" s="38" t="s">
        <v>5</v>
      </c>
      <c r="E7" s="38" t="s">
        <v>6</v>
      </c>
      <c r="F7" s="38" t="s">
        <v>7</v>
      </c>
      <c r="J7"/>
    </row>
    <row r="8" spans="2:15" s="138" customFormat="1" ht="33.75" customHeight="1">
      <c r="C8" s="32"/>
      <c r="D8" s="31"/>
      <c r="E8" s="197"/>
      <c r="F8" s="197"/>
      <c r="H8" s="170" t="str">
        <f>"Nominal Levelized "&amp;B9&amp;" - "&amp;B23</f>
        <v>Nominal Levelized 2023 - 2037</v>
      </c>
      <c r="I8" s="182">
        <f>-PMT($C$35,COUNT(I$9:I$23),NPV($C$35,I$9:I$23))</f>
        <v>1.1591683876184347</v>
      </c>
      <c r="J8"/>
    </row>
    <row r="9" spans="2:15" s="138" customFormat="1">
      <c r="B9" s="56">
        <v>2023</v>
      </c>
      <c r="C9" s="197">
        <f>IF(D9=0,INDEX('Exhibit 1 - Market Capacity'!$I:$I,MATCH($B9,'Exhibit 1 - Market Capacity'!$B:$B,0),1),0)</f>
        <v>109062.73</v>
      </c>
      <c r="D9" s="197">
        <f>IF('Scenario Comparison'!$K$9=TRUE,INDEX('Redacted Ex2 - Planned Cap'!F:F,MATCH($B9,'Redacted Ex2 - Planned Cap'!B:B,0),1),IF('Scenario Comparison'!$K$10,INDEX('Redacted Exh2A PlanCap ITC'!F:F,MATCH($B9,'Redacted Exh2A PlanCap ITC'!B:B,0),1),IF('Scenario Comparison'!$K$11,INDEX('Redacted Exh2B PlanCap ITC-RFP'!F:F,MATCH($B9,'Redacted Exh2B PlanCap ITC-RFP'!B:B,0),1),"ERROR")))</f>
        <v>0</v>
      </c>
      <c r="E9" s="197">
        <f>SUM(C9:D9)</f>
        <v>109062.73</v>
      </c>
      <c r="F9" s="197">
        <f>-PMT(DiscountRate,15,NPV(DiscountRate,E9:E23))/$I$8</f>
        <v>131511.48713181337</v>
      </c>
      <c r="H9" s="175"/>
      <c r="I9" s="182">
        <v>1</v>
      </c>
      <c r="J9"/>
    </row>
    <row r="10" spans="2:15" s="138" customFormat="1">
      <c r="B10" s="56">
        <f t="shared" ref="B10:B28" si="0">B9+1</f>
        <v>2024</v>
      </c>
      <c r="C10" s="197">
        <f>IF(D10=0,INDEX('Exhibit 1 - Market Capacity'!$I:$I,MATCH($B10,'Exhibit 1 - Market Capacity'!$B:$B,0),1),0)</f>
        <v>111783.39999999998</v>
      </c>
      <c r="D10" s="197">
        <f>IF('Scenario Comparison'!$K$9=TRUE,INDEX('Redacted Ex2 - Planned Cap'!F:F,MATCH($B10,'Redacted Ex2 - Planned Cap'!B:B,0),1),IF('Scenario Comparison'!$K$10,INDEX('Redacted Exh2A PlanCap ITC'!F:F,MATCH($B10,'Redacted Exh2A PlanCap ITC'!B:B,0),1),IF('Scenario Comparison'!$K$11,INDEX('Redacted Exh2B PlanCap ITC-RFP'!F:F,MATCH($B10,'Redacted Exh2B PlanCap ITC-RFP'!B:B,0),1),"ERROR")))</f>
        <v>0</v>
      </c>
      <c r="E10" s="197">
        <f t="shared" ref="E10:E27" si="1">SUM(C10:D10)</f>
        <v>111783.39999999998</v>
      </c>
      <c r="F10" s="197">
        <f>F9*I10/I9</f>
        <v>134792.16134102672</v>
      </c>
      <c r="H10" s="175"/>
      <c r="I10" s="182">
        <f>I9*(1+INDEX('Table D - Integration'!$G:$G,MATCH($B10,'Table D - Integration'!$B:$B,0),1))</f>
        <v>1.0249459137050525</v>
      </c>
      <c r="J10"/>
    </row>
    <row r="11" spans="2:15" s="138" customFormat="1">
      <c r="B11" s="56">
        <f t="shared" si="0"/>
        <v>2025</v>
      </c>
      <c r="C11" s="197">
        <f>IF(D11=0,INDEX('Exhibit 1 - Market Capacity'!$I:$I,MATCH($B11,'Exhibit 1 - Market Capacity'!$B:$B,0),1),0)</f>
        <v>114571.93</v>
      </c>
      <c r="D11" s="197">
        <f>IF('Scenario Comparison'!$K$9=TRUE,INDEX('Redacted Ex2 - Planned Cap'!F:F,MATCH($B11,'Redacted Ex2 - Planned Cap'!B:B,0),1),IF('Scenario Comparison'!$K$10,INDEX('Redacted Exh2A PlanCap ITC'!F:F,MATCH($B11,'Redacted Exh2A PlanCap ITC'!B:B,0),1),IF('Scenario Comparison'!$K$11,INDEX('Redacted Exh2B PlanCap ITC-RFP'!F:F,MATCH($B11,'Redacted Exh2B PlanCap ITC-RFP'!B:B,0),1),"ERROR")))</f>
        <v>0</v>
      </c>
      <c r="E11" s="197">
        <f t="shared" si="1"/>
        <v>114571.93</v>
      </c>
      <c r="F11" s="197">
        <f t="shared" ref="F11:F28" si="2">F10*I11/I10</f>
        <v>138154.6749659575</v>
      </c>
      <c r="H11" s="175"/>
      <c r="I11" s="182">
        <f>I10*(1+INDEX('Table D - Integration'!$G:$G,MATCH($B11,'Table D - Integration'!$B:$B,0),1))</f>
        <v>1.0505141260206849</v>
      </c>
      <c r="J11"/>
    </row>
    <row r="12" spans="2:15" s="138" customFormat="1">
      <c r="B12" s="56">
        <f t="shared" si="0"/>
        <v>2026</v>
      </c>
      <c r="C12" s="197">
        <f>IF(D12=0,INDEX('Exhibit 1 - Market Capacity'!$I:$I,MATCH($B12,'Exhibit 1 - Market Capacity'!$B:$B,0),1),0)</f>
        <v>117430.02999999998</v>
      </c>
      <c r="D12" s="197">
        <f>IF('Scenario Comparison'!$K$9=TRUE,INDEX('Redacted Ex2 - Planned Cap'!F:F,MATCH($B12,'Redacted Ex2 - Planned Cap'!B:B,0),1),IF('Scenario Comparison'!$K$10,INDEX('Redacted Exh2A PlanCap ITC'!F:F,MATCH($B12,'Redacted Exh2A PlanCap ITC'!B:B,0),1),IF('Scenario Comparison'!$K$11,INDEX('Redacted Exh2B PlanCap ITC-RFP'!F:F,MATCH($B12,'Redacted Exh2B PlanCap ITC-RFP'!B:B,0),1),"ERROR")))</f>
        <v>0</v>
      </c>
      <c r="E12" s="197">
        <f t="shared" si="1"/>
        <v>117430.02999999998</v>
      </c>
      <c r="F12" s="197">
        <f t="shared" si="2"/>
        <v>141601.06956560785</v>
      </c>
      <c r="H12" s="175"/>
      <c r="I12" s="182">
        <f>I11*(1+INDEX('Table D - Integration'!$G:$G,MATCH($B12,'Table D - Integration'!$B:$B,0),1))</f>
        <v>1.0767201607543355</v>
      </c>
      <c r="J12"/>
    </row>
    <row r="13" spans="2:15" s="138" customFormat="1">
      <c r="B13" s="56">
        <f t="shared" si="0"/>
        <v>2027</v>
      </c>
      <c r="C13" s="197">
        <f>IF(D13=0,INDEX('Exhibit 1 - Market Capacity'!$I:$I,MATCH($B13,'Exhibit 1 - Market Capacity'!$B:$B,0),1),0)</f>
        <v>120359.43</v>
      </c>
      <c r="D13" s="197">
        <f>IF('Scenario Comparison'!$K$9=TRUE,INDEX('Redacted Ex2 - Planned Cap'!F:F,MATCH($B13,'Redacted Ex2 - Planned Cap'!B:B,0),1),IF('Scenario Comparison'!$K$10,INDEX('Redacted Exh2A PlanCap ITC'!F:F,MATCH($B13,'Redacted Exh2A PlanCap ITC'!B:B,0),1),IF('Scenario Comparison'!$K$11,INDEX('Redacted Exh2B PlanCap ITC-RFP'!F:F,MATCH($B13,'Redacted Exh2B PlanCap ITC-RFP'!B:B,0),1),"ERROR")))</f>
        <v>0</v>
      </c>
      <c r="E13" s="197">
        <f t="shared" si="1"/>
        <v>120359.43</v>
      </c>
      <c r="F13" s="197">
        <f t="shared" si="2"/>
        <v>145133.43762753464</v>
      </c>
      <c r="H13" s="175"/>
      <c r="I13" s="182">
        <f>I12*(1+INDEX('Table D - Integration'!$G:$G,MATCH($B13,'Table D - Integration'!$B:$B,0),1))</f>
        <v>1.1035799289690034</v>
      </c>
      <c r="J13"/>
    </row>
    <row r="14" spans="2:15" s="138" customFormat="1">
      <c r="B14" s="56">
        <f t="shared" si="0"/>
        <v>2028</v>
      </c>
      <c r="C14" s="197">
        <f>IF(D14=0,INDEX('Exhibit 1 - Market Capacity'!$I:$I,MATCH($B14,'Exhibit 1 - Market Capacity'!$B:$B,0),1),0)</f>
        <v>0</v>
      </c>
      <c r="D14" s="197">
        <f>IF('Scenario Comparison'!$K$9=TRUE,INDEX('Redacted Ex2 - Planned Cap'!F:F,MATCH($B14,'Redacted Ex2 - Planned Cap'!B:B,0),1),IF('Scenario Comparison'!$K$10,INDEX('Redacted Exh2A PlanCap ITC'!F:F,MATCH($B14,'Redacted Exh2A PlanCap ITC'!B:B,0),1),IF('Scenario Comparison'!$K$11,INDEX('Redacted Exh2B PlanCap ITC-RFP'!F:F,MATCH($B14,'Redacted Exh2B PlanCap ITC-RFP'!B:B,0),1),"ERROR")))</f>
        <v>166077.49589396801</v>
      </c>
      <c r="E14" s="197">
        <f t="shared" si="1"/>
        <v>166077.49589396801</v>
      </c>
      <c r="F14" s="197">
        <f t="shared" si="2"/>
        <v>148753.92383830875</v>
      </c>
      <c r="H14" s="175"/>
      <c r="I14" s="182">
        <f>I13*(1+INDEX('Table D - Integration'!$G:$G,MATCH($B14,'Table D - Integration'!$B:$B,0),1))</f>
        <v>1.1311097386436921</v>
      </c>
      <c r="J14"/>
      <c r="K14"/>
      <c r="L14"/>
      <c r="M14"/>
      <c r="N14"/>
      <c r="O14"/>
    </row>
    <row r="15" spans="2:15" s="138" customFormat="1">
      <c r="B15" s="56">
        <f t="shared" si="0"/>
        <v>2029</v>
      </c>
      <c r="C15" s="197">
        <f>IF(D15=0,INDEX('Exhibit 1 - Market Capacity'!$I:$I,MATCH($B15,'Exhibit 1 - Market Capacity'!$B:$B,0),1),0)</f>
        <v>0</v>
      </c>
      <c r="D15" s="197">
        <f>IF('Scenario Comparison'!$K$9=TRUE,INDEX('Redacted Ex2 - Planned Cap'!F:F,MATCH($B15,'Redacted Ex2 - Planned Cap'!B:B,0),1),IF('Scenario Comparison'!$K$10,INDEX('Redacted Exh2A PlanCap ITC'!F:F,MATCH($B15,'Redacted Exh2A PlanCap ITC'!B:B,0),1),IF('Scenario Comparison'!$K$11,INDEX('Redacted Exh2B PlanCap ITC-RFP'!F:F,MATCH($B15,'Redacted Exh2B PlanCap ITC-RFP'!B:B,0),1),"ERROR")))</f>
        <v>170220.44753086421</v>
      </c>
      <c r="E15" s="197">
        <f t="shared" si="1"/>
        <v>170220.44753086421</v>
      </c>
      <c r="F15" s="197">
        <f t="shared" si="2"/>
        <v>152464.72638566713</v>
      </c>
      <c r="H15" s="175"/>
      <c r="I15" s="182">
        <f>I14*(1+INDEX('Table D - Integration'!$G:$G,MATCH($B15,'Table D - Integration'!$B:$B,0),1))</f>
        <v>1.1593263045748421</v>
      </c>
      <c r="J15"/>
      <c r="K15"/>
      <c r="L15"/>
      <c r="M15"/>
      <c r="N15"/>
      <c r="O15"/>
    </row>
    <row r="16" spans="2:15" s="138" customFormat="1">
      <c r="B16" s="56">
        <f t="shared" si="0"/>
        <v>2030</v>
      </c>
      <c r="C16" s="197">
        <f>IF(D16=0,INDEX('Exhibit 1 - Market Capacity'!$I:$I,MATCH($B16,'Exhibit 1 - Market Capacity'!$B:$B,0),1),0)</f>
        <v>0</v>
      </c>
      <c r="D16" s="197">
        <f>IF('Scenario Comparison'!$K$9=TRUE,INDEX('Redacted Ex2 - Planned Cap'!F:F,MATCH($B16,'Redacted Ex2 - Planned Cap'!B:B,0),1),IF('Scenario Comparison'!$K$10,INDEX('Redacted Exh2A PlanCap ITC'!F:F,MATCH($B16,'Redacted Exh2A PlanCap ITC'!B:B,0),1),IF('Scenario Comparison'!$K$11,INDEX('Redacted Exh2B PlanCap ITC-RFP'!F:F,MATCH($B16,'Redacted Exh2B PlanCap ITC-RFP'!B:B,0),1),"ERROR")))</f>
        <v>174466.75925925927</v>
      </c>
      <c r="E16" s="197">
        <f t="shared" si="1"/>
        <v>174466.75925925927</v>
      </c>
      <c r="F16" s="197">
        <f t="shared" si="2"/>
        <v>156268.09829314845</v>
      </c>
      <c r="H16" s="175"/>
      <c r="I16" s="182">
        <f>I15*(1+INDEX('Table D - Integration'!$G:$G,MATCH($B16,'Table D - Integration'!$B:$B,0),1))</f>
        <v>1.1882467585247636</v>
      </c>
      <c r="J16"/>
      <c r="K16"/>
      <c r="L16"/>
      <c r="M16"/>
      <c r="N16"/>
      <c r="O16"/>
    </row>
    <row r="17" spans="2:15" s="138" customFormat="1">
      <c r="B17" s="56">
        <f t="shared" si="0"/>
        <v>2031</v>
      </c>
      <c r="C17" s="197">
        <f>IF(D17=0,INDEX('Exhibit 1 - Market Capacity'!$I:$I,MATCH($B17,'Exhibit 1 - Market Capacity'!$B:$B,0),1),0)</f>
        <v>0</v>
      </c>
      <c r="D17" s="197">
        <f>IF('Scenario Comparison'!$K$9=TRUE,INDEX('Redacted Ex2 - Planned Cap'!F:F,MATCH($B17,'Redacted Ex2 - Planned Cap'!B:B,0),1),IF('Scenario Comparison'!$K$10,INDEX('Redacted Exh2A PlanCap ITC'!F:F,MATCH($B17,'Redacted Exh2A PlanCap ITC'!B:B,0),1),IF('Scenario Comparison'!$K$11,INDEX('Redacted Exh2B PlanCap ITC-RFP'!F:F,MATCH($B17,'Redacted Exh2B PlanCap ITC-RFP'!B:B,0),1),"ERROR")))</f>
        <v>178818.99691358025</v>
      </c>
      <c r="E17" s="197">
        <f t="shared" si="1"/>
        <v>178818.99691358025</v>
      </c>
      <c r="F17" s="197">
        <f t="shared" si="2"/>
        <v>160166.34878802201</v>
      </c>
      <c r="H17" s="175"/>
      <c r="I17" s="182">
        <f>I16*(1+INDEX('Table D - Integration'!$G:$G,MATCH($B17,'Table D - Integration'!$B:$B,0),1))</f>
        <v>1.2178886596232308</v>
      </c>
      <c r="J17"/>
      <c r="K17"/>
      <c r="L17"/>
      <c r="M17"/>
      <c r="N17"/>
      <c r="O17"/>
    </row>
    <row r="18" spans="2:15" s="138" customFormat="1">
      <c r="B18" s="56">
        <f t="shared" si="0"/>
        <v>2032</v>
      </c>
      <c r="C18" s="197">
        <f>IF(D18=0,INDEX('Exhibit 1 - Market Capacity'!$I:$I,MATCH($B18,'Exhibit 1 - Market Capacity'!$B:$B,0),1),0)</f>
        <v>0</v>
      </c>
      <c r="D18" s="197">
        <f>IF('Scenario Comparison'!$K$9=TRUE,INDEX('Redacted Ex2 - Planned Cap'!F:F,MATCH($B18,'Redacted Ex2 - Planned Cap'!B:B,0),1),IF('Scenario Comparison'!$K$10,INDEX('Redacted Exh2A PlanCap ITC'!F:F,MATCH($B18,'Redacted Exh2A PlanCap ITC'!B:B,0),1),IF('Scenario Comparison'!$K$11,INDEX('Redacted Exh2B PlanCap ITC-RFP'!F:F,MATCH($B18,'Redacted Exh2B PlanCap ITC-RFP'!B:B,0),1),"ERROR")))</f>
        <v>183279.79938271604</v>
      </c>
      <c r="E18" s="197">
        <f t="shared" si="1"/>
        <v>183279.79938271604</v>
      </c>
      <c r="F18" s="197">
        <f t="shared" si="2"/>
        <v>164161.84470334137</v>
      </c>
      <c r="H18" s="175"/>
      <c r="I18" s="182">
        <f>I17*(1+INDEX('Table D - Integration'!$G:$G,MATCH($B18,'Table D - Integration'!$B:$B,0),1))</f>
        <v>1.248270005028554</v>
      </c>
      <c r="J18"/>
      <c r="K18"/>
      <c r="L18"/>
      <c r="M18"/>
      <c r="N18"/>
      <c r="O18"/>
    </row>
    <row r="19" spans="2:15" s="138" customFormat="1">
      <c r="B19" s="56">
        <f t="shared" si="0"/>
        <v>2033</v>
      </c>
      <c r="C19" s="197">
        <f>IF(D19=0,INDEX('Exhibit 1 - Market Capacity'!$I:$I,MATCH($B19,'Exhibit 1 - Market Capacity'!$B:$B,0),1),0)</f>
        <v>0</v>
      </c>
      <c r="D19" s="197">
        <f>IF('Scenario Comparison'!$K$9=TRUE,INDEX('Redacted Ex2 - Planned Cap'!F:F,MATCH($B19,'Redacted Ex2 - Planned Cap'!B:B,0),1),IF('Scenario Comparison'!$K$10,INDEX('Redacted Exh2A PlanCap ITC'!F:F,MATCH($B19,'Redacted Exh2A PlanCap ITC'!B:B,0),1),IF('Scenario Comparison'!$K$11,INDEX('Redacted Exh2B PlanCap ITC-RFP'!F:F,MATCH($B19,'Redacted Exh2B PlanCap ITC-RFP'!B:B,0),1),"ERROR")))</f>
        <v>187851.88271604938</v>
      </c>
      <c r="E19" s="197">
        <f t="shared" si="1"/>
        <v>187851.88271604938</v>
      </c>
      <c r="F19" s="197">
        <f t="shared" si="2"/>
        <v>168257.01191497315</v>
      </c>
      <c r="H19" s="175"/>
      <c r="I19" s="182">
        <f>I18*(1+INDEX('Table D - Integration'!$G:$G,MATCH($B19,'Table D - Integration'!$B:$B,0),1))</f>
        <v>1.2794092408546018</v>
      </c>
      <c r="J19"/>
      <c r="K19"/>
      <c r="L19"/>
      <c r="M19"/>
      <c r="N19"/>
      <c r="O19"/>
    </row>
    <row r="20" spans="2:15" s="138" customFormat="1">
      <c r="B20" s="56">
        <f t="shared" si="0"/>
        <v>2034</v>
      </c>
      <c r="C20" s="197">
        <f>IF(D20=0,INDEX('Exhibit 1 - Market Capacity'!$I:$I,MATCH($B20,'Exhibit 1 - Market Capacity'!$B:$B,0),1),0)</f>
        <v>0</v>
      </c>
      <c r="D20" s="197">
        <f>IF('Scenario Comparison'!$K$9=TRUE,INDEX('Redacted Ex2 - Planned Cap'!F:F,MATCH($B20,'Redacted Ex2 - Planned Cap'!B:B,0),1),IF('Scenario Comparison'!$K$10,INDEX('Redacted Exh2A PlanCap ITC'!F:F,MATCH($B20,'Redacted Exh2A PlanCap ITC'!B:B,0),1),IF('Scenario Comparison'!$K$11,INDEX('Redacted Exh2B PlanCap ITC-RFP'!F:F,MATCH($B20,'Redacted Exh2B PlanCap ITC-RFP'!B:B,0),1),"ERROR")))</f>
        <v>192538.024691358</v>
      </c>
      <c r="E20" s="197">
        <f t="shared" si="1"/>
        <v>192538.024691358</v>
      </c>
      <c r="F20" s="197">
        <f t="shared" si="2"/>
        <v>172454.33681447405</v>
      </c>
      <c r="H20" s="175"/>
      <c r="I20" s="182">
        <f>I19*(1+INDEX('Table D - Integration'!$G:$G,MATCH($B20,'Table D - Integration'!$B:$B,0),1))</f>
        <v>1.3113252733704075</v>
      </c>
      <c r="J20"/>
      <c r="K20"/>
      <c r="L20"/>
      <c r="M20"/>
      <c r="N20"/>
      <c r="O20"/>
    </row>
    <row r="21" spans="2:15" s="138" customFormat="1">
      <c r="B21" s="56">
        <f t="shared" si="0"/>
        <v>2035</v>
      </c>
      <c r="C21" s="197">
        <f>IF(D21=0,INDEX('Exhibit 1 - Market Capacity'!$I:$I,MATCH($B21,'Exhibit 1 - Market Capacity'!$B:$B,0),1),0)</f>
        <v>0</v>
      </c>
      <c r="D21" s="197">
        <f>IF('Scenario Comparison'!$K$9=TRUE,INDEX('Redacted Ex2 - Planned Cap'!F:F,MATCH($B21,'Redacted Ex2 - Planned Cap'!B:B,0),1),IF('Scenario Comparison'!$K$10,INDEX('Redacted Exh2A PlanCap ITC'!F:F,MATCH($B21,'Redacted Exh2A PlanCap ITC'!B:B,0),1),IF('Scenario Comparison'!$K$11,INDEX('Redacted Exh2B PlanCap ITC-RFP'!F:F,MATCH($B21,'Redacted Exh2B PlanCap ITC-RFP'!B:B,0),1),"ERROR")))</f>
        <v>197341.0648148148</v>
      </c>
      <c r="E21" s="197">
        <f t="shared" si="1"/>
        <v>197341.0648148148</v>
      </c>
      <c r="F21" s="197">
        <f t="shared" si="2"/>
        <v>176756.36781870999</v>
      </c>
      <c r="H21" s="175"/>
      <c r="I21" s="182">
        <f>I20*(1+INDEX('Table D - Integration'!$G:$G,MATCH($B21,'Table D - Integration'!$B:$B,0),1))</f>
        <v>1.3440374804791602</v>
      </c>
      <c r="J21"/>
      <c r="K21"/>
      <c r="L21"/>
      <c r="M21"/>
      <c r="N21"/>
      <c r="O21"/>
    </row>
    <row r="22" spans="2:15" s="138" customFormat="1">
      <c r="B22" s="56">
        <f t="shared" si="0"/>
        <v>2036</v>
      </c>
      <c r="C22" s="197">
        <f>IF(D22=0,INDEX('Exhibit 1 - Market Capacity'!$I:$I,MATCH($B22,'Exhibit 1 - Market Capacity'!$B:$B,0),1),0)</f>
        <v>0</v>
      </c>
      <c r="D22" s="197">
        <f>IF('Scenario Comparison'!$K$9=TRUE,INDEX('Redacted Ex2 - Planned Cap'!F:F,MATCH($B22,'Redacted Ex2 - Planned Cap'!B:B,0),1),IF('Scenario Comparison'!$K$10,INDEX('Redacted Exh2A PlanCap ITC'!F:F,MATCH($B22,'Redacted Exh2A PlanCap ITC'!B:B,0),1),IF('Scenario Comparison'!$K$11,INDEX('Redacted Exh2B PlanCap ITC-RFP'!F:F,MATCH($B22,'Redacted Exh2B PlanCap ITC-RFP'!B:B,0),1),"ERROR")))</f>
        <v>202263.91975308643</v>
      </c>
      <c r="E22" s="197">
        <f t="shared" si="1"/>
        <v>202263.91975308643</v>
      </c>
      <c r="F22" s="197">
        <f t="shared" si="2"/>
        <v>181165.71691713404</v>
      </c>
      <c r="H22" s="175"/>
      <c r="I22" s="182">
        <f>I21*(1+INDEX('Table D - Integration'!$G:$G,MATCH($B22,'Table D - Integration'!$B:$B,0),1))</f>
        <v>1.3775657234835494</v>
      </c>
      <c r="J22"/>
      <c r="K22"/>
      <c r="L22"/>
      <c r="M22"/>
      <c r="N22"/>
      <c r="O22"/>
    </row>
    <row r="23" spans="2:15" s="138" customFormat="1">
      <c r="B23" s="56">
        <f t="shared" si="0"/>
        <v>2037</v>
      </c>
      <c r="C23" s="197">
        <f>IF(D23=0,INDEX('Exhibit 1 - Market Capacity'!$I:$I,MATCH($B23,'Exhibit 1 - Market Capacity'!$B:$B,0),1),0)</f>
        <v>0</v>
      </c>
      <c r="D23" s="197">
        <f>IF('Scenario Comparison'!$K$9=TRUE,INDEX('Redacted Ex2 - Planned Cap'!F:F,MATCH($B23,'Redacted Ex2 - Planned Cap'!B:B,0),1),IF('Scenario Comparison'!$K$10,INDEX('Redacted Exh2A PlanCap ITC'!F:F,MATCH($B23,'Redacted Exh2A PlanCap ITC'!B:B,0),1),IF('Scenario Comparison'!$K$11,INDEX('Redacted Exh2B PlanCap ITC-RFP'!F:F,MATCH($B23,'Redacted Exh2B PlanCap ITC-RFP'!B:B,0),1),"ERROR")))</f>
        <v>207309.58333333331</v>
      </c>
      <c r="E23" s="197">
        <f t="shared" si="1"/>
        <v>207309.58333333331</v>
      </c>
      <c r="F23" s="197">
        <f t="shared" si="2"/>
        <v>185685.0612576628</v>
      </c>
      <c r="H23" s="175"/>
      <c r="I23" s="182">
        <f>I22*(1+INDEX('Table D - Integration'!$G:$G,MATCH($B23,'Table D - Integration'!$B:$B,0),1))</f>
        <v>1.4119303591446082</v>
      </c>
      <c r="J23"/>
      <c r="K23"/>
      <c r="L23"/>
      <c r="M23"/>
      <c r="N23"/>
      <c r="O23"/>
    </row>
    <row r="24" spans="2:15" s="138" customFormat="1">
      <c r="B24" s="56">
        <f t="shared" si="0"/>
        <v>2038</v>
      </c>
      <c r="C24" s="197">
        <f>IF(D24=0,INDEX('Exhibit 1 - Market Capacity'!$I:$I,MATCH($B24,'Exhibit 1 - Market Capacity'!$B:$B,0),1),0)</f>
        <v>0</v>
      </c>
      <c r="D24" s="197">
        <f>IF('Scenario Comparison'!$K$9=TRUE,INDEX('Redacted Ex2 - Planned Cap'!F:F,MATCH($B24,'Redacted Ex2 - Planned Cap'!B:B,0),1),IF('Scenario Comparison'!$K$10,INDEX('Redacted Exh2A PlanCap ITC'!F:F,MATCH($B24,'Redacted Exh2A PlanCap ITC'!B:B,0),1),IF('Scenario Comparison'!$K$11,INDEX('Redacted Exh2B PlanCap ITC-RFP'!F:F,MATCH($B24,'Redacted Exh2B PlanCap ITC-RFP'!B:B,0),1),"ERROR")))</f>
        <v>212481.11111111112</v>
      </c>
      <c r="E24" s="197">
        <f t="shared" si="1"/>
        <v>212481.11111111112</v>
      </c>
      <c r="F24" s="197">
        <f t="shared" si="2"/>
        <v>190317.14477211385</v>
      </c>
      <c r="H24" s="175"/>
      <c r="I24" s="182">
        <f>I23*(1+INDEX('Table D - Integration'!$G:$G,MATCH($B24,'Table D - Integration'!$B:$B,0),1))</f>
        <v>1.4471522520413733</v>
      </c>
      <c r="J24"/>
      <c r="K24"/>
      <c r="L24"/>
      <c r="M24"/>
      <c r="N24"/>
      <c r="O24"/>
    </row>
    <row r="25" spans="2:15" s="138" customFormat="1">
      <c r="B25" s="56">
        <f t="shared" si="0"/>
        <v>2039</v>
      </c>
      <c r="C25" s="197">
        <f>IF(D25=0,INDEX('Exhibit 1 - Market Capacity'!$I:$I,MATCH($B25,'Exhibit 1 - Market Capacity'!$B:$B,0),1),0)</f>
        <v>0</v>
      </c>
      <c r="D25" s="197">
        <f>IF('Scenario Comparison'!$K$9=TRUE,INDEX('Redacted Ex2 - Planned Cap'!F:F,MATCH($B25,'Redacted Ex2 - Planned Cap'!B:B,0),1),IF('Scenario Comparison'!$K$10,INDEX('Redacted Exh2A PlanCap ITC'!F:F,MATCH($B25,'Redacted Exh2A PlanCap ITC'!B:B,0),1),IF('Scenario Comparison'!$K$11,INDEX('Redacted Exh2B PlanCap ITC-RFP'!F:F,MATCH($B25,'Redacted Exh2B PlanCap ITC-RFP'!B:B,0),1),"ERROR")))</f>
        <v>217781.65123456792</v>
      </c>
      <c r="E25" s="197">
        <f t="shared" si="1"/>
        <v>217781.65123456792</v>
      </c>
      <c r="F25" s="197">
        <f t="shared" si="2"/>
        <v>195064.779842191</v>
      </c>
      <c r="H25" s="175"/>
      <c r="I25" s="182">
        <f>I24*(1+INDEX('Table D - Integration'!$G:$G,MATCH($B25,'Table D - Integration'!$B:$B,0),1))</f>
        <v>1.4832527872388699</v>
      </c>
      <c r="J25"/>
      <c r="K25"/>
      <c r="L25"/>
      <c r="M25"/>
      <c r="N25"/>
      <c r="O25"/>
    </row>
    <row r="26" spans="2:15" s="138" customFormat="1">
      <c r="B26" s="56">
        <f t="shared" si="0"/>
        <v>2040</v>
      </c>
      <c r="C26" s="197">
        <f>IF(D26=0,INDEX('Exhibit 1 - Market Capacity'!$I:$I,MATCH($B26,'Exhibit 1 - Market Capacity'!$B:$B,0),1),0)</f>
        <v>0</v>
      </c>
      <c r="D26" s="197">
        <f>IF('Scenario Comparison'!$K$9=TRUE,INDEX('Redacted Ex2 - Planned Cap'!F:F,MATCH($B26,'Redacted Ex2 - Planned Cap'!B:B,0),1),IF('Scenario Comparison'!$K$10,INDEX('Redacted Exh2A PlanCap ITC'!F:F,MATCH($B26,'Redacted Exh2A PlanCap ITC'!B:B,0),1),IF('Scenario Comparison'!$K$11,INDEX('Redacted Exh2B PlanCap ITC-RFP'!F:F,MATCH($B26,'Redacted Exh2B PlanCap ITC-RFP'!B:B,0),1),"ERROR")))</f>
        <v>223214.41358024691</v>
      </c>
      <c r="E26" s="197">
        <f t="shared" si="1"/>
        <v>223214.41358024691</v>
      </c>
      <c r="F26" s="197">
        <f t="shared" si="2"/>
        <v>199930.84900702938</v>
      </c>
      <c r="H26" s="175"/>
      <c r="I26" s="182">
        <f>I25*(1+INDEX('Table D - Integration'!$G:$G,MATCH($B26,'Table D - Integration'!$B:$B,0),1))</f>
        <v>1.5202538832721093</v>
      </c>
      <c r="J26"/>
      <c r="K26"/>
      <c r="L26"/>
      <c r="M26"/>
      <c r="N26"/>
      <c r="O26"/>
    </row>
    <row r="27" spans="2:15" s="138" customFormat="1">
      <c r="B27" s="56">
        <f t="shared" si="0"/>
        <v>2041</v>
      </c>
      <c r="C27" s="197">
        <f>IF(D27=0,INDEX('Exhibit 1 - Market Capacity'!$I:$I,MATCH($B27,'Exhibit 1 - Market Capacity'!$B:$B,0),1),0)</f>
        <v>0</v>
      </c>
      <c r="D27" s="197">
        <f>IF('Scenario Comparison'!$K$9=TRUE,INDEX('Redacted Ex2 - Planned Cap'!F:F,MATCH($B27,'Redacted Ex2 - Planned Cap'!B:B,0),1),IF('Scenario Comparison'!$K$10,INDEX('Redacted Exh2A PlanCap ITC'!F:F,MATCH($B27,'Redacted Exh2A PlanCap ITC'!B:B,0),1),IF('Scenario Comparison'!$K$11,INDEX('Redacted Exh2B PlanCap ITC-RFP'!F:F,MATCH($B27,'Redacted Exh2B PlanCap ITC-RFP'!B:B,0),1),"ERROR")))</f>
        <v>228782.70061728396</v>
      </c>
      <c r="E27" s="197">
        <f t="shared" si="1"/>
        <v>228782.70061728396</v>
      </c>
      <c r="F27" s="197">
        <f t="shared" si="2"/>
        <v>204918.30671333661</v>
      </c>
      <c r="H27" s="175"/>
      <c r="I27" s="182">
        <f>I26*(1+INDEX('Table D - Integration'!$G:$G,MATCH($B27,'Table D - Integration'!$B:$B,0),1))</f>
        <v>1.5581780054539862</v>
      </c>
      <c r="J27"/>
      <c r="K27"/>
      <c r="L27"/>
      <c r="M27"/>
      <c r="N27"/>
      <c r="O27"/>
    </row>
    <row r="28" spans="2:15" s="138" customFormat="1">
      <c r="B28" s="56">
        <f t="shared" si="0"/>
        <v>2042</v>
      </c>
      <c r="C28" s="197">
        <f>IF(D28=0,INDEX('Exhibit 1 - Market Capacity'!$I:$I,MATCH($B28,'Exhibit 1 - Market Capacity'!$B:$B,0),1),0)</f>
        <v>0</v>
      </c>
      <c r="D28" s="197">
        <f>IF('Scenario Comparison'!$K$9=TRUE,INDEX('Redacted Ex2 - Planned Cap'!F:F,MATCH($B28,'Redacted Ex2 - Planned Cap'!B:B,0),1),IF('Scenario Comparison'!$K$10,INDEX('Redacted Exh2A PlanCap ITC'!F:F,MATCH($B28,'Redacted Exh2A PlanCap ITC'!B:B,0),1),IF('Scenario Comparison'!$K$11,INDEX('Redacted Exh2B PlanCap ITC-RFP'!F:F,MATCH($B28,'Redacted Exh2B PlanCap ITC-RFP'!B:B,0),1),"ERROR")))</f>
        <v>234489.89197530865</v>
      </c>
      <c r="E28" s="197">
        <f>SUM(C28:D28)</f>
        <v>234489.89197530865</v>
      </c>
      <c r="F28" s="197">
        <f t="shared" si="2"/>
        <v>210030.18110919296</v>
      </c>
      <c r="H28" s="175"/>
      <c r="I28" s="182">
        <f>I27*(1+INDEX('Table D - Integration'!$G:$G,MATCH($B28,'Table D - Integration'!$B:$B,0),1))</f>
        <v>1.5970481795151521</v>
      </c>
      <c r="J28"/>
      <c r="K28"/>
      <c r="L28"/>
      <c r="M28"/>
      <c r="N28"/>
      <c r="O28"/>
    </row>
    <row r="29" spans="2:15" s="138" customFormat="1">
      <c r="B29" s="56"/>
      <c r="C29" s="87"/>
      <c r="D29" s="79"/>
      <c r="E29" s="79"/>
      <c r="F29" s="143"/>
      <c r="G29" s="175"/>
      <c r="H29" s="175"/>
      <c r="I29" s="182"/>
      <c r="J29"/>
      <c r="K29"/>
      <c r="L29"/>
    </row>
    <row r="30" spans="2:15" s="138" customFormat="1" ht="12.75">
      <c r="B30" s="31"/>
      <c r="C30" s="31"/>
      <c r="D30" s="31"/>
      <c r="E30" s="31"/>
      <c r="F30" s="31"/>
      <c r="G30" s="31"/>
      <c r="H30" s="31"/>
      <c r="J30"/>
      <c r="K30"/>
      <c r="L30"/>
    </row>
    <row r="31" spans="2:15" s="138" customFormat="1" ht="14.25">
      <c r="B31" s="81" t="s">
        <v>13</v>
      </c>
      <c r="C31" s="82"/>
      <c r="D31" s="82"/>
      <c r="E31" s="82"/>
      <c r="F31" s="82"/>
      <c r="G31" s="82"/>
      <c r="H31" s="82"/>
      <c r="J31"/>
      <c r="K31"/>
      <c r="L31"/>
    </row>
    <row r="32" spans="2:15" s="138" customFormat="1" ht="12.75">
      <c r="B32" s="31"/>
      <c r="C32" s="31"/>
      <c r="D32" s="31"/>
      <c r="E32" s="31"/>
      <c r="F32" s="31"/>
      <c r="G32" s="31"/>
      <c r="H32" s="31"/>
      <c r="J32"/>
      <c r="K32"/>
      <c r="L32"/>
    </row>
    <row r="33" spans="2:19" s="138" customFormat="1" ht="13.5" thickBot="1">
      <c r="B33" s="31"/>
      <c r="C33" s="31"/>
      <c r="D33" s="31"/>
      <c r="E33" s="31"/>
      <c r="F33" s="31"/>
      <c r="G33" s="31"/>
      <c r="H33" s="31"/>
      <c r="J33"/>
      <c r="K33"/>
      <c r="L33"/>
    </row>
    <row r="34" spans="2:19" s="138" customFormat="1" ht="13.5" thickBot="1">
      <c r="B34" s="31"/>
      <c r="C34" s="85"/>
      <c r="D34" s="86" t="s">
        <v>60</v>
      </c>
      <c r="E34" s="86"/>
      <c r="F34" s="86"/>
      <c r="G34" s="86"/>
      <c r="H34" s="180"/>
      <c r="J34"/>
      <c r="K34"/>
      <c r="L34"/>
    </row>
    <row r="35" spans="2:19" s="138" customFormat="1" ht="12.75">
      <c r="B35" s="31"/>
      <c r="C35" s="179">
        <v>6.9099999999999995E-2</v>
      </c>
      <c r="D35" s="141" t="s">
        <v>130</v>
      </c>
      <c r="E35" s="31"/>
      <c r="F35" s="31"/>
      <c r="G35" s="31"/>
      <c r="H35" s="31"/>
      <c r="J35"/>
      <c r="K35"/>
      <c r="L35"/>
    </row>
    <row r="36" spans="2:19" s="138" customFormat="1">
      <c r="B36" s="32"/>
      <c r="C36" s="32"/>
      <c r="D36" s="32"/>
      <c r="E36" s="32"/>
      <c r="F36" s="32"/>
      <c r="G36" s="32"/>
      <c r="H36" s="32"/>
      <c r="I36" s="178"/>
      <c r="J36"/>
      <c r="K36"/>
      <c r="L36"/>
    </row>
    <row r="37" spans="2:19" s="138" customFormat="1">
      <c r="C37"/>
      <c r="D37"/>
      <c r="E37"/>
      <c r="F37"/>
      <c r="G37"/>
      <c r="H37"/>
      <c r="I37" s="178"/>
      <c r="J37"/>
      <c r="K37"/>
      <c r="L37"/>
      <c r="M37" s="176"/>
    </row>
    <row r="38" spans="2:19" s="138" customFormat="1">
      <c r="C38"/>
      <c r="D38"/>
      <c r="E38"/>
      <c r="F38"/>
      <c r="G38"/>
      <c r="H38"/>
      <c r="I38" s="178"/>
      <c r="J38"/>
      <c r="K38"/>
      <c r="L38"/>
      <c r="M38" s="176"/>
    </row>
    <row r="39" spans="2:19" s="138" customFormat="1">
      <c r="C39"/>
      <c r="D39"/>
      <c r="E39"/>
      <c r="F39"/>
      <c r="G39"/>
      <c r="H39"/>
      <c r="I39" s="177"/>
      <c r="J39"/>
      <c r="K39"/>
      <c r="L39"/>
      <c r="M39" s="176"/>
    </row>
    <row r="40" spans="2:19" s="138" customFormat="1">
      <c r="C40"/>
      <c r="D40"/>
      <c r="E40"/>
      <c r="F40"/>
      <c r="G40"/>
      <c r="H40"/>
      <c r="I40" s="177"/>
      <c r="J40"/>
      <c r="K40"/>
      <c r="L40"/>
      <c r="M40" s="176"/>
    </row>
    <row r="41" spans="2:19" s="138" customFormat="1">
      <c r="C41"/>
      <c r="D41"/>
      <c r="E41"/>
      <c r="F41"/>
      <c r="G41"/>
      <c r="H41"/>
      <c r="I41" s="177"/>
      <c r="J41"/>
      <c r="K41"/>
      <c r="L41"/>
      <c r="M41" s="176"/>
    </row>
    <row r="42" spans="2:19" s="138" customFormat="1" ht="12.75">
      <c r="C42"/>
      <c r="D42"/>
      <c r="E42"/>
      <c r="F42"/>
      <c r="G42"/>
      <c r="H42"/>
      <c r="J42"/>
      <c r="K42"/>
      <c r="L42"/>
      <c r="M42" s="176"/>
    </row>
    <row r="43" spans="2:19" s="138" customFormat="1">
      <c r="C43"/>
      <c r="D43"/>
      <c r="E43"/>
      <c r="F43"/>
      <c r="G43"/>
      <c r="H43"/>
      <c r="I43" s="175"/>
      <c r="J43"/>
      <c r="K43"/>
      <c r="L43"/>
      <c r="M43" s="176"/>
      <c r="N43" s="139"/>
      <c r="O43" s="139"/>
      <c r="P43" s="139"/>
      <c r="Q43" s="139"/>
      <c r="R43" s="139"/>
      <c r="S43" s="139"/>
    </row>
    <row r="44" spans="2:19" s="139" customFormat="1">
      <c r="C44"/>
      <c r="D44"/>
      <c r="E44"/>
      <c r="F44"/>
      <c r="G44"/>
      <c r="H44"/>
      <c r="I44" s="175"/>
      <c r="J44"/>
      <c r="K44"/>
      <c r="L44"/>
      <c r="M44" s="176"/>
    </row>
    <row r="45" spans="2:19" s="139" customFormat="1">
      <c r="C45"/>
      <c r="D45"/>
      <c r="E45"/>
      <c r="F45"/>
      <c r="G45"/>
      <c r="H45"/>
      <c r="I45" s="175"/>
      <c r="J45"/>
      <c r="K45"/>
      <c r="L45"/>
      <c r="M45" s="176"/>
    </row>
    <row r="46" spans="2:19" s="139" customFormat="1">
      <c r="C46"/>
      <c r="D46"/>
      <c r="E46"/>
      <c r="F46"/>
      <c r="G46"/>
      <c r="H46"/>
      <c r="I46" s="175"/>
      <c r="J46"/>
      <c r="K46"/>
      <c r="L46"/>
      <c r="M46" s="138"/>
      <c r="N46" s="138"/>
      <c r="O46" s="138"/>
      <c r="P46" s="138"/>
      <c r="Q46" s="138"/>
      <c r="R46" s="138"/>
      <c r="S46" s="138"/>
    </row>
    <row r="47" spans="2:19" s="138" customFormat="1">
      <c r="J47"/>
      <c r="K47"/>
      <c r="L47"/>
      <c r="M47" s="175"/>
      <c r="N47" s="175"/>
      <c r="O47" s="175"/>
      <c r="P47" s="175"/>
      <c r="Q47" s="175"/>
      <c r="R47" s="175"/>
      <c r="S47" s="175"/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9A33147C667042B7C6088D9C053C94" ma:contentTypeVersion="28" ma:contentTypeDescription="" ma:contentTypeScope="" ma:versionID="4b59de5428e4b0c9e92a9a02cf9681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2022-11-01T07:00:00+00:00</OpenedDate>
    <SignificantOrder xmlns="dc463f71-b30c-4ab2-9473-d307f9d35888">false</SignificantOrder>
    <Date1 xmlns="dc463f71-b30c-4ab2-9473-d307f9d35888">2022-11-01T07:00:00+00:00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220804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8F142B-4BBB-45B3-9EBF-13A9098F54F8}"/>
</file>

<file path=customXml/itemProps2.xml><?xml version="1.0" encoding="utf-8"?>
<ds:datastoreItem xmlns:ds="http://schemas.openxmlformats.org/officeDocument/2006/customXml" ds:itemID="{FAF3924E-E038-4EED-9D31-DB47F4058D45}"/>
</file>

<file path=customXml/itemProps3.xml><?xml version="1.0" encoding="utf-8"?>
<ds:datastoreItem xmlns:ds="http://schemas.openxmlformats.org/officeDocument/2006/customXml" ds:itemID="{CD217F10-66C9-45AB-8D65-A9B9AA88E9EB}"/>
</file>

<file path=customXml/itemProps4.xml><?xml version="1.0" encoding="utf-8"?>
<ds:datastoreItem xmlns:ds="http://schemas.openxmlformats.org/officeDocument/2006/customXml" ds:itemID="{0BC6B42E-BB73-452E-B436-4C899959F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Table A - Combined</vt:lpstr>
      <vt:lpstr>Table B - Energy</vt:lpstr>
      <vt:lpstr>Table C - Capacity</vt:lpstr>
      <vt:lpstr>Table D - Integration</vt:lpstr>
      <vt:lpstr>Exhibit 1 - Market Capacity</vt:lpstr>
      <vt:lpstr>Redacted Ex2 - Planned Cap</vt:lpstr>
      <vt:lpstr>Redacted Exh2A PlanCap ITC</vt:lpstr>
      <vt:lpstr>Redacted Exh2B PlanCap ITC-RFP</vt:lpstr>
      <vt:lpstr>Exhibit 3 - Levelized Capacity</vt:lpstr>
      <vt:lpstr>Exhibit 4 - Comparison</vt:lpstr>
      <vt:lpstr>XX Support Pages - Do Not Print</vt:lpstr>
      <vt:lpstr>Scenario Comparison</vt:lpstr>
      <vt:lpstr>Profiles</vt:lpstr>
      <vt:lpstr>Portfolio</vt:lpstr>
      <vt:lpstr>Chart2</vt:lpstr>
      <vt:lpstr>DiscountRate</vt:lpstr>
      <vt:lpstr>'Exhibit 1 - Market Capacity'!Print_Area</vt:lpstr>
      <vt:lpstr>'Exhibit 3 - Levelized Capacity'!Print_Area</vt:lpstr>
      <vt:lpstr>'Exhibit 4 - Comparison'!Print_Area</vt:lpstr>
      <vt:lpstr>Portfolio!Print_Area</vt:lpstr>
      <vt:lpstr>'Redacted Ex2 - Planned Cap'!Print_Area</vt:lpstr>
      <vt:lpstr>'Redacted Exh2A PlanCap ITC'!Print_Area</vt:lpstr>
      <vt:lpstr>'Redacted Exh2B PlanCap ITC-RFP'!Print_Area</vt:lpstr>
      <vt:lpstr>'Table A - Combined'!Print_Area</vt:lpstr>
      <vt:lpstr>'Table B - Energy'!Print_Area</vt:lpstr>
      <vt:lpstr>'Table C - Capacity'!Print_Area</vt:lpstr>
      <vt:lpstr>'Table D - Integration'!Print_Area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2017-04-26T17:13:09Z</dcterms:created>
  <dcterms:modified xsi:type="dcterms:W3CDTF">2022-10-14T00:12:34Z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0x0101006E56B4D1795A2E4DB2F0B01679ED314A001F9A33147C667042B7C6088D9C053C94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