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5.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4.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3.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2.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4.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GrpRevnu\PUBLIC\# Commission Basis Report\Dec_31_21\To File 2021 WP\"/>
    </mc:Choice>
  </mc:AlternateContent>
  <bookViews>
    <workbookView xWindow="795" yWindow="2715" windowWidth="16335" windowHeight="4320" tabRatio="883" firstSheet="1" activeTab="1"/>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Rate'!$A$1:$G$29</definedName>
    <definedName name="_xlnm.Print_Area" localSheetId="4">'Pg 4 STD OS &amp; Comm Fees'!$A$1:$K$36</definedName>
    <definedName name="_xlnm.Print_Area" localSheetId="5">'Pg 5 STD Amort'!$A$1:$G$35</definedName>
    <definedName name="_xlnm.Print_Area" localSheetId="6">'Pg 6 LTD Cost '!$A$1:$V$36</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X25" i="7" l="1"/>
  <c r="X27" i="7" l="1"/>
  <c r="C14" i="83" l="1"/>
  <c r="J31" i="21" l="1"/>
  <c r="O40" i="1" l="1"/>
  <c r="N40" i="1"/>
  <c r="M40" i="1" l="1"/>
  <c r="K42" i="1"/>
  <c r="J42" i="1"/>
  <c r="I42" i="1"/>
  <c r="H42" i="1"/>
  <c r="G42" i="1"/>
  <c r="F42" i="1"/>
  <c r="D42" i="1"/>
  <c r="C42" i="1"/>
  <c r="L40" i="1"/>
  <c r="K40" i="1"/>
  <c r="J40" i="1"/>
  <c r="I40" i="1"/>
  <c r="H40" i="1"/>
  <c r="G40" i="1"/>
  <c r="F40" i="1"/>
  <c r="E40" i="1"/>
  <c r="D40" i="1"/>
  <c r="C40" i="1"/>
  <c r="A31" i="29" l="1"/>
  <c r="A32" i="29"/>
  <c r="A33" i="29" s="1"/>
  <c r="A34" i="29" s="1"/>
  <c r="A36" i="29"/>
  <c r="A37" i="29" s="1"/>
  <c r="A38" i="29" s="1"/>
  <c r="A39" i="29" s="1"/>
  <c r="A41" i="29"/>
  <c r="H24" i="7"/>
  <c r="X24" i="7" s="1"/>
  <c r="F24" i="7"/>
  <c r="I24" i="7" s="1"/>
  <c r="I29" i="7" s="1"/>
  <c r="E16" i="2" l="1"/>
  <c r="C16" i="2"/>
  <c r="E13" i="2"/>
  <c r="C13" i="2"/>
  <c r="E16" i="71" l="1"/>
  <c r="E15" i="71"/>
  <c r="F23" i="7" l="1"/>
  <c r="E23" i="71" l="1"/>
  <c r="E22" i="71"/>
  <c r="E21" i="71"/>
  <c r="E20" i="71"/>
  <c r="E19" i="71"/>
  <c r="E18" i="71"/>
  <c r="E17" i="71"/>
  <c r="Q9" i="1" l="1"/>
  <c r="O43" i="1"/>
  <c r="M43" i="1"/>
  <c r="E26" i="71"/>
  <c r="E25" i="71"/>
  <c r="E24" i="71"/>
  <c r="E27" i="71" s="1"/>
  <c r="E31" i="71" s="1"/>
  <c r="I24" i="29"/>
  <c r="D27" i="71"/>
  <c r="D31" i="71" s="1"/>
  <c r="F27" i="71"/>
  <c r="F31" i="71" s="1"/>
  <c r="C27" i="71"/>
  <c r="C31" i="71" s="1"/>
  <c r="C14" i="2"/>
  <c r="Q12" i="1"/>
  <c r="H23" i="7"/>
  <c r="X23" i="7" s="1"/>
  <c r="Q36" i="1"/>
  <c r="Q34" i="1"/>
  <c r="E38" i="1"/>
  <c r="D38" i="1"/>
  <c r="C38" i="1"/>
  <c r="F22" i="7"/>
  <c r="F6" i="7"/>
  <c r="Q7" i="1"/>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7" i="7"/>
  <c r="U27" i="7"/>
  <c r="T27" i="7"/>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2" i="21" s="1"/>
  <c r="F15" i="21" s="1"/>
  <c r="E12" i="21"/>
  <c r="E12" i="77" s="1"/>
  <c r="E11" i="21"/>
  <c r="E11" i="77" s="1"/>
  <c r="G11" i="77" s="1"/>
  <c r="F7" i="7"/>
  <c r="F8" i="7"/>
  <c r="F9" i="7"/>
  <c r="F10" i="7"/>
  <c r="F11" i="7"/>
  <c r="F12" i="7"/>
  <c r="F13" i="7"/>
  <c r="F14" i="7"/>
  <c r="F27" i="7" s="1"/>
  <c r="F29" i="7" s="1"/>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F44" i="1" s="1"/>
  <c r="F46" i="1" s="1"/>
  <c r="G16" i="1"/>
  <c r="E43" i="1"/>
  <c r="A9" i="83"/>
  <c r="A10" i="83"/>
  <c r="A11" i="83" s="1"/>
  <c r="A12" i="83" s="1"/>
  <c r="A13" i="83" s="1"/>
  <c r="A14" i="83" s="1"/>
  <c r="A15" i="83" s="1"/>
  <c r="A16" i="83" s="1"/>
  <c r="A17" i="83" s="1"/>
  <c r="S5" i="7"/>
  <c r="R5" i="7"/>
  <c r="Q5" i="7"/>
  <c r="P5" i="7"/>
  <c r="O5" i="7"/>
  <c r="N5" i="7"/>
  <c r="M5" i="7"/>
  <c r="L5" i="7"/>
  <c r="K5" i="7"/>
  <c r="J5" i="7"/>
  <c r="K38" i="1"/>
  <c r="J38" i="1"/>
  <c r="J44" i="1" s="1"/>
  <c r="J46" i="1" s="1"/>
  <c r="H38" i="1"/>
  <c r="G38" i="1"/>
  <c r="F38" i="1"/>
  <c r="K10" i="1"/>
  <c r="J10" i="1"/>
  <c r="J22" i="1" s="1"/>
  <c r="J27" i="1" s="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I16" i="82" s="1"/>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I23" i="80" s="1"/>
  <c r="F22" i="80"/>
  <c r="F21" i="80"/>
  <c r="I21" i="80" s="1"/>
  <c r="F20" i="80"/>
  <c r="F19" i="80"/>
  <c r="F18" i="80"/>
  <c r="F17" i="80"/>
  <c r="F16" i="80"/>
  <c r="F15" i="80"/>
  <c r="F14" i="80"/>
  <c r="F13" i="80"/>
  <c r="F30" i="80" s="1"/>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1" i="21"/>
  <c r="A22" i="21" s="1"/>
  <c r="A23" i="21" s="1"/>
  <c r="A24" i="21" s="1"/>
  <c r="A25" i="21" s="1"/>
  <c r="E13" i="77"/>
  <c r="G13" i="77"/>
  <c r="S42" i="79"/>
  <c r="S43" i="79"/>
  <c r="S41" i="79"/>
  <c r="C8" i="73"/>
  <c r="D7" i="73"/>
  <c r="G13" i="73"/>
  <c r="H11" i="7"/>
  <c r="X11" i="7" s="1"/>
  <c r="H10" i="7"/>
  <c r="I10" i="7" s="1"/>
  <c r="D21" i="29"/>
  <c r="C15" i="2"/>
  <c r="C24" i="73"/>
  <c r="D24" i="73" s="1"/>
  <c r="D23" i="73"/>
  <c r="G29" i="73"/>
  <c r="G57" i="73"/>
  <c r="F53" i="73" s="1"/>
  <c r="G55" i="73" s="1"/>
  <c r="G56" i="73" s="1"/>
  <c r="G60" i="73" s="1"/>
  <c r="G63" i="73" s="1"/>
  <c r="F54" i="73"/>
  <c r="D55" i="73"/>
  <c r="G61" i="73" s="1"/>
  <c r="D56" i="73"/>
  <c r="G62" i="73"/>
  <c r="D54" i="73"/>
  <c r="D53" i="73"/>
  <c r="D57" i="73" s="1"/>
  <c r="B57" i="73"/>
  <c r="H20" i="7"/>
  <c r="H19" i="7"/>
  <c r="X19" i="7" s="1"/>
  <c r="H18" i="7"/>
  <c r="X18" i="7" s="1"/>
  <c r="B3" i="78"/>
  <c r="C11" i="77"/>
  <c r="C13" i="76" s="1"/>
  <c r="C13" i="77"/>
  <c r="G24" i="77" s="1"/>
  <c r="E14" i="77"/>
  <c r="G14" i="77" s="1"/>
  <c r="D14" i="77" s="1"/>
  <c r="E16" i="76" s="1"/>
  <c r="D16" i="76" s="1"/>
  <c r="C14" i="77"/>
  <c r="C16" i="76"/>
  <c r="H29" i="77"/>
  <c r="J29" i="77"/>
  <c r="H28" i="77"/>
  <c r="J28" i="77" s="1"/>
  <c r="B3" i="77"/>
  <c r="E23" i="77"/>
  <c r="E24" i="77"/>
  <c r="J24" i="77" s="1"/>
  <c r="H14" i="77" s="1"/>
  <c r="B5" i="76"/>
  <c r="B5" i="75"/>
  <c r="E19" i="75"/>
  <c r="I25" i="29"/>
  <c r="H17" i="7"/>
  <c r="X17" i="7" s="1"/>
  <c r="H16" i="7"/>
  <c r="X16" i="7" s="1"/>
  <c r="H6" i="7"/>
  <c r="I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D129" i="73" s="1"/>
  <c r="D132" i="73" s="1"/>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27" i="7"/>
  <c r="C14" i="81" s="1"/>
  <c r="X28"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c r="A18" i="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D21" i="73"/>
  <c r="G25" i="73"/>
  <c r="F22" i="73" s="1"/>
  <c r="F21" i="73"/>
  <c r="B25" i="73"/>
  <c r="D22" i="73"/>
  <c r="E14" i="2"/>
  <c r="D14" i="2" s="1"/>
  <c r="D16" i="21"/>
  <c r="C12" i="77"/>
  <c r="C14" i="76"/>
  <c r="C16" i="21"/>
  <c r="I7" i="80"/>
  <c r="I14" i="80"/>
  <c r="I15" i="80"/>
  <c r="I27" i="80"/>
  <c r="I24" i="82"/>
  <c r="Y19" i="82"/>
  <c r="E17" i="75"/>
  <c r="F17" i="75" s="1"/>
  <c r="C6" i="73"/>
  <c r="D43" i="1"/>
  <c r="I26" i="80"/>
  <c r="X19" i="80"/>
  <c r="D108" i="73"/>
  <c r="G114" i="73" s="1"/>
  <c r="D13" i="2"/>
  <c r="C17" i="2"/>
  <c r="F31" i="7" s="1"/>
  <c r="I9" i="80"/>
  <c r="I17" i="80"/>
  <c r="I23" i="82"/>
  <c r="I18" i="7"/>
  <c r="I8" i="7"/>
  <c r="G132" i="73"/>
  <c r="I19" i="7"/>
  <c r="X10" i="80"/>
  <c r="I20" i="80"/>
  <c r="I27" i="82"/>
  <c r="I19" i="82"/>
  <c r="Y22" i="82"/>
  <c r="F13" i="77"/>
  <c r="Y14" i="82"/>
  <c r="Y16" i="82"/>
  <c r="Y26" i="82"/>
  <c r="B127" i="73"/>
  <c r="I10" i="82"/>
  <c r="C15" i="75"/>
  <c r="C21" i="75" s="1"/>
  <c r="X22" i="80"/>
  <c r="I15" i="82"/>
  <c r="Y15" i="82"/>
  <c r="C43" i="1"/>
  <c r="C44" i="1" s="1"/>
  <c r="C46" i="1" s="1"/>
  <c r="C17" i="75"/>
  <c r="C19" i="75"/>
  <c r="D17" i="75"/>
  <c r="B6" i="73"/>
  <c r="D15" i="75"/>
  <c r="D21" i="75" s="1"/>
  <c r="B5" i="73"/>
  <c r="B9" i="73" s="1"/>
  <c r="B8" i="73"/>
  <c r="D19" i="75"/>
  <c r="C5" i="73"/>
  <c r="J30" i="77" l="1"/>
  <c r="H15" i="77"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H13" i="77" s="1"/>
  <c r="H16" i="77" s="1"/>
  <c r="E19" i="76" s="1"/>
  <c r="I32" i="29"/>
  <c r="I7" i="7"/>
  <c r="I12" i="82"/>
  <c r="E17" i="2"/>
  <c r="I31" i="7" s="1"/>
  <c r="H31" i="7" s="1"/>
  <c r="E14" i="83" s="1"/>
  <c r="D6" i="73"/>
  <c r="D11" i="73" s="1"/>
  <c r="D14" i="73" s="1"/>
  <c r="D25" i="73"/>
  <c r="D75" i="73"/>
  <c r="D78" i="73" s="1"/>
  <c r="F19" i="75"/>
  <c r="C15" i="76"/>
  <c r="I21" i="82"/>
  <c r="D91" i="73"/>
  <c r="D13" i="77"/>
  <c r="E15" i="76" s="1"/>
  <c r="D15" i="76" s="1"/>
  <c r="D8" i="73"/>
  <c r="G14" i="73" s="1"/>
  <c r="I13" i="82"/>
  <c r="X8" i="80"/>
  <c r="L22" i="1"/>
  <c r="L28" i="1" s="1"/>
  <c r="I9" i="82"/>
  <c r="J25" i="77"/>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I26" i="7"/>
  <c r="X26" i="7" s="1"/>
  <c r="I29" i="80"/>
  <c r="X29" i="80"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J27" i="21"/>
  <c r="J28" i="21" s="1"/>
  <c r="M22" i="1"/>
  <c r="M28" i="1" s="1"/>
  <c r="D11" i="77"/>
  <c r="E13" i="76" s="1"/>
  <c r="N22" i="1"/>
  <c r="N25" i="1" s="1"/>
  <c r="I23" i="7"/>
  <c r="C19" i="81"/>
  <c r="G27" i="71"/>
  <c r="E21" i="2" s="1"/>
  <c r="E16" i="21"/>
  <c r="C16" i="77"/>
  <c r="F33" i="7"/>
  <c r="C23" i="2"/>
  <c r="O44" i="1"/>
  <c r="O46" i="1" s="1"/>
  <c r="O22" i="1"/>
  <c r="O28" i="1" s="1"/>
  <c r="Q10" i="1"/>
  <c r="M44" i="1"/>
  <c r="M46" i="1" s="1"/>
  <c r="Q38" i="1"/>
  <c r="G44" i="1"/>
  <c r="G46" i="1" s="1"/>
  <c r="D22" i="1"/>
  <c r="D25" i="1" s="1"/>
  <c r="H22" i="1"/>
  <c r="H27" i="1" s="1"/>
  <c r="G22" i="1"/>
  <c r="G24" i="1" s="1"/>
  <c r="L44" i="1"/>
  <c r="L46" i="1" s="1"/>
  <c r="C25" i="72"/>
  <c r="C22" i="1"/>
  <c r="C28" i="1" s="1"/>
  <c r="F22" i="1"/>
  <c r="E22" i="1"/>
  <c r="E24" i="1" s="1"/>
  <c r="Q20" i="1"/>
  <c r="C28" i="83" s="1"/>
  <c r="L24" i="1"/>
  <c r="I22" i="1"/>
  <c r="I28" i="1" s="1"/>
  <c r="J24" i="1"/>
  <c r="K27" i="1"/>
  <c r="L27" i="1"/>
  <c r="J28" i="1"/>
  <c r="J25" i="1"/>
  <c r="E37" i="82" l="1"/>
  <c r="C16" i="83"/>
  <c r="C26" i="83" s="1"/>
  <c r="C30" i="83" s="1"/>
  <c r="D16" i="83" s="1"/>
  <c r="D17" i="2"/>
  <c r="L25" i="1"/>
  <c r="L26" i="1" s="1"/>
  <c r="L30" i="1" s="1"/>
  <c r="E14" i="72"/>
  <c r="E19" i="72" s="1"/>
  <c r="F19" i="72" s="1"/>
  <c r="G125" i="73"/>
  <c r="G126" i="73" s="1"/>
  <c r="G130" i="73" s="1"/>
  <c r="G133" i="73" s="1"/>
  <c r="K28" i="1"/>
  <c r="G12" i="77"/>
  <c r="D12" i="77" s="1"/>
  <c r="E14" i="76" s="1"/>
  <c r="D14" i="76" s="1"/>
  <c r="I30" i="82"/>
  <c r="H30" i="82" s="1"/>
  <c r="K24" i="1"/>
  <c r="K26" i="1" s="1"/>
  <c r="X28" i="80"/>
  <c r="X30" i="80" s="1"/>
  <c r="Y30" i="80" s="1"/>
  <c r="Y28" i="82"/>
  <c r="Y30" i="82" s="1"/>
  <c r="Z30" i="82" s="1"/>
  <c r="I30" i="80"/>
  <c r="H30" i="80" s="1"/>
  <c r="G89" i="73"/>
  <c r="G90" i="73" s="1"/>
  <c r="G94" i="73" s="1"/>
  <c r="G97" i="73" s="1"/>
  <c r="E36" i="80"/>
  <c r="F14" i="21"/>
  <c r="F16" i="21" s="1"/>
  <c r="E19" i="2" s="1"/>
  <c r="E23" i="2" s="1"/>
  <c r="E12" i="72" s="1"/>
  <c r="M24" i="1"/>
  <c r="M27" i="1"/>
  <c r="M25" i="1"/>
  <c r="H25" i="1"/>
  <c r="N27" i="1"/>
  <c r="N28" i="1"/>
  <c r="N24" i="1"/>
  <c r="N26" i="1" s="1"/>
  <c r="G25" i="1"/>
  <c r="G26" i="1" s="1"/>
  <c r="D24" i="1"/>
  <c r="D26" i="1" s="1"/>
  <c r="O25" i="1"/>
  <c r="D28" i="1"/>
  <c r="D27" i="1"/>
  <c r="I27" i="7"/>
  <c r="H27" i="7" s="1"/>
  <c r="D13" i="76"/>
  <c r="F17" i="2"/>
  <c r="C12" i="72"/>
  <c r="F21" i="2"/>
  <c r="C12" i="81"/>
  <c r="O27" i="1"/>
  <c r="O24" i="1"/>
  <c r="H24" i="1"/>
  <c r="H28" i="1"/>
  <c r="Q22" i="1"/>
  <c r="Q25" i="1" s="1"/>
  <c r="I27" i="1"/>
  <c r="C27" i="1"/>
  <c r="C41" i="72"/>
  <c r="C42" i="72" s="1"/>
  <c r="G28" i="1"/>
  <c r="G27" i="1"/>
  <c r="C25" i="1"/>
  <c r="E25" i="1"/>
  <c r="E26" i="1" s="1"/>
  <c r="C24" i="1"/>
  <c r="I25" i="1"/>
  <c r="E27" i="1"/>
  <c r="F25" i="1"/>
  <c r="F27" i="1"/>
  <c r="E28" i="1"/>
  <c r="I24" i="1"/>
  <c r="F28" i="1"/>
  <c r="F24" i="1"/>
  <c r="J26" i="1"/>
  <c r="J30" i="1" s="1"/>
  <c r="Y27" i="7" l="1"/>
  <c r="F14" i="72"/>
  <c r="E21" i="72"/>
  <c r="E14" i="81"/>
  <c r="E19" i="81" s="1"/>
  <c r="F19" i="81" s="1"/>
  <c r="K30" i="1"/>
  <c r="D16" i="77"/>
  <c r="G16" i="77" s="1"/>
  <c r="E17" i="76"/>
  <c r="E23" i="76" s="1"/>
  <c r="F23" i="76" s="1"/>
  <c r="E15" i="75" s="1"/>
  <c r="F15" i="75" s="1"/>
  <c r="F21" i="75" s="1"/>
  <c r="M26" i="1"/>
  <c r="M30" i="1" s="1"/>
  <c r="F19" i="2"/>
  <c r="H26" i="1"/>
  <c r="H30" i="1" s="1"/>
  <c r="F23" i="2"/>
  <c r="E12" i="81"/>
  <c r="O26" i="1"/>
  <c r="O30" i="1" s="1"/>
  <c r="N30" i="1"/>
  <c r="D30" i="1"/>
  <c r="I33" i="7"/>
  <c r="H33" i="7" s="1"/>
  <c r="E18" i="83" s="1"/>
  <c r="H29" i="7"/>
  <c r="E16" i="83" s="1"/>
  <c r="F16" i="83" s="1"/>
  <c r="C21" i="72"/>
  <c r="F12" i="72"/>
  <c r="C21" i="81"/>
  <c r="Q24" i="1"/>
  <c r="Q26" i="1" s="1"/>
  <c r="D28" i="83"/>
  <c r="F28" i="83" s="1"/>
  <c r="I34" i="29"/>
  <c r="I36" i="29" s="1"/>
  <c r="F24" i="83" s="1"/>
  <c r="Q28" i="1"/>
  <c r="Q27" i="1"/>
  <c r="I26" i="1"/>
  <c r="I30" i="1" s="1"/>
  <c r="G33" i="71"/>
  <c r="G35" i="71" s="1"/>
  <c r="F22" i="83" s="1"/>
  <c r="D14" i="83"/>
  <c r="F14" i="83" s="1"/>
  <c r="D18" i="83"/>
  <c r="D26" i="83" s="1"/>
  <c r="F18" i="21"/>
  <c r="F20" i="21" s="1"/>
  <c r="F20" i="83" s="1"/>
  <c r="G30" i="1"/>
  <c r="E30" i="1"/>
  <c r="F26" i="1"/>
  <c r="F30" i="1" s="1"/>
  <c r="C26" i="1"/>
  <c r="C30" i="1" s="1"/>
  <c r="F14" i="81" l="1"/>
  <c r="E21" i="81"/>
  <c r="D17" i="76"/>
  <c r="F12" i="81"/>
  <c r="F18" i="83"/>
  <c r="F26" i="83" s="1"/>
  <c r="F30" i="83" s="1"/>
  <c r="F21" i="81"/>
  <c r="C27" i="81"/>
  <c r="D21" i="81" s="1"/>
  <c r="F21" i="72"/>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 r="Q40" i="1"/>
  <c r="N43" i="1"/>
  <c r="N44" i="1" s="1"/>
  <c r="N46" i="1" l="1"/>
  <c r="Q44" i="1"/>
  <c r="Q43" i="1"/>
</calcChain>
</file>

<file path=xl/comments1.xml><?xml version="1.0" encoding="utf-8"?>
<comments xmlns="http://schemas.openxmlformats.org/spreadsheetml/2006/main">
  <authors>
    <author>jsant</author>
  </authors>
  <commentList>
    <comment ref="C9" authorId="0" shapeId="0">
      <text>
        <r>
          <rPr>
            <sz val="8"/>
            <color indexed="81"/>
            <rFont val="Tahoma"/>
            <family val="2"/>
          </rPr>
          <t xml:space="preserve">Based on daily balances outstanding
</t>
        </r>
      </text>
    </comment>
    <comment ref="F9" authorId="0" shapeId="0">
      <text>
        <r>
          <rPr>
            <sz val="8"/>
            <color indexed="81"/>
            <rFont val="Tahoma"/>
            <family val="2"/>
          </rPr>
          <t>Includes Credit Facility and Letter of Credit Fees.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3.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4.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<sst xmlns="http://schemas.openxmlformats.org/spreadsheetml/2006/main" count="871" uniqueCount="315">
  <si>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</si>
  <si>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</si>
  <si>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</si>
  <si>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</si>
  <si>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</si>
  <si>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</si>
  <si>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</si>
  <si>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</si>
  <si>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</si>
  <si>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</si>
  <si>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</si>
  <si>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</si>
  <si>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</si>
  <si>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</si>
  <si>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</si>
  <si>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</si>
  <si>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</si>
  <si>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</si>
  <si>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</si>
  <si>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</si>
  <si>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</si>
  <si>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</si>
  <si>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</si>
  <si>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</si>
  <si>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</si>
  <si>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</si>
  <si>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</si>
  <si>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</si>
  <si>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</si>
  <si>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</si>
  <si>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</si>
  <si>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</si>
  <si>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</si>
  <si>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</si>
  <si>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</si>
  <si>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</si>
  <si>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</si>
  <si>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</si>
  <si>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</si>
  <si>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</si>
  <si>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</si>
  <si>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</si>
  <si>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</si>
  <si>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</si>
  <si>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</si>
  <si>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</si>
  <si>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</si>
  <si>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</si>
  <si>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</si>
  <si>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</si>
  <si>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</si>
  <si>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</si>
  <si>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</si>
  <si>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</si>
  <si>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</si>
  <si>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</si>
  <si>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</si>
  <si>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</si>
  <si>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</si>
  <si>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</si>
  <si>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</si>
  <si>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</si>
  <si>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</si>
  <si>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</si>
  <si>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</si>
  <si>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</si>
  <si>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</si>
  <si>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</si>
  <si>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</si>
  <si>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</si>
  <si>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</si>
  <si>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</si>
  <si>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</si>
  <si>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</si>
  <si>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</si>
  <si>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</si>
  <si>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</si>
  <si>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</si>
  <si>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</si>
  <si>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</si>
  <si>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</si>
  <si>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</si>
  <si>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</si>
  <si>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</si>
  <si>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</si>
  <si>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</si>
  <si>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</si>
  <si>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</si>
  <si>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</si>
  <si>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</si>
  <si>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</si>
  <si>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</si>
  <si>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</si>
  <si>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</si>
  <si>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</si>
  <si>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</si>
  <si>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</si>
  <si>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</si>
  <si>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</si>
  <si>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</si>
  <si>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</si>
  <si>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</si>
  <si>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</si>
  <si>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</si>
  <si>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</si>
  <si>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</si>
  <si>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</si>
  <si>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</si>
  <si>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</si>
  <si>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</si>
  <si>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</si>
  <si>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</si>
  <si>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</si>
  <si>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</si>
  <si>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</si>
  <si>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</si>
  <si>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</si>
  <si>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</si>
  <si>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</si>
  <si>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</si>
  <si>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</si>
  <si>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</si>
  <si>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</si>
  <si>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</si>
  <si>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</si>
  <si>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</si>
  <si>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</si>
  <si>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</si>
  <si>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</si>
  <si>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</si>
  <si>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</si>
  <si>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</si>
  <si>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</si>
  <si>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</si>
  <si>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</si>
  <si>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</si>
  <si>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</si>
  <si>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</si>
  <si>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</si>
  <si>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</si>
  <si>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</si>
  <si>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</si>
  <si>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</si>
  <si>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</si>
  <si>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</si>
  <si>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</si>
  <si>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</si>
  <si>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</si>
  <si>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</si>
  <si>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</si>
  <si>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</si>
  <si>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</si>
  <si>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</si>
  <si>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</si>
  <si>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</si>
  <si>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</si>
  <si>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</si>
  <si>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</si>
  <si>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</si>
  <si>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</si>
  <si>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</si>
  <si>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</si>
  <si>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</si>
  <si>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</si>
  <si>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</si>
  <si>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</si>
  <si>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</si>
  <si>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</si>
  <si>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</si>
  <si>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</si>
  <si>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</si>
  <si>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</si>
  <si>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</si>
  <si>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</si>
  <si>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</si>
  <si>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</si>
  <si>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</si>
  <si>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</si>
  <si>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</si>
  <si>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</si>
  <si>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</si>
  <si>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</si>
  <si>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</si>
  <si>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</si>
  <si>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</si>
  <si>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</si>
  <si>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</si>
  <si>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</si>
  <si>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</si>
  <si>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</si>
  <si>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</si>
  <si>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</si>
  <si>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</si>
  <si>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</si>
  <si>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</si>
  <si>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</si>
  <si>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</si>
  <si>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</si>
  <si>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</si>
  <si>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</si>
  <si>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</si>
  <si>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</si>
  <si>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</si>
  <si>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</si>
  <si>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</si>
  <si>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</si>
  <si>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</si>
  <si>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</si>
  <si>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</si>
  <si>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</si>
  <si>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</si>
  <si>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</si>
  <si>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</si>
  <si>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</si>
  <si>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</si>
  <si>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</si>
  <si>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</si>
  <si>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</si>
  <si>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</si>
  <si>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</si>
  <si>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</si>
  <si>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</si>
  <si>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</si>
  <si>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</si>
  <si>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</si>
  <si>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</si>
  <si>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</si>
  <si>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</si>
  <si>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</si>
  <si>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</si>
  <si>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</si>
  <si>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</si>
  <si>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</si>
  <si>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</si>
  <si>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</si>
  <si>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</si>
  <si>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</si>
  <si>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</si>
  <si>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</si>
  <si>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</si>
  <si>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</si>
  <si>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</si>
  <si>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</si>
  <si>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</si>
  <si>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</si>
  <si>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</si>
  <si>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</si>
  <si>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</si>
  <si>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</si>
  <si>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</si>
  <si>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</si>
  <si>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</si>
  <si>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</si>
  <si>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</si>
  <si>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</si>
  <si>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</si>
  <si>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</si>
  <si>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</si>
  <si>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</si>
  <si>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</si>
  <si>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</si>
  <si>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</si>
  <si>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</si>
  <si>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</si>
  <si>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</si>
  <si>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</si>
  <si>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</si>
  <si>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</si>
  <si>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</si>
  <si>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</si>
  <si>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</si>
  <si>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</si>
  <si>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</si>
  <si>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</si>
  <si>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</si>
  <si>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</si>
  <si>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</si>
  <si>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</si>
  <si>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</si>
  <si>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</si>
  <si>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</si>
  <si>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</si>
  <si>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</si>
  <si>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</si>
  <si>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</si>
  <si>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</si>
  <si>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</si>
  <si>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</si>
  <si>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</si>
  <si>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</si>
  <si>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</si>
  <si>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</si>
  <si>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</si>
  <si>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</si>
  <si>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</si>
  <si>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</si>
  <si>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</si>
  <si>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</si>
  <si>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</si>
  <si>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</si>
  <si>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</si>
  <si>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</si>
  <si>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</si>
  <si>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</si>
  <si>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</si>
  <si>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</si>
  <si>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</si>
  <si>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</si>
  <si>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</si>
  <si>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</si>
  <si>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</si>
  <si>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For The 12 Months Ending December 31, 2021</t>
  </si>
  <si>
    <t>December 31, 2020 Through December 31, 2021</t>
  </si>
  <si>
    <t>As of: 12/31/20</t>
  </si>
  <si>
    <t>Total Amortization for 12 months ended 12/31/21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</si>
</sst>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9" formatCode="_(* #,##0.000_);_(* \(#,##0.000\);_(* &quot;-&quot;??_);_(@_)"/>
    <numFmt numFmtId="190" formatCode="[$-409]mmm\-yy;@"/>
  </numFmts>
  <fonts count="83">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10"/>
      <color indexed="1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4">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7">
    <xf numFmtId="37" fontId="0" fillId="0" borderId="0" xfId="0"/>
    <xf numFmtId="0" fontId="5" fillId="0" borderId="0" xfId="88" applyFont="1"/>
    <xf numFmtId="0" fontId="5" fillId="0" borderId="0" xfId="88" applyFont="1" applyFill="1"/>
    <xf numFmtId="37" fontId="5" fillId="0" borderId="0" xfId="90" applyFont="1" applyAlignment="1" applyProtection="1">
      <alignment horizontal="center"/>
    </xf>
    <xf numFmtId="37" fontId="5" fillId="0" borderId="0" xfId="90" applyFont="1" applyProtection="1"/>
    <xf numFmtId="37" fontId="5" fillId="0" borderId="0" xfId="90" applyFont="1"/>
    <xf numFmtId="37" fontId="6" fillId="0" borderId="0" xfId="0" applyFont="1" applyAlignment="1">
      <alignment horizontal="centerContinuous"/>
    </xf>
    <xf numFmtId="37" fontId="5" fillId="0" borderId="0" xfId="90" applyFont="1" applyAlignment="1">
      <alignment horizontal="centerContinuous"/>
    </xf>
    <xf numFmtId="37" fontId="5" fillId="0" borderId="0" xfId="90" applyFont="1" applyAlignment="1" applyProtection="1">
      <alignment horizontal="left"/>
    </xf>
    <xf numFmtId="10" fontId="5" fillId="0" borderId="0" xfId="90" applyNumberFormat="1" applyFont="1" applyProtection="1"/>
    <xf numFmtId="37" fontId="5" fillId="0" borderId="0" xfId="90" applyNumberFormat="1" applyFont="1" applyProtection="1"/>
    <xf numFmtId="37" fontId="5" fillId="0" borderId="0" xfId="90" applyFont="1" applyAlignment="1">
      <alignment horizontal="center"/>
    </xf>
    <xf numFmtId="15" fontId="5" fillId="0" borderId="0" xfId="90" applyNumberFormat="1" applyFont="1" applyProtection="1"/>
    <xf numFmtId="7" fontId="5" fillId="0" borderId="0" xfId="90" applyNumberFormat="1" applyFont="1" applyProtection="1"/>
    <xf numFmtId="168" fontId="5" fillId="0" borderId="0" xfId="90" applyNumberFormat="1" applyFont="1" applyProtection="1"/>
    <xf numFmtId="1" fontId="5" fillId="0" borderId="0" xfId="94" applyNumberFormat="1" applyFont="1" applyProtection="1"/>
    <xf numFmtId="10" fontId="5" fillId="0" borderId="0" xfId="94" applyFont="1"/>
    <xf numFmtId="10" fontId="5" fillId="0" borderId="0" xfId="94" applyFont="1" applyAlignment="1">
      <alignment horizontal="centerContinuous"/>
    </xf>
    <xf numFmtId="1" fontId="5" fillId="0" borderId="0" xfId="94" applyNumberFormat="1" applyFont="1" applyAlignment="1" applyProtection="1">
      <alignment horizontal="center"/>
    </xf>
    <xf numFmtId="37" fontId="5" fillId="0" borderId="0" xfId="0" applyFont="1"/>
    <xf numFmtId="5" fontId="5" fillId="0" borderId="0" xfId="94" applyNumberFormat="1" applyFont="1" applyProtection="1"/>
    <xf numFmtId="165" fontId="5" fillId="0" borderId="0" xfId="94" applyNumberFormat="1" applyFont="1" applyProtection="1"/>
    <xf numFmtId="10" fontId="5" fillId="0" borderId="0" xfId="94" applyNumberFormat="1" applyFont="1" applyProtection="1"/>
    <xf numFmtId="37" fontId="5" fillId="0" borderId="0" xfId="91" applyFont="1"/>
    <xf numFmtId="37" fontId="5" fillId="0" borderId="0" xfId="91" applyFont="1" applyAlignment="1" applyProtection="1">
      <alignment horizontal="center"/>
    </xf>
    <xf numFmtId="37" fontId="7" fillId="0" borderId="0" xfId="91" applyFont="1" applyAlignment="1">
      <alignment horizontal="center"/>
    </xf>
    <xf numFmtId="5" fontId="5" fillId="0" borderId="0" xfId="91" applyNumberFormat="1" applyFont="1"/>
    <xf numFmtId="37" fontId="8" fillId="0" borderId="0" xfId="91" applyFont="1"/>
    <xf numFmtId="37" fontId="8" fillId="0" borderId="0" xfId="91" applyFont="1" applyFill="1"/>
    <xf numFmtId="15" fontId="5" fillId="0" borderId="0" xfId="91" applyNumberFormat="1" applyFont="1" applyProtection="1"/>
    <xf numFmtId="0" fontId="5" fillId="0" borderId="0" xfId="95" applyFont="1" applyAlignment="1" applyProtection="1">
      <alignment horizontal="left"/>
    </xf>
    <xf numFmtId="0" fontId="10" fillId="0" borderId="0" xfId="95" applyFont="1"/>
    <xf numFmtId="0" fontId="6" fillId="0" borderId="0" xfId="95" applyFont="1"/>
    <xf numFmtId="5" fontId="6" fillId="0" borderId="0" xfId="95" applyNumberFormat="1" applyFont="1" applyProtection="1"/>
    <xf numFmtId="37" fontId="3" fillId="0" borderId="0" xfId="90"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1" applyFont="1" applyFill="1" applyAlignment="1">
      <alignment horizontal="center"/>
    </xf>
    <xf numFmtId="5" fontId="8" fillId="0" borderId="0" xfId="91" applyNumberFormat="1" applyFont="1" applyFill="1"/>
    <xf numFmtId="37" fontId="8" fillId="0" borderId="0" xfId="91"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1" applyNumberFormat="1" applyFont="1" applyFill="1" applyProtection="1"/>
    <xf numFmtId="37" fontId="12" fillId="0" borderId="0" xfId="91" applyFont="1" applyFill="1" applyAlignment="1" applyProtection="1">
      <alignment horizontal="center"/>
    </xf>
    <xf numFmtId="10" fontId="8" fillId="0" borderId="0" xfId="91" applyNumberFormat="1" applyFont="1" applyFill="1" applyProtection="1"/>
    <xf numFmtId="168" fontId="8" fillId="0" borderId="0" xfId="91" applyNumberFormat="1" applyFont="1" applyFill="1" applyAlignment="1" applyProtection="1">
      <alignment horizontal="fill"/>
    </xf>
    <xf numFmtId="166" fontId="5" fillId="0" borderId="0" xfId="91" applyNumberFormat="1" applyFont="1" applyFill="1"/>
    <xf numFmtId="0" fontId="16" fillId="0" borderId="0" xfId="95" applyFont="1"/>
    <xf numFmtId="0" fontId="17" fillId="0" borderId="0" xfId="95" quotePrefix="1" applyFont="1" applyFill="1" applyAlignment="1" applyProtection="1">
      <alignment horizontal="center"/>
    </xf>
    <xf numFmtId="0" fontId="16" fillId="0" borderId="0" xfId="95" applyFont="1" applyFill="1"/>
    <xf numFmtId="0" fontId="18" fillId="0" borderId="0" xfId="95" applyFont="1" applyFill="1" applyAlignment="1" applyProtection="1">
      <alignment horizontal="center"/>
    </xf>
    <xf numFmtId="14" fontId="16" fillId="0" borderId="0" xfId="95" applyNumberFormat="1" applyFont="1" applyFill="1"/>
    <xf numFmtId="0" fontId="24" fillId="0" borderId="10" xfId="95" applyFont="1" applyFill="1" applyBorder="1" applyAlignment="1" applyProtection="1">
      <alignment horizontal="center" wrapText="1"/>
    </xf>
    <xf numFmtId="0" fontId="23" fillId="0" borderId="10" xfId="95" applyFont="1" applyFill="1" applyBorder="1" applyAlignment="1">
      <alignment horizontal="center"/>
    </xf>
    <xf numFmtId="7" fontId="16" fillId="0" borderId="0" xfId="95" applyNumberFormat="1" applyFont="1" applyFill="1"/>
    <xf numFmtId="0" fontId="18" fillId="0" borderId="0" xfId="95" quotePrefix="1" applyFont="1" applyFill="1" applyAlignment="1" applyProtection="1">
      <alignment horizontal="left"/>
    </xf>
    <xf numFmtId="37" fontId="13" fillId="0" borderId="0" xfId="90" applyFont="1"/>
    <xf numFmtId="37" fontId="15" fillId="0" borderId="0" xfId="90" applyFont="1"/>
    <xf numFmtId="37" fontId="15" fillId="0" borderId="0" xfId="90" applyFont="1" applyAlignment="1" applyProtection="1">
      <alignment horizontal="center"/>
    </xf>
    <xf numFmtId="37" fontId="27" fillId="0" borderId="0" xfId="90" applyFont="1" applyAlignment="1" applyProtection="1">
      <alignment horizontal="center"/>
    </xf>
    <xf numFmtId="37" fontId="13" fillId="0" borderId="0" xfId="90" applyFont="1" applyAlignment="1" applyProtection="1">
      <alignment horizontal="left"/>
    </xf>
    <xf numFmtId="37" fontId="13" fillId="0" borderId="0" xfId="90" applyFont="1" applyAlignment="1" applyProtection="1">
      <alignment horizontal="fill"/>
    </xf>
    <xf numFmtId="37" fontId="13" fillId="0" borderId="0" xfId="90" applyFont="1" applyAlignment="1" applyProtection="1">
      <alignment horizontal="center"/>
    </xf>
    <xf numFmtId="10" fontId="13" fillId="0" borderId="0" xfId="90" applyNumberFormat="1" applyFont="1" applyProtection="1"/>
    <xf numFmtId="37" fontId="13" fillId="0" borderId="0" xfId="90" applyNumberFormat="1" applyFont="1" applyProtection="1"/>
    <xf numFmtId="5" fontId="13" fillId="0" borderId="0" xfId="90" applyNumberFormat="1" applyFont="1" applyProtection="1"/>
    <xf numFmtId="5" fontId="13" fillId="0" borderId="0" xfId="90" applyNumberFormat="1" applyFont="1"/>
    <xf numFmtId="5" fontId="29" fillId="0" borderId="0" xfId="90" applyNumberFormat="1" applyFont="1"/>
    <xf numFmtId="5" fontId="29" fillId="0" borderId="0" xfId="90" applyNumberFormat="1" applyFont="1" applyProtection="1"/>
    <xf numFmtId="37" fontId="15" fillId="0" borderId="11" xfId="90" applyFont="1" applyBorder="1" applyAlignment="1" applyProtection="1">
      <alignment horizontal="left"/>
    </xf>
    <xf numFmtId="5" fontId="15" fillId="0" borderId="12" xfId="90" applyNumberFormat="1" applyFont="1" applyBorder="1" applyProtection="1"/>
    <xf numFmtId="5" fontId="15" fillId="0" borderId="12" xfId="90" applyNumberFormat="1" applyFont="1" applyBorder="1"/>
    <xf numFmtId="5" fontId="30" fillId="0" borderId="0" xfId="90" applyNumberFormat="1" applyFont="1" applyFill="1" applyProtection="1"/>
    <xf numFmtId="5" fontId="30" fillId="0" borderId="0" xfId="90" applyNumberFormat="1" applyFont="1" applyProtection="1"/>
    <xf numFmtId="5" fontId="30" fillId="0" borderId="0" xfId="90" applyNumberFormat="1" applyFont="1"/>
    <xf numFmtId="170" fontId="30" fillId="0" borderId="0" xfId="55" applyNumberFormat="1" applyFont="1"/>
    <xf numFmtId="5" fontId="31" fillId="0" borderId="0" xfId="90" applyNumberFormat="1" applyFont="1"/>
    <xf numFmtId="5" fontId="31" fillId="0" borderId="0" xfId="90"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4" applyFont="1" applyAlignment="1">
      <alignment horizontal="centerContinuous"/>
    </xf>
    <xf numFmtId="10" fontId="13" fillId="0" borderId="0" xfId="94" applyFont="1"/>
    <xf numFmtId="10" fontId="13" fillId="0" borderId="0" xfId="94" applyFont="1" applyAlignment="1">
      <alignment horizontal="center"/>
    </xf>
    <xf numFmtId="10" fontId="15" fillId="0" borderId="0" xfId="94" applyFont="1" applyAlignment="1">
      <alignment horizontal="center"/>
    </xf>
    <xf numFmtId="10" fontId="15" fillId="0" borderId="0" xfId="94" applyFont="1" applyAlignment="1" applyProtection="1">
      <alignment horizontal="center"/>
    </xf>
    <xf numFmtId="10" fontId="27" fillId="0" borderId="0" xfId="94" applyFont="1" applyAlignment="1" applyProtection="1">
      <alignment horizontal="center"/>
    </xf>
    <xf numFmtId="10" fontId="13" fillId="0" borderId="0" xfId="94" applyFont="1" applyAlignment="1" applyProtection="1">
      <alignment horizontal="left"/>
    </xf>
    <xf numFmtId="10" fontId="15" fillId="0" borderId="0" xfId="94" applyFont="1" applyAlignment="1" applyProtection="1">
      <alignment horizontal="left"/>
    </xf>
    <xf numFmtId="10" fontId="15" fillId="0" borderId="0" xfId="94" applyFont="1"/>
    <xf numFmtId="10" fontId="13" fillId="0" borderId="0" xfId="94" applyFont="1" applyBorder="1"/>
    <xf numFmtId="0" fontId="18" fillId="0" borderId="0" xfId="95" quotePrefix="1" applyFont="1" applyFill="1" applyBorder="1" applyAlignment="1" applyProtection="1">
      <alignment horizontal="left"/>
    </xf>
    <xf numFmtId="0" fontId="24" fillId="0" borderId="10" xfId="95" applyFont="1" applyFill="1" applyBorder="1" applyAlignment="1" applyProtection="1">
      <alignment horizontal="left"/>
    </xf>
    <xf numFmtId="168" fontId="16" fillId="0" borderId="0" xfId="95" applyNumberFormat="1" applyFont="1" applyFill="1" applyAlignment="1">
      <alignment horizontal="left"/>
    </xf>
    <xf numFmtId="15" fontId="16" fillId="0" borderId="0" xfId="95" applyNumberFormat="1" applyFont="1" applyFill="1" applyAlignment="1">
      <alignment horizontal="center"/>
    </xf>
    <xf numFmtId="174" fontId="16" fillId="0" borderId="0" xfId="95" applyNumberFormat="1" applyFont="1" applyFill="1"/>
    <xf numFmtId="15" fontId="33" fillId="0" borderId="0" xfId="95" applyNumberFormat="1" applyFont="1" applyBorder="1" applyAlignment="1">
      <alignment horizontal="left"/>
    </xf>
    <xf numFmtId="0" fontId="22" fillId="0" borderId="0" xfId="95" applyFont="1"/>
    <xf numFmtId="0" fontId="33" fillId="0" borderId="0" xfId="95"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5"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0" applyFont="1" applyAlignment="1" applyProtection="1">
      <alignment horizontal="center"/>
    </xf>
    <xf numFmtId="37" fontId="25" fillId="0" borderId="0" xfId="92" applyFont="1" applyBorder="1" applyAlignment="1" applyProtection="1">
      <alignment horizontal="left"/>
    </xf>
    <xf numFmtId="1" fontId="16" fillId="0" borderId="0" xfId="94" applyNumberFormat="1" applyFont="1" applyAlignment="1" applyProtection="1">
      <alignment horizontal="center"/>
    </xf>
    <xf numFmtId="37" fontId="18" fillId="0" borderId="0" xfId="90" applyFont="1" applyAlignment="1" applyProtection="1">
      <alignment horizontal="left"/>
    </xf>
    <xf numFmtId="37" fontId="26" fillId="0" borderId="0" xfId="90" applyFont="1" applyAlignment="1" applyProtection="1">
      <alignment horizontal="left"/>
    </xf>
    <xf numFmtId="37" fontId="25" fillId="0" borderId="0" xfId="91" applyNumberFormat="1" applyFont="1" applyAlignment="1">
      <alignment horizontal="center"/>
    </xf>
    <xf numFmtId="37" fontId="37" fillId="0" borderId="0" xfId="91" applyFont="1"/>
    <xf numFmtId="37" fontId="24" fillId="0" borderId="0" xfId="91" applyNumberFormat="1" applyFont="1"/>
    <xf numFmtId="37" fontId="25" fillId="0" borderId="0" xfId="91" applyNumberFormat="1" applyFont="1"/>
    <xf numFmtId="37" fontId="25" fillId="0" borderId="0" xfId="0" applyNumberFormat="1" applyFont="1"/>
    <xf numFmtId="171" fontId="25" fillId="0" borderId="0" xfId="0" applyNumberFormat="1" applyFont="1"/>
    <xf numFmtId="37" fontId="24" fillId="0" borderId="0" xfId="91" applyNumberFormat="1" applyFont="1" applyAlignment="1" applyProtection="1">
      <alignment horizontal="left"/>
    </xf>
    <xf numFmtId="38" fontId="13" fillId="0" borderId="0" xfId="94"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5"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1" applyNumberFormat="1" applyFont="1" applyAlignment="1" applyProtection="1">
      <alignment horizontal="centerContinuous"/>
    </xf>
    <xf numFmtId="37" fontId="25" fillId="0" borderId="0" xfId="91" applyNumberFormat="1" applyFont="1" applyAlignment="1">
      <alignment horizontal="centerContinuous"/>
    </xf>
    <xf numFmtId="37" fontId="25" fillId="0" borderId="0" xfId="0" applyNumberFormat="1" applyFont="1" applyAlignment="1">
      <alignment horizontal="centerContinuous"/>
    </xf>
    <xf numFmtId="166" fontId="25" fillId="0" borderId="0" xfId="91"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1"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4" applyFont="1" applyAlignment="1" applyProtection="1"/>
    <xf numFmtId="5" fontId="13" fillId="0" borderId="0" xfId="94" applyNumberFormat="1" applyFont="1" applyAlignment="1" applyProtection="1"/>
    <xf numFmtId="10" fontId="13" fillId="0" borderId="0" xfId="94" applyFont="1" applyBorder="1" applyAlignment="1" applyProtection="1"/>
    <xf numFmtId="5" fontId="13" fillId="0" borderId="0" xfId="94" applyNumberFormat="1" applyFont="1" applyAlignment="1"/>
    <xf numFmtId="10" fontId="13" fillId="0" borderId="0" xfId="94" applyFont="1" applyAlignment="1"/>
    <xf numFmtId="5" fontId="29" fillId="0" borderId="0" xfId="94" applyNumberFormat="1" applyFont="1" applyBorder="1" applyAlignment="1" applyProtection="1"/>
    <xf numFmtId="165" fontId="13" fillId="0" borderId="0" xfId="94" applyNumberFormat="1" applyFont="1" applyBorder="1" applyAlignment="1" applyProtection="1"/>
    <xf numFmtId="10" fontId="13" fillId="0" borderId="0" xfId="94" applyFont="1" applyBorder="1" applyAlignment="1"/>
    <xf numFmtId="5" fontId="36" fillId="0" borderId="0" xfId="94" applyNumberFormat="1" applyFont="1" applyBorder="1" applyAlignment="1" applyProtection="1"/>
    <xf numFmtId="10" fontId="36" fillId="0" borderId="0" xfId="94" applyFont="1" applyBorder="1" applyAlignment="1"/>
    <xf numFmtId="5" fontId="34" fillId="0" borderId="0" xfId="88" applyNumberFormat="1" applyFont="1" applyFill="1" applyProtection="1"/>
    <xf numFmtId="37" fontId="25" fillId="0" borderId="0" xfId="91" applyNumberFormat="1" applyFont="1" applyAlignment="1">
      <alignment horizontal="right"/>
    </xf>
    <xf numFmtId="37" fontId="39" fillId="0" borderId="0" xfId="90" applyFont="1" applyAlignment="1" applyProtection="1">
      <alignment horizontal="center"/>
    </xf>
    <xf numFmtId="37" fontId="34" fillId="0" borderId="0" xfId="88" applyNumberFormat="1" applyFont="1" applyFill="1" applyProtection="1"/>
    <xf numFmtId="10" fontId="13" fillId="0" borderId="0" xfId="94"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0" applyNumberFormat="1" applyFont="1" applyProtection="1"/>
    <xf numFmtId="37" fontId="25" fillId="0" borderId="0" xfId="90" applyFont="1" applyAlignment="1" applyProtection="1">
      <alignment horizontal="center"/>
    </xf>
    <xf numFmtId="1" fontId="25" fillId="0" borderId="0" xfId="94" applyNumberFormat="1" applyFont="1" applyAlignment="1" applyProtection="1">
      <alignment horizontal="center"/>
    </xf>
    <xf numFmtId="5" fontId="13" fillId="0" borderId="0" xfId="94" applyNumberFormat="1" applyFont="1"/>
    <xf numFmtId="10" fontId="5" fillId="0" borderId="0" xfId="94" applyFont="1" applyBorder="1"/>
    <xf numFmtId="1" fontId="16" fillId="0" borderId="0" xfId="94"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5" quotePrefix="1" applyFont="1" applyFill="1" applyBorder="1" applyAlignment="1" applyProtection="1">
      <alignment horizontal="centerContinuous" vertical="center" wrapText="1"/>
    </xf>
    <xf numFmtId="172" fontId="44" fillId="0" borderId="0" xfId="95" quotePrefix="1" applyNumberFormat="1" applyFont="1" applyFill="1" applyBorder="1" applyAlignment="1" applyProtection="1">
      <alignment horizontal="centerContinuous" vertical="center" wrapText="1"/>
    </xf>
    <xf numFmtId="168" fontId="16" fillId="0" borderId="0" xfId="101" applyNumberFormat="1" applyFont="1"/>
    <xf numFmtId="178" fontId="16" fillId="0" borderId="0" xfId="101"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0" applyNumberFormat="1" applyFont="1" applyProtection="1"/>
    <xf numFmtId="168" fontId="30" fillId="0" borderId="0" xfId="90"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1" applyNumberFormat="1" applyFont="1" applyFill="1" applyBorder="1" applyProtection="1"/>
    <xf numFmtId="10" fontId="15" fillId="18" borderId="23" xfId="90"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1" applyFont="1" applyAlignment="1">
      <alignment horizontal="center"/>
    </xf>
    <xf numFmtId="37" fontId="38" fillId="0" borderId="0" xfId="0" applyFont="1" applyAlignment="1">
      <alignment horizontal="right"/>
    </xf>
    <xf numFmtId="0" fontId="24" fillId="0" borderId="0" xfId="95" applyFont="1" applyFill="1" applyBorder="1" applyAlignment="1" applyProtection="1">
      <alignment horizontal="center" wrapText="1"/>
    </xf>
    <xf numFmtId="37" fontId="24" fillId="0" borderId="0" xfId="0" applyFont="1" applyFill="1" applyBorder="1"/>
    <xf numFmtId="0" fontId="48" fillId="0" borderId="0" xfId="95" applyFont="1"/>
    <xf numFmtId="0" fontId="9" fillId="0" borderId="0" xfId="88" applyFont="1" applyFill="1" applyBorder="1"/>
    <xf numFmtId="37" fontId="9" fillId="0" borderId="0" xfId="88" applyNumberFormat="1" applyFont="1" applyFill="1" applyBorder="1"/>
    <xf numFmtId="10" fontId="36" fillId="0" borderId="0" xfId="94"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1" applyNumberFormat="1" applyFont="1" applyAlignment="1" applyProtection="1">
      <alignment horizontal="centerContinuous"/>
    </xf>
    <xf numFmtId="0" fontId="18" fillId="0" borderId="0" xfId="95" applyFont="1" applyFill="1" applyAlignment="1" applyProtection="1">
      <alignment horizontal="left"/>
    </xf>
    <xf numFmtId="0" fontId="6" fillId="0" borderId="0" xfId="95" applyFont="1" applyFill="1"/>
    <xf numFmtId="1" fontId="16" fillId="0" borderId="0" xfId="95" applyNumberFormat="1" applyFont="1" applyFill="1" applyAlignment="1" applyProtection="1">
      <alignment horizontal="center"/>
    </xf>
    <xf numFmtId="0" fontId="6" fillId="0" borderId="0" xfId="95" applyFont="1" applyAlignment="1">
      <alignment horizontal="center"/>
    </xf>
    <xf numFmtId="37" fontId="5" fillId="0" borderId="0" xfId="94" applyNumberFormat="1" applyFont="1"/>
    <xf numFmtId="37" fontId="20" fillId="0" borderId="0" xfId="0" applyFont="1"/>
    <xf numFmtId="37" fontId="16" fillId="0" borderId="0" xfId="0" applyFont="1" applyAlignment="1">
      <alignment horizontal="center"/>
    </xf>
    <xf numFmtId="167" fontId="5" fillId="0" borderId="0" xfId="94" applyNumberFormat="1" applyFont="1"/>
    <xf numFmtId="10" fontId="8" fillId="0" borderId="0" xfId="94" applyFont="1"/>
    <xf numFmtId="14" fontId="16" fillId="0" borderId="16" xfId="0" applyNumberFormat="1" applyFont="1" applyFill="1" applyBorder="1"/>
    <xf numFmtId="10" fontId="36" fillId="0" borderId="0" xfId="94" applyNumberFormat="1" applyFont="1" applyFill="1" applyBorder="1" applyAlignment="1" applyProtection="1"/>
    <xf numFmtId="10" fontId="24" fillId="0" borderId="0" xfId="91"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5" applyFont="1" applyFill="1" applyAlignment="1" applyProtection="1">
      <alignment horizontal="center"/>
    </xf>
    <xf numFmtId="0" fontId="24" fillId="0" borderId="0" xfId="95" applyFont="1" applyFill="1" applyAlignment="1">
      <alignment horizontal="center"/>
    </xf>
    <xf numFmtId="10" fontId="45" fillId="0" borderId="0" xfId="94" applyFont="1" applyBorder="1"/>
    <xf numFmtId="37" fontId="5" fillId="0" borderId="0" xfId="94" applyNumberFormat="1" applyFont="1" applyBorder="1"/>
    <xf numFmtId="182" fontId="28" fillId="0" borderId="0" xfId="94" applyNumberFormat="1" applyFont="1" applyBorder="1" applyAlignment="1">
      <alignment horizontal="center"/>
    </xf>
    <xf numFmtId="37" fontId="13" fillId="0" borderId="0" xfId="94" applyNumberFormat="1" applyFont="1" applyBorder="1" applyAlignment="1">
      <alignment horizontal="center"/>
    </xf>
    <xf numFmtId="10" fontId="28" fillId="0" borderId="0" xfId="94" applyFont="1" applyBorder="1" applyAlignment="1" applyProtection="1"/>
    <xf numFmtId="10" fontId="13" fillId="0" borderId="0" xfId="94" applyNumberFormat="1" applyFont="1" applyBorder="1" applyAlignment="1" applyProtection="1"/>
    <xf numFmtId="181" fontId="41" fillId="0" borderId="0" xfId="94"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0"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5" applyFont="1" applyAlignment="1" applyProtection="1">
      <alignment horizontal="left"/>
    </xf>
    <xf numFmtId="181" fontId="15" fillId="0" borderId="0" xfId="94" applyNumberFormat="1" applyFont="1" applyBorder="1" applyAlignment="1" applyProtection="1">
      <alignment horizontal="centerContinuous" vertical="center" wrapText="1"/>
    </xf>
    <xf numFmtId="181" fontId="18" fillId="0" borderId="0" xfId="91"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1" applyNumberFormat="1" applyFont="1" applyFill="1"/>
    <xf numFmtId="5" fontId="5" fillId="0" borderId="0" xfId="91"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1" applyNumberFormat="1" applyFont="1" applyAlignment="1" applyProtection="1"/>
    <xf numFmtId="17" fontId="25" fillId="0" borderId="0" xfId="91" applyNumberFormat="1" applyFont="1" applyProtection="1"/>
    <xf numFmtId="17" fontId="25" fillId="0" borderId="0" xfId="91"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1" applyNumberFormat="1" applyFont="1"/>
    <xf numFmtId="37" fontId="47" fillId="0" borderId="0" xfId="91" applyNumberFormat="1" applyFont="1" applyAlignment="1">
      <alignment horizontal="right"/>
    </xf>
    <xf numFmtId="175" fontId="47" fillId="0" borderId="0" xfId="88" applyNumberFormat="1" applyFont="1" applyFill="1" applyProtection="1"/>
    <xf numFmtId="37" fontId="5" fillId="0" borderId="0" xfId="91" applyFont="1" applyFill="1"/>
    <xf numFmtId="37" fontId="25" fillId="0" borderId="0" xfId="0" applyNumberFormat="1" applyFont="1" applyFill="1"/>
    <xf numFmtId="15" fontId="16" fillId="0" borderId="0" xfId="95" applyNumberFormat="1" applyFont="1" applyFill="1" applyAlignment="1">
      <alignment horizontal="right"/>
    </xf>
    <xf numFmtId="5" fontId="16" fillId="0" borderId="0" xfId="95" applyNumberFormat="1" applyFont="1" applyFill="1"/>
    <xf numFmtId="168" fontId="16" fillId="0" borderId="0" xfId="95" applyNumberFormat="1" applyFont="1" applyFill="1" applyAlignment="1" applyProtection="1">
      <alignment horizontal="left"/>
    </xf>
    <xf numFmtId="15" fontId="16" fillId="0" borderId="0" xfId="95" applyNumberFormat="1" applyFont="1" applyFill="1" applyAlignment="1" applyProtection="1">
      <alignment horizontal="center"/>
    </xf>
    <xf numFmtId="5" fontId="20" fillId="0" borderId="0" xfId="95" applyNumberFormat="1" applyFont="1" applyFill="1"/>
    <xf numFmtId="174" fontId="26" fillId="0" borderId="0" xfId="95" applyNumberFormat="1" applyFont="1" applyFill="1"/>
    <xf numFmtId="5" fontId="18" fillId="0" borderId="25" xfId="95"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0"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1"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0" applyFont="1" applyAlignment="1">
      <alignment horizontal="left" indent="1"/>
    </xf>
    <xf numFmtId="5" fontId="13" fillId="0" borderId="26" xfId="90" applyNumberFormat="1" applyFont="1" applyBorder="1" applyProtection="1"/>
    <xf numFmtId="5" fontId="30" fillId="0" borderId="26" xfId="90" applyNumberFormat="1" applyFont="1" applyBorder="1"/>
    <xf numFmtId="168" fontId="30" fillId="0" borderId="26" xfId="90"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5" quotePrefix="1" applyFont="1" applyFill="1" applyBorder="1" applyAlignment="1" applyProtection="1">
      <alignment horizontal="centerContinuous" vertical="center" wrapText="1"/>
    </xf>
    <xf numFmtId="181" fontId="15" fillId="0" borderId="0" xfId="95"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4" applyNumberFormat="1" applyFont="1" applyFill="1" applyAlignment="1" applyProtection="1"/>
    <xf numFmtId="10" fontId="34" fillId="0" borderId="0" xfId="101"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4" applyFont="1" applyBorder="1" applyAlignment="1" applyProtection="1">
      <alignment horizontal="centerContinuous" vertical="center" wrapText="1"/>
    </xf>
    <xf numFmtId="172" fontId="32" fillId="0" borderId="0" xfId="94"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0" applyNumberFormat="1" applyFont="1" applyFill="1" applyProtection="1"/>
    <xf numFmtId="10" fontId="13" fillId="0" borderId="0" xfId="94" applyFont="1" applyFill="1" applyAlignment="1" applyProtection="1"/>
    <xf numFmtId="37" fontId="15" fillId="0" borderId="0" xfId="90"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4" applyNumberFormat="1" applyFont="1" applyAlignment="1"/>
    <xf numFmtId="10" fontId="29" fillId="0" borderId="0" xfId="94" applyNumberFormat="1" applyFont="1" applyAlignment="1" applyProtection="1"/>
    <xf numFmtId="37" fontId="25" fillId="0" borderId="0" xfId="91" applyNumberFormat="1" applyFont="1" applyBorder="1" applyAlignment="1">
      <alignment horizontal="center"/>
    </xf>
    <xf numFmtId="37" fontId="24" fillId="0" borderId="0" xfId="91"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1" applyNumberFormat="1" applyFont="1" applyFill="1" applyBorder="1"/>
    <xf numFmtId="168" fontId="16" fillId="0" borderId="0" xfId="101"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1" applyNumberFormat="1" applyFont="1" applyFill="1" applyBorder="1" applyAlignment="1">
      <alignment horizontal="center"/>
    </xf>
    <xf numFmtId="5" fontId="18" fillId="0" borderId="25" xfId="55" applyNumberFormat="1" applyFont="1" applyFill="1" applyBorder="1"/>
    <xf numFmtId="10" fontId="18" fillId="0" borderId="0" xfId="94"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0"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5"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4" applyNumberFormat="1" applyFont="1" applyAlignment="1" applyProtection="1">
      <alignment horizontal="centerContinuous"/>
    </xf>
    <xf numFmtId="1" fontId="4" fillId="0" borderId="0" xfId="94" applyNumberFormat="1" applyProtection="1"/>
    <xf numFmtId="10" fontId="4" fillId="0" borderId="0" xfId="94"/>
    <xf numFmtId="10" fontId="15" fillId="0" borderId="0" xfId="94" applyFont="1" applyAlignment="1" applyProtection="1">
      <alignment horizontal="centerContinuous"/>
    </xf>
    <xf numFmtId="10" fontId="51" fillId="0" borderId="0" xfId="94" applyFont="1" applyAlignment="1">
      <alignment horizontal="centerContinuous"/>
    </xf>
    <xf numFmtId="0" fontId="50" fillId="0" borderId="0" xfId="89" applyAlignment="1">
      <alignment horizontal="centerContinuous"/>
    </xf>
    <xf numFmtId="10" fontId="4" fillId="0" borderId="0" xfId="94" applyAlignment="1" applyProtection="1">
      <alignment horizontal="left"/>
    </xf>
    <xf numFmtId="172" fontId="41" fillId="0" borderId="0" xfId="94" applyNumberFormat="1" applyFont="1" applyBorder="1" applyAlignment="1" applyProtection="1">
      <alignment horizontal="centerContinuous" vertical="center" wrapText="1"/>
    </xf>
    <xf numFmtId="10" fontId="51" fillId="0" borderId="0" xfId="94" applyFont="1" applyBorder="1" applyAlignment="1">
      <alignment horizontal="centerContinuous" vertical="center" wrapText="1"/>
    </xf>
    <xf numFmtId="1" fontId="51" fillId="0" borderId="0" xfId="94" applyNumberFormat="1" applyFont="1" applyProtection="1"/>
    <xf numFmtId="10" fontId="51" fillId="0" borderId="0" xfId="94" applyFont="1"/>
    <xf numFmtId="0" fontId="50" fillId="0" borderId="0" xfId="89"/>
    <xf numFmtId="10" fontId="51" fillId="0" borderId="0" xfId="94" applyFont="1" applyAlignment="1">
      <alignment horizontal="right"/>
    </xf>
    <xf numFmtId="10" fontId="15" fillId="0" borderId="0" xfId="94" applyFont="1" applyAlignment="1">
      <alignment horizontal="right"/>
    </xf>
    <xf numFmtId="10" fontId="15" fillId="0" borderId="0" xfId="94" applyFont="1" applyAlignment="1" applyProtection="1">
      <alignment horizontal="right"/>
    </xf>
    <xf numFmtId="10" fontId="13" fillId="0" borderId="0" xfId="94" applyFont="1" applyAlignment="1" applyProtection="1">
      <alignment horizontal="right"/>
    </xf>
    <xf numFmtId="10" fontId="15" fillId="0" borderId="0" xfId="94" applyFont="1" applyFill="1" applyAlignment="1" applyProtection="1">
      <alignment horizontal="left" indent="1"/>
    </xf>
    <xf numFmtId="5" fontId="30" fillId="0" borderId="0" xfId="94" applyNumberFormat="1" applyFont="1" applyProtection="1"/>
    <xf numFmtId="165" fontId="30" fillId="0" borderId="0" xfId="94" applyNumberFormat="1" applyFont="1" applyProtection="1"/>
    <xf numFmtId="5" fontId="30" fillId="0" borderId="0" xfId="94" applyNumberFormat="1" applyFont="1" applyAlignment="1" applyProtection="1">
      <alignment horizontal="right"/>
    </xf>
    <xf numFmtId="10" fontId="30" fillId="0" borderId="0" xfId="94" applyFont="1" applyBorder="1" applyProtection="1"/>
    <xf numFmtId="10" fontId="30" fillId="0" borderId="0" xfId="94" applyFont="1" applyProtection="1"/>
    <xf numFmtId="10" fontId="25" fillId="0" borderId="0" xfId="94" applyFont="1" applyFill="1" applyAlignment="1" applyProtection="1">
      <alignment horizontal="left" indent="2"/>
    </xf>
    <xf numFmtId="5" fontId="34" fillId="0" borderId="0" xfId="94" applyNumberFormat="1" applyFont="1" applyProtection="1"/>
    <xf numFmtId="165" fontId="34" fillId="0" borderId="0" xfId="94" applyNumberFormat="1" applyFont="1" applyProtection="1"/>
    <xf numFmtId="5" fontId="34" fillId="0" borderId="0" xfId="94" applyNumberFormat="1" applyFont="1" applyAlignment="1" applyProtection="1">
      <alignment horizontal="right"/>
    </xf>
    <xf numFmtId="10" fontId="34" fillId="0" borderId="0" xfId="94" applyFont="1" applyBorder="1" applyProtection="1"/>
    <xf numFmtId="10" fontId="34" fillId="0" borderId="0" xfId="94" applyFont="1" applyProtection="1"/>
    <xf numFmtId="43" fontId="43" fillId="0" borderId="0" xfId="94" applyNumberFormat="1" applyFont="1" applyProtection="1"/>
    <xf numFmtId="5" fontId="43" fillId="0" borderId="0" xfId="94" applyNumberFormat="1" applyFont="1" applyAlignment="1" applyProtection="1">
      <alignment horizontal="right"/>
    </xf>
    <xf numFmtId="10" fontId="13" fillId="0" borderId="0" xfId="94" applyFont="1" applyAlignment="1" applyProtection="1">
      <alignment horizontal="left" indent="1"/>
    </xf>
    <xf numFmtId="10" fontId="15" fillId="0" borderId="0" xfId="94" applyFont="1" applyAlignment="1" applyProtection="1">
      <alignment horizontal="left" indent="1"/>
    </xf>
    <xf numFmtId="10" fontId="30" fillId="0" borderId="0" xfId="94" applyNumberFormat="1" applyFont="1" applyFill="1" applyBorder="1" applyProtection="1"/>
    <xf numFmtId="10" fontId="30" fillId="0" borderId="0" xfId="94" applyFont="1" applyAlignment="1" applyProtection="1">
      <alignment horizontal="left"/>
    </xf>
    <xf numFmtId="5" fontId="30" fillId="19" borderId="12" xfId="94" applyNumberFormat="1" applyFont="1" applyFill="1" applyBorder="1" applyProtection="1"/>
    <xf numFmtId="165" fontId="30" fillId="0" borderId="12" xfId="94" applyNumberFormat="1" applyFont="1" applyBorder="1" applyProtection="1"/>
    <xf numFmtId="5" fontId="30" fillId="0" borderId="12" xfId="94" applyNumberFormat="1" applyFont="1" applyBorder="1" applyProtection="1"/>
    <xf numFmtId="10" fontId="30" fillId="19" borderId="12" xfId="94" applyFont="1" applyFill="1" applyBorder="1" applyProtection="1"/>
    <xf numFmtId="10" fontId="30" fillId="0" borderId="12" xfId="94" applyFont="1" applyBorder="1" applyProtection="1"/>
    <xf numFmtId="10" fontId="30" fillId="0" borderId="0" xfId="94" applyFont="1"/>
    <xf numFmtId="5" fontId="28" fillId="19" borderId="0" xfId="94" applyNumberFormat="1" applyFont="1" applyFill="1" applyProtection="1"/>
    <xf numFmtId="5" fontId="28" fillId="0" borderId="0" xfId="94" applyNumberFormat="1" applyFont="1" applyAlignment="1" applyProtection="1">
      <alignment horizontal="right"/>
    </xf>
    <xf numFmtId="5" fontId="30" fillId="0" borderId="12" xfId="94" applyNumberFormat="1" applyFont="1" applyBorder="1" applyAlignment="1" applyProtection="1">
      <alignment horizontal="right"/>
    </xf>
    <xf numFmtId="10" fontId="13" fillId="19" borderId="12" xfId="94" applyFont="1" applyFill="1" applyBorder="1" applyProtection="1"/>
    <xf numFmtId="10" fontId="30" fillId="0" borderId="0" xfId="94" applyFont="1" applyAlignment="1" applyProtection="1">
      <alignment horizontal="fill"/>
    </xf>
    <xf numFmtId="165" fontId="30" fillId="0" borderId="0" xfId="94" applyNumberFormat="1" applyFont="1" applyAlignment="1" applyProtection="1">
      <alignment horizontal="fill"/>
    </xf>
    <xf numFmtId="5" fontId="52" fillId="0" borderId="0" xfId="94" applyNumberFormat="1" applyFont="1" applyBorder="1" applyProtection="1"/>
    <xf numFmtId="165" fontId="52" fillId="0" borderId="0" xfId="94" applyNumberFormat="1" applyFont="1" applyBorder="1" applyProtection="1"/>
    <xf numFmtId="5" fontId="53" fillId="0" borderId="0" xfId="94" applyNumberFormat="1" applyFont="1" applyBorder="1" applyProtection="1"/>
    <xf numFmtId="10" fontId="52" fillId="0" borderId="0" xfId="94" applyFont="1" applyBorder="1"/>
    <xf numFmtId="10" fontId="52" fillId="0" borderId="0" xfId="94" applyFont="1" applyBorder="1" applyProtection="1"/>
    <xf numFmtId="10" fontId="30" fillId="0" borderId="0" xfId="94" applyFont="1" applyAlignment="1">
      <alignment horizontal="right"/>
    </xf>
    <xf numFmtId="37" fontId="13" fillId="0" borderId="0" xfId="94" applyNumberFormat="1" applyFont="1"/>
    <xf numFmtId="10" fontId="13" fillId="0" borderId="0" xfId="94" applyFont="1" applyAlignment="1">
      <alignment horizontal="right"/>
    </xf>
    <xf numFmtId="10" fontId="24" fillId="0" borderId="0" xfId="94" quotePrefix="1" applyFont="1" applyAlignment="1" applyProtection="1">
      <alignment horizontal="left"/>
    </xf>
    <xf numFmtId="10" fontId="35" fillId="0" borderId="0" xfId="94" quotePrefix="1" applyFont="1" applyAlignment="1">
      <alignment horizontal="left"/>
    </xf>
    <xf numFmtId="10" fontId="24" fillId="0" borderId="0" xfId="94" applyFont="1"/>
    <xf numFmtId="1" fontId="51" fillId="0" borderId="0" xfId="94" applyNumberFormat="1" applyFont="1" applyAlignment="1" applyProtection="1">
      <alignment horizontal="center"/>
    </xf>
    <xf numFmtId="5" fontId="4" fillId="0" borderId="0" xfId="94" applyNumberFormat="1" applyProtection="1"/>
    <xf numFmtId="165" fontId="4" fillId="0" borderId="0" xfId="94" applyNumberFormat="1" applyProtection="1"/>
    <xf numFmtId="165" fontId="4" fillId="0" borderId="0" xfId="94" applyNumberFormat="1" applyAlignment="1" applyProtection="1">
      <alignment horizontal="right"/>
    </xf>
    <xf numFmtId="10" fontId="4" fillId="0" borderId="0" xfId="94" applyNumberFormat="1" applyProtection="1"/>
    <xf numFmtId="10" fontId="4" fillId="0" borderId="0" xfId="94" applyNumberFormat="1" applyAlignment="1" applyProtection="1">
      <alignment horizontal="right"/>
    </xf>
    <xf numFmtId="10" fontId="4" fillId="0" borderId="0" xfId="94" applyAlignment="1">
      <alignment horizontal="right"/>
    </xf>
    <xf numFmtId="37" fontId="24" fillId="0" borderId="0" xfId="90" applyFont="1" applyAlignment="1" applyProtection="1">
      <alignment horizontal="left"/>
    </xf>
    <xf numFmtId="37" fontId="24" fillId="0" borderId="10" xfId="91"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1" applyNumberFormat="1" applyFont="1" applyFill="1" applyBorder="1" applyProtection="1"/>
    <xf numFmtId="10" fontId="28" fillId="19" borderId="0" xfId="94" applyFont="1" applyFill="1" applyBorder="1" applyProtection="1"/>
    <xf numFmtId="0" fontId="15" fillId="18" borderId="0" xfId="96" applyFont="1" applyFill="1"/>
    <xf numFmtId="0" fontId="13" fillId="18" borderId="0" xfId="96" applyFont="1" applyFill="1"/>
    <xf numFmtId="0" fontId="2" fillId="0" borderId="0" xfId="96"/>
    <xf numFmtId="0" fontId="13" fillId="0" borderId="0" xfId="96" applyFont="1"/>
    <xf numFmtId="10" fontId="13" fillId="0" borderId="0" xfId="101" applyNumberFormat="1" applyFont="1"/>
    <xf numFmtId="0" fontId="29" fillId="0" borderId="0" xfId="96" applyFont="1" applyAlignment="1">
      <alignment horizontal="center"/>
    </xf>
    <xf numFmtId="10" fontId="13" fillId="0" borderId="0" xfId="101" applyNumberFormat="1" applyFont="1" applyFill="1"/>
    <xf numFmtId="10" fontId="15" fillId="21" borderId="0" xfId="96" applyNumberFormat="1" applyFont="1" applyFill="1"/>
    <xf numFmtId="10" fontId="15" fillId="21" borderId="0" xfId="101" applyNumberFormat="1" applyFont="1" applyFill="1"/>
    <xf numFmtId="0" fontId="15" fillId="0" borderId="0" xfId="96" applyFont="1"/>
    <xf numFmtId="10" fontId="13" fillId="0" borderId="26" xfId="101" applyNumberFormat="1" applyFont="1" applyBorder="1"/>
    <xf numFmtId="9" fontId="13" fillId="0" borderId="26" xfId="101" applyFont="1" applyBorder="1"/>
    <xf numFmtId="10" fontId="15" fillId="21" borderId="23" xfId="101" applyNumberFormat="1" applyFont="1" applyFill="1" applyBorder="1"/>
    <xf numFmtId="10" fontId="13" fillId="0" borderId="0" xfId="96" applyNumberFormat="1" applyFont="1"/>
    <xf numFmtId="10" fontId="2" fillId="0" borderId="0" xfId="101" applyNumberFormat="1"/>
    <xf numFmtId="10" fontId="13" fillId="0" borderId="0" xfId="96" applyNumberFormat="1" applyFont="1" applyFill="1"/>
    <xf numFmtId="10" fontId="13" fillId="0" borderId="26" xfId="96" applyNumberFormat="1" applyFont="1" applyBorder="1"/>
    <xf numFmtId="0" fontId="2" fillId="18" borderId="0" xfId="96" applyFill="1"/>
    <xf numFmtId="0" fontId="15" fillId="22" borderId="0" xfId="96" applyFont="1" applyFill="1"/>
    <xf numFmtId="0" fontId="13" fillId="22" borderId="0" xfId="96" applyFont="1" applyFill="1"/>
    <xf numFmtId="186" fontId="43" fillId="0" borderId="0" xfId="88" applyNumberFormat="1" applyFont="1" applyFill="1" applyBorder="1" applyProtection="1"/>
    <xf numFmtId="37" fontId="72" fillId="0" borderId="0" xfId="93" applyFont="1" applyBorder="1" applyAlignment="1">
      <alignment horizontal="centerContinuous" vertical="center" wrapText="1"/>
    </xf>
    <xf numFmtId="37" fontId="72" fillId="0" borderId="0" xfId="93" applyFont="1"/>
    <xf numFmtId="37" fontId="16" fillId="0" borderId="0" xfId="93"/>
    <xf numFmtId="37" fontId="16" fillId="0" borderId="0" xfId="93" applyFill="1"/>
    <xf numFmtId="10" fontId="73" fillId="0" borderId="30" xfId="94" applyFont="1" applyBorder="1" applyAlignment="1">
      <alignment horizontal="centerContinuous" vertical="center" wrapText="1"/>
    </xf>
    <xf numFmtId="10" fontId="32" fillId="0" borderId="26" xfId="94" applyFont="1" applyBorder="1" applyAlignment="1" applyProtection="1">
      <alignment horizontal="centerContinuous" vertical="center" wrapText="1"/>
    </xf>
    <xf numFmtId="10" fontId="32" fillId="0" borderId="31" xfId="94" applyFont="1" applyBorder="1" applyAlignment="1" applyProtection="1">
      <alignment horizontal="centerContinuous" vertical="center" wrapText="1"/>
    </xf>
    <xf numFmtId="10" fontId="32" fillId="0" borderId="32" xfId="94" applyFont="1" applyBorder="1" applyAlignment="1" applyProtection="1">
      <alignment horizontal="centerContinuous" vertical="center" wrapText="1"/>
    </xf>
    <xf numFmtId="10" fontId="13" fillId="0" borderId="10" xfId="94" applyFont="1" applyBorder="1" applyAlignment="1">
      <alignment horizontal="centerContinuous" vertical="center" wrapText="1"/>
    </xf>
    <xf numFmtId="10" fontId="13" fillId="0" borderId="33" xfId="94" applyFont="1" applyBorder="1" applyAlignment="1">
      <alignment horizontal="centerContinuous" vertical="center" wrapText="1"/>
    </xf>
    <xf numFmtId="10" fontId="13" fillId="0" borderId="0" xfId="94" applyNumberFormat="1" applyFont="1" applyFill="1" applyAlignment="1" applyProtection="1"/>
    <xf numFmtId="10" fontId="13" fillId="0" borderId="0" xfId="94" applyFont="1" applyBorder="1" applyAlignment="1" applyProtection="1">
      <alignment horizontal="center"/>
    </xf>
    <xf numFmtId="10" fontId="13" fillId="0" borderId="0" xfId="94" applyNumberFormat="1" applyFont="1" applyFill="1" applyBorder="1" applyAlignment="1" applyProtection="1"/>
    <xf numFmtId="0" fontId="74" fillId="0" borderId="0" xfId="95" quotePrefix="1" applyFont="1" applyFill="1" applyBorder="1" applyAlignment="1" applyProtection="1">
      <alignment horizontal="centerContinuous" vertical="center" wrapText="1"/>
    </xf>
    <xf numFmtId="37" fontId="75" fillId="0" borderId="0" xfId="90" applyFont="1" applyBorder="1" applyAlignment="1">
      <alignment horizontal="centerContinuous" vertical="center" wrapText="1"/>
    </xf>
    <xf numFmtId="37" fontId="16" fillId="0" borderId="0" xfId="90" applyFont="1" applyAlignment="1" applyProtection="1">
      <alignment horizontal="left"/>
    </xf>
    <xf numFmtId="37" fontId="76"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1"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1" applyNumberFormat="1" applyFont="1" applyBorder="1"/>
    <xf numFmtId="37" fontId="18" fillId="0" borderId="16" xfId="0" applyFont="1" applyBorder="1"/>
    <xf numFmtId="168" fontId="16" fillId="0" borderId="26" xfId="101"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5" applyNumberFormat="1" applyFont="1" applyFill="1" applyBorder="1" applyAlignment="1">
      <alignment horizontal="center"/>
    </xf>
    <xf numFmtId="174" fontId="24" fillId="0" borderId="0" xfId="95"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1"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79" fillId="0" borderId="0" xfId="88" applyFont="1"/>
    <xf numFmtId="0" fontId="0" fillId="0" borderId="0" xfId="0" applyNumberFormat="1"/>
    <xf numFmtId="37" fontId="0" fillId="23" borderId="0" xfId="0" applyFill="1"/>
    <xf numFmtId="0" fontId="0" fillId="23" borderId="0" xfId="0" applyNumberFormat="1" applyFill="1"/>
    <xf numFmtId="10" fontId="28" fillId="0" borderId="0" xfId="94"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5" applyNumberFormat="1" applyFont="1"/>
    <xf numFmtId="7" fontId="4" fillId="0" borderId="0" xfId="94" applyNumberFormat="1"/>
    <xf numFmtId="7" fontId="4" fillId="0" borderId="10" xfId="94" applyNumberFormat="1" applyBorder="1" applyProtection="1"/>
    <xf numFmtId="10" fontId="80" fillId="0" borderId="0" xfId="94" applyNumberFormat="1" applyFont="1" applyFill="1" applyAlignment="1" applyProtection="1"/>
    <xf numFmtId="10" fontId="9" fillId="0" borderId="0" xfId="101" applyNumberFormat="1" applyFont="1"/>
    <xf numFmtId="10" fontId="13" fillId="0" borderId="0" xfId="90" applyNumberFormat="1" applyFont="1"/>
    <xf numFmtId="5" fontId="46" fillId="0" borderId="0" xfId="59" applyNumberFormat="1" applyFont="1" applyFill="1"/>
    <xf numFmtId="175" fontId="35" fillId="0" borderId="10" xfId="88" applyNumberFormat="1" applyFont="1" applyFill="1" applyBorder="1" applyProtection="1"/>
    <xf numFmtId="37" fontId="81" fillId="0" borderId="0" xfId="0" applyFont="1"/>
    <xf numFmtId="37" fontId="0" fillId="0" borderId="0" xfId="0" applyNumberFormat="1" applyFont="1"/>
    <xf numFmtId="10" fontId="21" fillId="0" borderId="0" xfId="101" applyNumberFormat="1" applyFont="1" applyFill="1" applyBorder="1"/>
    <xf numFmtId="10" fontId="16" fillId="0" borderId="0" xfId="101" applyNumberFormat="1" applyFont="1"/>
    <xf numFmtId="10" fontId="16" fillId="0" borderId="0" xfId="101" applyNumberFormat="1" applyFont="1" applyFill="1"/>
    <xf numFmtId="187" fontId="45" fillId="0" borderId="0" xfId="94" applyNumberFormat="1" applyFont="1" applyBorder="1"/>
    <xf numFmtId="5" fontId="19" fillId="0" borderId="0" xfId="59" applyNumberFormat="1" applyFont="1" applyFill="1" applyBorder="1"/>
    <xf numFmtId="37" fontId="18" fillId="0" borderId="16" xfId="0" applyFont="1" applyFill="1" applyBorder="1"/>
    <xf numFmtId="10" fontId="25" fillId="0" borderId="0" xfId="102" applyNumberFormat="1" applyFont="1" applyFill="1"/>
    <xf numFmtId="37" fontId="24" fillId="0" borderId="0" xfId="87" applyNumberFormat="1" applyFont="1" applyFill="1" applyBorder="1"/>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1" applyNumberFormat="1" applyFont="1" applyFill="1" applyBorder="1" applyAlignment="1">
      <alignment horizontal="center"/>
    </xf>
    <xf numFmtId="175" fontId="35" fillId="0" borderId="0" xfId="88" applyNumberFormat="1" applyFont="1" applyFill="1" applyBorder="1" applyProtection="1"/>
    <xf numFmtId="10" fontId="0" fillId="0" borderId="0" xfId="101" applyNumberFormat="1" applyFont="1"/>
    <xf numFmtId="10" fontId="22" fillId="0" borderId="0" xfId="101" applyNumberFormat="1" applyFont="1"/>
    <xf numFmtId="37" fontId="25" fillId="0" borderId="0" xfId="91"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4" applyFont="1" applyFill="1" applyBorder="1" applyAlignment="1" applyProtection="1"/>
    <xf numFmtId="14" fontId="5" fillId="0" borderId="0" xfId="91" applyNumberFormat="1" applyFont="1"/>
    <xf numFmtId="10" fontId="9" fillId="0" borderId="0" xfId="101" applyNumberFormat="1" applyFont="1" applyFill="1"/>
    <xf numFmtId="10" fontId="2" fillId="0" borderId="0" xfId="94" applyNumberFormat="1" applyFont="1" applyFill="1" applyBorder="1" applyAlignment="1" applyProtection="1"/>
    <xf numFmtId="168" fontId="13" fillId="0" borderId="0" xfId="94"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79" fillId="0" borderId="0" xfId="88" applyFont="1" applyFill="1"/>
    <xf numFmtId="0" fontId="5" fillId="0" borderId="0" xfId="88" applyFont="1" applyFill="1" applyBorder="1"/>
    <xf numFmtId="37" fontId="25" fillId="0" borderId="0" xfId="91" applyNumberFormat="1" applyFont="1" applyFill="1" applyBorder="1" applyAlignment="1">
      <alignment horizontal="center"/>
    </xf>
    <xf numFmtId="37" fontId="25" fillId="0" borderId="0" xfId="91" applyNumberFormat="1" applyFont="1" applyFill="1" applyAlignment="1" applyProtection="1"/>
    <xf numFmtId="17" fontId="25" fillId="0" borderId="0" xfId="91" applyNumberFormat="1" applyFont="1" applyFill="1" applyProtection="1"/>
    <xf numFmtId="17" fontId="25" fillId="0" borderId="0" xfId="91" applyNumberFormat="1" applyFont="1" applyFill="1" applyAlignment="1" applyProtection="1">
      <alignment horizontal="center"/>
    </xf>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5" applyNumberFormat="1" applyFont="1" applyFill="1"/>
    <xf numFmtId="0" fontId="10" fillId="0" borderId="0" xfId="95" applyFont="1" applyFill="1"/>
    <xf numFmtId="1" fontId="43" fillId="0" borderId="0" xfId="88" applyNumberFormat="1" applyFont="1" applyFill="1" applyBorder="1" applyProtection="1"/>
    <xf numFmtId="0" fontId="7" fillId="0" borderId="0" xfId="88" applyFont="1" applyBorder="1"/>
    <xf numFmtId="37" fontId="82" fillId="0" borderId="0" xfId="91" applyFont="1" applyFill="1" applyAlignment="1">
      <alignment horizontal="right"/>
    </xf>
    <xf numFmtId="5" fontId="13" fillId="0" borderId="0" xfId="94" applyNumberFormat="1" applyFont="1" applyFill="1" applyAlignment="1"/>
    <xf numFmtId="10" fontId="13" fillId="0" borderId="0" xfId="94" applyNumberFormat="1" applyFont="1" applyFill="1" applyAlignment="1"/>
    <xf numFmtId="10" fontId="5" fillId="0" borderId="0" xfId="94" applyFont="1" applyFill="1"/>
    <xf numFmtId="10" fontId="45" fillId="0" borderId="0" xfId="94" applyFont="1" applyFill="1" applyBorder="1"/>
    <xf numFmtId="10" fontId="5" fillId="0" borderId="0" xfId="94" applyFont="1" applyFill="1" applyBorder="1"/>
    <xf numFmtId="168" fontId="5" fillId="0" borderId="0" xfId="101" applyNumberFormat="1" applyFont="1" applyFill="1"/>
    <xf numFmtId="5" fontId="29" fillId="0" borderId="0" xfId="94" applyNumberFormat="1" applyFont="1" applyFill="1" applyBorder="1" applyAlignment="1" applyProtection="1"/>
    <xf numFmtId="182" fontId="28" fillId="0" borderId="0" xfId="94" applyNumberFormat="1" applyFont="1" applyFill="1" applyBorder="1" applyAlignment="1">
      <alignment horizontal="center"/>
    </xf>
    <xf numFmtId="165" fontId="13" fillId="0" borderId="0" xfId="94" applyNumberFormat="1" applyFont="1" applyFill="1" applyBorder="1" applyAlignment="1" applyProtection="1"/>
    <xf numFmtId="5" fontId="36" fillId="0" borderId="0" xfId="94" applyNumberFormat="1" applyFont="1" applyFill="1" applyBorder="1" applyAlignment="1" applyProtection="1"/>
    <xf numFmtId="189" fontId="13" fillId="0" borderId="0" xfId="55" applyNumberFormat="1" applyFont="1" applyFill="1" applyBorder="1" applyAlignment="1"/>
    <xf numFmtId="10" fontId="13" fillId="0" borderId="0" xfId="94" applyFont="1" applyFill="1" applyBorder="1"/>
    <xf numFmtId="10" fontId="36" fillId="0" borderId="0" xfId="94" applyFont="1" applyFill="1" applyBorder="1" applyAlignment="1"/>
    <xf numFmtId="10" fontId="13" fillId="0" borderId="0" xfId="94" applyFont="1" applyFill="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5" applyNumberFormat="1" applyFont="1" applyFill="1" applyAlignment="1">
      <alignment horizontal="left"/>
    </xf>
  </cellXfs>
  <cellStyles count="11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1"/>
    <cellStyle name="Comma0" xfId="58"/>
    <cellStyle name="Currency" xfId="59" builtinId="4"/>
    <cellStyle name="Currency 2" xfId="60"/>
    <cellStyle name="Currency 3" xfId="61"/>
    <cellStyle name="Currency 4" xfId="112"/>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0"/>
    <cellStyle name="Normal_AMACAPST" xfId="88"/>
    <cellStyle name="Normal_COC DEC 00 Company" xfId="89"/>
    <cellStyle name="Normal_COSTOF" xfId="90"/>
    <cellStyle name="Normal_COSTOFD" xfId="91"/>
    <cellStyle name="Normal_COSTOFPR" xfId="92"/>
    <cellStyle name="Normal_DEG-5C WACC Rate Yr beginning Jun-11 DRAFT2" xfId="93"/>
    <cellStyle name="Normal_RATEOFRE" xfId="94"/>
    <cellStyle name="Normal_SCHEDULE" xfId="95"/>
    <cellStyle name="Normal_WACC" xfId="96"/>
    <cellStyle name="Note" xfId="97" builtinId="10" customBuiltin="1"/>
    <cellStyle name="Note 2" xfId="98"/>
    <cellStyle name="Output" xfId="99" builtinId="21" customBuiltin="1"/>
    <cellStyle name="Output 2" xfId="100"/>
    <cellStyle name="Percent" xfId="101" builtinId="5"/>
    <cellStyle name="Percent 2" xfId="102"/>
    <cellStyle name="Percent 3" xfId="103"/>
    <cellStyle name="Percent 4" xfId="113"/>
    <cellStyle name="Title" xfId="104" builtinId="15" customBuiltin="1"/>
    <cellStyle name="Title 2" xfId="105"/>
    <cellStyle name="Total" xfId="106" builtinId="25" customBuiltin="1"/>
    <cellStyle name="Total 2" xfId="107"/>
    <cellStyle name="Warning Text" xfId="108" builtinId="11" customBuiltin="1"/>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260</v>
      </c>
      <c r="B1" s="478"/>
      <c r="C1" s="478"/>
      <c r="D1" s="478"/>
      <c r="E1" s="478"/>
      <c r="F1" s="478"/>
      <c r="G1" s="478"/>
      <c r="H1" s="478"/>
      <c r="I1" s="478"/>
      <c r="J1" s="478"/>
    </row>
    <row r="2" spans="1:10">
      <c r="A2" s="480" t="s">
        <v>204</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205</v>
      </c>
      <c r="C4" s="482" t="s">
        <v>11</v>
      </c>
      <c r="D4" s="482" t="s">
        <v>206</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207</v>
      </c>
      <c r="I7" s="480"/>
      <c r="J7" s="480"/>
    </row>
    <row r="8" spans="1:10" ht="13.5" thickBot="1">
      <c r="A8" s="480" t="s">
        <v>111</v>
      </c>
      <c r="B8" s="481" t="e">
        <f>#REF!</f>
        <v>#REF!</v>
      </c>
      <c r="C8" s="481" t="e">
        <f>#REF!</f>
        <v>#REF!</v>
      </c>
      <c r="D8" s="481" t="e">
        <f>ROUND(B8*C8,5)</f>
        <v>#REF!</v>
      </c>
      <c r="E8" s="480"/>
      <c r="F8" s="480"/>
      <c r="G8" s="485" t="e">
        <f>G7*0.65</f>
        <v>#REF!</v>
      </c>
      <c r="H8" s="480" t="s">
        <v>208</v>
      </c>
      <c r="I8" s="480"/>
      <c r="J8" s="480"/>
    </row>
    <row r="9" spans="1:10" ht="13.5" thickBot="1">
      <c r="A9" s="486" t="s">
        <v>217</v>
      </c>
      <c r="B9" s="487" t="e">
        <f>SUM(B5:B8)</f>
        <v>#REF!</v>
      </c>
      <c r="C9" s="488"/>
      <c r="D9" s="489" t="e">
        <f>SUM(D5:D8)</f>
        <v>#REF!</v>
      </c>
      <c r="E9" s="480"/>
      <c r="F9" s="480"/>
      <c r="G9" s="490" t="e">
        <f>SUM(B5:B6)</f>
        <v>#REF!</v>
      </c>
      <c r="H9" s="480" t="s">
        <v>210</v>
      </c>
      <c r="I9" s="480"/>
      <c r="J9" s="480"/>
    </row>
    <row r="10" spans="1:10" ht="13.5" thickBot="1">
      <c r="A10" s="480"/>
      <c r="B10" s="480"/>
      <c r="C10" s="480"/>
      <c r="D10" s="480"/>
      <c r="E10" s="480"/>
      <c r="F10" s="480"/>
      <c r="I10" s="480"/>
      <c r="J10" s="480"/>
    </row>
    <row r="11" spans="1:10" ht="13.5" thickBot="1">
      <c r="A11" s="486" t="s">
        <v>211</v>
      </c>
      <c r="B11" s="480"/>
      <c r="C11" s="480"/>
      <c r="D11" s="489" t="e">
        <f>(D6+D5)*0.65+D7+D8</f>
        <v>#REF!</v>
      </c>
      <c r="E11" s="480"/>
      <c r="F11" s="480"/>
      <c r="G11" s="480"/>
      <c r="H11" s="486" t="s">
        <v>212</v>
      </c>
      <c r="I11" s="480"/>
      <c r="J11" s="480"/>
    </row>
    <row r="12" spans="1:10">
      <c r="A12" s="480"/>
      <c r="B12" s="480"/>
      <c r="C12" s="480"/>
      <c r="D12" s="480"/>
      <c r="E12" s="480"/>
      <c r="G12" s="491" t="e">
        <f>G9*G8</f>
        <v>#REF!</v>
      </c>
      <c r="H12" s="479" t="s">
        <v>213</v>
      </c>
      <c r="I12" s="480"/>
      <c r="J12" s="480"/>
    </row>
    <row r="13" spans="1:10">
      <c r="A13" s="480"/>
      <c r="B13" s="480"/>
      <c r="C13" s="480"/>
      <c r="D13" s="480"/>
      <c r="E13" s="480"/>
      <c r="F13" s="480"/>
      <c r="G13" s="490">
        <f>D7</f>
        <v>0</v>
      </c>
      <c r="H13" s="479" t="s">
        <v>214</v>
      </c>
      <c r="I13" s="480"/>
      <c r="J13" s="480"/>
    </row>
    <row r="14" spans="1:10">
      <c r="A14" s="480" t="s">
        <v>215</v>
      </c>
      <c r="B14" s="480"/>
      <c r="C14" s="480"/>
      <c r="D14" s="492" t="e">
        <f>D11/0.65</f>
        <v>#REF!</v>
      </c>
      <c r="E14" s="480"/>
      <c r="F14" s="480"/>
      <c r="G14" s="490" t="e">
        <f>D8</f>
        <v>#REF!</v>
      </c>
      <c r="H14" s="479" t="s">
        <v>216</v>
      </c>
      <c r="I14" s="480"/>
      <c r="J14" s="480"/>
    </row>
    <row r="15" spans="1:10">
      <c r="A15" s="480"/>
      <c r="B15" s="480"/>
      <c r="C15" s="480"/>
      <c r="D15" s="480"/>
      <c r="E15" s="480"/>
      <c r="F15" s="481"/>
      <c r="G15" s="493" t="e">
        <f>SUM(G12:G14)</f>
        <v>#REF!</v>
      </c>
      <c r="H15" s="480"/>
      <c r="I15" s="480"/>
      <c r="J15" s="480"/>
    </row>
    <row r="17" spans="1:10">
      <c r="A17" s="477" t="s">
        <v>253</v>
      </c>
      <c r="B17" s="478"/>
      <c r="C17" s="478"/>
      <c r="D17" s="478"/>
      <c r="E17" s="478"/>
      <c r="F17" s="478"/>
      <c r="G17" s="478"/>
      <c r="H17" s="478"/>
      <c r="I17" s="478"/>
      <c r="J17" s="478"/>
    </row>
    <row r="18" spans="1:10">
      <c r="A18" s="480" t="s">
        <v>204</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205</v>
      </c>
      <c r="C20" s="482" t="s">
        <v>11</v>
      </c>
      <c r="D20" s="482" t="s">
        <v>206</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207</v>
      </c>
      <c r="I23" s="480"/>
      <c r="J23" s="480"/>
    </row>
    <row r="24" spans="1:10" ht="13.5" thickBot="1">
      <c r="A24" s="480" t="s">
        <v>111</v>
      </c>
      <c r="B24" s="481">
        <v>0.48299999999999998</v>
      </c>
      <c r="C24" s="481" t="e">
        <f>#REF!</f>
        <v>#REF!</v>
      </c>
      <c r="D24" s="481" t="e">
        <f>ROUND(B24*C24,5)</f>
        <v>#REF!</v>
      </c>
      <c r="E24" s="480"/>
      <c r="F24" s="480"/>
      <c r="G24" s="485">
        <f>G23*0.65</f>
        <v>4.0472771760154742E-2</v>
      </c>
      <c r="H24" s="480" t="s">
        <v>208</v>
      </c>
      <c r="I24" s="480"/>
      <c r="J24" s="480"/>
    </row>
    <row r="25" spans="1:10" ht="13.5" thickBot="1">
      <c r="A25" s="486" t="s">
        <v>217</v>
      </c>
      <c r="B25" s="487">
        <f>SUM(B21:B24)</f>
        <v>0.99999999999999989</v>
      </c>
      <c r="C25" s="488"/>
      <c r="D25" s="489" t="e">
        <f>SUM(D21:D24)</f>
        <v>#REF!</v>
      </c>
      <c r="E25" s="480"/>
      <c r="F25" s="480"/>
      <c r="G25" s="490">
        <f>SUM(B21:B22)</f>
        <v>0.5169999999999999</v>
      </c>
      <c r="H25" s="480" t="s">
        <v>210</v>
      </c>
      <c r="I25" s="480"/>
      <c r="J25" s="480"/>
    </row>
    <row r="26" spans="1:10" ht="13.5" thickBot="1">
      <c r="A26" s="480"/>
      <c r="B26" s="480"/>
      <c r="C26" s="480"/>
      <c r="D26" s="480"/>
      <c r="E26" s="480"/>
      <c r="F26" s="480"/>
      <c r="I26" s="480"/>
      <c r="J26" s="480"/>
    </row>
    <row r="27" spans="1:10" ht="13.5" thickBot="1">
      <c r="A27" s="486" t="s">
        <v>211</v>
      </c>
      <c r="B27" s="480"/>
      <c r="C27" s="480"/>
      <c r="D27" s="489" t="e">
        <f>(D22+D21)*0.65+D23+D24</f>
        <v>#REF!</v>
      </c>
      <c r="E27" s="480"/>
      <c r="F27" s="480"/>
      <c r="G27" s="480"/>
      <c r="H27" s="486" t="s">
        <v>212</v>
      </c>
      <c r="I27" s="480"/>
      <c r="J27" s="480"/>
    </row>
    <row r="28" spans="1:10">
      <c r="A28" s="480"/>
      <c r="B28" s="480"/>
      <c r="C28" s="480"/>
      <c r="D28" s="480"/>
      <c r="E28" s="480"/>
      <c r="G28" s="491">
        <f>G25*G24</f>
        <v>2.0924422999999998E-2</v>
      </c>
      <c r="H28" s="479" t="s">
        <v>213</v>
      </c>
      <c r="I28" s="480"/>
      <c r="J28" s="480"/>
    </row>
    <row r="29" spans="1:10">
      <c r="A29" s="480"/>
      <c r="B29" s="480"/>
      <c r="C29" s="480"/>
      <c r="D29" s="480"/>
      <c r="E29" s="480"/>
      <c r="F29" s="480"/>
      <c r="G29" s="490">
        <f>D23</f>
        <v>0</v>
      </c>
      <c r="H29" s="479" t="s">
        <v>214</v>
      </c>
      <c r="I29" s="480"/>
      <c r="J29" s="480"/>
    </row>
    <row r="30" spans="1:10">
      <c r="A30" s="480" t="s">
        <v>215</v>
      </c>
      <c r="B30" s="480"/>
      <c r="C30" s="480"/>
      <c r="D30" s="492" t="e">
        <f>D27/0.65</f>
        <v>#REF!</v>
      </c>
      <c r="E30" s="480"/>
      <c r="F30" s="480"/>
      <c r="G30" s="490" t="e">
        <f>D24</f>
        <v>#REF!</v>
      </c>
      <c r="H30" s="479" t="s">
        <v>216</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252</v>
      </c>
      <c r="B33" s="478"/>
      <c r="C33" s="478"/>
      <c r="D33" s="478"/>
      <c r="E33" s="478"/>
      <c r="F33" s="478"/>
      <c r="G33" s="478"/>
      <c r="H33" s="478"/>
      <c r="I33" s="478"/>
      <c r="J33" s="478"/>
    </row>
    <row r="34" spans="1:10">
      <c r="A34" s="480" t="s">
        <v>204</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205</v>
      </c>
      <c r="C36" s="482" t="s">
        <v>11</v>
      </c>
      <c r="D36" s="482" t="s">
        <v>206</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207</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208</v>
      </c>
      <c r="I40" s="480"/>
      <c r="J40" s="480"/>
    </row>
    <row r="41" spans="1:10" ht="13.5" thickBot="1">
      <c r="A41" s="486" t="s">
        <v>217</v>
      </c>
      <c r="B41" s="487">
        <f>SUM(B37:B40)</f>
        <v>1</v>
      </c>
      <c r="C41" s="488"/>
      <c r="D41" s="489">
        <f>SUM(D37:D40)</f>
        <v>8.1460000000000005E-2</v>
      </c>
      <c r="E41" s="480"/>
      <c r="F41" s="480"/>
      <c r="G41" s="490">
        <f>SUM(B37:B38)</f>
        <v>0.51350000000000007</v>
      </c>
      <c r="H41" s="480" t="s">
        <v>210</v>
      </c>
      <c r="I41" s="480"/>
      <c r="J41" s="480"/>
    </row>
    <row r="42" spans="1:10" ht="13.5" thickBot="1">
      <c r="A42" s="480"/>
      <c r="B42" s="480"/>
      <c r="C42" s="480"/>
      <c r="D42" s="480"/>
      <c r="E42" s="480"/>
      <c r="F42" s="480"/>
      <c r="I42" s="480"/>
      <c r="J42" s="480"/>
    </row>
    <row r="43" spans="1:10" ht="13.5" thickBot="1">
      <c r="A43" s="486" t="s">
        <v>211</v>
      </c>
      <c r="B43" s="480"/>
      <c r="C43" s="480"/>
      <c r="D43" s="489">
        <f>(D38+D37)*0.65+D39+D40</f>
        <v>7.0148000000000002E-2</v>
      </c>
      <c r="E43" s="480"/>
      <c r="F43" s="480"/>
      <c r="G43" s="480"/>
      <c r="H43" s="486" t="s">
        <v>212</v>
      </c>
      <c r="I43" s="480"/>
      <c r="J43" s="480"/>
    </row>
    <row r="44" spans="1:10">
      <c r="A44" s="480"/>
      <c r="B44" s="480"/>
      <c r="C44" s="480"/>
      <c r="D44" s="480"/>
      <c r="E44" s="480"/>
      <c r="G44" s="491">
        <f>G41*G40</f>
        <v>2.1006394500000001E-2</v>
      </c>
      <c r="H44" s="479" t="s">
        <v>213</v>
      </c>
      <c r="I44" s="480"/>
      <c r="J44" s="480"/>
    </row>
    <row r="45" spans="1:10">
      <c r="A45" s="480"/>
      <c r="B45" s="480"/>
      <c r="C45" s="480"/>
      <c r="D45" s="480"/>
      <c r="E45" s="480"/>
      <c r="F45" s="480"/>
      <c r="G45" s="490">
        <f>D39</f>
        <v>0</v>
      </c>
      <c r="H45" s="479" t="s">
        <v>214</v>
      </c>
      <c r="I45" s="480"/>
      <c r="J45" s="480"/>
    </row>
    <row r="46" spans="1:10">
      <c r="A46" s="480" t="s">
        <v>215</v>
      </c>
      <c r="B46" s="480"/>
      <c r="C46" s="480"/>
      <c r="D46" s="492">
        <f>D43/0.65</f>
        <v>0.10792</v>
      </c>
      <c r="E46" s="480"/>
      <c r="F46" s="480"/>
      <c r="G46" s="490">
        <f>D40</f>
        <v>4.9140000000000003E-2</v>
      </c>
      <c r="H46" s="479" t="s">
        <v>216</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220</v>
      </c>
      <c r="B49" s="478"/>
      <c r="C49" s="478"/>
      <c r="D49" s="478"/>
      <c r="E49" s="478"/>
      <c r="F49" s="478"/>
      <c r="G49" s="478"/>
      <c r="H49" s="494"/>
      <c r="I49" s="494"/>
      <c r="J49" s="494"/>
    </row>
    <row r="50" spans="1:10">
      <c r="A50" s="480" t="s">
        <v>204</v>
      </c>
      <c r="B50" s="480"/>
      <c r="C50" s="480"/>
      <c r="D50" s="480"/>
      <c r="E50" s="480"/>
      <c r="F50" s="480"/>
      <c r="G50" s="480"/>
    </row>
    <row r="51" spans="1:10">
      <c r="A51" s="480"/>
      <c r="B51" s="480"/>
      <c r="C51" s="480"/>
      <c r="D51" s="480"/>
      <c r="E51" s="480"/>
      <c r="F51" s="480"/>
      <c r="G51" s="480"/>
    </row>
    <row r="52" spans="1:10">
      <c r="A52" s="480"/>
      <c r="B52" s="482" t="s">
        <v>205</v>
      </c>
      <c r="C52" s="482" t="s">
        <v>11</v>
      </c>
      <c r="D52" s="482" t="s">
        <v>206</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207</v>
      </c>
    </row>
    <row r="56" spans="1:10" ht="13.5" thickBot="1">
      <c r="A56" s="480" t="s">
        <v>111</v>
      </c>
      <c r="B56" s="481">
        <v>0.48459999999999998</v>
      </c>
      <c r="C56" s="481">
        <v>0.10100000000000001</v>
      </c>
      <c r="D56" s="483">
        <f>B56*C56</f>
        <v>4.8944599999999998E-2</v>
      </c>
      <c r="E56" s="480"/>
      <c r="F56" s="480"/>
      <c r="G56" s="485">
        <f>G55*0.65</f>
        <v>4.2452365153279013E-2</v>
      </c>
      <c r="H56" s="480" t="s">
        <v>208</v>
      </c>
    </row>
    <row r="57" spans="1:10" ht="13.5" thickBot="1">
      <c r="A57" s="486" t="s">
        <v>217</v>
      </c>
      <c r="B57" s="487">
        <f>SUM(B53:B56)</f>
        <v>1</v>
      </c>
      <c r="C57" s="488"/>
      <c r="D57" s="489">
        <f>SUM(D53:D56)</f>
        <v>8.2606060000000009E-2</v>
      </c>
      <c r="E57" s="480"/>
      <c r="F57" s="480"/>
      <c r="G57" s="490">
        <f>SUM(B53:B54)</f>
        <v>0.51539999999999997</v>
      </c>
      <c r="H57" s="480" t="s">
        <v>210</v>
      </c>
    </row>
    <row r="58" spans="1:10" ht="13.5" thickBot="1">
      <c r="A58" s="480"/>
      <c r="B58" s="480"/>
      <c r="C58" s="480"/>
      <c r="D58" s="480"/>
      <c r="E58" s="480"/>
      <c r="F58" s="480"/>
    </row>
    <row r="59" spans="1:10" ht="13.5" thickBot="1">
      <c r="A59" s="486" t="s">
        <v>211</v>
      </c>
      <c r="B59" s="480"/>
      <c r="C59" s="480"/>
      <c r="D59" s="489">
        <f>(D54+D53)*0.65+D55+D56</f>
        <v>7.0824549000000001E-2</v>
      </c>
      <c r="E59" s="480"/>
      <c r="F59" s="480"/>
      <c r="G59" s="480"/>
      <c r="H59" s="486" t="s">
        <v>212</v>
      </c>
    </row>
    <row r="60" spans="1:10">
      <c r="A60" s="480"/>
      <c r="B60" s="480"/>
      <c r="C60" s="480"/>
      <c r="D60" s="480"/>
      <c r="E60" s="480"/>
      <c r="G60" s="491">
        <f>G57*G56</f>
        <v>2.1879949000000003E-2</v>
      </c>
      <c r="H60" s="479" t="s">
        <v>213</v>
      </c>
    </row>
    <row r="61" spans="1:10">
      <c r="A61" s="480"/>
      <c r="B61" s="480"/>
      <c r="C61" s="480"/>
      <c r="D61" s="480"/>
      <c r="E61" s="480"/>
      <c r="F61" s="480"/>
      <c r="G61" s="490">
        <f>D55</f>
        <v>0</v>
      </c>
      <c r="H61" s="479" t="s">
        <v>214</v>
      </c>
    </row>
    <row r="62" spans="1:10">
      <c r="A62" s="480" t="s">
        <v>215</v>
      </c>
      <c r="B62" s="480"/>
      <c r="C62" s="480"/>
      <c r="D62" s="492">
        <f>D59/0.65</f>
        <v>0.10896084461538462</v>
      </c>
      <c r="E62" s="480"/>
      <c r="F62" s="480"/>
      <c r="G62" s="490">
        <f>D56</f>
        <v>4.8944599999999998E-2</v>
      </c>
      <c r="H62" s="479" t="s">
        <v>216</v>
      </c>
    </row>
    <row r="63" spans="1:10">
      <c r="A63" s="480"/>
      <c r="B63" s="480"/>
      <c r="C63" s="480"/>
      <c r="D63" s="480"/>
      <c r="E63" s="480"/>
      <c r="F63" s="481"/>
      <c r="G63" s="493">
        <f>SUM(G60:G62)</f>
        <v>7.0824549000000001E-2</v>
      </c>
    </row>
    <row r="65" spans="1:10">
      <c r="A65" s="477" t="s">
        <v>218</v>
      </c>
      <c r="B65" s="478"/>
      <c r="C65" s="478"/>
      <c r="D65" s="478"/>
      <c r="E65" s="478"/>
      <c r="F65" s="478"/>
      <c r="G65" s="478"/>
      <c r="H65" s="494"/>
      <c r="I65" s="494"/>
      <c r="J65" s="494"/>
    </row>
    <row r="66" spans="1:10">
      <c r="A66" s="480" t="s">
        <v>204</v>
      </c>
      <c r="B66" s="480"/>
      <c r="C66" s="480"/>
      <c r="D66" s="480"/>
      <c r="E66" s="480"/>
      <c r="F66" s="480"/>
      <c r="G66" s="480"/>
    </row>
    <row r="67" spans="1:10">
      <c r="A67" s="480"/>
      <c r="B67" s="480"/>
      <c r="C67" s="480"/>
      <c r="D67" s="480"/>
      <c r="E67" s="480"/>
      <c r="F67" s="480"/>
      <c r="G67" s="480"/>
    </row>
    <row r="68" spans="1:10">
      <c r="A68" s="480"/>
      <c r="B68" s="482" t="s">
        <v>205</v>
      </c>
      <c r="C68" s="482" t="s">
        <v>11</v>
      </c>
      <c r="D68" s="482" t="s">
        <v>206</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207</v>
      </c>
    </row>
    <row r="72" spans="1:10" ht="13.5" thickBot="1">
      <c r="A72" s="480" t="s">
        <v>111</v>
      </c>
      <c r="B72" s="481">
        <v>0.50770000000000004</v>
      </c>
      <c r="C72" s="481">
        <v>0.10150000000000001</v>
      </c>
      <c r="D72" s="483">
        <f>B72*C72</f>
        <v>5.1531550000000009E-2</v>
      </c>
      <c r="E72" s="480"/>
      <c r="F72" s="480"/>
      <c r="G72" s="485">
        <f>G71*0.65</f>
        <v>4.2961833300457983E-2</v>
      </c>
      <c r="H72" s="480" t="s">
        <v>208</v>
      </c>
    </row>
    <row r="73" spans="1:10" ht="13.5" thickBot="1">
      <c r="A73" s="486" t="s">
        <v>217</v>
      </c>
      <c r="B73" s="487">
        <f>SUM(B69:B72)</f>
        <v>1</v>
      </c>
      <c r="C73" s="488"/>
      <c r="D73" s="489">
        <f>SUM(D69:D72)</f>
        <v>8.4070181590485335E-2</v>
      </c>
      <c r="E73" s="480"/>
      <c r="F73" s="480"/>
      <c r="G73" s="490">
        <f>SUM(B69:B70)</f>
        <v>0.49230000000000002</v>
      </c>
      <c r="H73" s="480" t="s">
        <v>210</v>
      </c>
    </row>
    <row r="74" spans="1:10" ht="13.5" thickBot="1">
      <c r="A74" s="480"/>
      <c r="B74" s="480"/>
      <c r="C74" s="480"/>
      <c r="D74" s="480"/>
      <c r="E74" s="480"/>
      <c r="F74" s="480"/>
    </row>
    <row r="75" spans="1:10" ht="13.5" thickBot="1">
      <c r="A75" s="486" t="s">
        <v>211</v>
      </c>
      <c r="B75" s="480"/>
      <c r="C75" s="480"/>
      <c r="D75" s="489">
        <f>(D70+D69)*0.65+D71+D72</f>
        <v>7.2681660533815473E-2</v>
      </c>
      <c r="E75" s="480"/>
      <c r="F75" s="480"/>
      <c r="G75" s="480"/>
      <c r="H75" s="486" t="s">
        <v>212</v>
      </c>
    </row>
    <row r="76" spans="1:10">
      <c r="A76" s="480"/>
      <c r="B76" s="480"/>
      <c r="C76" s="480"/>
      <c r="D76" s="480"/>
      <c r="E76" s="480"/>
      <c r="G76" s="491">
        <f>G73*G72</f>
        <v>2.1150110533815467E-2</v>
      </c>
      <c r="H76" s="479" t="s">
        <v>213</v>
      </c>
    </row>
    <row r="77" spans="1:10">
      <c r="A77" s="480"/>
      <c r="B77" s="480"/>
      <c r="C77" s="480"/>
      <c r="D77" s="480"/>
      <c r="E77" s="480"/>
      <c r="F77" s="480"/>
      <c r="G77" s="490">
        <f>D71</f>
        <v>0</v>
      </c>
      <c r="H77" s="479" t="s">
        <v>214</v>
      </c>
    </row>
    <row r="78" spans="1:10">
      <c r="A78" s="480" t="s">
        <v>215</v>
      </c>
      <c r="B78" s="480"/>
      <c r="C78" s="480"/>
      <c r="D78" s="492">
        <f>D75/0.65</f>
        <v>0.11181793928279303</v>
      </c>
      <c r="E78" s="480"/>
      <c r="F78" s="480"/>
      <c r="G78" s="490">
        <f>D72</f>
        <v>5.1531550000000009E-2</v>
      </c>
      <c r="H78" s="479" t="s">
        <v>216</v>
      </c>
    </row>
    <row r="79" spans="1:10">
      <c r="A79" s="480"/>
      <c r="B79" s="480"/>
      <c r="C79" s="480"/>
      <c r="D79" s="480"/>
      <c r="E79" s="480"/>
      <c r="F79" s="481"/>
      <c r="G79" s="493">
        <f>SUM(G76:G78)</f>
        <v>7.2681660533815473E-2</v>
      </c>
    </row>
    <row r="83" spans="1:10">
      <c r="A83" s="477" t="s">
        <v>219</v>
      </c>
      <c r="B83" s="478"/>
      <c r="C83" s="478"/>
      <c r="D83" s="478"/>
      <c r="E83" s="478"/>
      <c r="F83" s="478"/>
      <c r="G83" s="478"/>
      <c r="H83" s="494"/>
      <c r="I83" s="494"/>
      <c r="J83" s="494"/>
    </row>
    <row r="84" spans="1:10">
      <c r="A84" s="480" t="s">
        <v>204</v>
      </c>
      <c r="B84" s="480"/>
      <c r="C84" s="480"/>
      <c r="D84" s="480"/>
      <c r="E84" s="480"/>
      <c r="F84" s="480"/>
      <c r="G84" s="480"/>
    </row>
    <row r="85" spans="1:10">
      <c r="A85" s="480"/>
      <c r="B85" s="480"/>
      <c r="C85" s="480"/>
      <c r="D85" s="480"/>
      <c r="E85" s="480"/>
      <c r="F85" s="480"/>
      <c r="G85" s="480"/>
    </row>
    <row r="86" spans="1:10">
      <c r="A86" s="480"/>
      <c r="B86" s="482" t="s">
        <v>205</v>
      </c>
      <c r="C86" s="482" t="s">
        <v>11</v>
      </c>
      <c r="D86" s="482" t="s">
        <v>206</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207</v>
      </c>
    </row>
    <row r="90" spans="1:10" ht="13.5" thickBot="1">
      <c r="A90" s="480" t="s">
        <v>111</v>
      </c>
      <c r="B90" s="481">
        <v>0.44669999999999999</v>
      </c>
      <c r="C90" s="481">
        <v>0.10150000000000001</v>
      </c>
      <c r="D90" s="483">
        <f>B90*C90</f>
        <v>4.534005E-2</v>
      </c>
      <c r="E90" s="480"/>
      <c r="F90" s="480"/>
      <c r="G90" s="485">
        <f>G89*0.65</f>
        <v>4.1844543012207677E-2</v>
      </c>
      <c r="H90" s="480" t="s">
        <v>208</v>
      </c>
    </row>
    <row r="91" spans="1:10" ht="13.5" thickBot="1">
      <c r="A91" s="486" t="s">
        <v>217</v>
      </c>
      <c r="B91" s="487">
        <f>SUM(B87:B90)</f>
        <v>0.99999999999999989</v>
      </c>
      <c r="C91" s="488"/>
      <c r="D91" s="489">
        <f>SUM(D87:D90)</f>
        <v>8.0965929670385905E-2</v>
      </c>
      <c r="E91" s="480"/>
      <c r="F91" s="480"/>
      <c r="G91" s="490">
        <f>SUM(B87:B88)</f>
        <v>0.55299999999999994</v>
      </c>
      <c r="H91" s="480" t="s">
        <v>210</v>
      </c>
    </row>
    <row r="92" spans="1:10" ht="13.5" thickBot="1">
      <c r="A92" s="480"/>
      <c r="B92" s="480"/>
      <c r="C92" s="480"/>
      <c r="D92" s="480"/>
      <c r="E92" s="480"/>
      <c r="F92" s="480"/>
    </row>
    <row r="93" spans="1:10" ht="13.5" thickBot="1">
      <c r="A93" s="486" t="s">
        <v>211</v>
      </c>
      <c r="B93" s="480"/>
      <c r="C93" s="480"/>
      <c r="D93" s="489">
        <f>(D88+D87)*0.65+D89+D90</f>
        <v>6.8505912285750842E-2</v>
      </c>
      <c r="E93" s="480"/>
      <c r="F93" s="480"/>
      <c r="G93" s="480"/>
      <c r="H93" s="486" t="s">
        <v>212</v>
      </c>
    </row>
    <row r="94" spans="1:10">
      <c r="A94" s="480"/>
      <c r="B94" s="480"/>
      <c r="C94" s="480"/>
      <c r="D94" s="480"/>
      <c r="E94" s="480"/>
      <c r="G94" s="491">
        <f>G91*G90</f>
        <v>2.3140032285750844E-2</v>
      </c>
      <c r="H94" s="479" t="s">
        <v>213</v>
      </c>
    </row>
    <row r="95" spans="1:10">
      <c r="A95" s="480"/>
      <c r="B95" s="480"/>
      <c r="C95" s="480"/>
      <c r="D95" s="480"/>
      <c r="E95" s="480"/>
      <c r="F95" s="480"/>
      <c r="G95" s="490">
        <f>D89</f>
        <v>2.5829999999999995E-5</v>
      </c>
      <c r="H95" s="479" t="s">
        <v>214</v>
      </c>
    </row>
    <row r="96" spans="1:10">
      <c r="A96" s="480" t="s">
        <v>215</v>
      </c>
      <c r="B96" s="480"/>
      <c r="C96" s="480"/>
      <c r="D96" s="492">
        <f>D93/0.65</f>
        <v>0.10539371120884744</v>
      </c>
      <c r="E96" s="480"/>
      <c r="F96" s="480"/>
      <c r="G96" s="490">
        <f>D90</f>
        <v>4.534005E-2</v>
      </c>
      <c r="H96" s="479" t="s">
        <v>216</v>
      </c>
    </row>
    <row r="97" spans="1:10">
      <c r="A97" s="480"/>
      <c r="B97" s="480"/>
      <c r="C97" s="480"/>
      <c r="D97" s="480"/>
      <c r="E97" s="480"/>
      <c r="F97" s="481"/>
      <c r="G97" s="493">
        <f>SUM(G94:G96)</f>
        <v>6.8505912285750842E-2</v>
      </c>
    </row>
    <row r="101" spans="1:10">
      <c r="A101" s="495" t="s">
        <v>221</v>
      </c>
      <c r="B101" s="496"/>
      <c r="C101" s="496"/>
      <c r="D101" s="496"/>
      <c r="E101" s="496"/>
      <c r="F101" s="496"/>
      <c r="G101" s="496"/>
      <c r="H101" s="496"/>
      <c r="I101" s="496"/>
      <c r="J101" s="496"/>
    </row>
    <row r="102" spans="1:10">
      <c r="A102" s="480" t="s">
        <v>204</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205</v>
      </c>
      <c r="C104" s="482" t="s">
        <v>11</v>
      </c>
      <c r="D104" s="482" t="s">
        <v>206</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207</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208</v>
      </c>
      <c r="I108" s="480"/>
      <c r="J108" s="480"/>
    </row>
    <row r="109" spans="1:10" ht="13.5" thickBot="1">
      <c r="A109" s="486" t="s">
        <v>209</v>
      </c>
      <c r="B109" s="487">
        <f>SUM(B105:B108)</f>
        <v>1</v>
      </c>
      <c r="C109" s="488"/>
      <c r="D109" s="489">
        <f>SUM(D105:D108)</f>
        <v>8.1000000000000003E-2</v>
      </c>
      <c r="E109" s="480"/>
      <c r="F109" s="480"/>
      <c r="G109" s="490">
        <f>SUM(B105:B106)</f>
        <v>0.53999999999999992</v>
      </c>
      <c r="H109" s="480" t="s">
        <v>210</v>
      </c>
      <c r="I109" s="480"/>
      <c r="J109" s="480"/>
    </row>
    <row r="110" spans="1:10" ht="13.5" thickBot="1">
      <c r="A110" s="480"/>
      <c r="B110" s="480"/>
      <c r="C110" s="480"/>
      <c r="D110" s="480"/>
      <c r="E110" s="480"/>
      <c r="F110" s="480"/>
      <c r="I110" s="480"/>
      <c r="J110" s="480"/>
    </row>
    <row r="111" spans="1:10" ht="13.5" thickBot="1">
      <c r="A111" s="486" t="s">
        <v>211</v>
      </c>
      <c r="B111" s="480"/>
      <c r="C111" s="480"/>
      <c r="D111" s="489">
        <f>(D106+D105)*0.65+D107+D108</f>
        <v>6.8925E-2</v>
      </c>
      <c r="E111" s="480"/>
      <c r="F111" s="480"/>
      <c r="G111" s="480"/>
      <c r="H111" s="486" t="s">
        <v>212</v>
      </c>
      <c r="I111" s="480"/>
      <c r="J111" s="480"/>
    </row>
    <row r="112" spans="1:10">
      <c r="A112" s="480"/>
      <c r="B112" s="480"/>
      <c r="C112" s="480"/>
      <c r="D112" s="480"/>
      <c r="E112" s="480"/>
      <c r="G112" s="491">
        <f>G109*G108</f>
        <v>2.2430947499999999E-2</v>
      </c>
      <c r="H112" s="479" t="s">
        <v>213</v>
      </c>
      <c r="I112" s="480"/>
      <c r="J112" s="480"/>
    </row>
    <row r="113" spans="1:10">
      <c r="A113" s="480"/>
      <c r="B113" s="480"/>
      <c r="C113" s="480"/>
      <c r="D113" s="480"/>
      <c r="E113" s="480"/>
      <c r="F113" s="480"/>
      <c r="G113" s="490">
        <f>D107</f>
        <v>0</v>
      </c>
      <c r="H113" s="479" t="s">
        <v>214</v>
      </c>
      <c r="I113" s="480"/>
      <c r="J113" s="480"/>
    </row>
    <row r="114" spans="1:10">
      <c r="A114" s="480" t="s">
        <v>215</v>
      </c>
      <c r="B114" s="480"/>
      <c r="C114" s="480"/>
      <c r="D114" s="492">
        <f>D111/0.65</f>
        <v>0.10603846153846154</v>
      </c>
      <c r="E114" s="480"/>
      <c r="F114" s="480"/>
      <c r="G114" s="490">
        <f>D108</f>
        <v>4.65E-2</v>
      </c>
      <c r="H114" s="479" t="s">
        <v>216</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222</v>
      </c>
      <c r="B119" s="496"/>
      <c r="C119" s="496"/>
      <c r="D119" s="496"/>
      <c r="E119" s="496"/>
      <c r="F119" s="496"/>
      <c r="G119" s="496"/>
      <c r="H119" s="496"/>
      <c r="I119" s="496"/>
      <c r="J119" s="496"/>
    </row>
    <row r="120" spans="1:10">
      <c r="A120" s="480" t="s">
        <v>204</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205</v>
      </c>
      <c r="C122" s="482" t="s">
        <v>11</v>
      </c>
      <c r="D122" s="482" t="s">
        <v>206</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207</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208</v>
      </c>
      <c r="I126" s="480"/>
      <c r="J126" s="480"/>
    </row>
    <row r="127" spans="1:10" ht="13.5" thickBot="1">
      <c r="A127" s="486" t="s">
        <v>209</v>
      </c>
      <c r="B127" s="487">
        <f>SUM(B123:B126)</f>
        <v>1</v>
      </c>
      <c r="C127" s="488"/>
      <c r="D127" s="489">
        <f>SUM(D123:D126)</f>
        <v>8.249999999999999E-2</v>
      </c>
      <c r="E127" s="480"/>
      <c r="F127" s="480"/>
      <c r="G127" s="490">
        <f>SUM(B123:B124)</f>
        <v>0.53969999999999996</v>
      </c>
      <c r="H127" s="480" t="s">
        <v>210</v>
      </c>
      <c r="I127" s="480"/>
      <c r="J127" s="480"/>
    </row>
    <row r="128" spans="1:10" ht="13.5" thickBot="1">
      <c r="A128" s="480"/>
      <c r="B128" s="480"/>
      <c r="C128" s="480"/>
      <c r="D128" s="480"/>
      <c r="E128" s="480"/>
      <c r="F128" s="480"/>
      <c r="I128" s="480"/>
      <c r="J128" s="480"/>
    </row>
    <row r="129" spans="1:10" ht="13.5" thickBot="1">
      <c r="A129" s="486" t="s">
        <v>211</v>
      </c>
      <c r="B129" s="480"/>
      <c r="C129" s="480"/>
      <c r="D129" s="489">
        <f>(D124+D123)*0.65+D125+D126</f>
        <v>6.9970000000000004E-2</v>
      </c>
      <c r="E129" s="480"/>
      <c r="F129" s="480"/>
      <c r="G129" s="480"/>
      <c r="H129" s="486" t="s">
        <v>212</v>
      </c>
      <c r="I129" s="480"/>
      <c r="J129" s="480"/>
    </row>
    <row r="130" spans="1:10">
      <c r="A130" s="480"/>
      <c r="B130" s="480"/>
      <c r="C130" s="480"/>
      <c r="D130" s="480"/>
      <c r="E130" s="480"/>
      <c r="G130" s="491">
        <f>G127*G126</f>
        <v>2.3305080499999999E-2</v>
      </c>
      <c r="H130" s="479" t="s">
        <v>213</v>
      </c>
      <c r="I130" s="480"/>
      <c r="J130" s="480"/>
    </row>
    <row r="131" spans="1:10">
      <c r="A131" s="480"/>
      <c r="B131" s="480"/>
      <c r="C131" s="480"/>
      <c r="D131" s="480"/>
      <c r="E131" s="480"/>
      <c r="F131" s="480"/>
      <c r="G131" s="490">
        <f>D125</f>
        <v>0</v>
      </c>
      <c r="H131" s="479" t="s">
        <v>214</v>
      </c>
      <c r="I131" s="480"/>
      <c r="J131" s="480"/>
    </row>
    <row r="132" spans="1:10">
      <c r="A132" s="480" t="s">
        <v>215</v>
      </c>
      <c r="B132" s="480"/>
      <c r="C132" s="480"/>
      <c r="D132" s="492">
        <f>D129/0.65</f>
        <v>0.10764615384615385</v>
      </c>
      <c r="E132" s="480"/>
      <c r="F132" s="480"/>
      <c r="G132" s="490">
        <f>D126</f>
        <v>4.6699999999999998E-2</v>
      </c>
      <c r="H132" s="479" t="s">
        <v>216</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560" customWidth="1"/>
    <col min="5" max="5" width="10.83203125" style="556"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0" t="s">
        <v>286</v>
      </c>
    </row>
    <row r="2" spans="2:15">
      <c r="C2">
        <v>1000</v>
      </c>
      <c r="E2" s="556">
        <v>18900013</v>
      </c>
      <c r="H2" t="s">
        <v>261</v>
      </c>
      <c r="K2">
        <v>52742</v>
      </c>
      <c r="M2">
        <v>52742</v>
      </c>
      <c r="O2">
        <v>0</v>
      </c>
    </row>
    <row r="3" spans="2:15">
      <c r="C3">
        <v>1000</v>
      </c>
      <c r="E3" s="556">
        <v>18900173</v>
      </c>
      <c r="H3" t="s">
        <v>262</v>
      </c>
      <c r="K3">
        <v>1702874.8</v>
      </c>
      <c r="M3">
        <v>1702874.8</v>
      </c>
      <c r="O3">
        <v>0</v>
      </c>
    </row>
    <row r="4" spans="2:15">
      <c r="C4">
        <v>1000</v>
      </c>
      <c r="E4" s="556">
        <v>18900183</v>
      </c>
      <c r="H4" t="s">
        <v>263</v>
      </c>
      <c r="K4">
        <v>365936.61</v>
      </c>
      <c r="M4">
        <v>365936.61</v>
      </c>
      <c r="O4">
        <v>0</v>
      </c>
    </row>
    <row r="5" spans="2:15">
      <c r="C5">
        <v>1000</v>
      </c>
      <c r="E5" s="556">
        <v>18900193</v>
      </c>
      <c r="H5" t="s">
        <v>264</v>
      </c>
      <c r="K5">
        <v>3083205.61</v>
      </c>
      <c r="M5">
        <v>3083205.61</v>
      </c>
      <c r="O5">
        <v>0</v>
      </c>
    </row>
    <row r="6" spans="2:15">
      <c r="C6">
        <v>1000</v>
      </c>
      <c r="E6" s="556">
        <v>18900243</v>
      </c>
      <c r="H6" t="s">
        <v>265</v>
      </c>
      <c r="K6">
        <v>15744.35</v>
      </c>
      <c r="M6">
        <v>15744.35</v>
      </c>
      <c r="O6">
        <v>0</v>
      </c>
    </row>
    <row r="7" spans="2:15">
      <c r="C7">
        <v>1000</v>
      </c>
      <c r="E7" s="556">
        <v>18900253</v>
      </c>
      <c r="H7" t="s">
        <v>266</v>
      </c>
      <c r="K7">
        <v>780747.67</v>
      </c>
      <c r="M7">
        <v>780747.67</v>
      </c>
      <c r="O7">
        <v>0</v>
      </c>
    </row>
    <row r="8" spans="2:15">
      <c r="C8">
        <v>1000</v>
      </c>
      <c r="E8" s="556">
        <v>18900263</v>
      </c>
      <c r="H8" t="s">
        <v>267</v>
      </c>
      <c r="K8">
        <v>593303.81999999995</v>
      </c>
      <c r="M8">
        <v>593303.81999999995</v>
      </c>
      <c r="O8">
        <v>0</v>
      </c>
    </row>
    <row r="9" spans="2:15">
      <c r="C9">
        <v>1000</v>
      </c>
      <c r="E9" s="556">
        <v>18900273</v>
      </c>
      <c r="H9" t="s">
        <v>268</v>
      </c>
      <c r="K9">
        <v>1816669.69</v>
      </c>
      <c r="M9">
        <v>1816669.69</v>
      </c>
      <c r="O9">
        <v>0</v>
      </c>
    </row>
    <row r="10" spans="2:15">
      <c r="C10">
        <v>1000</v>
      </c>
      <c r="E10" s="556">
        <v>18900283</v>
      </c>
      <c r="H10" t="s">
        <v>269</v>
      </c>
      <c r="K10">
        <v>554446.11</v>
      </c>
      <c r="M10">
        <v>554446.11</v>
      </c>
      <c r="O10">
        <v>0</v>
      </c>
    </row>
    <row r="11" spans="2:15">
      <c r="C11">
        <v>1000</v>
      </c>
      <c r="E11" s="556">
        <v>18900293</v>
      </c>
      <c r="H11" t="s">
        <v>270</v>
      </c>
      <c r="K11">
        <v>9128.82</v>
      </c>
      <c r="M11">
        <v>9128.82</v>
      </c>
      <c r="O11">
        <v>0</v>
      </c>
    </row>
    <row r="12" spans="2:15">
      <c r="C12">
        <v>1000</v>
      </c>
      <c r="E12" s="556">
        <v>18900303</v>
      </c>
      <c r="H12" t="s">
        <v>271</v>
      </c>
      <c r="K12">
        <v>21299.61</v>
      </c>
      <c r="M12">
        <v>21299.61</v>
      </c>
      <c r="O12">
        <v>0</v>
      </c>
    </row>
    <row r="13" spans="2:15">
      <c r="C13">
        <v>1000</v>
      </c>
      <c r="E13" s="556">
        <v>18900323</v>
      </c>
      <c r="H13" t="s">
        <v>272</v>
      </c>
      <c r="K13">
        <v>541542.92000000004</v>
      </c>
      <c r="M13">
        <v>541542.92000000004</v>
      </c>
      <c r="O13">
        <v>0</v>
      </c>
    </row>
    <row r="14" spans="2:15">
      <c r="C14">
        <v>1000</v>
      </c>
      <c r="E14" s="556">
        <v>18900353</v>
      </c>
      <c r="H14" t="s">
        <v>273</v>
      </c>
      <c r="K14">
        <v>102120.9</v>
      </c>
      <c r="M14">
        <v>102120.9</v>
      </c>
      <c r="O14">
        <v>0</v>
      </c>
    </row>
    <row r="15" spans="2:15">
      <c r="C15">
        <v>1000</v>
      </c>
      <c r="E15" s="556">
        <v>18900373</v>
      </c>
      <c r="H15" t="s">
        <v>274</v>
      </c>
      <c r="K15">
        <v>4432980.76</v>
      </c>
      <c r="M15">
        <v>4432980.76</v>
      </c>
      <c r="O15">
        <v>0</v>
      </c>
    </row>
    <row r="16" spans="2:15">
      <c r="C16">
        <v>1000</v>
      </c>
      <c r="E16" s="556">
        <v>18900383</v>
      </c>
      <c r="H16" t="s">
        <v>275</v>
      </c>
      <c r="K16">
        <v>652428.99</v>
      </c>
      <c r="M16">
        <v>652428.99</v>
      </c>
      <c r="O16">
        <v>0</v>
      </c>
    </row>
    <row r="17" spans="2:17">
      <c r="C17">
        <v>1000</v>
      </c>
      <c r="E17" s="556">
        <v>18900393</v>
      </c>
      <c r="H17" t="s">
        <v>276</v>
      </c>
      <c r="K17">
        <v>15152963.5</v>
      </c>
      <c r="M17">
        <v>15152963.5</v>
      </c>
      <c r="O17">
        <v>0</v>
      </c>
    </row>
    <row r="18" spans="2:17">
      <c r="C18" s="557">
        <v>1000</v>
      </c>
      <c r="D18" s="557"/>
      <c r="E18" s="558">
        <v>18900403</v>
      </c>
      <c r="F18" s="557"/>
      <c r="G18" s="557"/>
      <c r="H18" s="557" t="s">
        <v>277</v>
      </c>
      <c r="I18" s="557"/>
      <c r="J18" s="557"/>
      <c r="K18" s="557">
        <v>258483.07</v>
      </c>
      <c r="L18" s="557"/>
      <c r="M18" s="557">
        <v>258483.07</v>
      </c>
      <c r="N18" s="557"/>
      <c r="O18" s="557">
        <v>0</v>
      </c>
      <c r="P18" s="557"/>
      <c r="Q18" s="557"/>
    </row>
    <row r="19" spans="2:17">
      <c r="C19" s="557">
        <v>1000</v>
      </c>
      <c r="D19" s="557"/>
      <c r="E19" s="558">
        <v>18900413</v>
      </c>
      <c r="F19" s="557"/>
      <c r="G19" s="557"/>
      <c r="H19" s="557" t="s">
        <v>278</v>
      </c>
      <c r="I19" s="557"/>
      <c r="J19" s="557"/>
      <c r="K19" s="557">
        <v>339527.78</v>
      </c>
      <c r="L19" s="557"/>
      <c r="M19" s="557">
        <v>339527.78</v>
      </c>
      <c r="N19" s="557"/>
      <c r="O19" s="557">
        <v>0</v>
      </c>
      <c r="P19" s="557"/>
      <c r="Q19" s="557"/>
    </row>
    <row r="20" spans="2:17">
      <c r="C20" s="557">
        <v>1000</v>
      </c>
      <c r="D20" s="557"/>
      <c r="E20" s="558">
        <v>18900423</v>
      </c>
      <c r="F20" s="557"/>
      <c r="G20" s="557"/>
      <c r="H20" s="557" t="s">
        <v>279</v>
      </c>
      <c r="I20" s="557"/>
      <c r="J20" s="557"/>
      <c r="K20" s="557">
        <v>1353341.67</v>
      </c>
      <c r="L20" s="557"/>
      <c r="M20" s="557">
        <v>1353341.67</v>
      </c>
      <c r="N20" s="557"/>
      <c r="O20" s="557">
        <v>0</v>
      </c>
      <c r="P20" s="557"/>
      <c r="Q20" s="557"/>
    </row>
    <row r="21" spans="2:17">
      <c r="C21">
        <v>1000</v>
      </c>
      <c r="E21" s="556">
        <v>18900433</v>
      </c>
      <c r="H21" t="s">
        <v>280</v>
      </c>
      <c r="K21">
        <v>5135043.88</v>
      </c>
      <c r="M21">
        <v>5135043.88</v>
      </c>
      <c r="O21">
        <v>0</v>
      </c>
    </row>
    <row r="22" spans="2:17">
      <c r="C22">
        <v>1000</v>
      </c>
      <c r="E22" s="556">
        <v>18900533</v>
      </c>
      <c r="H22" t="s">
        <v>281</v>
      </c>
      <c r="K22">
        <v>867832.16</v>
      </c>
      <c r="M22">
        <v>867832.16</v>
      </c>
      <c r="O22">
        <v>0</v>
      </c>
    </row>
    <row r="24" spans="2:17">
      <c r="B24" s="560" t="s">
        <v>284</v>
      </c>
    </row>
    <row r="25" spans="2:17">
      <c r="C25">
        <v>1000</v>
      </c>
      <c r="E25" s="556">
        <v>18900013</v>
      </c>
      <c r="H25" t="s">
        <v>261</v>
      </c>
      <c r="K25">
        <v>43574</v>
      </c>
      <c r="M25">
        <v>52742</v>
      </c>
      <c r="O25">
        <v>-9168</v>
      </c>
      <c r="Q25">
        <v>-17.399999999999999</v>
      </c>
    </row>
    <row r="26" spans="2:17">
      <c r="C26">
        <v>1000</v>
      </c>
      <c r="E26" s="556">
        <v>18900173</v>
      </c>
      <c r="H26" t="s">
        <v>262</v>
      </c>
      <c r="K26">
        <v>1618434.76</v>
      </c>
      <c r="M26">
        <v>1702874.8</v>
      </c>
      <c r="O26">
        <v>-84440.04</v>
      </c>
      <c r="Q26">
        <v>-5</v>
      </c>
    </row>
    <row r="27" spans="2:17">
      <c r="C27">
        <v>1000</v>
      </c>
      <c r="E27" s="556">
        <v>18900183</v>
      </c>
      <c r="H27" t="s">
        <v>263</v>
      </c>
      <c r="K27">
        <v>357393.33</v>
      </c>
      <c r="M27">
        <v>365936.61</v>
      </c>
      <c r="O27">
        <v>-8543.2800000000007</v>
      </c>
      <c r="Q27">
        <v>-2.2999999999999998</v>
      </c>
    </row>
    <row r="28" spans="2:17">
      <c r="C28">
        <v>1000</v>
      </c>
      <c r="E28" s="556">
        <v>18900193</v>
      </c>
      <c r="H28" t="s">
        <v>264</v>
      </c>
      <c r="K28">
        <v>2968303.51</v>
      </c>
      <c r="M28">
        <v>3083205.61</v>
      </c>
      <c r="O28">
        <v>-114902.1</v>
      </c>
      <c r="Q28">
        <v>-3.7</v>
      </c>
    </row>
    <row r="29" spans="2:17">
      <c r="C29">
        <v>1000</v>
      </c>
      <c r="E29" s="556">
        <v>18900243</v>
      </c>
      <c r="H29" t="s">
        <v>265</v>
      </c>
      <c r="K29">
        <v>13994.93</v>
      </c>
      <c r="M29">
        <v>15744.35</v>
      </c>
      <c r="O29">
        <v>-1749.42</v>
      </c>
      <c r="Q29">
        <v>-11.1</v>
      </c>
    </row>
    <row r="30" spans="2:17">
      <c r="C30">
        <v>1000</v>
      </c>
      <c r="E30" s="556">
        <v>18900253</v>
      </c>
      <c r="H30" t="s">
        <v>266</v>
      </c>
      <c r="K30">
        <v>758007.43</v>
      </c>
      <c r="M30">
        <v>780747.67</v>
      </c>
      <c r="O30">
        <v>-22740.240000000002</v>
      </c>
      <c r="Q30">
        <v>-2.9</v>
      </c>
    </row>
    <row r="31" spans="2:17">
      <c r="C31">
        <v>1000</v>
      </c>
      <c r="E31" s="556">
        <v>18900263</v>
      </c>
      <c r="H31" t="s">
        <v>267</v>
      </c>
      <c r="K31">
        <v>576023.1</v>
      </c>
      <c r="M31">
        <v>593303.81999999995</v>
      </c>
      <c r="O31">
        <v>-17280.72</v>
      </c>
      <c r="Q31">
        <v>-2.9</v>
      </c>
    </row>
    <row r="32" spans="2:17">
      <c r="C32">
        <v>1000</v>
      </c>
      <c r="E32" s="556">
        <v>18900273</v>
      </c>
      <c r="H32" t="s">
        <v>268</v>
      </c>
      <c r="K32">
        <v>1763756.95</v>
      </c>
      <c r="M32">
        <v>1816669.69</v>
      </c>
      <c r="O32">
        <v>-52912.74</v>
      </c>
      <c r="Q32">
        <v>-2.9</v>
      </c>
    </row>
    <row r="33" spans="3:19">
      <c r="C33">
        <v>1000</v>
      </c>
      <c r="E33" s="556">
        <v>18900283</v>
      </c>
      <c r="H33" t="s">
        <v>269</v>
      </c>
      <c r="K33">
        <v>538297.23</v>
      </c>
      <c r="M33">
        <v>554446.11</v>
      </c>
      <c r="O33">
        <v>-16148.88</v>
      </c>
      <c r="Q33">
        <v>-2.9</v>
      </c>
    </row>
    <row r="34" spans="3:19">
      <c r="C34">
        <v>1000</v>
      </c>
      <c r="E34" s="556">
        <v>18900293</v>
      </c>
      <c r="H34" t="s">
        <v>270</v>
      </c>
      <c r="K34">
        <v>8558.2800000000007</v>
      </c>
      <c r="M34">
        <v>9128.82</v>
      </c>
      <c r="O34">
        <v>-570.54</v>
      </c>
      <c r="Q34">
        <v>-6.2</v>
      </c>
    </row>
    <row r="35" spans="3:19">
      <c r="C35">
        <v>1000</v>
      </c>
      <c r="E35" s="556">
        <v>18900303</v>
      </c>
      <c r="H35" t="s">
        <v>271</v>
      </c>
      <c r="K35">
        <v>19968.330000000002</v>
      </c>
      <c r="M35">
        <v>21299.61</v>
      </c>
      <c r="O35">
        <v>-1331.28</v>
      </c>
      <c r="Q35">
        <v>-6.3</v>
      </c>
    </row>
    <row r="36" spans="3:19">
      <c r="C36">
        <v>1000</v>
      </c>
      <c r="E36" s="556">
        <v>18900323</v>
      </c>
      <c r="H36" t="s">
        <v>272</v>
      </c>
      <c r="K36">
        <v>510300.08</v>
      </c>
      <c r="M36">
        <v>541542.92000000004</v>
      </c>
      <c r="O36">
        <v>-31242.84</v>
      </c>
      <c r="Q36">
        <v>-5.8</v>
      </c>
    </row>
    <row r="37" spans="3:19">
      <c r="C37">
        <v>1000</v>
      </c>
      <c r="E37" s="556">
        <v>18900353</v>
      </c>
      <c r="H37" t="s">
        <v>273</v>
      </c>
      <c r="K37">
        <v>96792.960000000006</v>
      </c>
      <c r="M37">
        <v>102120.9</v>
      </c>
      <c r="O37">
        <v>-5327.94</v>
      </c>
      <c r="Q37">
        <v>-5.2</v>
      </c>
    </row>
    <row r="38" spans="3:19">
      <c r="C38">
        <v>1000</v>
      </c>
      <c r="E38" s="556">
        <v>18900373</v>
      </c>
      <c r="H38" t="s">
        <v>274</v>
      </c>
      <c r="K38">
        <v>4334470.0599999996</v>
      </c>
      <c r="M38">
        <v>4432980.76</v>
      </c>
      <c r="O38">
        <v>-98510.7</v>
      </c>
      <c r="Q38">
        <v>-2.2000000000000002</v>
      </c>
    </row>
    <row r="39" spans="3:19">
      <c r="C39">
        <v>1000</v>
      </c>
      <c r="E39" s="556">
        <v>18900383</v>
      </c>
      <c r="H39" t="s">
        <v>275</v>
      </c>
      <c r="K39">
        <v>556951.59</v>
      </c>
      <c r="M39">
        <v>652428.99</v>
      </c>
      <c r="O39">
        <v>-95477.4</v>
      </c>
      <c r="Q39">
        <v>-14.6</v>
      </c>
    </row>
    <row r="40" spans="3:19">
      <c r="C40">
        <v>1000</v>
      </c>
      <c r="E40" s="556">
        <v>18900393</v>
      </c>
      <c r="H40" t="s">
        <v>276</v>
      </c>
      <c r="K40">
        <v>14952704.08</v>
      </c>
      <c r="M40">
        <v>15152963.5</v>
      </c>
      <c r="O40">
        <v>-200259.42</v>
      </c>
      <c r="Q40">
        <v>-1.3</v>
      </c>
    </row>
    <row r="41" spans="3:19">
      <c r="C41" s="557">
        <v>1000</v>
      </c>
      <c r="D41" s="557"/>
      <c r="E41" s="558">
        <v>18900403</v>
      </c>
      <c r="F41" s="557"/>
      <c r="G41" s="557"/>
      <c r="H41" s="557" t="s">
        <v>277</v>
      </c>
      <c r="I41" s="557"/>
      <c r="J41" s="557"/>
      <c r="K41" s="557">
        <v>226832.11</v>
      </c>
      <c r="L41" s="557"/>
      <c r="M41" s="557">
        <v>258483.07</v>
      </c>
      <c r="N41" s="557"/>
      <c r="O41" s="557">
        <v>-31650.959999999999</v>
      </c>
      <c r="P41" s="557"/>
      <c r="Q41" s="557">
        <v>-12.2</v>
      </c>
      <c r="S41">
        <f>K41-K68</f>
        <v>-35683.260000000009</v>
      </c>
    </row>
    <row r="42" spans="3:19">
      <c r="C42" s="557">
        <v>1000</v>
      </c>
      <c r="D42" s="557"/>
      <c r="E42" s="558">
        <v>18900413</v>
      </c>
      <c r="F42" s="557"/>
      <c r="G42" s="557"/>
      <c r="H42" s="557" t="s">
        <v>278</v>
      </c>
      <c r="I42" s="557"/>
      <c r="J42" s="557"/>
      <c r="K42" s="557">
        <v>297952.94</v>
      </c>
      <c r="L42" s="557"/>
      <c r="M42" s="557">
        <v>339527.78</v>
      </c>
      <c r="N42" s="557"/>
      <c r="O42" s="557">
        <v>-41574.839999999997</v>
      </c>
      <c r="P42" s="557"/>
      <c r="Q42" s="557">
        <v>-12.2</v>
      </c>
      <c r="S42">
        <f>K42-K69</f>
        <v>-59006.340000000026</v>
      </c>
    </row>
    <row r="43" spans="3:19">
      <c r="C43" s="557">
        <v>1000</v>
      </c>
      <c r="D43" s="557"/>
      <c r="E43" s="558">
        <v>18900423</v>
      </c>
      <c r="F43" s="557"/>
      <c r="G43" s="557"/>
      <c r="H43" s="557" t="s">
        <v>279</v>
      </c>
      <c r="I43" s="557"/>
      <c r="J43" s="557"/>
      <c r="K43" s="557">
        <v>1187626.3500000001</v>
      </c>
      <c r="L43" s="557"/>
      <c r="M43" s="557">
        <v>1353341.67</v>
      </c>
      <c r="N43" s="557"/>
      <c r="O43" s="557">
        <v>-165715.32</v>
      </c>
      <c r="P43" s="557"/>
      <c r="Q43" s="557">
        <v>-12.2</v>
      </c>
      <c r="S43">
        <f>K43-K70</f>
        <v>-331430.6399999999</v>
      </c>
    </row>
    <row r="44" spans="3:19">
      <c r="C44">
        <v>1000</v>
      </c>
      <c r="E44" s="556">
        <v>18900433</v>
      </c>
      <c r="H44" t="s">
        <v>280</v>
      </c>
      <c r="K44">
        <v>4985479.54</v>
      </c>
      <c r="M44">
        <v>5135043.88</v>
      </c>
      <c r="O44">
        <v>-149564.34</v>
      </c>
      <c r="Q44">
        <v>-2.9</v>
      </c>
    </row>
    <row r="45" spans="3:19">
      <c r="C45" s="557">
        <v>1000</v>
      </c>
      <c r="D45" s="557"/>
      <c r="E45" s="558">
        <v>18900443</v>
      </c>
      <c r="F45" s="557"/>
      <c r="G45" s="557"/>
      <c r="H45" s="557" t="s">
        <v>282</v>
      </c>
      <c r="I45" s="557"/>
      <c r="J45" s="557"/>
      <c r="K45" s="557">
        <v>137185.22</v>
      </c>
      <c r="L45" s="557"/>
      <c r="M45" s="557">
        <v>0</v>
      </c>
      <c r="N45" s="557"/>
      <c r="O45" s="557">
        <v>137185.22</v>
      </c>
      <c r="P45" s="557"/>
      <c r="Q45" s="557"/>
    </row>
    <row r="46" spans="3:19">
      <c r="C46" s="557">
        <v>1000</v>
      </c>
      <c r="D46" s="557"/>
      <c r="E46" s="558">
        <v>18900453</v>
      </c>
      <c r="F46" s="557"/>
      <c r="G46" s="557"/>
      <c r="H46" s="557" t="s">
        <v>283</v>
      </c>
      <c r="I46" s="557"/>
      <c r="J46" s="557"/>
      <c r="K46" s="557">
        <v>75041.440000000002</v>
      </c>
      <c r="L46" s="557"/>
      <c r="M46" s="557">
        <v>0</v>
      </c>
      <c r="N46" s="557"/>
      <c r="O46" s="557">
        <v>75041.440000000002</v>
      </c>
      <c r="P46" s="557"/>
      <c r="Q46" s="557"/>
    </row>
    <row r="47" spans="3:19">
      <c r="C47">
        <v>1000</v>
      </c>
      <c r="E47" s="556">
        <v>18900533</v>
      </c>
      <c r="H47" t="s">
        <v>281</v>
      </c>
      <c r="K47">
        <v>842555.54</v>
      </c>
      <c r="M47">
        <v>867832.16</v>
      </c>
      <c r="O47">
        <v>-25276.62</v>
      </c>
      <c r="Q47">
        <v>-2.9</v>
      </c>
    </row>
    <row r="51" spans="2:17">
      <c r="B51" s="560" t="s">
        <v>285</v>
      </c>
    </row>
    <row r="52" spans="2:17">
      <c r="C52" s="556">
        <v>1000</v>
      </c>
      <c r="E52" s="556">
        <v>18900013</v>
      </c>
      <c r="H52" t="s">
        <v>261</v>
      </c>
      <c r="K52">
        <v>61910</v>
      </c>
      <c r="M52">
        <v>52742</v>
      </c>
      <c r="O52">
        <v>9168</v>
      </c>
      <c r="Q52">
        <v>17.399999999999999</v>
      </c>
    </row>
    <row r="53" spans="2:17">
      <c r="C53" s="556">
        <v>1000</v>
      </c>
      <c r="E53" s="556">
        <v>18900173</v>
      </c>
      <c r="H53" t="s">
        <v>262</v>
      </c>
      <c r="K53">
        <v>1787314.84</v>
      </c>
      <c r="M53">
        <v>1702874.8</v>
      </c>
      <c r="O53">
        <v>84440.04</v>
      </c>
      <c r="Q53">
        <v>5</v>
      </c>
    </row>
    <row r="54" spans="2:17">
      <c r="C54" s="556">
        <v>1000</v>
      </c>
      <c r="E54" s="556">
        <v>18900183</v>
      </c>
      <c r="H54" t="s">
        <v>263</v>
      </c>
      <c r="K54">
        <v>374479.89</v>
      </c>
      <c r="M54">
        <v>365936.61</v>
      </c>
      <c r="O54">
        <v>8543.2800000000007</v>
      </c>
      <c r="Q54">
        <v>2.2999999999999998</v>
      </c>
    </row>
    <row r="55" spans="2:17">
      <c r="C55" s="556">
        <v>1000</v>
      </c>
      <c r="E55" s="556">
        <v>18900193</v>
      </c>
      <c r="H55" t="s">
        <v>264</v>
      </c>
      <c r="K55">
        <v>3198107.71</v>
      </c>
      <c r="M55">
        <v>3083205.61</v>
      </c>
      <c r="O55">
        <v>114902.1</v>
      </c>
      <c r="Q55">
        <v>3.7</v>
      </c>
    </row>
    <row r="56" spans="2:17">
      <c r="C56" s="556">
        <v>1000</v>
      </c>
      <c r="E56" s="556">
        <v>18900243</v>
      </c>
      <c r="H56" t="s">
        <v>265</v>
      </c>
      <c r="K56">
        <v>17493.77</v>
      </c>
      <c r="M56">
        <v>15744.35</v>
      </c>
      <c r="O56">
        <v>1749.42</v>
      </c>
      <c r="Q56">
        <v>11.1</v>
      </c>
    </row>
    <row r="57" spans="2:17">
      <c r="C57" s="556">
        <v>1000</v>
      </c>
      <c r="E57" s="556">
        <v>18900253</v>
      </c>
      <c r="H57" t="s">
        <v>266</v>
      </c>
      <c r="K57">
        <v>803487.91</v>
      </c>
      <c r="M57">
        <v>780747.67</v>
      </c>
      <c r="O57">
        <v>22740.240000000002</v>
      </c>
      <c r="Q57">
        <v>2.9</v>
      </c>
    </row>
    <row r="58" spans="2:17">
      <c r="C58" s="556">
        <v>1000</v>
      </c>
      <c r="E58" s="556">
        <v>18900263</v>
      </c>
      <c r="H58" t="s">
        <v>267</v>
      </c>
      <c r="K58">
        <v>610584.54</v>
      </c>
      <c r="M58">
        <v>593303.81999999995</v>
      </c>
      <c r="O58">
        <v>17280.72</v>
      </c>
      <c r="Q58">
        <v>2.9</v>
      </c>
    </row>
    <row r="59" spans="2:17">
      <c r="C59" s="556">
        <v>1000</v>
      </c>
      <c r="E59" s="556">
        <v>18900273</v>
      </c>
      <c r="H59" t="s">
        <v>268</v>
      </c>
      <c r="K59">
        <v>1869582.43</v>
      </c>
      <c r="M59">
        <v>1816669.69</v>
      </c>
      <c r="O59">
        <v>52912.74</v>
      </c>
      <c r="Q59">
        <v>2.9</v>
      </c>
    </row>
    <row r="60" spans="2:17">
      <c r="C60" s="556">
        <v>1000</v>
      </c>
      <c r="E60" s="556">
        <v>18900283</v>
      </c>
      <c r="H60" t="s">
        <v>269</v>
      </c>
      <c r="K60">
        <v>570594.99</v>
      </c>
      <c r="M60">
        <v>554446.11</v>
      </c>
      <c r="O60">
        <v>16148.88</v>
      </c>
      <c r="Q60">
        <v>2.9</v>
      </c>
    </row>
    <row r="61" spans="2:17">
      <c r="C61" s="556">
        <v>1000</v>
      </c>
      <c r="E61" s="556">
        <v>18900293</v>
      </c>
      <c r="H61" t="s">
        <v>270</v>
      </c>
      <c r="K61">
        <v>9699.36</v>
      </c>
      <c r="M61">
        <v>9128.82</v>
      </c>
      <c r="O61">
        <v>570.54</v>
      </c>
      <c r="Q61">
        <v>6.2</v>
      </c>
    </row>
    <row r="62" spans="2:17">
      <c r="C62" s="556">
        <v>1000</v>
      </c>
      <c r="E62" s="556">
        <v>18900303</v>
      </c>
      <c r="H62" t="s">
        <v>271</v>
      </c>
      <c r="K62">
        <v>22630.89</v>
      </c>
      <c r="M62">
        <v>21299.61</v>
      </c>
      <c r="O62">
        <v>1331.28</v>
      </c>
      <c r="Q62">
        <v>6.3</v>
      </c>
    </row>
    <row r="63" spans="2:17">
      <c r="C63" s="556">
        <v>1000</v>
      </c>
      <c r="E63" s="556">
        <v>18900323</v>
      </c>
      <c r="H63" t="s">
        <v>272</v>
      </c>
      <c r="K63">
        <v>572785.76</v>
      </c>
      <c r="M63">
        <v>541542.92000000004</v>
      </c>
      <c r="O63">
        <v>31242.84</v>
      </c>
      <c r="Q63">
        <v>5.8</v>
      </c>
    </row>
    <row r="64" spans="2:17">
      <c r="C64" s="556">
        <v>1000</v>
      </c>
      <c r="E64" s="556">
        <v>18900353</v>
      </c>
      <c r="H64" t="s">
        <v>273</v>
      </c>
      <c r="K64">
        <v>107448.84</v>
      </c>
      <c r="M64">
        <v>102120.9</v>
      </c>
      <c r="O64">
        <v>5327.94</v>
      </c>
      <c r="Q64">
        <v>5.2</v>
      </c>
    </row>
    <row r="65" spans="3:17">
      <c r="C65" s="556">
        <v>1000</v>
      </c>
      <c r="E65" s="556">
        <v>18900373</v>
      </c>
      <c r="H65" t="s">
        <v>274</v>
      </c>
      <c r="K65">
        <v>4531491.46</v>
      </c>
      <c r="M65">
        <v>4432980.76</v>
      </c>
      <c r="O65">
        <v>98510.7</v>
      </c>
      <c r="Q65">
        <v>2.2000000000000002</v>
      </c>
    </row>
    <row r="66" spans="3:17">
      <c r="C66" s="556">
        <v>1000</v>
      </c>
      <c r="E66" s="556">
        <v>18900383</v>
      </c>
      <c r="H66" t="s">
        <v>275</v>
      </c>
      <c r="K66">
        <v>747906.39</v>
      </c>
      <c r="M66">
        <v>652428.99</v>
      </c>
      <c r="O66">
        <v>95477.4</v>
      </c>
      <c r="Q66">
        <v>14.6</v>
      </c>
    </row>
    <row r="67" spans="3:17">
      <c r="C67" s="556">
        <v>1000</v>
      </c>
      <c r="E67" s="556">
        <v>18900393</v>
      </c>
      <c r="H67" t="s">
        <v>276</v>
      </c>
      <c r="K67">
        <v>15353222.92</v>
      </c>
      <c r="M67">
        <v>15152963.5</v>
      </c>
      <c r="O67">
        <v>200259.42</v>
      </c>
      <c r="Q67">
        <v>1.3</v>
      </c>
    </row>
    <row r="68" spans="3:17">
      <c r="C68" s="558">
        <v>1000</v>
      </c>
      <c r="D68" s="557"/>
      <c r="E68" s="558">
        <v>18900403</v>
      </c>
      <c r="F68" s="557"/>
      <c r="G68" s="557"/>
      <c r="H68" s="557" t="s">
        <v>277</v>
      </c>
      <c r="I68" s="557"/>
      <c r="J68" s="557"/>
      <c r="K68" s="557">
        <v>262515.37</v>
      </c>
      <c r="L68" s="557"/>
      <c r="M68" s="557">
        <v>258483.07</v>
      </c>
      <c r="N68" s="557"/>
      <c r="O68" s="557">
        <v>4032.3</v>
      </c>
      <c r="P68" s="557"/>
      <c r="Q68" s="557">
        <v>1.6</v>
      </c>
    </row>
    <row r="69" spans="3:17">
      <c r="C69" s="558">
        <v>1000</v>
      </c>
      <c r="D69" s="557"/>
      <c r="E69" s="558">
        <v>18900413</v>
      </c>
      <c r="F69" s="557"/>
      <c r="G69" s="557"/>
      <c r="H69" s="557" t="s">
        <v>278</v>
      </c>
      <c r="I69" s="557"/>
      <c r="J69" s="557"/>
      <c r="K69" s="557">
        <v>356959.28</v>
      </c>
      <c r="L69" s="557"/>
      <c r="M69" s="557">
        <v>339527.78</v>
      </c>
      <c r="N69" s="557"/>
      <c r="O69" s="557">
        <v>17431.5</v>
      </c>
      <c r="P69" s="557"/>
      <c r="Q69" s="557">
        <v>5.0999999999999996</v>
      </c>
    </row>
    <row r="70" spans="3:17">
      <c r="C70" s="558">
        <v>1000</v>
      </c>
      <c r="D70" s="557"/>
      <c r="E70" s="558">
        <v>18900423</v>
      </c>
      <c r="F70" s="557"/>
      <c r="G70" s="557"/>
      <c r="H70" s="557" t="s">
        <v>279</v>
      </c>
      <c r="I70" s="557"/>
      <c r="J70" s="557"/>
      <c r="K70" s="557">
        <v>1519056.99</v>
      </c>
      <c r="L70" s="557"/>
      <c r="M70" s="557">
        <v>1353341.67</v>
      </c>
      <c r="N70" s="557"/>
      <c r="O70" s="557">
        <v>165715.32</v>
      </c>
      <c r="P70" s="557"/>
      <c r="Q70" s="557">
        <v>12.2</v>
      </c>
    </row>
    <row r="71" spans="3:17">
      <c r="C71" s="556">
        <v>1000</v>
      </c>
      <c r="E71" s="556">
        <v>18900433</v>
      </c>
      <c r="H71" t="s">
        <v>280</v>
      </c>
      <c r="K71">
        <v>5284608.22</v>
      </c>
      <c r="M71">
        <v>5135043.88</v>
      </c>
      <c r="O71">
        <v>149564.34</v>
      </c>
      <c r="Q71">
        <v>2.9</v>
      </c>
    </row>
    <row r="72" spans="3:17">
      <c r="C72" s="556">
        <v>1000</v>
      </c>
      <c r="E72" s="556">
        <v>18900533</v>
      </c>
      <c r="H72" t="s">
        <v>281</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288</v>
      </c>
      <c r="C40" s="563">
        <f>C19</f>
        <v>4823860000</v>
      </c>
    </row>
    <row r="41" spans="1:7">
      <c r="B41" s="410" t="s">
        <v>289</v>
      </c>
      <c r="C41" s="564">
        <f>C25</f>
        <v>4385109364</v>
      </c>
      <c r="D41" s="467"/>
      <c r="E41" s="468"/>
    </row>
    <row r="42" spans="1:7">
      <c r="B42" s="410" t="s">
        <v>16</v>
      </c>
      <c r="C42" s="563">
        <f>SUM(C40:C41)</f>
        <v>9208969364</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500"/>
  </cols>
  <sheetData>
    <row r="1" spans="1:7" s="499" customFormat="1" ht="59.25">
      <c r="A1" s="498" t="s">
        <v>223</v>
      </c>
      <c r="B1" s="498"/>
      <c r="C1" s="498"/>
      <c r="D1" s="498"/>
      <c r="E1" s="498"/>
      <c r="F1" s="498"/>
      <c r="G1" s="498"/>
    </row>
    <row r="10" spans="1:7">
      <c r="B10" s="501"/>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199</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'Pg 2 CapStructure'!#REF!</f>
        <v>#REF!</v>
      </c>
      <c r="N5" s="363">
        <f>'Pg 2 CapStructure'!C6</f>
        <v>44196</v>
      </c>
      <c r="O5" s="363">
        <f>'Pg 2 CapStructure'!D6</f>
        <v>44227</v>
      </c>
      <c r="P5" s="363">
        <f>'Pg 2 CapStructure'!E6</f>
        <v>44255</v>
      </c>
      <c r="Q5" s="363">
        <f>'Pg 2 CapStructure'!F6</f>
        <v>44286</v>
      </c>
      <c r="R5" s="363">
        <f>'Pg 2 CapStructure'!G6</f>
        <v>44316</v>
      </c>
      <c r="S5" s="363">
        <f>'Pg 2 CapStructure'!H6</f>
        <v>44347</v>
      </c>
      <c r="T5" s="363">
        <f>'Pg 2 CapStructure'!I6</f>
        <v>44377</v>
      </c>
      <c r="U5" s="363">
        <f>'Pg 2 CapStructure'!J6</f>
        <v>44408</v>
      </c>
      <c r="X5" s="473" t="s">
        <v>38</v>
      </c>
      <c r="Y5" s="473"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'Pg 7 Reacquired Debt'!I32</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02" t="s">
        <v>224</v>
      </c>
      <c r="C7" s="503"/>
      <c r="D7" s="503"/>
      <c r="E7" s="503"/>
      <c r="F7" s="504"/>
      <c r="H7" s="238"/>
      <c r="L7" s="241"/>
    </row>
    <row r="8" spans="1:12" ht="15.75">
      <c r="A8" s="18"/>
      <c r="B8" s="505" t="s">
        <v>225</v>
      </c>
      <c r="C8" s="506"/>
      <c r="D8" s="506"/>
      <c r="E8" s="506"/>
      <c r="F8" s="507"/>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2"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08" t="e">
        <f>#REF!</f>
        <v>#REF!</v>
      </c>
      <c r="E17" s="169" t="e">
        <f>#REF!</f>
        <v>#REF!</v>
      </c>
      <c r="F17" s="181" t="e">
        <f>ROUND(D17*E17,5)</f>
        <v>#REF!</v>
      </c>
      <c r="L17" s="238"/>
    </row>
    <row r="18" spans="1:12">
      <c r="A18" s="193">
        <f t="shared" si="0"/>
        <v>10</v>
      </c>
      <c r="B18" s="111"/>
      <c r="C18" s="168"/>
      <c r="D18" s="181"/>
      <c r="E18" s="171"/>
      <c r="F18" s="359"/>
      <c r="H18" s="509"/>
      <c r="I18" s="509"/>
      <c r="J18" s="509"/>
      <c r="K18" s="509"/>
      <c r="L18" s="509"/>
    </row>
    <row r="19" spans="1:12">
      <c r="A19" s="193">
        <f t="shared" si="0"/>
        <v>11</v>
      </c>
      <c r="B19" s="110" t="s">
        <v>15</v>
      </c>
      <c r="C19" s="172" t="e">
        <f>#REF!</f>
        <v>#REF!</v>
      </c>
      <c r="D19" s="339" t="e">
        <f>#REF!</f>
        <v>#REF!</v>
      </c>
      <c r="E19" s="510"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226</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1" t="s">
        <v>227</v>
      </c>
      <c r="C1" s="511"/>
      <c r="D1" s="511"/>
      <c r="E1" s="511"/>
      <c r="F1" s="511"/>
      <c r="G1" s="512"/>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155699030.16999999</v>
      </c>
      <c r="D13" s="211">
        <f>IF(E13=0,"NA",(E13/C13))</f>
        <v>2.3478247719389759E-3</v>
      </c>
      <c r="E13" s="76">
        <f>'A3  STD Int &amp; Fees-Prior Fac'!D11</f>
        <v>365554.04</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13"/>
      <c r="D26" s="513"/>
      <c r="E26" s="513"/>
      <c r="F26" s="71"/>
      <c r="G26" s="10"/>
    </row>
    <row r="27" spans="1:7">
      <c r="A27" s="3">
        <f t="shared" si="0"/>
        <v>20</v>
      </c>
      <c r="B27" s="131" t="s">
        <v>228</v>
      </c>
      <c r="C27" s="513"/>
      <c r="D27" s="513"/>
      <c r="E27" s="513"/>
      <c r="F27" s="71"/>
      <c r="G27" s="10"/>
    </row>
    <row r="28" spans="1:7">
      <c r="A28" s="3">
        <f t="shared" si="0"/>
        <v>21</v>
      </c>
      <c r="B28" s="131" t="s">
        <v>229</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14" t="s">
        <v>227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15"/>
      <c r="C7" s="206"/>
      <c r="D7" s="206"/>
      <c r="E7" s="206"/>
      <c r="F7" s="206"/>
      <c r="G7" s="206"/>
      <c r="H7" s="89"/>
      <c r="I7" s="89"/>
      <c r="J7" s="89"/>
      <c r="K7" s="152"/>
      <c r="M7" s="35"/>
      <c r="N7" s="35"/>
      <c r="O7" s="35"/>
    </row>
    <row r="8" spans="1:15" ht="12">
      <c r="A8" s="192">
        <f t="shared" si="0"/>
        <v>4</v>
      </c>
      <c r="B8" s="205"/>
      <c r="C8" s="206"/>
      <c r="D8" s="386" t="s">
        <v>230</v>
      </c>
      <c r="E8" s="213" t="s">
        <v>231</v>
      </c>
      <c r="F8" s="213" t="s">
        <v>232</v>
      </c>
      <c r="G8" s="387" t="s">
        <v>230</v>
      </c>
      <c r="H8" s="38"/>
      <c r="I8" s="38"/>
      <c r="J8" s="38"/>
      <c r="K8" s="356" t="s">
        <v>2</v>
      </c>
      <c r="L8" s="35"/>
      <c r="M8" s="274"/>
      <c r="N8" s="35"/>
      <c r="O8" s="35"/>
    </row>
    <row r="9" spans="1:15" ht="12">
      <c r="A9" s="192">
        <f t="shared" si="0"/>
        <v>5</v>
      </c>
      <c r="B9" s="205"/>
      <c r="C9" s="213" t="s">
        <v>50</v>
      </c>
      <c r="D9" s="213" t="s">
        <v>114</v>
      </c>
      <c r="E9" s="213" t="s">
        <v>50</v>
      </c>
      <c r="F9" s="213" t="s">
        <v>233</v>
      </c>
      <c r="G9" s="213" t="s">
        <v>50</v>
      </c>
      <c r="H9" s="213" t="s">
        <v>131</v>
      </c>
      <c r="I9" s="38"/>
      <c r="J9" s="38"/>
      <c r="K9" s="356"/>
      <c r="L9" s="204"/>
      <c r="M9" s="35"/>
      <c r="N9" s="35"/>
      <c r="O9" s="35"/>
    </row>
    <row r="10" spans="1:15" ht="12">
      <c r="A10" s="192">
        <f t="shared" si="0"/>
        <v>6</v>
      </c>
      <c r="B10" s="205"/>
      <c r="C10" s="214" t="s">
        <v>151</v>
      </c>
      <c r="D10" s="214" t="s">
        <v>38</v>
      </c>
      <c r="E10" s="214" t="s">
        <v>99</v>
      </c>
      <c r="F10" s="214" t="s">
        <v>242</v>
      </c>
      <c r="G10" s="214" t="s">
        <v>99</v>
      </c>
      <c r="H10" s="214" t="s">
        <v>152</v>
      </c>
      <c r="I10" s="40"/>
      <c r="J10" s="38"/>
      <c r="K10" s="356"/>
      <c r="L10" s="204"/>
      <c r="M10" s="239"/>
      <c r="N10" s="35"/>
      <c r="O10" s="35"/>
    </row>
    <row r="11" spans="1:15" ht="12">
      <c r="A11" s="192">
        <f t="shared" si="0"/>
        <v>7</v>
      </c>
      <c r="B11" s="205" t="s">
        <v>36</v>
      </c>
      <c r="C11" s="260">
        <f>'Pg 4 STD OS &amp; Comm Fees'!C11</f>
        <v>155699030.16999999</v>
      </c>
      <c r="D11" s="260">
        <f>G11*C11</f>
        <v>365554.04</v>
      </c>
      <c r="E11" s="268">
        <f>'Pg 4 STD OS &amp; Comm Fees'!E11</f>
        <v>2.3478247719389759E-3</v>
      </c>
      <c r="F11" s="268">
        <v>0</v>
      </c>
      <c r="G11" s="268">
        <f>SUM(E11:F11)</f>
        <v>2.3478247719389759E-3</v>
      </c>
      <c r="H11" s="516">
        <v>0</v>
      </c>
      <c r="I11" s="347"/>
      <c r="J11" s="38"/>
      <c r="K11" s="356"/>
      <c r="L11" s="35"/>
      <c r="M11" s="203"/>
      <c r="N11" s="35"/>
      <c r="O11" s="35"/>
    </row>
    <row r="12" spans="1:15" ht="12">
      <c r="A12" s="192">
        <f t="shared" si="0"/>
        <v>8</v>
      </c>
      <c r="B12" s="205" t="s">
        <v>115</v>
      </c>
      <c r="C12" s="260">
        <f>'Pg 4 STD OS &amp; Comm Fees'!C12</f>
        <v>0</v>
      </c>
      <c r="D12" s="260" t="e">
        <f>G12*C12</f>
        <v>#REF!</v>
      </c>
      <c r="E12" s="268" t="str">
        <f>'Pg 4 STD OS &amp; Comm Fees'!E12</f>
        <v>NA</v>
      </c>
      <c r="F12" s="268">
        <v>0</v>
      </c>
      <c r="G12" s="268" t="e">
        <f>(D11+D13+D14)/(C11+C13+C14)</f>
        <v>#REF!</v>
      </c>
      <c r="H12" s="516">
        <v>0</v>
      </c>
      <c r="I12" s="347"/>
      <c r="J12" s="38"/>
      <c r="K12" s="356"/>
      <c r="L12" s="35"/>
      <c r="M12" s="203"/>
      <c r="N12" s="35"/>
      <c r="O12" s="35"/>
    </row>
    <row r="13" spans="1:15" ht="12">
      <c r="A13" s="192">
        <f t="shared" si="0"/>
        <v>9</v>
      </c>
      <c r="B13" s="205" t="s">
        <v>234</v>
      </c>
      <c r="C13" s="260" t="e">
        <f>'Pg 4 STD OS &amp; Comm Fees'!#REF!</f>
        <v>#REF!</v>
      </c>
      <c r="D13" s="260" t="e">
        <f>G13*C13</f>
        <v>#REF!</v>
      </c>
      <c r="E13" s="268" t="e">
        <f>'Pg 4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234</v>
      </c>
      <c r="C14" s="260" t="e">
        <f>'Pg 4 STD OS &amp; Comm Fees'!#REF!</f>
        <v>#REF!</v>
      </c>
      <c r="D14" s="260" t="e">
        <f>G14*C14</f>
        <v>#REF!</v>
      </c>
      <c r="E14" s="268" t="e">
        <f>'Pg 4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16950.695305555553</v>
      </c>
      <c r="I15" s="347"/>
      <c r="J15" s="38"/>
      <c r="K15" s="356"/>
      <c r="L15" s="35"/>
      <c r="M15" s="203"/>
      <c r="N15" s="35"/>
      <c r="O15" s="35"/>
    </row>
    <row r="16" spans="1:15" ht="12">
      <c r="A16" s="192">
        <f t="shared" si="0"/>
        <v>12</v>
      </c>
      <c r="B16" s="334" t="s">
        <v>163</v>
      </c>
      <c r="C16" s="517" t="e">
        <f>SUM(C11:C15)</f>
        <v>#REF!</v>
      </c>
      <c r="D16" s="519" t="e">
        <f>SUM(D11:D15)</f>
        <v>#REF!</v>
      </c>
      <c r="E16" s="518">
        <v>1.1564749125603244E-2</v>
      </c>
      <c r="F16" s="268"/>
      <c r="G16" s="518" t="e">
        <f>D16/C16</f>
        <v>#REF!</v>
      </c>
      <c r="H16" s="519"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34" t="s">
        <v>97</v>
      </c>
      <c r="C19" s="635"/>
      <c r="D19" s="150"/>
      <c r="E19" s="150"/>
      <c r="F19" s="150"/>
      <c r="G19" s="150"/>
      <c r="H19" s="184"/>
      <c r="I19" s="184"/>
      <c r="J19" s="184"/>
      <c r="K19" s="147"/>
      <c r="L19" s="38" t="s">
        <v>2</v>
      </c>
      <c r="M19" s="35"/>
      <c r="N19" s="35"/>
      <c r="O19" s="35"/>
    </row>
    <row r="20" spans="1:15" ht="12">
      <c r="A20" s="192">
        <f t="shared" si="0"/>
        <v>16</v>
      </c>
      <c r="B20" s="632" t="s">
        <v>106</v>
      </c>
      <c r="C20" s="633"/>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0" t="s">
        <v>235</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236</v>
      </c>
      <c r="C23" s="521">
        <v>40178</v>
      </c>
      <c r="D23" s="521">
        <v>40543</v>
      </c>
      <c r="E23" s="348">
        <f>D23-C23</f>
        <v>365</v>
      </c>
      <c r="F23" s="522">
        <v>500000000</v>
      </c>
      <c r="G23" s="260" t="e">
        <f>(C13+C14)/2</f>
        <v>#REF!</v>
      </c>
      <c r="H23" s="260" t="e">
        <f>F23-G23</f>
        <v>#REF!</v>
      </c>
      <c r="I23" s="268">
        <v>1.25E-3</v>
      </c>
      <c r="J23" s="210" t="e">
        <f>ROUND(H23*I23*E23/360,6)</f>
        <v>#REF!</v>
      </c>
      <c r="K23" s="152"/>
      <c r="L23" s="38"/>
      <c r="M23" s="35"/>
      <c r="N23" s="35"/>
      <c r="O23" s="35"/>
    </row>
    <row r="24" spans="1:15" ht="12">
      <c r="A24" s="192">
        <f t="shared" si="0"/>
        <v>20</v>
      </c>
      <c r="B24" s="205" t="s">
        <v>237</v>
      </c>
      <c r="C24" s="521">
        <v>40178</v>
      </c>
      <c r="D24" s="521">
        <v>40543</v>
      </c>
      <c r="E24" s="348">
        <f>D24-C24</f>
        <v>365</v>
      </c>
      <c r="F24" s="522">
        <v>200000000</v>
      </c>
      <c r="G24" s="260" t="e">
        <f>(C13+C14)/2</f>
        <v>#REF!</v>
      </c>
      <c r="H24" s="553" t="s">
        <v>249</v>
      </c>
      <c r="I24" s="268">
        <v>1.25E-3</v>
      </c>
      <c r="J24" s="210">
        <f>ROUND(F24*I24*E24/360,6)</f>
        <v>253472.22222200001</v>
      </c>
      <c r="K24" s="152"/>
      <c r="L24" s="38"/>
      <c r="M24" s="35"/>
      <c r="N24" s="35"/>
      <c r="O24" s="35"/>
    </row>
    <row r="25" spans="1:15" ht="12">
      <c r="A25" s="192">
        <f t="shared" si="0"/>
        <v>21</v>
      </c>
      <c r="B25" s="264" t="s">
        <v>130</v>
      </c>
      <c r="C25" s="41"/>
      <c r="D25" s="276"/>
      <c r="E25" s="348"/>
      <c r="F25" s="523"/>
      <c r="I25" s="276"/>
      <c r="J25" s="524" t="e">
        <f>SUM(J23:J24)</f>
        <v>#REF!</v>
      </c>
      <c r="K25" s="187"/>
      <c r="L25" s="38"/>
      <c r="M25" s="35"/>
      <c r="N25" s="35"/>
      <c r="O25" s="35"/>
    </row>
    <row r="26" spans="1:15" ht="12">
      <c r="A26" s="192">
        <f t="shared" si="0"/>
        <v>22</v>
      </c>
      <c r="B26" s="243"/>
      <c r="C26" s="41"/>
      <c r="D26" s="276"/>
      <c r="E26" s="525"/>
      <c r="F26" s="40"/>
      <c r="G26" s="276"/>
      <c r="H26" s="526"/>
      <c r="I26" s="526"/>
      <c r="J26" s="526"/>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179</v>
      </c>
      <c r="G28" s="348">
        <v>365</v>
      </c>
      <c r="H28" s="260">
        <f>'Pg 4 STD OS &amp; Comm Fees'!H31</f>
        <v>2572076</v>
      </c>
      <c r="I28" s="527">
        <v>6.4999999999999997E-3</v>
      </c>
      <c r="J28" s="260">
        <f>(I28*H28)*(G28/360)</f>
        <v>16950.695305555553</v>
      </c>
      <c r="K28" s="187"/>
      <c r="L28" s="38"/>
      <c r="M28" s="35"/>
      <c r="N28" s="35"/>
      <c r="O28" s="35"/>
    </row>
    <row r="29" spans="1:15" ht="12.75" customHeight="1">
      <c r="A29" s="192">
        <f t="shared" si="0"/>
        <v>25</v>
      </c>
      <c r="B29" s="264" t="s">
        <v>177</v>
      </c>
      <c r="C29" s="281"/>
      <c r="F29" s="405" t="s">
        <v>178</v>
      </c>
      <c r="G29" s="348">
        <v>365</v>
      </c>
      <c r="H29" s="260">
        <f>'Pg 4 STD OS &amp; Comm Fees'!H32</f>
        <v>0</v>
      </c>
      <c r="I29" s="527">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16950.695305555553</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28" t="s">
        <v>238</v>
      </c>
      <c r="C34" s="150"/>
      <c r="D34" s="150"/>
      <c r="E34" s="150"/>
      <c r="F34" s="150"/>
      <c r="G34" s="150"/>
      <c r="H34" s="150"/>
      <c r="I34" s="150"/>
      <c r="J34" s="150"/>
      <c r="K34" s="355"/>
    </row>
    <row r="35" spans="1:11" ht="12">
      <c r="A35" s="192">
        <f t="shared" si="0"/>
        <v>31</v>
      </c>
      <c r="B35" s="529"/>
      <c r="C35" s="89"/>
      <c r="D35" s="89"/>
      <c r="E35" s="89"/>
      <c r="F35" s="89"/>
      <c r="G35" s="89"/>
      <c r="H35" s="89"/>
      <c r="I35" s="89"/>
      <c r="J35" s="89"/>
      <c r="K35" s="152"/>
    </row>
    <row r="36" spans="1:11" ht="12">
      <c r="A36" s="192">
        <f t="shared" si="0"/>
        <v>32</v>
      </c>
      <c r="B36" s="529" t="s">
        <v>239</v>
      </c>
      <c r="C36" s="530">
        <v>5.2500000000000003E-3</v>
      </c>
      <c r="D36" s="89"/>
      <c r="E36" s="89"/>
      <c r="F36" s="89"/>
      <c r="G36" s="89"/>
      <c r="H36" s="89"/>
      <c r="I36" s="89"/>
      <c r="J36" s="89"/>
      <c r="K36" s="152"/>
    </row>
    <row r="37" spans="1:11" ht="12">
      <c r="A37" s="192">
        <f t="shared" si="0"/>
        <v>33</v>
      </c>
      <c r="B37" s="529" t="s">
        <v>240</v>
      </c>
      <c r="C37" s="530">
        <v>8.5000000000000006E-3</v>
      </c>
      <c r="D37" s="89"/>
      <c r="E37" s="89"/>
      <c r="F37" s="89"/>
      <c r="G37" s="89"/>
      <c r="H37" s="89"/>
      <c r="I37" s="89"/>
      <c r="J37" s="89"/>
      <c r="K37" s="152"/>
    </row>
    <row r="38" spans="1:11" ht="12">
      <c r="A38" s="192">
        <f t="shared" si="0"/>
        <v>34</v>
      </c>
      <c r="B38" s="531" t="s">
        <v>241</v>
      </c>
      <c r="C38" s="532">
        <f>C36-C37</f>
        <v>-3.2500000000000003E-3</v>
      </c>
      <c r="D38" s="38" t="s">
        <v>243</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33"/>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14" t="s">
        <v>227</v>
      </c>
    </row>
    <row r="2" spans="1:8" ht="16.5" customHeight="1">
      <c r="A2" s="89"/>
      <c r="B2" s="127" t="s">
        <v>105</v>
      </c>
    </row>
    <row r="3" spans="1:8" ht="15" customHeight="1">
      <c r="A3" s="89"/>
      <c r="B3" s="322" t="e">
        <f>#REF!</f>
        <v>#REF!</v>
      </c>
    </row>
    <row r="4" spans="1:8">
      <c r="A4" s="534"/>
      <c r="B4" s="535"/>
    </row>
    <row r="5" spans="1:8">
      <c r="A5" s="128" t="s">
        <v>5</v>
      </c>
      <c r="B5" s="128" t="s">
        <v>27</v>
      </c>
      <c r="C5" s="128" t="s">
        <v>52</v>
      </c>
      <c r="D5" s="128" t="s">
        <v>64</v>
      </c>
      <c r="E5" s="128" t="s">
        <v>65</v>
      </c>
    </row>
    <row r="6" spans="1:8" ht="11.25" customHeight="1">
      <c r="B6" s="536"/>
      <c r="C6" s="536"/>
      <c r="D6" s="536"/>
      <c r="E6" s="536"/>
    </row>
    <row r="7" spans="1:8" ht="11.25" customHeight="1">
      <c r="A7" s="192"/>
      <c r="B7" s="162"/>
      <c r="C7" s="537" t="s">
        <v>244</v>
      </c>
      <c r="D7" s="537" t="s">
        <v>244</v>
      </c>
    </row>
    <row r="8" spans="1:8" ht="11.25" customHeight="1">
      <c r="A8" s="192">
        <v>1</v>
      </c>
      <c r="B8" s="162" t="s">
        <v>9</v>
      </c>
      <c r="C8" s="538" t="s">
        <v>245</v>
      </c>
      <c r="D8" s="539" t="s">
        <v>246</v>
      </c>
    </row>
    <row r="9" spans="1:8" ht="11.25" customHeight="1">
      <c r="A9" s="192">
        <f t="shared" ref="A9:A25" si="0">A8+1</f>
        <v>2</v>
      </c>
      <c r="B9" s="162"/>
      <c r="C9" s="538" t="s">
        <v>247</v>
      </c>
      <c r="D9" s="539" t="s">
        <v>248</v>
      </c>
      <c r="E9" s="540" t="s">
        <v>166</v>
      </c>
    </row>
    <row r="10" spans="1:8" ht="11.25" customHeight="1">
      <c r="A10" s="192">
        <f t="shared" si="0"/>
        <v>3</v>
      </c>
      <c r="B10" s="541" t="s">
        <v>148</v>
      </c>
      <c r="C10" s="542">
        <v>18100400</v>
      </c>
      <c r="D10" s="542">
        <v>18100583</v>
      </c>
      <c r="E10" s="542" t="s">
        <v>167</v>
      </c>
    </row>
    <row r="11" spans="1:8" ht="11.25" customHeight="1">
      <c r="A11" s="192">
        <f t="shared" si="0"/>
        <v>4</v>
      </c>
      <c r="B11" s="541"/>
      <c r="C11" s="543"/>
      <c r="D11" s="160"/>
    </row>
    <row r="12" spans="1:8">
      <c r="A12" s="192">
        <f t="shared" si="0"/>
        <v>5</v>
      </c>
      <c r="B12" s="544">
        <v>40209</v>
      </c>
      <c r="C12" s="298">
        <v>-5627.69</v>
      </c>
      <c r="D12" s="298">
        <v>-18843.900000000001</v>
      </c>
      <c r="E12" s="545"/>
    </row>
    <row r="13" spans="1:8">
      <c r="A13" s="192">
        <f t="shared" si="0"/>
        <v>6</v>
      </c>
      <c r="B13" s="544">
        <v>40237</v>
      </c>
      <c r="C13" s="298">
        <v>-5627.69</v>
      </c>
      <c r="D13" s="298">
        <v>-18843.900000000001</v>
      </c>
      <c r="E13" s="545"/>
    </row>
    <row r="14" spans="1:8">
      <c r="A14" s="192">
        <f t="shared" si="0"/>
        <v>7</v>
      </c>
      <c r="B14" s="544">
        <v>40268</v>
      </c>
      <c r="C14" s="298">
        <v>-5627.69</v>
      </c>
      <c r="D14" s="298">
        <v>-18843.900000000001</v>
      </c>
      <c r="E14" s="545"/>
    </row>
    <row r="15" spans="1:8">
      <c r="A15" s="192">
        <f t="shared" si="0"/>
        <v>8</v>
      </c>
      <c r="B15" s="544">
        <v>40298</v>
      </c>
      <c r="C15" s="298">
        <v>-5627.69</v>
      </c>
      <c r="D15" s="298">
        <v>-18843.900000000001</v>
      </c>
      <c r="E15" s="545"/>
    </row>
    <row r="16" spans="1:8">
      <c r="A16" s="192">
        <f t="shared" si="0"/>
        <v>9</v>
      </c>
      <c r="B16" s="544">
        <v>40329</v>
      </c>
      <c r="C16" s="298">
        <v>-5627.69</v>
      </c>
      <c r="D16" s="298">
        <v>-18843.900000000001</v>
      </c>
      <c r="E16" s="545"/>
      <c r="H16" s="335"/>
    </row>
    <row r="17" spans="1:5">
      <c r="A17" s="192">
        <f t="shared" si="0"/>
        <v>10</v>
      </c>
      <c r="B17" s="544">
        <v>40359</v>
      </c>
      <c r="C17" s="298">
        <v>-5627.69</v>
      </c>
      <c r="D17" s="298">
        <v>-18843.900000000001</v>
      </c>
      <c r="E17" s="545"/>
    </row>
    <row r="18" spans="1:5">
      <c r="A18" s="192">
        <f t="shared" si="0"/>
        <v>11</v>
      </c>
      <c r="B18" s="544">
        <v>40390</v>
      </c>
      <c r="C18" s="298">
        <v>-5627.69</v>
      </c>
      <c r="D18" s="298">
        <v>-18843.900000000001</v>
      </c>
      <c r="E18" s="545"/>
    </row>
    <row r="19" spans="1:5">
      <c r="A19" s="192">
        <f t="shared" si="0"/>
        <v>12</v>
      </c>
      <c r="B19" s="544">
        <v>40421</v>
      </c>
      <c r="C19" s="298">
        <v>-5627.69</v>
      </c>
      <c r="D19" s="298">
        <v>-18843.900000000001</v>
      </c>
      <c r="E19" s="545"/>
    </row>
    <row r="20" spans="1:5">
      <c r="A20" s="192">
        <f t="shared" si="0"/>
        <v>13</v>
      </c>
      <c r="B20" s="544">
        <v>40451</v>
      </c>
      <c r="C20" s="298">
        <v>-5627.69</v>
      </c>
      <c r="D20" s="298">
        <v>-18843.900000000001</v>
      </c>
      <c r="E20" s="545"/>
    </row>
    <row r="21" spans="1:5">
      <c r="A21" s="192">
        <f t="shared" si="0"/>
        <v>14</v>
      </c>
      <c r="B21" s="544">
        <v>40482</v>
      </c>
      <c r="C21" s="298">
        <v>-5627.69</v>
      </c>
      <c r="D21" s="298">
        <v>-18843.900000000001</v>
      </c>
      <c r="E21" s="545"/>
    </row>
    <row r="22" spans="1:5">
      <c r="A22" s="192">
        <f t="shared" si="0"/>
        <v>15</v>
      </c>
      <c r="B22" s="544">
        <v>40512</v>
      </c>
      <c r="C22" s="298">
        <v>-5627.69</v>
      </c>
      <c r="D22" s="298">
        <v>-18843.900000000001</v>
      </c>
      <c r="E22" s="545"/>
    </row>
    <row r="23" spans="1:5">
      <c r="A23" s="192">
        <f t="shared" si="0"/>
        <v>16</v>
      </c>
      <c r="B23" s="544">
        <v>40543</v>
      </c>
      <c r="C23" s="298">
        <v>-5627.69</v>
      </c>
      <c r="D23" s="298">
        <v>-18843.900000000001</v>
      </c>
      <c r="E23" s="545"/>
    </row>
    <row r="24" spans="1:5" ht="12" thickBot="1">
      <c r="A24" s="192">
        <f t="shared" si="0"/>
        <v>17</v>
      </c>
      <c r="B24" s="544"/>
      <c r="C24" s="546"/>
      <c r="D24" s="546"/>
      <c r="E24" s="547"/>
    </row>
    <row r="25" spans="1:5" ht="12" thickBot="1">
      <c r="A25" s="192">
        <f t="shared" si="0"/>
        <v>18</v>
      </c>
      <c r="B25" s="548" t="s">
        <v>172</v>
      </c>
      <c r="C25" s="549">
        <f>SUM(C12:C24)</f>
        <v>-67532.280000000013</v>
      </c>
      <c r="D25" s="549">
        <f>SUM(D12:D24)</f>
        <v>-226126.79999999996</v>
      </c>
      <c r="E25" s="550">
        <f>SUM(C25:D25)</f>
        <v>-293659.07999999996</v>
      </c>
    </row>
    <row r="26" spans="1:5">
      <c r="A26" s="192"/>
      <c r="B26" s="276"/>
      <c r="C26" s="551"/>
      <c r="D26" s="551"/>
      <c r="E26" s="547"/>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workbookViewId="0">
      <selection activeCell="P28" sqref="P28"/>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311</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178375000</v>
      </c>
      <c r="D14" s="597">
        <f>ROUND(C14/$C$30,4)</f>
        <v>1.9599999999999999E-2</v>
      </c>
      <c r="E14" s="351">
        <f>'Pg 6 LTD Cost '!H31</f>
        <v>2.3E-3</v>
      </c>
      <c r="F14" s="181">
        <f>ROUND(D14*E14,4)</f>
        <v>0</v>
      </c>
      <c r="L14" s="238"/>
    </row>
    <row r="15" spans="1:12">
      <c r="A15" s="193">
        <f t="shared" si="0"/>
        <v>8</v>
      </c>
      <c r="B15" s="109"/>
      <c r="C15" s="168"/>
      <c r="D15" s="181"/>
      <c r="E15" s="167"/>
      <c r="F15" s="181"/>
      <c r="L15" s="238"/>
    </row>
    <row r="16" spans="1:12">
      <c r="A16" s="193">
        <f t="shared" si="0"/>
        <v>9</v>
      </c>
      <c r="B16" s="109" t="s">
        <v>14</v>
      </c>
      <c r="C16" s="168">
        <f>'Pg 2 CapStructure'!Q16</f>
        <v>4468765614</v>
      </c>
      <c r="D16" s="565">
        <f>ROUND(C16/$C$30,4)</f>
        <v>0.49009999999999998</v>
      </c>
      <c r="E16" s="169">
        <f>'Pg 6 LTD Cost '!H29</f>
        <v>5.21E-2</v>
      </c>
      <c r="F16" s="181">
        <f>ROUND(D16*E16,4)</f>
        <v>2.5499999999999998E-2</v>
      </c>
      <c r="L16" s="238"/>
    </row>
    <row r="17" spans="1:12">
      <c r="A17" s="193">
        <f t="shared" si="0"/>
        <v>10</v>
      </c>
      <c r="B17" s="111"/>
      <c r="C17" s="170"/>
      <c r="D17" s="181"/>
      <c r="E17" s="169"/>
      <c r="F17" s="359"/>
      <c r="H17" s="250"/>
      <c r="I17" s="195"/>
      <c r="J17" s="195"/>
      <c r="K17" s="195"/>
      <c r="L17" s="251"/>
    </row>
    <row r="18" spans="1:12">
      <c r="A18" s="193">
        <v>11</v>
      </c>
      <c r="B18" s="104" t="s">
        <v>298</v>
      </c>
      <c r="C18" s="170"/>
      <c r="D18" s="181">
        <f>ROUND((C14+C16)/C30,4)</f>
        <v>0.50960000000000005</v>
      </c>
      <c r="E18" s="169">
        <f>'Pg 6 LTD Cost '!H33</f>
        <v>5.0500000000000003E-2</v>
      </c>
      <c r="F18" s="359">
        <f>F16+F14</f>
        <v>2.5499999999999998E-2</v>
      </c>
      <c r="H18" s="575"/>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'Pg 4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299</v>
      </c>
      <c r="C22" s="170"/>
      <c r="D22" s="181"/>
      <c r="E22" s="169"/>
      <c r="F22" s="359">
        <f>'Pg 5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300</v>
      </c>
      <c r="C24" s="616"/>
      <c r="D24" s="508"/>
      <c r="E24" s="593"/>
      <c r="F24" s="617">
        <f>'Pg 7 Reacquired Debt'!I36</f>
        <v>2.0000000000000001E-4</v>
      </c>
      <c r="G24" s="618"/>
      <c r="H24" s="619"/>
      <c r="I24" s="620"/>
      <c r="J24" s="195"/>
      <c r="K24" s="195"/>
      <c r="L24" s="251"/>
    </row>
    <row r="25" spans="1:12">
      <c r="A25" s="193">
        <v>18</v>
      </c>
      <c r="B25" s="111"/>
      <c r="C25" s="616"/>
      <c r="D25" s="508"/>
      <c r="E25" s="593"/>
      <c r="F25" s="617"/>
      <c r="G25" s="618"/>
      <c r="H25" s="619"/>
      <c r="I25" s="620"/>
      <c r="J25" s="195"/>
      <c r="K25" s="195"/>
      <c r="L25" s="251"/>
    </row>
    <row r="26" spans="1:12">
      <c r="A26" s="193">
        <v>19</v>
      </c>
      <c r="B26" s="111" t="s">
        <v>301</v>
      </c>
      <c r="C26" s="616">
        <f>C16+C14</f>
        <v>4647140614</v>
      </c>
      <c r="D26" s="508">
        <f>D18</f>
        <v>0.50960000000000005</v>
      </c>
      <c r="E26" s="593"/>
      <c r="F26" s="593">
        <f>SUM(F18:F25)</f>
        <v>2.5999999999999995E-2</v>
      </c>
      <c r="G26" s="621"/>
      <c r="H26" s="619"/>
      <c r="I26" s="620"/>
      <c r="J26" s="195"/>
      <c r="K26" s="195"/>
      <c r="L26" s="251"/>
    </row>
    <row r="27" spans="1:12">
      <c r="A27" s="193">
        <v>20</v>
      </c>
      <c r="B27" s="111"/>
      <c r="C27" s="616"/>
      <c r="D27" s="508"/>
      <c r="E27" s="593"/>
      <c r="F27" s="617"/>
      <c r="G27" s="618"/>
      <c r="H27" s="619"/>
      <c r="I27" s="620"/>
      <c r="J27" s="195"/>
      <c r="K27" s="195"/>
      <c r="L27" s="251"/>
    </row>
    <row r="28" spans="1:12">
      <c r="A28" s="193">
        <v>21</v>
      </c>
      <c r="B28" s="110" t="s">
        <v>15</v>
      </c>
      <c r="C28" s="622">
        <f>'Pg 2 CapStructure'!Q20</f>
        <v>4471264292</v>
      </c>
      <c r="D28" s="339">
        <f>ROUND(C28/$C$30,4)</f>
        <v>0.4904</v>
      </c>
      <c r="E28" s="596">
        <v>9.4E-2</v>
      </c>
      <c r="F28" s="339">
        <f>ROUND(D28*E28,4)</f>
        <v>4.6100000000000002E-2</v>
      </c>
      <c r="G28" s="618"/>
      <c r="H28" s="623"/>
      <c r="I28" s="596"/>
      <c r="J28" s="253"/>
      <c r="K28" s="254"/>
      <c r="L28" s="169"/>
    </row>
    <row r="29" spans="1:12">
      <c r="A29" s="193">
        <v>22</v>
      </c>
      <c r="B29" s="111"/>
      <c r="C29" s="593"/>
      <c r="D29" s="624"/>
      <c r="E29" s="559"/>
      <c r="F29" s="593"/>
      <c r="G29" s="618"/>
      <c r="H29" s="623"/>
      <c r="I29" s="596"/>
      <c r="J29" s="253"/>
      <c r="K29" s="254"/>
      <c r="L29" s="169"/>
    </row>
    <row r="30" spans="1:12">
      <c r="A30" s="193">
        <v>23</v>
      </c>
      <c r="B30" s="110" t="s">
        <v>16</v>
      </c>
      <c r="C30" s="625">
        <f>C28+C26</f>
        <v>9118404906</v>
      </c>
      <c r="D30" s="244">
        <f>D28+D18</f>
        <v>1</v>
      </c>
      <c r="E30" s="626"/>
      <c r="F30" s="244">
        <f>F28+F26</f>
        <v>7.2099999999999997E-2</v>
      </c>
      <c r="G30" s="618"/>
      <c r="H30" s="627"/>
      <c r="I30" s="627"/>
      <c r="J30" s="253"/>
      <c r="K30" s="169"/>
      <c r="L30" s="255"/>
    </row>
    <row r="31" spans="1:12">
      <c r="A31" s="193">
        <v>24</v>
      </c>
      <c r="B31" s="104"/>
      <c r="C31" s="627"/>
      <c r="D31" s="627"/>
      <c r="E31" s="628"/>
      <c r="F31" s="627"/>
      <c r="G31" s="618"/>
      <c r="H31" s="629"/>
      <c r="I31" s="629"/>
      <c r="J31" s="104"/>
    </row>
    <row r="32" spans="1:12">
      <c r="A32" s="193">
        <v>25</v>
      </c>
      <c r="B32" s="104"/>
      <c r="C32" s="104"/>
      <c r="D32" s="104"/>
      <c r="E32" s="112"/>
      <c r="F32" s="104"/>
    </row>
    <row r="33" spans="1:7">
      <c r="A33" s="193">
        <v>26</v>
      </c>
      <c r="B33" s="375"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28" activePane="bottomRight" state="frozen"/>
      <selection activeCell="C28" sqref="C28"/>
      <selection pane="topRight" activeCell="C28" sqref="C28"/>
      <selection pane="bottomLeft" activeCell="C28" sqref="C28"/>
      <selection pane="bottomRight" activeCell="G38" sqref="G38"/>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1" t="s">
        <v>312</v>
      </c>
      <c r="C3" s="631"/>
      <c r="D3" s="631"/>
      <c r="E3" s="631"/>
      <c r="F3" s="631"/>
      <c r="G3" s="631"/>
      <c r="H3" s="631"/>
      <c r="I3" s="631"/>
      <c r="J3" s="631"/>
      <c r="K3" s="631"/>
      <c r="L3" s="631"/>
      <c r="M3" s="631"/>
      <c r="N3" s="631"/>
      <c r="O3" s="631"/>
      <c r="P3" s="631"/>
      <c r="Q3" s="631"/>
    </row>
    <row r="4" spans="1:53">
      <c r="B4" s="630" t="s">
        <v>59</v>
      </c>
      <c r="C4" s="630"/>
      <c r="D4" s="630"/>
      <c r="E4" s="630"/>
      <c r="F4" s="630"/>
      <c r="G4" s="630"/>
      <c r="H4" s="630"/>
      <c r="I4" s="630"/>
      <c r="J4" s="630"/>
      <c r="K4" s="630"/>
      <c r="L4" s="630"/>
      <c r="M4" s="630"/>
      <c r="N4" s="630"/>
      <c r="O4" s="630"/>
      <c r="P4" s="630"/>
      <c r="Q4" s="630"/>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44196</v>
      </c>
      <c r="D6" s="198">
        <v>44227</v>
      </c>
      <c r="E6" s="198">
        <v>44255</v>
      </c>
      <c r="F6" s="198">
        <v>44286</v>
      </c>
      <c r="G6" s="198">
        <v>44316</v>
      </c>
      <c r="H6" s="198">
        <v>44347</v>
      </c>
      <c r="I6" s="198">
        <v>44377</v>
      </c>
      <c r="J6" s="198">
        <v>44408</v>
      </c>
      <c r="K6" s="198">
        <v>44439</v>
      </c>
      <c r="L6" s="198">
        <v>44469</v>
      </c>
      <c r="M6" s="198">
        <v>44500</v>
      </c>
      <c r="N6" s="198">
        <v>44530</v>
      </c>
      <c r="O6" s="198">
        <v>44561</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373800000</v>
      </c>
      <c r="D7" s="376">
        <v>302000000</v>
      </c>
      <c r="E7" s="376">
        <v>237000000</v>
      </c>
      <c r="F7" s="376">
        <v>191000000</v>
      </c>
      <c r="G7" s="376">
        <v>166000000</v>
      </c>
      <c r="H7" s="376">
        <v>162300000</v>
      </c>
      <c r="I7" s="376">
        <v>231300000</v>
      </c>
      <c r="J7" s="376">
        <v>259000000</v>
      </c>
      <c r="K7" s="376">
        <v>290000000</v>
      </c>
      <c r="L7" s="376"/>
      <c r="M7" s="376">
        <v>10000000</v>
      </c>
      <c r="N7" s="376">
        <v>35000000</v>
      </c>
      <c r="O7" s="376">
        <v>140000000</v>
      </c>
      <c r="P7" s="376"/>
      <c r="Q7" s="163">
        <f>ROUND(((C7+O7)+(SUM(D7:N7)*2))/24,0)</f>
        <v>178375000</v>
      </c>
      <c r="R7" s="554"/>
      <c r="S7" s="555"/>
      <c r="T7" s="555"/>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54"/>
      <c r="S8" s="555"/>
      <c r="T8" s="555"/>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c r="G9" s="376"/>
      <c r="H9" s="376"/>
      <c r="I9" s="376"/>
      <c r="J9" s="376"/>
      <c r="K9" s="376"/>
      <c r="L9" s="376"/>
      <c r="M9" s="376"/>
      <c r="N9" s="376"/>
      <c r="O9" s="376"/>
      <c r="P9" s="376"/>
      <c r="Q9" s="163">
        <f>ROUND(((C9+O9)+(SUM(D9:N9)*2))/24,0)</f>
        <v>0</v>
      </c>
      <c r="R9" s="101"/>
      <c r="T9" s="1" t="s">
        <v>310</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373800000</v>
      </c>
      <c r="D10" s="365">
        <f t="shared" si="0"/>
        <v>302000000</v>
      </c>
      <c r="E10" s="365">
        <f t="shared" si="0"/>
        <v>237000000</v>
      </c>
      <c r="F10" s="365">
        <f t="shared" si="0"/>
        <v>191000000</v>
      </c>
      <c r="G10" s="365">
        <f t="shared" si="0"/>
        <v>166000000</v>
      </c>
      <c r="H10" s="365">
        <f t="shared" si="0"/>
        <v>162300000</v>
      </c>
      <c r="I10" s="365">
        <f t="shared" ref="I10:Q10" si="1">SUM(I7:I9)</f>
        <v>231300000</v>
      </c>
      <c r="J10" s="365">
        <f t="shared" si="1"/>
        <v>259000000</v>
      </c>
      <c r="K10" s="365">
        <f t="shared" si="1"/>
        <v>290000000</v>
      </c>
      <c r="L10" s="365">
        <f t="shared" si="1"/>
        <v>0</v>
      </c>
      <c r="M10" s="365">
        <f t="shared" si="1"/>
        <v>10000000</v>
      </c>
      <c r="N10" s="365">
        <f t="shared" si="1"/>
        <v>35000000</v>
      </c>
      <c r="O10" s="365">
        <f t="shared" si="1"/>
        <v>140000000</v>
      </c>
      <c r="P10" s="200"/>
      <c r="Q10" s="218">
        <f t="shared" si="1"/>
        <v>178375000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4338043700</v>
      </c>
      <c r="D12" s="377">
        <v>4338202930</v>
      </c>
      <c r="E12" s="377">
        <v>4338362159</v>
      </c>
      <c r="F12" s="377">
        <v>4338523810</v>
      </c>
      <c r="G12" s="377">
        <v>4338683000</v>
      </c>
      <c r="H12" s="377">
        <v>4338842269</v>
      </c>
      <c r="I12" s="377">
        <v>4339001498</v>
      </c>
      <c r="J12" s="377">
        <v>4339160728</v>
      </c>
      <c r="K12" s="377">
        <v>4339319957</v>
      </c>
      <c r="L12" s="377">
        <v>4784593561</v>
      </c>
      <c r="M12" s="377">
        <v>4784513025</v>
      </c>
      <c r="N12" s="377">
        <v>4784604212</v>
      </c>
      <c r="O12" s="377">
        <v>4784716734</v>
      </c>
      <c r="P12" s="377"/>
      <c r="Q12" s="218">
        <f>ROUND(((C12+O12)+(SUM(D12:N12)*2))/24,0)</f>
        <v>4468765614</v>
      </c>
      <c r="R12" s="97"/>
      <c r="S12" s="555"/>
      <c r="T12" s="555"/>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55"/>
      <c r="T14" s="555"/>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4338043700</v>
      </c>
      <c r="D16" s="307">
        <f>SUM(D12:D14)</f>
        <v>4338202930</v>
      </c>
      <c r="E16" s="307">
        <f>SUM(E12:E14)</f>
        <v>4338362159</v>
      </c>
      <c r="F16" s="307">
        <f>SUM(F12:F14)</f>
        <v>4338523810</v>
      </c>
      <c r="G16" s="307">
        <f t="shared" ref="G16:O16" si="2">SUM(G12:G14)</f>
        <v>4338683000</v>
      </c>
      <c r="H16" s="307">
        <f t="shared" si="2"/>
        <v>4338842269</v>
      </c>
      <c r="I16" s="307">
        <f t="shared" si="2"/>
        <v>4339001498</v>
      </c>
      <c r="J16" s="307">
        <f t="shared" si="2"/>
        <v>4339160728</v>
      </c>
      <c r="K16" s="307">
        <f t="shared" si="2"/>
        <v>4339319957</v>
      </c>
      <c r="L16" s="307">
        <f t="shared" si="2"/>
        <v>4784593561</v>
      </c>
      <c r="M16" s="307">
        <f t="shared" si="2"/>
        <v>4784513025</v>
      </c>
      <c r="N16" s="307">
        <f t="shared" si="2"/>
        <v>4784604212</v>
      </c>
      <c r="O16" s="307">
        <f t="shared" si="2"/>
        <v>4784716734</v>
      </c>
      <c r="P16" s="98"/>
      <c r="Q16" s="218">
        <f>SUM(Q12:Q14)</f>
        <v>4468765614</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4367047000</v>
      </c>
      <c r="D20" s="319">
        <v>4436907000</v>
      </c>
      <c r="E20" s="319">
        <v>4497542000</v>
      </c>
      <c r="F20" s="319">
        <v>4503828000</v>
      </c>
      <c r="G20" s="319">
        <v>4535133000</v>
      </c>
      <c r="H20" s="319">
        <v>4525242000</v>
      </c>
      <c r="I20" s="319">
        <v>4489506000</v>
      </c>
      <c r="J20" s="319">
        <v>4472849000</v>
      </c>
      <c r="K20" s="319">
        <v>4469294000</v>
      </c>
      <c r="L20" s="319">
        <v>4410305000</v>
      </c>
      <c r="M20" s="319">
        <v>4430610000</v>
      </c>
      <c r="N20" s="319">
        <v>4466191000</v>
      </c>
      <c r="O20" s="319">
        <v>4468482000</v>
      </c>
      <c r="P20" s="275"/>
      <c r="Q20" s="217">
        <f>ROUND(((C20+O20)+(SUM(D20:N20)*2))/24,0)</f>
        <v>4471264292</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3">C10+C16+C18+C20-1000</f>
        <v>9078889700</v>
      </c>
      <c r="D22" s="308">
        <f>D10+D16+D18+D20</f>
        <v>9077109930</v>
      </c>
      <c r="E22" s="308">
        <f>E10+E16+E18+E20</f>
        <v>9072904159</v>
      </c>
      <c r="F22" s="308">
        <f>F10+F16+F18+F20</f>
        <v>9033351810</v>
      </c>
      <c r="G22" s="308">
        <f>G10+G16+G18+G20</f>
        <v>9039816000</v>
      </c>
      <c r="H22" s="308">
        <f t="shared" ref="H22" si="4">H10+H16+H18+H20</f>
        <v>9026384269</v>
      </c>
      <c r="I22" s="308">
        <f>I10+I16+I18+I20</f>
        <v>9059807498</v>
      </c>
      <c r="J22" s="308">
        <f>J10+J16+J18+J20</f>
        <v>9071009728</v>
      </c>
      <c r="K22" s="308">
        <f t="shared" ref="K22:O22" si="5">K10+K16+K18+K20</f>
        <v>9098613957</v>
      </c>
      <c r="L22" s="308">
        <f>L10+L16+L18+L20</f>
        <v>9194898561</v>
      </c>
      <c r="M22" s="308">
        <f t="shared" si="5"/>
        <v>9225123025</v>
      </c>
      <c r="N22" s="308">
        <f t="shared" si="5"/>
        <v>9285795212</v>
      </c>
      <c r="O22" s="308">
        <f t="shared" si="5"/>
        <v>9393198734</v>
      </c>
      <c r="P22" s="308"/>
      <c r="Q22" s="247">
        <f>Q10+Q16+Q18+Q20</f>
        <v>9118404906</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6">C10/C$22</f>
        <v>4.1172435435579746E-2</v>
      </c>
      <c r="D24" s="309">
        <f t="shared" si="6"/>
        <v>3.3270501550486345E-2</v>
      </c>
      <c r="E24" s="309">
        <f t="shared" si="6"/>
        <v>2.6121735207012452E-2</v>
      </c>
      <c r="F24" s="309">
        <f t="shared" si="6"/>
        <v>2.1143868191711667E-2</v>
      </c>
      <c r="G24" s="309">
        <f t="shared" si="6"/>
        <v>1.8363205622769312E-2</v>
      </c>
      <c r="H24" s="309">
        <f t="shared" si="6"/>
        <v>1.7980621604754769E-2</v>
      </c>
      <c r="I24" s="309">
        <f>I10/I$22</f>
        <v>2.5530343779496496E-2</v>
      </c>
      <c r="J24" s="309">
        <f>J10/J$22</f>
        <v>2.8552499420271816E-2</v>
      </c>
      <c r="K24" s="309">
        <f>K10/K$22</f>
        <v>3.1872986519764265E-2</v>
      </c>
      <c r="L24" s="309">
        <f>L10/L$22</f>
        <v>0</v>
      </c>
      <c r="M24" s="309">
        <f t="shared" ref="M24:O24" si="7">M10/M$22</f>
        <v>1.083996383885623E-3</v>
      </c>
      <c r="N24" s="309">
        <f t="shared" si="7"/>
        <v>3.7691979201490062E-3</v>
      </c>
      <c r="O24" s="309">
        <f t="shared" si="7"/>
        <v>1.4904400935673847E-2</v>
      </c>
      <c r="P24" s="309"/>
      <c r="Q24" s="310">
        <f>Q10/Q$22</f>
        <v>1.9562083702011027E-2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8">C16/C$22</f>
        <v>0.47781654402079582</v>
      </c>
      <c r="D25" s="311">
        <f t="shared" si="8"/>
        <v>0.47792777254599139</v>
      </c>
      <c r="E25" s="311">
        <f t="shared" si="8"/>
        <v>0.47816686729755636</v>
      </c>
      <c r="F25" s="311">
        <f t="shared" si="8"/>
        <v>0.4802784062054592</v>
      </c>
      <c r="G25" s="311">
        <f t="shared" si="8"/>
        <v>0.47995257868080499</v>
      </c>
      <c r="H25" s="311">
        <f t="shared" si="8"/>
        <v>0.48068441800126072</v>
      </c>
      <c r="I25" s="311">
        <f>I16/I$22</f>
        <v>0.47892866365624848</v>
      </c>
      <c r="J25" s="311">
        <f>J16/J$22</f>
        <v>0.47835476513778469</v>
      </c>
      <c r="K25" s="311">
        <f>K16/K$22</f>
        <v>0.47692098791174153</v>
      </c>
      <c r="L25" s="311">
        <f>L16/L$22</f>
        <v>0.52035305547510546</v>
      </c>
      <c r="M25" s="311">
        <f t="shared" ref="M25:O25" si="9">M16/M$22</f>
        <v>0.51863948177536634</v>
      </c>
      <c r="N25" s="311">
        <f t="shared" si="9"/>
        <v>0.51526057841733075</v>
      </c>
      <c r="O25" s="311">
        <f t="shared" si="9"/>
        <v>0.50938097547974226</v>
      </c>
      <c r="P25" s="311"/>
      <c r="Q25" s="312">
        <f>Q16/Q$22</f>
        <v>0.49008194525991144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0">SUM(C24:C25)</f>
        <v>0.51898897945637557</v>
      </c>
      <c r="D26" s="309">
        <f t="shared" si="10"/>
        <v>0.51119827409647778</v>
      </c>
      <c r="E26" s="309">
        <f t="shared" si="10"/>
        <v>0.50428860250456886</v>
      </c>
      <c r="F26" s="309">
        <f t="shared" si="10"/>
        <v>0.50142227439717091</v>
      </c>
      <c r="G26" s="309">
        <f t="shared" si="10"/>
        <v>0.49831578430357432</v>
      </c>
      <c r="H26" s="309">
        <f t="shared" si="10"/>
        <v>0.49866503960601549</v>
      </c>
      <c r="I26" s="309">
        <f>SUM(I24:I25)</f>
        <v>0.50445900743574501</v>
      </c>
      <c r="J26" s="309">
        <f>SUM(J24:J25)</f>
        <v>0.50690726455805646</v>
      </c>
      <c r="K26" s="309">
        <f>SUM(K24:K25)</f>
        <v>0.50879397443150576</v>
      </c>
      <c r="L26" s="309">
        <f>SUM(L24:L25)</f>
        <v>0.52035305547510546</v>
      </c>
      <c r="M26" s="309">
        <f t="shared" ref="M26:O26" si="11">SUM(M24:M25)</f>
        <v>0.51972347815925202</v>
      </c>
      <c r="N26" s="309">
        <f t="shared" si="11"/>
        <v>0.51902977633747971</v>
      </c>
      <c r="O26" s="309">
        <f t="shared" si="11"/>
        <v>0.52428537641541606</v>
      </c>
      <c r="P26" s="309"/>
      <c r="Q26" s="310">
        <f>SUM(Q24:Q25)</f>
        <v>0.50964402896192251</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2">G18/G$22</f>
        <v>0</v>
      </c>
      <c r="H27" s="309">
        <f t="shared" si="12"/>
        <v>0</v>
      </c>
      <c r="I27" s="309">
        <f t="shared" si="12"/>
        <v>0</v>
      </c>
      <c r="J27" s="309">
        <f t="shared" si="12"/>
        <v>0</v>
      </c>
      <c r="K27" s="309">
        <f t="shared" si="12"/>
        <v>0</v>
      </c>
      <c r="L27" s="309">
        <f t="shared" si="12"/>
        <v>0</v>
      </c>
      <c r="M27" s="309">
        <f t="shared" si="12"/>
        <v>0</v>
      </c>
      <c r="N27" s="309">
        <f t="shared" si="12"/>
        <v>0</v>
      </c>
      <c r="O27" s="309">
        <f t="shared" si="12"/>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0.48101113068925155</v>
      </c>
      <c r="D28" s="341">
        <f>D20/D$22</f>
        <v>0.48880172590352222</v>
      </c>
      <c r="E28" s="341">
        <f>E20/E$22</f>
        <v>0.49571139749543119</v>
      </c>
      <c r="F28" s="341">
        <f>F20/F$22</f>
        <v>0.49857772560282915</v>
      </c>
      <c r="G28" s="341">
        <f t="shared" ref="G28:O28" si="13">G20/G$22</f>
        <v>0.50168421569642563</v>
      </c>
      <c r="H28" s="341">
        <f t="shared" si="13"/>
        <v>0.50133496039398451</v>
      </c>
      <c r="I28" s="341">
        <f t="shared" si="13"/>
        <v>0.49554099256425505</v>
      </c>
      <c r="J28" s="341">
        <f t="shared" si="13"/>
        <v>0.49309273544194354</v>
      </c>
      <c r="K28" s="341">
        <f t="shared" si="13"/>
        <v>0.49120602556849419</v>
      </c>
      <c r="L28" s="341">
        <f t="shared" si="13"/>
        <v>0.47964694452489459</v>
      </c>
      <c r="M28" s="341">
        <f t="shared" si="13"/>
        <v>0.48027652184074804</v>
      </c>
      <c r="N28" s="341">
        <f t="shared" si="13"/>
        <v>0.48097022366252029</v>
      </c>
      <c r="O28" s="341">
        <f t="shared" si="13"/>
        <v>0.47571462358458388</v>
      </c>
      <c r="P28" s="341"/>
      <c r="Q28" s="312">
        <f>Q20/Q$22</f>
        <v>0.49035597103807754</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1.0000001101456271</v>
      </c>
      <c r="D30" s="317">
        <f>SUM(D26:D28)</f>
        <v>1</v>
      </c>
      <c r="E30" s="317">
        <f>SUM(E26:E28)</f>
        <v>1</v>
      </c>
      <c r="F30" s="317">
        <f>SUM(F26:F28)</f>
        <v>1</v>
      </c>
      <c r="G30" s="317">
        <f t="shared" ref="G30:O30" si="14">SUM(G26:G28)</f>
        <v>1</v>
      </c>
      <c r="H30" s="317">
        <f t="shared" si="14"/>
        <v>1</v>
      </c>
      <c r="I30" s="317">
        <f t="shared" si="14"/>
        <v>1</v>
      </c>
      <c r="J30" s="317">
        <f t="shared" si="14"/>
        <v>1</v>
      </c>
      <c r="K30" s="317">
        <f t="shared" si="14"/>
        <v>1</v>
      </c>
      <c r="L30" s="317">
        <f t="shared" si="14"/>
        <v>1</v>
      </c>
      <c r="M30" s="317">
        <f t="shared" si="14"/>
        <v>1</v>
      </c>
      <c r="N30" s="317">
        <f t="shared" si="14"/>
        <v>1</v>
      </c>
      <c r="O30" s="317">
        <f t="shared" si="14"/>
        <v>1</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4181410458</v>
      </c>
      <c r="D34" s="319">
        <v>4244983653</v>
      </c>
      <c r="E34" s="319">
        <v>4318539095</v>
      </c>
      <c r="F34" s="319">
        <v>4333382406</v>
      </c>
      <c r="G34" s="319">
        <v>4388479000</v>
      </c>
      <c r="H34" s="319">
        <v>4379142000</v>
      </c>
      <c r="I34" s="319">
        <v>4371678995</v>
      </c>
      <c r="J34" s="319">
        <v>4373430127</v>
      </c>
      <c r="K34" s="319">
        <v>4369218928</v>
      </c>
      <c r="L34" s="319">
        <v>4375486371</v>
      </c>
      <c r="M34" s="319">
        <v>4382584210</v>
      </c>
      <c r="N34" s="319">
        <v>4365056000</v>
      </c>
      <c r="O34" s="319">
        <v>4348770403</v>
      </c>
      <c r="P34" s="319"/>
      <c r="Q34" s="218">
        <f>ROUND(((C34+O34)+(SUM(D34:N34)*2))/24,0)</f>
        <v>4347255935</v>
      </c>
      <c r="R34" s="90"/>
      <c r="S34" s="555"/>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9"/>
      <c r="Q35" s="177"/>
      <c r="R35" s="90"/>
      <c r="S35" s="555"/>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-20759387</v>
      </c>
      <c r="D36" s="199">
        <v>-20793161</v>
      </c>
      <c r="E36" s="199">
        <v>-20793161</v>
      </c>
      <c r="F36" s="199">
        <v>-21156233</v>
      </c>
      <c r="G36" s="199">
        <v>-21156000</v>
      </c>
      <c r="H36" s="199">
        <v>-21156000</v>
      </c>
      <c r="I36" s="199">
        <v>-21439000</v>
      </c>
      <c r="J36" s="199">
        <v>-21439016</v>
      </c>
      <c r="K36" s="199">
        <v>-21439016</v>
      </c>
      <c r="L36" s="199">
        <v>-13430369</v>
      </c>
      <c r="M36" s="199">
        <v>-13430369</v>
      </c>
      <c r="N36" s="199">
        <v>-13430369</v>
      </c>
      <c r="O36" s="199">
        <v>-13535624</v>
      </c>
      <c r="P36" s="199"/>
      <c r="Q36" s="218">
        <f>ROUND(((C36+O36)+(SUM(D36:N36)*2))/24,0)</f>
        <v>-18900850</v>
      </c>
      <c r="R36" s="98"/>
      <c r="S36" s="555"/>
      <c r="T36" s="555"/>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55"/>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20">
        <f t="shared" ref="C38:H38" si="16">SUM(C36:C37)</f>
        <v>-20759387</v>
      </c>
      <c r="D38" s="320">
        <f t="shared" si="16"/>
        <v>-20793161</v>
      </c>
      <c r="E38" s="320">
        <f t="shared" si="16"/>
        <v>-20793161</v>
      </c>
      <c r="F38" s="320">
        <f t="shared" si="16"/>
        <v>-21156233</v>
      </c>
      <c r="G38" s="320">
        <f t="shared" si="16"/>
        <v>-21156000</v>
      </c>
      <c r="H38" s="320">
        <f t="shared" si="16"/>
        <v>-21156000</v>
      </c>
      <c r="I38" s="320">
        <f>SUM(I36:I37)</f>
        <v>-21439000</v>
      </c>
      <c r="J38" s="320">
        <f>SUM(J36:J37)</f>
        <v>-21439016</v>
      </c>
      <c r="K38" s="320">
        <f>SUM(K36:K37)</f>
        <v>-21439016</v>
      </c>
      <c r="L38" s="320">
        <f>SUM(L36:L37)</f>
        <v>-13430369</v>
      </c>
      <c r="M38" s="320">
        <f>SUM(M36:M37)</f>
        <v>-13430369</v>
      </c>
      <c r="N38" s="320">
        <f t="shared" ref="N38:O38" si="17">SUM(N36:N37)</f>
        <v>-13430369</v>
      </c>
      <c r="O38" s="320">
        <f t="shared" si="17"/>
        <v>-13535624</v>
      </c>
      <c r="P38" s="200"/>
      <c r="Q38" s="218">
        <f>ROUND(((C38+O38)+(SUM(D38:N38)*2))/24,0)</f>
        <v>-18900850</v>
      </c>
      <c r="R38" s="98"/>
      <c r="S38" s="555"/>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55"/>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598" t="s">
        <v>170</v>
      </c>
      <c r="C40" s="319">
        <f>-13411000+21485000+8003000</f>
        <v>16077000</v>
      </c>
      <c r="D40" s="319">
        <f>-13180000+21485000</f>
        <v>8305000</v>
      </c>
      <c r="E40" s="319">
        <f>-2471000+21485000+695000</f>
        <v>19709000</v>
      </c>
      <c r="F40" s="319">
        <f>4761000+21485000+864000</f>
        <v>27110000</v>
      </c>
      <c r="G40" s="319">
        <f>26545000+21485000+1356000</f>
        <v>49386000</v>
      </c>
      <c r="H40" s="319">
        <f>25507000+21485000+1430000</f>
        <v>48422000</v>
      </c>
      <c r="I40" s="319">
        <f>53169000+21485000+803000</f>
        <v>75457000</v>
      </c>
      <c r="J40" s="319">
        <f>70297000+21485000+1347000</f>
        <v>93129000</v>
      </c>
      <c r="K40" s="319">
        <f>67546000+21485000+1886000</f>
        <v>90917000</v>
      </c>
      <c r="L40" s="319">
        <f>123097000+21485000+2022000</f>
        <v>146604000</v>
      </c>
      <c r="M40" s="319">
        <f>107189000+21485000+1901000</f>
        <v>130575000</v>
      </c>
      <c r="N40" s="319">
        <f>52092000+21485000+2434000</f>
        <v>76011000</v>
      </c>
      <c r="O40" s="319">
        <f>31569000+21485000+2979000</f>
        <v>56033000</v>
      </c>
      <c r="P40" s="200"/>
      <c r="Q40" s="599">
        <f>ROUND(((C40+O40)+(SUM(D40:N40)*2))/24,0)</f>
        <v>66806667</v>
      </c>
      <c r="R40" s="98"/>
      <c r="S40" s="600"/>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01"/>
    </row>
    <row r="41" spans="1:54" ht="13.5" thickBot="1">
      <c r="A41" s="130">
        <f t="shared" si="15"/>
        <v>26</v>
      </c>
      <c r="B41" s="231" t="s">
        <v>118</v>
      </c>
      <c r="C41" s="199">
        <v>-4968234</v>
      </c>
      <c r="D41" s="199">
        <v>-4936132</v>
      </c>
      <c r="E41" s="199">
        <v>-4904028</v>
      </c>
      <c r="F41" s="199">
        <v>-4871925</v>
      </c>
      <c r="G41" s="199">
        <v>-4839822</v>
      </c>
      <c r="H41" s="199">
        <v>-4807719</v>
      </c>
      <c r="I41" s="199">
        <v>-4775615</v>
      </c>
      <c r="J41" s="199">
        <v>-4743512</v>
      </c>
      <c r="K41" s="199">
        <v>-4711409</v>
      </c>
      <c r="L41" s="199">
        <v>-4679306</v>
      </c>
      <c r="M41" s="199">
        <v>-4647203</v>
      </c>
      <c r="N41" s="199">
        <v>-4615099</v>
      </c>
      <c r="O41" s="199">
        <v>-4582996</v>
      </c>
      <c r="P41" s="199"/>
      <c r="Q41" s="218">
        <f>ROUND(((C41+O41)+(SUM(D41:N41)*2))/24,0)</f>
        <v>-4775615</v>
      </c>
      <c r="R41" s="98"/>
      <c r="S41" s="555"/>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f>-175986902+1000</f>
        <v>-175985902</v>
      </c>
      <c r="D42" s="199">
        <f>-174500905+2000</f>
        <v>-174498905</v>
      </c>
      <c r="E42" s="199">
        <v>-173014906</v>
      </c>
      <c r="F42" s="199">
        <f>-171528908+1000</f>
        <v>-171527908</v>
      </c>
      <c r="G42" s="199">
        <f>-170042910-1000</f>
        <v>-170043910</v>
      </c>
      <c r="H42" s="199">
        <f>-168556911-1000</f>
        <v>-168557911</v>
      </c>
      <c r="I42" s="199">
        <f>-167070913+2000</f>
        <v>-167068913</v>
      </c>
      <c r="J42" s="199">
        <f>-166366559+1000</f>
        <v>-166365559</v>
      </c>
      <c r="K42" s="199">
        <f>-164839938-2000</f>
        <v>-164841938</v>
      </c>
      <c r="L42" s="199">
        <v>-163313318</v>
      </c>
      <c r="M42" s="199">
        <v>-160523187</v>
      </c>
      <c r="N42" s="199">
        <v>-159100781</v>
      </c>
      <c r="O42" s="199">
        <v>-157626136</v>
      </c>
      <c r="P42" s="199"/>
      <c r="Q42" s="218">
        <f>ROUND(((C42+O42)+(SUM(D42:N42)*2))/24,0)</f>
        <v>-167138605</v>
      </c>
      <c r="R42" s="98"/>
      <c r="S42" s="555"/>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-164877136</v>
      </c>
      <c r="D43" s="230">
        <f t="shared" si="18"/>
        <v>-171130037</v>
      </c>
      <c r="E43" s="230">
        <f t="shared" si="18"/>
        <v>-158209934</v>
      </c>
      <c r="F43" s="230">
        <f t="shared" si="18"/>
        <v>-149289833</v>
      </c>
      <c r="G43" s="230">
        <f t="shared" si="18"/>
        <v>-125497732</v>
      </c>
      <c r="H43" s="230">
        <f t="shared" si="18"/>
        <v>-124943630</v>
      </c>
      <c r="I43" s="230">
        <f>SUM(I40:I42)</f>
        <v>-96387528</v>
      </c>
      <c r="J43" s="230">
        <f>SUM(J40:J42)</f>
        <v>-77980071</v>
      </c>
      <c r="K43" s="230">
        <f>SUM(K40:K42)</f>
        <v>-78636347</v>
      </c>
      <c r="L43" s="230">
        <f>SUM(L40:L42)</f>
        <v>-21388624</v>
      </c>
      <c r="M43" s="230">
        <f t="shared" ref="M43:O43" si="19">SUM(M40:M42)</f>
        <v>-34595390</v>
      </c>
      <c r="N43" s="230">
        <f t="shared" si="19"/>
        <v>-87704880</v>
      </c>
      <c r="O43" s="230">
        <f t="shared" si="19"/>
        <v>-106176132</v>
      </c>
      <c r="P43" s="275"/>
      <c r="Q43" s="218">
        <f>ROUND(((C43+O43)+(SUM(D43:N43)*2))/24,0)</f>
        <v>-105107553</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07" t="s">
        <v>103</v>
      </c>
      <c r="C44" s="307">
        <f t="shared" ref="C44:O44" si="20">+C34-C38-C43</f>
        <v>4367046981</v>
      </c>
      <c r="D44" s="307">
        <f t="shared" si="20"/>
        <v>4436906851</v>
      </c>
      <c r="E44" s="307">
        <f t="shared" si="20"/>
        <v>4497542190</v>
      </c>
      <c r="F44" s="307">
        <f t="shared" si="20"/>
        <v>4503828472</v>
      </c>
      <c r="G44" s="307">
        <f t="shared" si="20"/>
        <v>4535132732</v>
      </c>
      <c r="H44" s="307">
        <f t="shared" si="20"/>
        <v>4525241630</v>
      </c>
      <c r="I44" s="307">
        <f t="shared" si="20"/>
        <v>4489505523</v>
      </c>
      <c r="J44" s="307">
        <f t="shared" si="20"/>
        <v>4472849214</v>
      </c>
      <c r="K44" s="307">
        <f t="shared" si="20"/>
        <v>4469294291</v>
      </c>
      <c r="L44" s="307">
        <f t="shared" si="20"/>
        <v>4410305364</v>
      </c>
      <c r="M44" s="307">
        <f t="shared" si="20"/>
        <v>4430609969</v>
      </c>
      <c r="N44" s="307">
        <f t="shared" si="20"/>
        <v>4466191249</v>
      </c>
      <c r="O44" s="307">
        <f t="shared" si="20"/>
        <v>4468482159</v>
      </c>
      <c r="P44" s="98"/>
      <c r="Q44" s="218">
        <f>ROUND(((C44+O44)+(SUM(D44:N44)*2))/24,0)</f>
        <v>4471264338</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09"/>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14" t="s">
        <v>309</v>
      </c>
      <c r="C46" s="613">
        <f t="shared" ref="C46:J46" si="21">MROUND(C20,1000)-MROUND(C44,1000)</f>
        <v>0</v>
      </c>
      <c r="D46" s="613">
        <f t="shared" si="21"/>
        <v>0</v>
      </c>
      <c r="E46" s="613">
        <f t="shared" si="21"/>
        <v>0</v>
      </c>
      <c r="F46" s="613">
        <f t="shared" si="21"/>
        <v>0</v>
      </c>
      <c r="G46" s="613">
        <f t="shared" si="21"/>
        <v>0</v>
      </c>
      <c r="H46" s="613">
        <f t="shared" si="21"/>
        <v>0</v>
      </c>
      <c r="I46" s="613">
        <f t="shared" si="21"/>
        <v>0</v>
      </c>
      <c r="J46" s="613">
        <f t="shared" si="21"/>
        <v>0</v>
      </c>
      <c r="K46" s="613">
        <f>MROUND(K20,1000)-MROUND(K44,1000)</f>
        <v>0</v>
      </c>
      <c r="L46" s="613">
        <f t="shared" ref="L46:O46" si="22">MROUND(L20,1000)-MROUND(L44,1000)</f>
        <v>0</v>
      </c>
      <c r="M46" s="613">
        <f t="shared" si="22"/>
        <v>0</v>
      </c>
      <c r="N46" s="613">
        <f t="shared" si="22"/>
        <v>0</v>
      </c>
      <c r="O46" s="613">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13"/>
      <c r="D47" s="613"/>
      <c r="E47" s="613"/>
      <c r="F47" s="613"/>
      <c r="G47" s="613"/>
      <c r="H47" s="613"/>
      <c r="I47" s="613"/>
      <c r="J47" s="613"/>
      <c r="K47" s="613"/>
      <c r="L47" s="613"/>
      <c r="M47" s="613"/>
      <c r="N47" s="613"/>
      <c r="O47" s="613"/>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08"/>
      <c r="D49" s="608"/>
      <c r="E49" s="608"/>
      <c r="F49" s="608"/>
      <c r="G49" s="608"/>
      <c r="H49" s="608"/>
      <c r="I49" s="608"/>
      <c r="J49" s="608"/>
      <c r="K49" s="608"/>
      <c r="L49" s="608"/>
      <c r="M49" s="608"/>
      <c r="N49" s="608"/>
      <c r="O49" s="608"/>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09"/>
      <c r="C50" s="319"/>
      <c r="D50" s="319"/>
      <c r="E50" s="319"/>
      <c r="F50" s="319"/>
      <c r="G50" s="319"/>
      <c r="H50" s="319"/>
      <c r="I50" s="319"/>
      <c r="J50" s="319"/>
      <c r="K50" s="319"/>
      <c r="L50" s="319"/>
      <c r="M50" s="319"/>
      <c r="N50" s="319"/>
      <c r="O50" s="319"/>
      <c r="P50" s="199"/>
      <c r="Q50" s="58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09"/>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66"/>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06"/>
      <c r="D54" s="606"/>
      <c r="E54" s="606"/>
      <c r="F54" s="606"/>
      <c r="G54" s="225"/>
      <c r="H54" s="225"/>
      <c r="I54" s="225"/>
      <c r="J54" s="225"/>
      <c r="K54" s="225"/>
      <c r="L54" s="225"/>
      <c r="M54" s="225"/>
      <c r="N54" s="225"/>
      <c r="O54" s="225"/>
      <c r="P54" s="225"/>
      <c r="Q54" s="566"/>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08"/>
      <c r="L56" s="225"/>
      <c r="M56" s="595"/>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10"/>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10"/>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4" orientation="landscape" r:id="rId1"/>
  <headerFooter alignWithMargins="0">
    <oddFooter>&amp;C&amp;A&amp;R&amp;8&amp;F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E21" sqref="E21"/>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'New Format'!B5</f>
        <v>For The 12 Months Ending December 31,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50">
        <f>'Pg 4 STD OS &amp; Comm Fees'!C11</f>
        <v>155699030.16999999</v>
      </c>
      <c r="D13" s="211">
        <f>IF(E13=0,"NA",(E13/C13))</f>
        <v>2.3478247719389759E-3</v>
      </c>
      <c r="E13" s="76">
        <f>'Pg 4 STD OS &amp; Comm Fees'!D11</f>
        <v>365554.04</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254</v>
      </c>
      <c r="C15" s="85">
        <f>'Pg 4 STD OS &amp; Comm Fees'!C13</f>
        <v>0</v>
      </c>
      <c r="D15" s="211" t="str">
        <f>IF(E15=0,"NA",(E15/C15))</f>
        <v>NA</v>
      </c>
      <c r="E15" s="76">
        <f>'Pg 4 STD OS &amp; Comm Fees'!D13</f>
        <v>0</v>
      </c>
      <c r="F15" s="74"/>
      <c r="G15" s="75"/>
    </row>
    <row r="16" spans="1:8">
      <c r="A16" s="3">
        <f>A15+1</f>
        <v>11</v>
      </c>
      <c r="B16" s="67" t="s">
        <v>308</v>
      </c>
      <c r="C16" s="85">
        <f>'Pg 4 STD OS &amp; Comm Fees'!C14</f>
        <v>0</v>
      </c>
      <c r="D16" s="211" t="str">
        <f>IF(E16=0,"NA",(E16/C16))</f>
        <v>NA</v>
      </c>
      <c r="E16" s="76">
        <f>'Pg 4 STD OS &amp; Comm Fees'!D14</f>
        <v>0</v>
      </c>
    </row>
    <row r="17" spans="1:7">
      <c r="A17" s="3">
        <f t="shared" si="0"/>
        <v>12</v>
      </c>
      <c r="B17" s="329" t="s">
        <v>157</v>
      </c>
      <c r="C17" s="331">
        <f>SUM(C13:C16)</f>
        <v>155699030.16999999</v>
      </c>
      <c r="D17" s="332">
        <f>IF(E17=0,"NA",(E17/C17))</f>
        <v>2.3478247719389759E-3</v>
      </c>
      <c r="E17" s="330">
        <f>SUM(E13:E16)</f>
        <v>365554.04</v>
      </c>
      <c r="F17" s="74">
        <f>E17/C23</f>
        <v>2.3478247719389759E-3</v>
      </c>
      <c r="G17" s="75"/>
    </row>
    <row r="18" spans="1:7">
      <c r="A18" s="3">
        <f t="shared" si="0"/>
        <v>13</v>
      </c>
      <c r="B18" s="67"/>
      <c r="C18" s="86"/>
      <c r="D18" s="212"/>
      <c r="E18" s="77"/>
      <c r="F18" s="67"/>
      <c r="G18" s="75"/>
    </row>
    <row r="19" spans="1:7">
      <c r="A19" s="3">
        <f t="shared" si="0"/>
        <v>14</v>
      </c>
      <c r="B19" s="71" t="s">
        <v>54</v>
      </c>
      <c r="C19" s="87"/>
      <c r="D19" s="88"/>
      <c r="E19" s="350">
        <f>'Pg 4 STD OS &amp; Comm Fees'!F16</f>
        <v>1445702.4371777778</v>
      </c>
      <c r="F19" s="567">
        <f>E19/C23</f>
        <v>9.2852372657638745E-3</v>
      </c>
      <c r="G19" s="191" t="s">
        <v>77</v>
      </c>
    </row>
    <row r="20" spans="1:7">
      <c r="A20" s="3">
        <f t="shared" si="0"/>
        <v>15</v>
      </c>
      <c r="B20" s="71"/>
      <c r="C20" s="78"/>
      <c r="D20" s="79"/>
      <c r="E20" s="83"/>
      <c r="F20" s="74"/>
      <c r="G20" s="75"/>
    </row>
    <row r="21" spans="1:7">
      <c r="A21" s="3">
        <f t="shared" si="0"/>
        <v>16</v>
      </c>
      <c r="B21" s="71" t="s">
        <v>55</v>
      </c>
      <c r="C21" s="78"/>
      <c r="D21" s="79"/>
      <c r="E21" s="350">
        <f>-'Pg 5 STD Amort'!G27</f>
        <v>712409.67999999993</v>
      </c>
      <c r="F21" s="567">
        <f>E21/C23</f>
        <v>4.5755563102875809E-3</v>
      </c>
      <c r="G21" s="191" t="s">
        <v>98</v>
      </c>
    </row>
    <row r="22" spans="1:7" ht="13.5" thickBot="1">
      <c r="A22" s="3">
        <f t="shared" si="0"/>
        <v>17</v>
      </c>
      <c r="B22" s="67"/>
      <c r="C22" s="77"/>
      <c r="D22" s="76"/>
      <c r="E22" s="84"/>
      <c r="G22" s="67"/>
    </row>
    <row r="23" spans="1:7" ht="13.5" thickBot="1">
      <c r="A23" s="3">
        <f t="shared" si="0"/>
        <v>18</v>
      </c>
      <c r="B23" s="80" t="s">
        <v>39</v>
      </c>
      <c r="C23" s="81">
        <f>C17</f>
        <v>155699030.16999999</v>
      </c>
      <c r="D23" s="82"/>
      <c r="E23" s="81">
        <f>SUM(E17:E22)</f>
        <v>2523666.157177778</v>
      </c>
      <c r="F23" s="216">
        <f>E23/C23</f>
        <v>1.6208618347990433E-2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J31" sqref="J31"/>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'New Format'!B5</f>
        <v>For The 12 Months Ending December 31,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323">
        <v>155699030.16999999</v>
      </c>
      <c r="D11" s="323">
        <v>365554.04</v>
      </c>
      <c r="E11" s="268">
        <f>IF(C11=0,"NA",(D11/C11))</f>
        <v>2.3478247719389759E-3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254</v>
      </c>
      <c r="C13" s="323">
        <v>0</v>
      </c>
      <c r="D13" s="323">
        <v>0</v>
      </c>
      <c r="E13" s="268" t="str">
        <f>IF(C13=0,"NA",(D13/C13))</f>
        <v>NA</v>
      </c>
      <c r="F13" s="210">
        <f>J26</f>
        <v>0</v>
      </c>
      <c r="G13" s="347"/>
      <c r="H13" s="367"/>
      <c r="I13" s="38"/>
      <c r="J13" s="38"/>
      <c r="K13" s="356"/>
      <c r="L13" s="35"/>
      <c r="M13" s="368"/>
      <c r="O13" s="35"/>
    </row>
    <row r="14" spans="1:15" ht="12">
      <c r="A14" s="192">
        <f>A13+1</f>
        <v>10</v>
      </c>
      <c r="B14" s="205" t="s">
        <v>308</v>
      </c>
      <c r="C14" s="323">
        <v>0</v>
      </c>
      <c r="D14" s="323">
        <v>0</v>
      </c>
      <c r="E14" s="268" t="str">
        <f>IF(C14=0,"NA",(D14/C14))</f>
        <v>NA</v>
      </c>
      <c r="F14" s="210">
        <f>J27</f>
        <v>1419444.4443999999</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26257.992777777778</v>
      </c>
      <c r="G15" s="38"/>
      <c r="H15" s="38"/>
      <c r="I15" s="38"/>
      <c r="J15" s="38"/>
      <c r="K15" s="356"/>
      <c r="L15" s="35"/>
      <c r="M15" s="35"/>
      <c r="N15" s="35"/>
      <c r="O15" s="35"/>
    </row>
    <row r="16" spans="1:15" ht="12.75" thickBot="1">
      <c r="A16" s="192">
        <f t="shared" si="0"/>
        <v>12</v>
      </c>
      <c r="B16" s="334" t="s">
        <v>163</v>
      </c>
      <c r="C16" s="372">
        <f>SUM(C10:C15)</f>
        <v>155699030.16999999</v>
      </c>
      <c r="D16" s="374">
        <f>SUM(D10:D15)</f>
        <v>365554.04</v>
      </c>
      <c r="E16" s="373">
        <f>D16/C16</f>
        <v>2.3478247719389759E-3</v>
      </c>
      <c r="F16" s="374">
        <f>SUM(F10:F15)</f>
        <v>1445702.4371777778</v>
      </c>
      <c r="G16" s="38"/>
      <c r="H16" s="38"/>
      <c r="I16" s="38"/>
      <c r="J16" s="38"/>
      <c r="K16" s="356"/>
      <c r="L16" s="35"/>
      <c r="M16" s="35"/>
      <c r="N16" s="35"/>
      <c r="O16" s="35"/>
    </row>
    <row r="17" spans="1:15" ht="12.75" thickTop="1">
      <c r="A17" s="192"/>
      <c r="B17" s="334"/>
      <c r="C17" s="516"/>
      <c r="D17" s="584"/>
      <c r="E17" s="585"/>
      <c r="F17" s="584"/>
      <c r="G17" s="38"/>
      <c r="H17" s="38"/>
      <c r="I17" s="38"/>
      <c r="J17" s="38"/>
      <c r="K17" s="356"/>
      <c r="L17" s="35"/>
      <c r="M17" s="35"/>
      <c r="N17" s="35"/>
      <c r="O17" s="35"/>
    </row>
    <row r="18" spans="1:15" ht="12">
      <c r="A18" s="192"/>
      <c r="B18" s="577" t="s">
        <v>302</v>
      </c>
      <c r="C18" s="207"/>
      <c r="D18" s="208"/>
      <c r="E18" s="206"/>
      <c r="F18" s="576">
        <f>'New Format'!C30</f>
        <v>9118404906</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77" t="s">
        <v>304</v>
      </c>
      <c r="C20" s="207"/>
      <c r="D20" s="208"/>
      <c r="E20" s="206"/>
      <c r="F20" s="572">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34" t="s">
        <v>97</v>
      </c>
      <c r="C22" s="635"/>
      <c r="D22" s="150"/>
      <c r="E22" s="150"/>
      <c r="F22" s="150"/>
      <c r="G22" s="150"/>
      <c r="H22" s="184"/>
      <c r="I22" s="184"/>
      <c r="J22" s="184"/>
      <c r="K22" s="147"/>
      <c r="L22" s="38" t="s">
        <v>2</v>
      </c>
      <c r="M22" s="35"/>
      <c r="N22" s="35"/>
      <c r="O22" s="35"/>
    </row>
    <row r="23" spans="1:15" ht="12">
      <c r="A23" s="192">
        <f t="shared" si="0"/>
        <v>15</v>
      </c>
      <c r="B23" s="632" t="s">
        <v>106</v>
      </c>
      <c r="C23" s="633"/>
      <c r="D23" s="38"/>
      <c r="E23" s="38"/>
      <c r="F23" s="38"/>
      <c r="G23" s="219" t="s">
        <v>255</v>
      </c>
      <c r="H23" s="219" t="s">
        <v>255</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254</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308</v>
      </c>
      <c r="C27" s="324">
        <v>44197</v>
      </c>
      <c r="D27" s="324">
        <v>44561</v>
      </c>
      <c r="E27" s="348">
        <f>D27-C27+1</f>
        <v>365</v>
      </c>
      <c r="F27" s="370">
        <v>800000000</v>
      </c>
      <c r="G27" s="260">
        <f>C14+H33</f>
        <v>0</v>
      </c>
      <c r="H27" s="260">
        <f>F27-G27</f>
        <v>800000000</v>
      </c>
      <c r="I27" s="381">
        <v>1.75E-3</v>
      </c>
      <c r="J27" s="210">
        <f>ROUND(H27*I27*E27/360,4)</f>
        <v>1419444.4443999999</v>
      </c>
      <c r="K27" s="187"/>
      <c r="L27" s="38"/>
      <c r="M27" s="35"/>
      <c r="N27" s="35"/>
      <c r="O27" s="35"/>
    </row>
    <row r="28" spans="1:15" ht="12.75" thickBot="1">
      <c r="A28" s="192">
        <f t="shared" si="0"/>
        <v>20</v>
      </c>
      <c r="B28" s="264" t="s">
        <v>130</v>
      </c>
      <c r="C28" s="41"/>
      <c r="D28" s="276"/>
      <c r="E28" s="327"/>
      <c r="F28" s="277"/>
      <c r="G28" s="580"/>
      <c r="H28" s="580"/>
      <c r="I28" s="278"/>
      <c r="J28" s="583">
        <f>+J26+J27</f>
        <v>1419444.4443999999</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80"/>
      <c r="D31" s="89"/>
      <c r="E31" s="89"/>
      <c r="F31" s="581" t="s">
        <v>179</v>
      </c>
      <c r="G31" s="348">
        <f>E27</f>
        <v>365</v>
      </c>
      <c r="H31" s="323">
        <v>2572076</v>
      </c>
      <c r="I31" s="381">
        <v>0.01</v>
      </c>
      <c r="J31" s="260">
        <f>(I31*H31)*(G31/360)+(15*12)</f>
        <v>26257.992777777778</v>
      </c>
      <c r="K31" s="187"/>
      <c r="L31" s="38"/>
      <c r="M31" s="35"/>
      <c r="N31" s="35"/>
      <c r="O31" s="35"/>
    </row>
    <row r="32" spans="1:15" ht="12.75" customHeight="1" thickBot="1">
      <c r="A32" s="192">
        <f>A31+1</f>
        <v>24</v>
      </c>
      <c r="B32" s="264"/>
      <c r="C32" s="580"/>
      <c r="D32" s="89"/>
      <c r="E32" s="89"/>
      <c r="F32" s="581"/>
      <c r="G32" s="406"/>
      <c r="H32" s="323"/>
      <c r="I32" s="381"/>
      <c r="J32" s="371">
        <f>SUM(J31)</f>
        <v>26257.992777777778</v>
      </c>
      <c r="K32" s="152"/>
      <c r="L32" s="38"/>
      <c r="M32" s="35"/>
      <c r="N32" s="35"/>
      <c r="O32" s="35"/>
    </row>
    <row r="33" spans="1:19" ht="12.75" customHeight="1" thickTop="1">
      <c r="A33" s="192">
        <f t="shared" si="0"/>
        <v>25</v>
      </c>
      <c r="B33" s="333" t="s">
        <v>162</v>
      </c>
      <c r="C33" s="580"/>
      <c r="D33" s="580"/>
      <c r="E33" s="582"/>
      <c r="F33" s="370"/>
      <c r="G33" s="348"/>
      <c r="H33" s="42"/>
      <c r="I33" s="42"/>
      <c r="K33" s="152"/>
      <c r="L33" s="38"/>
      <c r="M33" s="35"/>
      <c r="N33" s="35"/>
      <c r="O33" s="35"/>
    </row>
    <row r="34" spans="1:19" ht="12.75" customHeight="1">
      <c r="A34" s="192">
        <f t="shared" si="0"/>
        <v>26</v>
      </c>
      <c r="B34" s="264"/>
      <c r="C34" s="580"/>
      <c r="D34" s="580"/>
      <c r="E34" s="580"/>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G33" sqref="G33"/>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1" t="str">
        <f>'New Format'!B5</f>
        <v>For The 12 Months Ending December 31, 2021</v>
      </c>
    </row>
    <row r="4" spans="1:8" ht="12">
      <c r="A4" s="38"/>
      <c r="B4" s="36"/>
      <c r="C4" s="382"/>
      <c r="D4" s="382"/>
      <c r="E4" s="382"/>
      <c r="F4" s="382"/>
      <c r="G4" s="382"/>
    </row>
    <row r="5" spans="1:8" ht="12">
      <c r="A5" s="383" t="s">
        <v>5</v>
      </c>
      <c r="B5" s="383" t="s">
        <v>27</v>
      </c>
      <c r="C5" s="383" t="s">
        <v>52</v>
      </c>
      <c r="D5" s="383" t="s">
        <v>64</v>
      </c>
      <c r="E5" s="383" t="s">
        <v>65</v>
      </c>
      <c r="F5" s="383" t="s">
        <v>66</v>
      </c>
      <c r="G5" s="383" t="s">
        <v>67</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256</v>
      </c>
      <c r="D8" s="386" t="s">
        <v>256</v>
      </c>
      <c r="E8" s="386" t="s">
        <v>307</v>
      </c>
      <c r="F8" s="386" t="s">
        <v>256</v>
      </c>
      <c r="G8" s="382"/>
    </row>
    <row r="9" spans="1:8" ht="11.25" customHeight="1">
      <c r="A9" s="192">
        <f>A8+1</f>
        <v>2</v>
      </c>
      <c r="B9" s="385"/>
      <c r="C9" s="387" t="s">
        <v>257</v>
      </c>
      <c r="D9" s="387" t="s">
        <v>287</v>
      </c>
      <c r="E9" s="387" t="s">
        <v>257</v>
      </c>
      <c r="F9" s="387" t="s">
        <v>287</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0" t="s">
        <v>313</v>
      </c>
      <c r="C13" s="568">
        <v>227073.93</v>
      </c>
      <c r="D13" s="568">
        <v>0</v>
      </c>
      <c r="E13" s="568">
        <v>1617584.24</v>
      </c>
      <c r="F13" s="568">
        <v>34761.339999999997</v>
      </c>
      <c r="G13" s="393"/>
    </row>
    <row r="14" spans="1:8" ht="12">
      <c r="A14" s="192">
        <f t="shared" si="0"/>
        <v>7</v>
      </c>
      <c r="B14" s="35"/>
      <c r="C14" s="394"/>
      <c r="D14" s="394"/>
      <c r="E14" s="394"/>
      <c r="F14" s="394"/>
      <c r="G14" s="393"/>
    </row>
    <row r="15" spans="1:8" ht="12">
      <c r="A15" s="192">
        <f t="shared" si="0"/>
        <v>8</v>
      </c>
      <c r="B15" s="404">
        <v>44197</v>
      </c>
      <c r="C15" s="394">
        <v>-10211.44</v>
      </c>
      <c r="D15" s="394">
        <v>0</v>
      </c>
      <c r="E15" s="394">
        <f>-47576.01</f>
        <v>-47576.01</v>
      </c>
      <c r="F15" s="394">
        <v>-1580.06</v>
      </c>
      <c r="G15" s="393"/>
    </row>
    <row r="16" spans="1:8" ht="12">
      <c r="A16" s="192">
        <f t="shared" si="0"/>
        <v>9</v>
      </c>
      <c r="B16" s="404">
        <v>44228</v>
      </c>
      <c r="C16" s="394">
        <v>-10211.44</v>
      </c>
      <c r="D16" s="394">
        <v>0</v>
      </c>
      <c r="E16" s="394">
        <f>-47576.01</f>
        <v>-47576.01</v>
      </c>
      <c r="F16" s="394">
        <v>-1580.06</v>
      </c>
      <c r="G16" s="392"/>
      <c r="H16" s="366"/>
    </row>
    <row r="17" spans="1:7" ht="12">
      <c r="A17" s="192">
        <f t="shared" si="0"/>
        <v>10</v>
      </c>
      <c r="B17" s="404">
        <v>44256</v>
      </c>
      <c r="C17" s="394">
        <v>-10211.44</v>
      </c>
      <c r="D17" s="394">
        <v>0</v>
      </c>
      <c r="E17" s="394">
        <f>-47576.01</f>
        <v>-47576.01</v>
      </c>
      <c r="F17" s="394">
        <v>-1580.06</v>
      </c>
      <c r="G17" s="393"/>
    </row>
    <row r="18" spans="1:7" ht="12">
      <c r="A18" s="192">
        <f t="shared" si="0"/>
        <v>11</v>
      </c>
      <c r="B18" s="404">
        <v>44287</v>
      </c>
      <c r="C18" s="394">
        <v>-10211.44</v>
      </c>
      <c r="D18" s="394">
        <v>0</v>
      </c>
      <c r="E18" s="394">
        <f t="shared" ref="E18:E23" si="1">-47576.01</f>
        <v>-47576.01</v>
      </c>
      <c r="F18" s="394">
        <v>-1580.06</v>
      </c>
      <c r="G18" s="393"/>
    </row>
    <row r="19" spans="1:7" ht="12">
      <c r="A19" s="192">
        <f t="shared" si="0"/>
        <v>12</v>
      </c>
      <c r="B19" s="404">
        <v>44317</v>
      </c>
      <c r="C19" s="394">
        <v>-10211.44</v>
      </c>
      <c r="D19" s="394">
        <v>0</v>
      </c>
      <c r="E19" s="394">
        <f t="shared" si="1"/>
        <v>-47576.01</v>
      </c>
      <c r="F19" s="394">
        <v>-1580.06</v>
      </c>
      <c r="G19" s="393"/>
    </row>
    <row r="20" spans="1:7" ht="12">
      <c r="A20" s="192">
        <f t="shared" si="0"/>
        <v>13</v>
      </c>
      <c r="B20" s="404">
        <v>44348</v>
      </c>
      <c r="C20" s="394">
        <v>-10211.44</v>
      </c>
      <c r="D20" s="394">
        <v>0</v>
      </c>
      <c r="E20" s="394">
        <f t="shared" si="1"/>
        <v>-47576.01</v>
      </c>
      <c r="F20" s="394">
        <v>-1580.06</v>
      </c>
      <c r="G20" s="393"/>
    </row>
    <row r="21" spans="1:7" ht="12">
      <c r="A21" s="192">
        <f t="shared" si="0"/>
        <v>14</v>
      </c>
      <c r="B21" s="404">
        <v>44378</v>
      </c>
      <c r="C21" s="394">
        <v>-10211.44</v>
      </c>
      <c r="D21" s="394">
        <v>0</v>
      </c>
      <c r="E21" s="394">
        <f t="shared" si="1"/>
        <v>-47576.01</v>
      </c>
      <c r="F21" s="394">
        <v>-1580.06</v>
      </c>
      <c r="G21" s="393"/>
    </row>
    <row r="22" spans="1:7" ht="12">
      <c r="A22" s="192">
        <f t="shared" si="0"/>
        <v>15</v>
      </c>
      <c r="B22" s="404">
        <v>44409</v>
      </c>
      <c r="C22" s="394">
        <v>-10211.44</v>
      </c>
      <c r="D22" s="394">
        <v>0</v>
      </c>
      <c r="E22" s="394">
        <f t="shared" si="1"/>
        <v>-47576.01</v>
      </c>
      <c r="F22" s="394">
        <v>-1580.06</v>
      </c>
      <c r="G22" s="393"/>
    </row>
    <row r="23" spans="1:7" ht="12">
      <c r="A23" s="192">
        <f t="shared" si="0"/>
        <v>16</v>
      </c>
      <c r="B23" s="404">
        <v>44440</v>
      </c>
      <c r="C23" s="394">
        <v>-10211.44</v>
      </c>
      <c r="D23" s="394">
        <v>0</v>
      </c>
      <c r="E23" s="394">
        <f t="shared" si="1"/>
        <v>-47576.01</v>
      </c>
      <c r="F23" s="394">
        <v>-1580.06</v>
      </c>
      <c r="G23" s="393"/>
    </row>
    <row r="24" spans="1:7" ht="12">
      <c r="A24" s="192">
        <f t="shared" si="0"/>
        <v>17</v>
      </c>
      <c r="B24" s="404">
        <v>44470</v>
      </c>
      <c r="C24" s="394">
        <v>-10211.44</v>
      </c>
      <c r="D24" s="394">
        <v>0</v>
      </c>
      <c r="E24" s="394">
        <f t="shared" ref="E24:E26" si="2">-47576.01</f>
        <v>-47576.01</v>
      </c>
      <c r="F24" s="394">
        <v>-1580.06</v>
      </c>
      <c r="G24" s="393"/>
    </row>
    <row r="25" spans="1:7" ht="12">
      <c r="A25" s="192">
        <f t="shared" si="0"/>
        <v>18</v>
      </c>
      <c r="B25" s="404">
        <v>44501</v>
      </c>
      <c r="C25" s="394">
        <v>-10211.44</v>
      </c>
      <c r="D25" s="394">
        <v>0</v>
      </c>
      <c r="E25" s="394">
        <f t="shared" si="2"/>
        <v>-47576.01</v>
      </c>
      <c r="F25" s="394">
        <v>-1580.06</v>
      </c>
      <c r="G25" s="393"/>
    </row>
    <row r="26" spans="1:7" ht="12.75" thickBot="1">
      <c r="A26" s="192">
        <f t="shared" si="0"/>
        <v>19</v>
      </c>
      <c r="B26" s="404">
        <v>44531</v>
      </c>
      <c r="C26" s="394">
        <v>-10211</v>
      </c>
      <c r="D26" s="394">
        <v>0</v>
      </c>
      <c r="E26" s="394">
        <f t="shared" si="2"/>
        <v>-47576.01</v>
      </c>
      <c r="F26" s="394">
        <v>-1580.06</v>
      </c>
      <c r="G26" s="393"/>
    </row>
    <row r="27" spans="1:7" ht="12.75" thickBot="1">
      <c r="A27" s="192">
        <f t="shared" si="0"/>
        <v>20</v>
      </c>
      <c r="B27" s="395" t="s">
        <v>314</v>
      </c>
      <c r="C27" s="401">
        <f>SUM(C15:C26)</f>
        <v>-122536.84000000001</v>
      </c>
      <c r="D27" s="401">
        <f t="shared" ref="D27:F27" si="3">SUM(D15:D26)</f>
        <v>0</v>
      </c>
      <c r="E27" s="401">
        <f t="shared" si="3"/>
        <v>-570912.12</v>
      </c>
      <c r="F27" s="401">
        <f t="shared" si="3"/>
        <v>-18960.719999999998</v>
      </c>
      <c r="G27" s="402">
        <f>SUM(C27:F27)</f>
        <v>-712409.67999999993</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C30">
        <v>-2422.35</v>
      </c>
      <c r="D30" s="394"/>
      <c r="E30" s="394"/>
      <c r="F30" s="394"/>
      <c r="G30" s="393"/>
    </row>
    <row r="31" spans="1:7" ht="12.75" thickBot="1">
      <c r="A31" s="192">
        <f t="shared" si="0"/>
        <v>24</v>
      </c>
      <c r="B31" s="206" t="s">
        <v>63</v>
      </c>
      <c r="C31" s="403">
        <f>C13+C27+C29+C30</f>
        <v>102114.73999999998</v>
      </c>
      <c r="D31" s="403">
        <f>D13+D27+D29+D30</f>
        <v>0</v>
      </c>
      <c r="E31" s="403">
        <f>E13+E27+E29+E30</f>
        <v>1046672.12</v>
      </c>
      <c r="F31" s="403">
        <f>F13+F27+F29+F30</f>
        <v>15800.619999999999</v>
      </c>
      <c r="G31" s="393"/>
    </row>
    <row r="32" spans="1:7" ht="12.75" thickTop="1">
      <c r="A32" s="192">
        <f t="shared" si="0"/>
        <v>25</v>
      </c>
      <c r="B32" s="399"/>
      <c r="C32" s="382"/>
      <c r="D32" s="382"/>
      <c r="E32" s="382"/>
      <c r="F32" s="382"/>
      <c r="G32" s="382"/>
    </row>
    <row r="33" spans="1:8" ht="12">
      <c r="A33" s="192">
        <f t="shared" si="0"/>
        <v>26</v>
      </c>
      <c r="B33" s="36" t="s">
        <v>302</v>
      </c>
      <c r="C33" s="392"/>
      <c r="D33" s="392"/>
      <c r="E33" s="392"/>
      <c r="F33" s="392"/>
      <c r="G33" s="35">
        <f>'New Format'!C30</f>
        <v>9118404906</v>
      </c>
    </row>
    <row r="34" spans="1:8" ht="12">
      <c r="A34" s="192">
        <f t="shared" si="0"/>
        <v>27</v>
      </c>
      <c r="B34" s="35"/>
      <c r="C34" s="400"/>
      <c r="D34" s="400"/>
      <c r="E34" s="400"/>
      <c r="F34" s="400"/>
      <c r="G34" s="35"/>
    </row>
    <row r="35" spans="1:8" ht="12">
      <c r="A35" s="192">
        <f t="shared" si="0"/>
        <v>28</v>
      </c>
      <c r="B35" s="36" t="s">
        <v>303</v>
      </c>
      <c r="C35" s="35"/>
      <c r="D35" s="35"/>
      <c r="E35" s="35"/>
      <c r="F35" s="35"/>
      <c r="G35" s="573">
        <f>ROUND(-G27/G33,4)</f>
        <v>1E-4</v>
      </c>
      <c r="H35" s="587"/>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5" orientation="landscape" r:id="rId1"/>
  <headerFooter alignWithMargins="0">
    <oddFooter>&amp;C&amp;A&amp;R&amp;F</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6"/>
  <sheetViews>
    <sheetView zoomScaleNormal="100" workbookViewId="0">
      <pane xSplit="5" ySplit="5" topLeftCell="G6" activePane="bottomRight" state="frozen"/>
      <selection activeCell="F32" sqref="F32"/>
      <selection pane="topRight" activeCell="F32" sqref="F32"/>
      <selection pane="bottomLeft" activeCell="F32" sqref="F32"/>
      <selection pane="bottomRight" activeCell="X35" sqref="X35"/>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2" t="s">
        <v>199</v>
      </c>
    </row>
    <row r="5" spans="1:25" ht="33.75">
      <c r="A5" s="361">
        <v>1</v>
      </c>
      <c r="B5" s="362" t="s">
        <v>127</v>
      </c>
      <c r="C5" s="362" t="s">
        <v>100</v>
      </c>
      <c r="D5" s="362" t="s">
        <v>57</v>
      </c>
      <c r="E5" s="362" t="s">
        <v>104</v>
      </c>
      <c r="F5" s="362" t="s">
        <v>117</v>
      </c>
      <c r="G5" s="362" t="s">
        <v>84</v>
      </c>
      <c r="H5" s="362" t="s">
        <v>94</v>
      </c>
      <c r="I5" s="362" t="s">
        <v>80</v>
      </c>
      <c r="J5" s="363">
        <f>'Pg 2 CapStructure'!C6</f>
        <v>44196</v>
      </c>
      <c r="K5" s="363">
        <f>'Pg 2 CapStructure'!D6</f>
        <v>44227</v>
      </c>
      <c r="L5" s="363">
        <f>'Pg 2 CapStructure'!E6</f>
        <v>44255</v>
      </c>
      <c r="M5" s="363">
        <f>'Pg 2 CapStructure'!F6</f>
        <v>44286</v>
      </c>
      <c r="N5" s="363">
        <f>'Pg 2 CapStructure'!G6</f>
        <v>44316</v>
      </c>
      <c r="O5" s="363">
        <f>'Pg 2 CapStructure'!H6</f>
        <v>44347</v>
      </c>
      <c r="P5" s="363">
        <f>'Pg 2 CapStructure'!I6</f>
        <v>44377</v>
      </c>
      <c r="Q5" s="363">
        <f>'Pg 2 CapStructure'!J6</f>
        <v>44408</v>
      </c>
      <c r="R5" s="363">
        <f>'Pg 2 CapStructure'!K6</f>
        <v>44439</v>
      </c>
      <c r="S5" s="363">
        <f>'Pg 2 CapStructure'!L6</f>
        <v>44469</v>
      </c>
      <c r="T5" s="363">
        <f>'Pg 2 CapStructure'!M6</f>
        <v>44500</v>
      </c>
      <c r="U5" s="363">
        <f>'Pg 2 CapStructure'!N6</f>
        <v>44530</v>
      </c>
      <c r="V5" s="363">
        <f>'Pg 2 CapStructure'!O6</f>
        <v>44561</v>
      </c>
      <c r="W5" s="363"/>
      <c r="X5" s="473" t="s">
        <v>38</v>
      </c>
      <c r="Y5" s="473" t="s">
        <v>200</v>
      </c>
    </row>
    <row r="6" spans="1:25" s="28" customFormat="1">
      <c r="A6" s="602">
        <v>2</v>
      </c>
      <c r="B6" s="298" t="s">
        <v>23</v>
      </c>
      <c r="C6" s="590">
        <v>7.1499999999999994E-2</v>
      </c>
      <c r="D6" s="591">
        <v>35053</v>
      </c>
      <c r="E6" s="591">
        <v>46010</v>
      </c>
      <c r="F6" s="272">
        <f t="shared" ref="F6:F24" si="0">ROUND(((J6+V6)+(SUM(K6:U6)*2))/24,0)</f>
        <v>15000000</v>
      </c>
      <c r="G6" s="284">
        <v>99.211911999999998</v>
      </c>
      <c r="H6" s="592">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4" si="3">H6*V6</f>
        <v>1081500</v>
      </c>
    </row>
    <row r="7" spans="1:25" s="28" customFormat="1">
      <c r="A7" s="589">
        <v>3</v>
      </c>
      <c r="B7" s="298" t="s">
        <v>23</v>
      </c>
      <c r="C7" s="590">
        <v>7.1999999999999995E-2</v>
      </c>
      <c r="D7" s="591">
        <v>35054</v>
      </c>
      <c r="E7" s="591">
        <v>46013</v>
      </c>
      <c r="F7" s="272">
        <f t="shared" si="0"/>
        <v>2000000</v>
      </c>
      <c r="G7" s="284">
        <v>99.211600000000004</v>
      </c>
      <c r="H7" s="592">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02">
        <v>4</v>
      </c>
      <c r="B8" s="298" t="s">
        <v>21</v>
      </c>
      <c r="C8" s="590">
        <v>7.0199999999999999E-2</v>
      </c>
      <c r="D8" s="591">
        <v>35786</v>
      </c>
      <c r="E8" s="591">
        <v>46722</v>
      </c>
      <c r="F8" s="272">
        <f t="shared" si="0"/>
        <v>300000000</v>
      </c>
      <c r="G8" s="284">
        <v>98.985735776666658</v>
      </c>
      <c r="H8" s="592">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589">
        <v>5</v>
      </c>
      <c r="B9" s="298" t="s">
        <v>22</v>
      </c>
      <c r="C9" s="590">
        <v>7.0000000000000007E-2</v>
      </c>
      <c r="D9" s="591">
        <v>36228</v>
      </c>
      <c r="E9" s="591">
        <v>47186</v>
      </c>
      <c r="F9" s="272">
        <f t="shared" si="0"/>
        <v>100000000</v>
      </c>
      <c r="G9" s="284">
        <v>99.042870549999989</v>
      </c>
      <c r="H9" s="592">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02">
        <v>6</v>
      </c>
      <c r="B10" s="603" t="s">
        <v>24</v>
      </c>
      <c r="C10" s="590">
        <v>3.9E-2</v>
      </c>
      <c r="D10" s="604">
        <v>41417</v>
      </c>
      <c r="E10" s="605">
        <v>47908</v>
      </c>
      <c r="F10" s="272">
        <f t="shared" si="0"/>
        <v>138460000</v>
      </c>
      <c r="G10" s="284">
        <v>98.939099999999996</v>
      </c>
      <c r="H10" s="592">
        <f t="shared" ref="H10:H22" si="4">ROUND(YIELD(D10,E10,C10,G10,100,2,2),4)</f>
        <v>3.9800000000000002E-2</v>
      </c>
      <c r="I10" s="272">
        <f t="shared" ref="I10:I24"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589">
        <v>7</v>
      </c>
      <c r="B11" s="603" t="s">
        <v>24</v>
      </c>
      <c r="C11" s="590">
        <v>0.04</v>
      </c>
      <c r="D11" s="604">
        <v>41417</v>
      </c>
      <c r="E11" s="605">
        <v>47908</v>
      </c>
      <c r="F11" s="272">
        <f t="shared" si="0"/>
        <v>23400000</v>
      </c>
      <c r="G11" s="284">
        <v>98.939099999999996</v>
      </c>
      <c r="H11" s="592">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02">
        <v>8</v>
      </c>
      <c r="B12" s="298" t="s">
        <v>95</v>
      </c>
      <c r="C12" s="590">
        <v>5.4829999999999997E-2</v>
      </c>
      <c r="D12" s="591">
        <v>38499</v>
      </c>
      <c r="E12" s="591">
        <v>49461</v>
      </c>
      <c r="F12" s="272">
        <f t="shared" si="0"/>
        <v>250000000</v>
      </c>
      <c r="G12" s="284">
        <v>84.886606835999999</v>
      </c>
      <c r="H12" s="592">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589">
        <v>9</v>
      </c>
      <c r="B13" s="298" t="s">
        <v>95</v>
      </c>
      <c r="C13" s="590">
        <v>6.7239999999999994E-2</v>
      </c>
      <c r="D13" s="591">
        <v>38898</v>
      </c>
      <c r="E13" s="591">
        <v>49841</v>
      </c>
      <c r="F13" s="272">
        <f t="shared" si="0"/>
        <v>250000000</v>
      </c>
      <c r="G13" s="284">
        <v>107.515271756</v>
      </c>
      <c r="H13" s="592">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02">
        <v>10</v>
      </c>
      <c r="B14" s="298" t="s">
        <v>95</v>
      </c>
      <c r="C14" s="590">
        <v>6.2740000000000004E-2</v>
      </c>
      <c r="D14" s="591">
        <v>38978</v>
      </c>
      <c r="E14" s="591">
        <v>50114</v>
      </c>
      <c r="F14" s="272">
        <f t="shared" si="0"/>
        <v>300000000</v>
      </c>
      <c r="G14" s="284">
        <v>98.812700000000007</v>
      </c>
      <c r="H14" s="592">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589">
        <v>11</v>
      </c>
      <c r="B15" s="298" t="s">
        <v>95</v>
      </c>
      <c r="C15" s="590">
        <v>5.7570000000000003E-2</v>
      </c>
      <c r="D15" s="591">
        <v>40067</v>
      </c>
      <c r="E15" s="591">
        <v>51058</v>
      </c>
      <c r="F15" s="272">
        <f t="shared" si="0"/>
        <v>350000000</v>
      </c>
      <c r="G15" s="284">
        <v>98.983599999999996</v>
      </c>
      <c r="H15" s="592">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02">
        <v>12</v>
      </c>
      <c r="B16" s="298" t="s">
        <v>95</v>
      </c>
      <c r="C16" s="590">
        <v>5.7950000000000002E-2</v>
      </c>
      <c r="D16" s="591">
        <v>40245</v>
      </c>
      <c r="E16" s="591">
        <v>51210</v>
      </c>
      <c r="F16" s="272">
        <f t="shared" si="0"/>
        <v>325000000</v>
      </c>
      <c r="G16" s="284">
        <v>98.958799999999997</v>
      </c>
      <c r="H16" s="592">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589">
        <v>13</v>
      </c>
      <c r="B17" s="298" t="s">
        <v>95</v>
      </c>
      <c r="C17" s="590">
        <v>5.7639999999999997E-2</v>
      </c>
      <c r="D17" s="591">
        <v>40358</v>
      </c>
      <c r="E17" s="591">
        <v>51332</v>
      </c>
      <c r="F17" s="272">
        <f t="shared" si="0"/>
        <v>250000000</v>
      </c>
      <c r="G17" s="284">
        <v>98.965199999999996</v>
      </c>
      <c r="H17" s="592">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02">
        <v>14</v>
      </c>
      <c r="B18" s="298" t="s">
        <v>95</v>
      </c>
      <c r="C18" s="590">
        <v>5.638E-2</v>
      </c>
      <c r="D18" s="591">
        <v>40627</v>
      </c>
      <c r="E18" s="591">
        <v>51606</v>
      </c>
      <c r="F18" s="272">
        <f t="shared" si="0"/>
        <v>300000000</v>
      </c>
      <c r="G18" s="284">
        <v>98.971000000000004</v>
      </c>
      <c r="H18" s="592">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589">
        <v>15</v>
      </c>
      <c r="B19" s="298" t="s">
        <v>95</v>
      </c>
      <c r="C19" s="590">
        <v>4.4339999999999997E-2</v>
      </c>
      <c r="D19" s="591">
        <v>40863</v>
      </c>
      <c r="E19" s="591">
        <v>51820</v>
      </c>
      <c r="F19" s="272">
        <f t="shared" si="0"/>
        <v>250000000</v>
      </c>
      <c r="G19" s="284">
        <v>98.962999999999994</v>
      </c>
      <c r="H19" s="592">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02">
        <v>16</v>
      </c>
      <c r="B20" s="298" t="s">
        <v>95</v>
      </c>
      <c r="C20" s="590">
        <v>4.7E-2</v>
      </c>
      <c r="D20" s="591">
        <v>40869</v>
      </c>
      <c r="E20" s="591">
        <v>55472</v>
      </c>
      <c r="F20" s="272">
        <f t="shared" si="0"/>
        <v>45000000</v>
      </c>
      <c r="G20" s="284">
        <v>98.863900000000001</v>
      </c>
      <c r="H20" s="592">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589">
        <v>17</v>
      </c>
      <c r="B21" s="298" t="s">
        <v>95</v>
      </c>
      <c r="C21" s="590">
        <v>4.2999999999999997E-2</v>
      </c>
      <c r="D21" s="591">
        <v>42150</v>
      </c>
      <c r="E21" s="591">
        <v>53102</v>
      </c>
      <c r="F21" s="272">
        <f t="shared" si="0"/>
        <v>425000000</v>
      </c>
      <c r="G21" s="284">
        <v>98.483019762352939</v>
      </c>
      <c r="H21" s="592">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02">
        <v>18</v>
      </c>
      <c r="B22" s="298" t="s">
        <v>95</v>
      </c>
      <c r="C22" s="590">
        <v>4.2229999999999997E-2</v>
      </c>
      <c r="D22" s="591">
        <v>43265</v>
      </c>
      <c r="E22" s="591">
        <v>54224</v>
      </c>
      <c r="F22" s="272">
        <f t="shared" si="0"/>
        <v>600000000</v>
      </c>
      <c r="G22" s="284">
        <v>98.886799999999994</v>
      </c>
      <c r="H22" s="592">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589">
        <v>19</v>
      </c>
      <c r="B23" s="571" t="s">
        <v>95</v>
      </c>
      <c r="C23" s="282">
        <v>3.2500000000000001E-2</v>
      </c>
      <c r="D23" s="283">
        <v>43707</v>
      </c>
      <c r="E23" s="283">
        <v>54681</v>
      </c>
      <c r="F23" s="272">
        <f t="shared" si="0"/>
        <v>450000000</v>
      </c>
      <c r="G23" s="284">
        <v>99.087100000000007</v>
      </c>
      <c r="H23" s="592">
        <f>ROUND(YIELD(D23,E23,C23,G23,100,2,2),4)</f>
        <v>3.3000000000000002E-2</v>
      </c>
      <c r="I23" s="275">
        <f t="shared" si="5"/>
        <v>14850000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275">
        <f t="shared" si="3"/>
        <v>14850000</v>
      </c>
    </row>
    <row r="24" spans="1:25">
      <c r="A24" s="589">
        <v>20</v>
      </c>
      <c r="B24" s="571" t="s">
        <v>95</v>
      </c>
      <c r="C24" s="282">
        <v>2.8930000000000001E-2</v>
      </c>
      <c r="D24" s="283">
        <v>44454</v>
      </c>
      <c r="E24" s="283">
        <v>55411</v>
      </c>
      <c r="F24" s="272">
        <f t="shared" si="0"/>
        <v>131250000</v>
      </c>
      <c r="G24" s="284">
        <v>98.884299999999996</v>
      </c>
      <c r="H24" s="592">
        <f>ROUND(YIELD(D24,E24,C24,G24,100,2,2),4)</f>
        <v>2.9499999999999998E-2</v>
      </c>
      <c r="I24" s="275">
        <f t="shared" si="5"/>
        <v>3871875</v>
      </c>
      <c r="J24" s="272"/>
      <c r="K24" s="272"/>
      <c r="L24" s="272"/>
      <c r="M24" s="272"/>
      <c r="N24" s="272"/>
      <c r="O24" s="272"/>
      <c r="P24" s="272"/>
      <c r="Q24" s="272"/>
      <c r="R24" s="272"/>
      <c r="S24" s="272">
        <v>450000000</v>
      </c>
      <c r="T24" s="272">
        <v>450000000</v>
      </c>
      <c r="U24" s="272">
        <v>450000000</v>
      </c>
      <c r="V24" s="272">
        <v>450000000</v>
      </c>
      <c r="W24" s="272"/>
      <c r="X24" s="275">
        <f t="shared" si="3"/>
        <v>13275000</v>
      </c>
    </row>
    <row r="25" spans="1:25">
      <c r="A25" s="589">
        <v>21</v>
      </c>
      <c r="B25" s="137"/>
      <c r="C25" s="282"/>
      <c r="D25" s="283"/>
      <c r="E25" s="283"/>
      <c r="F25" s="272"/>
      <c r="G25" s="292"/>
      <c r="H25" s="182"/>
      <c r="I25" s="275"/>
      <c r="J25" s="272"/>
      <c r="K25" s="272"/>
      <c r="L25" s="272"/>
      <c r="M25" s="272"/>
      <c r="N25" s="272"/>
      <c r="O25" s="272"/>
      <c r="P25" s="272"/>
      <c r="Q25" s="272"/>
      <c r="R25" s="272"/>
      <c r="S25" s="272"/>
      <c r="T25" s="272"/>
      <c r="U25" s="272"/>
      <c r="V25" s="272"/>
      <c r="W25" s="272"/>
      <c r="X25" s="474">
        <f>SUM(X6:X24)</f>
        <v>244329128</v>
      </c>
    </row>
    <row r="26" spans="1:25" ht="13.5" thickBot="1">
      <c r="A26" s="602">
        <v>22</v>
      </c>
      <c r="B26" s="137"/>
      <c r="C26" s="139" t="s">
        <v>116</v>
      </c>
      <c r="D26" s="283"/>
      <c r="E26" s="283"/>
      <c r="F26" s="272"/>
      <c r="G26" s="288"/>
      <c r="H26" s="182"/>
      <c r="I26" s="289">
        <f>'Pg 7 Reacquired Debt'!I32</f>
        <v>2157708.2400000002</v>
      </c>
      <c r="J26" s="230"/>
      <c r="K26" s="230"/>
      <c r="L26" s="230"/>
      <c r="M26" s="230"/>
      <c r="N26" s="230"/>
      <c r="O26" s="230"/>
      <c r="P26" s="230"/>
      <c r="Q26" s="230"/>
      <c r="R26" s="230"/>
      <c r="S26" s="230"/>
      <c r="T26" s="230"/>
      <c r="U26" s="230"/>
      <c r="V26" s="230"/>
      <c r="W26" s="275"/>
      <c r="X26" s="474">
        <f>I26</f>
        <v>2157708.2400000002</v>
      </c>
    </row>
    <row r="27" spans="1:25" ht="13.5" thickBot="1">
      <c r="A27" s="589">
        <v>23</v>
      </c>
      <c r="B27" s="139" t="s">
        <v>129</v>
      </c>
      <c r="C27" s="282"/>
      <c r="D27" s="283"/>
      <c r="E27" s="283"/>
      <c r="F27" s="289">
        <f>SUM(F6:F26)</f>
        <v>4505110000</v>
      </c>
      <c r="G27" s="290"/>
      <c r="H27" s="215">
        <f>ROUND(+I27/F27,4)</f>
        <v>5.2600000000000001E-2</v>
      </c>
      <c r="I27" s="293">
        <f t="shared" ref="I27:V27" si="6">SUM(I6:I26)</f>
        <v>237083711.24000001</v>
      </c>
      <c r="J27" s="293">
        <f>SUM(J6:J26)</f>
        <v>4373860000</v>
      </c>
      <c r="K27" s="293">
        <f>SUM(K6:K26)</f>
        <v>4373860000</v>
      </c>
      <c r="L27" s="293">
        <f>SUM(L6:L26)</f>
        <v>4373860000</v>
      </c>
      <c r="M27" s="293">
        <f t="shared" si="6"/>
        <v>4373860000</v>
      </c>
      <c r="N27" s="293">
        <f t="shared" si="6"/>
        <v>4373860000</v>
      </c>
      <c r="O27" s="293">
        <f t="shared" si="6"/>
        <v>4373860000</v>
      </c>
      <c r="P27" s="293">
        <f t="shared" si="6"/>
        <v>4373860000</v>
      </c>
      <c r="Q27" s="293">
        <f t="shared" si="6"/>
        <v>4373860000</v>
      </c>
      <c r="R27" s="293">
        <f t="shared" si="6"/>
        <v>4373860000</v>
      </c>
      <c r="S27" s="293">
        <f t="shared" si="6"/>
        <v>4823860000</v>
      </c>
      <c r="T27" s="293">
        <f t="shared" si="6"/>
        <v>4823860000</v>
      </c>
      <c r="U27" s="293">
        <f t="shared" si="6"/>
        <v>4823860000</v>
      </c>
      <c r="V27" s="293">
        <f t="shared" si="6"/>
        <v>4823860000</v>
      </c>
      <c r="W27" s="291"/>
      <c r="X27" s="293">
        <f>SUM(X25:X26)</f>
        <v>246486836.24000001</v>
      </c>
      <c r="Y27" s="475">
        <f>X27/V27</f>
        <v>5.1097427421193817E-2</v>
      </c>
    </row>
    <row r="28" spans="1:25" ht="13.5" thickBot="1">
      <c r="A28" s="602">
        <v>24</v>
      </c>
      <c r="B28" s="137"/>
      <c r="C28" s="282"/>
      <c r="D28" s="283"/>
      <c r="E28" s="283"/>
      <c r="F28" s="291"/>
      <c r="G28" s="288"/>
      <c r="H28" s="245"/>
      <c r="I28" s="291"/>
      <c r="J28" s="497"/>
      <c r="K28" s="497"/>
      <c r="L28" s="497"/>
      <c r="M28" s="497"/>
      <c r="N28" s="497"/>
      <c r="O28" s="497"/>
      <c r="P28" s="497"/>
      <c r="Q28" s="497"/>
      <c r="R28" s="497"/>
      <c r="S28" s="497"/>
      <c r="T28" s="497"/>
      <c r="U28" s="497"/>
      <c r="V28" s="497"/>
      <c r="W28" s="497"/>
      <c r="X28" s="273">
        <f>H28*S28</f>
        <v>0</v>
      </c>
    </row>
    <row r="29" spans="1:25" ht="13.5" thickBot="1">
      <c r="A29" s="589">
        <v>25</v>
      </c>
      <c r="B29" s="139" t="s">
        <v>306</v>
      </c>
      <c r="C29" s="282"/>
      <c r="D29" s="283"/>
      <c r="E29" s="283"/>
      <c r="F29" s="291">
        <f>F27</f>
        <v>4505110000</v>
      </c>
      <c r="G29" s="288"/>
      <c r="H29" s="215">
        <f>ROUND(+I29/F29,4)</f>
        <v>5.21E-2</v>
      </c>
      <c r="I29" s="291">
        <f>SUM(I6:I24)</f>
        <v>234926003</v>
      </c>
      <c r="J29" s="497"/>
      <c r="K29" s="497"/>
      <c r="L29" s="497"/>
      <c r="M29" s="497"/>
      <c r="N29" s="497"/>
      <c r="O29" s="497"/>
      <c r="P29" s="497"/>
      <c r="Q29" s="497"/>
      <c r="R29" s="497"/>
      <c r="S29" s="497"/>
      <c r="T29" s="497"/>
      <c r="U29" s="497"/>
      <c r="V29" s="497"/>
      <c r="W29" s="497"/>
      <c r="X29" s="273"/>
    </row>
    <row r="30" spans="1:25">
      <c r="A30" s="589">
        <v>26</v>
      </c>
      <c r="B30" s="137"/>
      <c r="C30" s="282"/>
      <c r="D30" s="283"/>
      <c r="E30" s="283"/>
      <c r="F30" s="291"/>
      <c r="G30" s="288"/>
      <c r="H30" s="245"/>
      <c r="I30" s="291"/>
      <c r="J30" s="497"/>
      <c r="K30" s="497"/>
      <c r="L30" s="497"/>
      <c r="M30" s="497"/>
      <c r="N30" s="497"/>
      <c r="O30" s="497"/>
      <c r="P30" s="497"/>
      <c r="Q30" s="497"/>
      <c r="R30" s="497"/>
      <c r="S30" s="497"/>
      <c r="T30" s="497"/>
      <c r="U30" s="497"/>
      <c r="V30" s="497"/>
      <c r="W30" s="497"/>
      <c r="X30" s="273"/>
    </row>
    <row r="31" spans="1:25">
      <c r="A31" s="589">
        <v>27</v>
      </c>
      <c r="B31" s="571" t="s">
        <v>296</v>
      </c>
      <c r="C31" s="282"/>
      <c r="D31" s="283"/>
      <c r="E31" s="283"/>
      <c r="F31" s="291">
        <f>'Pg 3 STD Cost Rate'!C17</f>
        <v>155699030.16999999</v>
      </c>
      <c r="G31" s="288"/>
      <c r="H31" s="578">
        <f>ROUND(I31/F31,4)</f>
        <v>2.3E-3</v>
      </c>
      <c r="I31" s="291">
        <f>'Pg 3 STD Cost Rate'!E17</f>
        <v>365554.04</v>
      </c>
      <c r="J31" s="497"/>
      <c r="K31" s="497"/>
      <c r="L31" s="497"/>
      <c r="M31" s="497"/>
      <c r="N31" s="497"/>
      <c r="O31" s="497"/>
      <c r="P31" s="497"/>
      <c r="Q31" s="497"/>
      <c r="R31" s="497"/>
      <c r="S31" s="497"/>
      <c r="T31" s="497"/>
      <c r="U31" s="497"/>
      <c r="V31" s="497"/>
      <c r="W31" s="497"/>
      <c r="X31" s="273"/>
    </row>
    <row r="32" spans="1:25">
      <c r="A32" s="602">
        <v>28</v>
      </c>
      <c r="B32" s="137"/>
      <c r="C32" s="282"/>
      <c r="D32" s="283"/>
      <c r="E32" s="283"/>
      <c r="F32" s="291"/>
      <c r="G32" s="288"/>
      <c r="H32" s="245"/>
      <c r="I32" s="291"/>
      <c r="J32" s="497"/>
      <c r="K32" s="497"/>
      <c r="L32" s="497"/>
      <c r="M32" s="497"/>
      <c r="N32" s="497"/>
      <c r="O32" s="497"/>
      <c r="P32" s="497"/>
      <c r="Q32" s="497"/>
      <c r="R32" s="497"/>
      <c r="S32" s="497"/>
      <c r="T32" s="497"/>
      <c r="U32" s="497"/>
      <c r="V32" s="497"/>
      <c r="W32" s="497"/>
      <c r="X32" s="273"/>
    </row>
    <row r="33" spans="1:55">
      <c r="A33" s="589">
        <v>29</v>
      </c>
      <c r="B33" s="579" t="s">
        <v>297</v>
      </c>
      <c r="C33" s="282"/>
      <c r="D33" s="283"/>
      <c r="E33" s="283"/>
      <c r="F33" s="291">
        <f>F31+F27</f>
        <v>4660809030.1700001</v>
      </c>
      <c r="G33" s="288"/>
      <c r="H33" s="578">
        <f>ROUND(I33/F33,4)</f>
        <v>5.0500000000000003E-2</v>
      </c>
      <c r="I33" s="291">
        <f>I31+I29</f>
        <v>235291557.03999999</v>
      </c>
      <c r="J33" s="497"/>
      <c r="K33" s="497"/>
      <c r="L33" s="497"/>
      <c r="M33" s="497"/>
      <c r="N33" s="497"/>
      <c r="O33" s="497"/>
      <c r="P33" s="497"/>
      <c r="Q33" s="497"/>
      <c r="R33" s="497"/>
      <c r="S33" s="497"/>
      <c r="T33" s="497"/>
      <c r="U33" s="497"/>
      <c r="V33" s="497"/>
      <c r="W33" s="497"/>
      <c r="X33" s="273"/>
    </row>
    <row r="34" spans="1:55">
      <c r="A34" s="602">
        <v>30</v>
      </c>
      <c r="B34" s="137"/>
      <c r="C34" s="282"/>
      <c r="D34" s="283"/>
      <c r="E34" s="283"/>
      <c r="F34" s="291"/>
      <c r="G34" s="288"/>
      <c r="H34" s="245"/>
      <c r="I34" s="291"/>
      <c r="J34" s="497"/>
      <c r="K34" s="497"/>
      <c r="L34" s="497"/>
      <c r="M34" s="497"/>
      <c r="N34" s="497"/>
      <c r="O34" s="497"/>
      <c r="P34" s="497"/>
      <c r="Q34" s="497"/>
      <c r="R34" s="497"/>
      <c r="S34" s="497"/>
      <c r="T34" s="497"/>
      <c r="U34" s="497"/>
      <c r="V34" s="497"/>
      <c r="W34" s="497"/>
      <c r="X34" s="273"/>
    </row>
    <row r="35" spans="1:55">
      <c r="A35" s="589">
        <v>31</v>
      </c>
      <c r="B35" s="135" t="s">
        <v>85</v>
      </c>
      <c r="C35" s="136"/>
      <c r="D35" s="136"/>
      <c r="E35" s="136"/>
      <c r="F35" s="136"/>
      <c r="G35" s="136"/>
      <c r="H35" s="136"/>
      <c r="I35" s="136"/>
      <c r="X35" s="291"/>
      <c r="Y35" s="245"/>
    </row>
    <row r="36" spans="1:55">
      <c r="A36" s="589">
        <v>32</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1"/>
      <c r="G39" s="134"/>
      <c r="H39" s="294"/>
      <c r="I39" s="295"/>
      <c r="J39" s="296"/>
      <c r="K39" s="296"/>
      <c r="L39" s="296"/>
      <c r="M39" s="296"/>
      <c r="N39" s="296"/>
      <c r="O39" s="296"/>
      <c r="P39" s="296"/>
      <c r="Q39" s="296"/>
      <c r="R39" s="296"/>
      <c r="S39" s="296"/>
      <c r="T39" s="296"/>
      <c r="U39" s="296"/>
      <c r="V39" s="296"/>
      <c r="W39" s="296"/>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7"/>
      <c r="C40" s="297"/>
      <c r="D40" s="297"/>
      <c r="E40" s="297"/>
      <c r="F40" s="271"/>
      <c r="G40" s="297"/>
      <c r="H40" s="136"/>
      <c r="I40" s="178"/>
      <c r="J40" s="298"/>
      <c r="K40" s="137"/>
      <c r="L40" s="137"/>
      <c r="M40" s="137"/>
      <c r="N40" s="137"/>
      <c r="O40" s="137"/>
      <c r="P40" s="137"/>
      <c r="Q40" s="137"/>
      <c r="R40" s="137"/>
      <c r="S40" s="137"/>
      <c r="T40" s="137"/>
      <c r="U40" s="137"/>
      <c r="V40" s="137"/>
      <c r="W40" s="137"/>
    </row>
    <row r="41" spans="1:55">
      <c r="A41" s="44"/>
      <c r="B41" s="297"/>
      <c r="C41" s="297"/>
      <c r="D41" s="297"/>
      <c r="E41" s="297"/>
      <c r="F41" s="270"/>
      <c r="G41" s="297"/>
      <c r="H41" s="134"/>
      <c r="I41" s="295"/>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7">IF(J41&lt;&gt;0,"ERROR","")</f>
        <v/>
      </c>
      <c r="K42" s="220" t="str">
        <f t="shared" si="7"/>
        <v/>
      </c>
      <c r="L42" s="220" t="str">
        <f t="shared" si="7"/>
        <v/>
      </c>
      <c r="M42" s="220" t="str">
        <f t="shared" si="7"/>
        <v/>
      </c>
      <c r="N42" s="220" t="str">
        <f t="shared" si="7"/>
        <v/>
      </c>
      <c r="O42" s="220" t="str">
        <f t="shared" si="7"/>
        <v/>
      </c>
      <c r="P42" s="220" t="str">
        <f t="shared" si="7"/>
        <v/>
      </c>
      <c r="Q42" s="220" t="str">
        <f t="shared" si="7"/>
        <v/>
      </c>
      <c r="R42" s="220" t="str">
        <f t="shared" si="7"/>
        <v/>
      </c>
      <c r="S42" s="44" t="str">
        <f t="shared" si="7"/>
        <v/>
      </c>
      <c r="T42" s="44"/>
      <c r="U42" s="44"/>
      <c r="V42" s="44"/>
      <c r="W42" s="44"/>
    </row>
    <row r="43" spans="1:55">
      <c r="A43" s="44"/>
      <c r="B43" s="28"/>
      <c r="C43" s="28"/>
      <c r="D43" s="28"/>
      <c r="E43" s="615"/>
      <c r="F43" s="45"/>
      <c r="G43" s="28"/>
      <c r="H43" s="182"/>
      <c r="Y43" s="594"/>
    </row>
    <row r="44" spans="1:55">
      <c r="A44" s="46"/>
      <c r="B44" s="47"/>
      <c r="C44" s="48"/>
      <c r="D44" s="49"/>
      <c r="E44" s="49"/>
      <c r="F44" s="261"/>
      <c r="G44" s="51"/>
      <c r="H44" s="182"/>
      <c r="I44" s="97"/>
      <c r="Y44" s="594"/>
    </row>
    <row r="45" spans="1:55">
      <c r="A45" s="46"/>
      <c r="B45" s="47"/>
      <c r="C45" s="48"/>
      <c r="D45" s="49"/>
      <c r="E45" s="49"/>
      <c r="F45" s="50"/>
      <c r="G45" s="51"/>
      <c r="H45" s="52"/>
      <c r="I45" s="53"/>
      <c r="Y45" s="594"/>
    </row>
    <row r="46" spans="1:55">
      <c r="A46" s="46"/>
      <c r="B46" s="47"/>
      <c r="C46" s="48"/>
      <c r="D46" s="49"/>
      <c r="E46" s="49"/>
      <c r="F46" s="50"/>
      <c r="G46" s="51"/>
      <c r="H46" s="52"/>
      <c r="I46" s="53"/>
      <c r="Y46" s="594"/>
    </row>
    <row r="47" spans="1:55" hidden="1">
      <c r="A47" s="54"/>
      <c r="B47" s="28"/>
      <c r="C47" s="28"/>
      <c r="D47" s="28"/>
      <c r="E47" s="28"/>
      <c r="F47" s="45"/>
      <c r="G47" s="28"/>
      <c r="H47" s="55"/>
      <c r="I47" s="45"/>
      <c r="Y47" s="594"/>
    </row>
    <row r="48" spans="1:55" hidden="1">
      <c r="A48" s="54"/>
      <c r="B48" s="28"/>
      <c r="C48" s="28"/>
      <c r="D48" s="28"/>
      <c r="E48" s="28"/>
      <c r="F48" s="45"/>
      <c r="G48" s="28"/>
      <c r="H48" s="56"/>
      <c r="I48" s="45"/>
      <c r="Y48" s="594"/>
    </row>
    <row r="49" spans="1:25" hidden="1">
      <c r="A49" s="54"/>
      <c r="B49" s="28"/>
      <c r="C49" s="28"/>
      <c r="D49" s="28"/>
      <c r="E49" s="28"/>
      <c r="F49" s="45"/>
      <c r="G49" s="28"/>
      <c r="H49" s="28"/>
      <c r="I49" s="45"/>
      <c r="Y49" s="594"/>
    </row>
    <row r="50" spans="1:25">
      <c r="A50" s="46"/>
      <c r="B50" s="47"/>
      <c r="C50" s="48"/>
      <c r="D50" s="49"/>
      <c r="E50" s="49"/>
      <c r="F50" s="50"/>
      <c r="G50" s="51"/>
      <c r="H50" s="52"/>
      <c r="I50" s="53"/>
      <c r="Y50" s="594"/>
    </row>
    <row r="51" spans="1:25">
      <c r="A51" s="46"/>
      <c r="B51" s="47"/>
      <c r="C51" s="48"/>
      <c r="D51" s="49"/>
      <c r="E51" s="49"/>
      <c r="F51" s="50"/>
      <c r="G51" s="51"/>
      <c r="H51" s="52"/>
      <c r="I51" s="53"/>
      <c r="Y51" s="594"/>
    </row>
    <row r="52" spans="1:25">
      <c r="A52" s="54"/>
      <c r="B52" s="28"/>
      <c r="C52" s="28"/>
      <c r="D52" s="28"/>
      <c r="E52" s="28"/>
      <c r="F52" s="45"/>
      <c r="G52" s="28"/>
      <c r="H52" s="28"/>
      <c r="I52" s="45"/>
      <c r="Y52" s="594"/>
    </row>
    <row r="53" spans="1:25">
      <c r="A53" s="54"/>
      <c r="B53" s="28"/>
      <c r="C53" s="28"/>
      <c r="D53" s="28"/>
      <c r="E53" s="28"/>
      <c r="F53" s="45"/>
      <c r="G53" s="28"/>
      <c r="H53" s="28"/>
      <c r="I53" s="45"/>
      <c r="Y53" s="594"/>
    </row>
    <row r="54" spans="1:25">
      <c r="A54" s="54"/>
      <c r="B54" s="28"/>
      <c r="C54" s="28"/>
      <c r="D54" s="28"/>
      <c r="E54" s="28"/>
      <c r="F54" s="45"/>
      <c r="G54" s="28"/>
      <c r="H54" s="28"/>
      <c r="I54" s="45"/>
      <c r="Y54" s="594"/>
    </row>
    <row r="55" spans="1:25">
      <c r="A55" s="54"/>
      <c r="B55" s="28"/>
      <c r="C55" s="28"/>
      <c r="D55" s="28"/>
      <c r="E55" s="28"/>
      <c r="F55" s="45"/>
      <c r="G55" s="28"/>
      <c r="H55" s="28"/>
      <c r="I55" s="45"/>
      <c r="Y55" s="594"/>
    </row>
    <row r="56" spans="1:25">
      <c r="A56" s="54"/>
      <c r="B56" s="28"/>
      <c r="C56" s="28"/>
      <c r="D56" s="28"/>
      <c r="E56" s="28"/>
      <c r="F56" s="45"/>
      <c r="G56" s="28"/>
      <c r="H56" s="28"/>
      <c r="I56" s="45"/>
      <c r="Y56" s="594"/>
    </row>
    <row r="57" spans="1:25">
      <c r="A57" s="54"/>
      <c r="B57" s="28"/>
      <c r="C57" s="28"/>
      <c r="D57" s="28"/>
      <c r="E57" s="28"/>
      <c r="F57" s="45"/>
      <c r="G57" s="28"/>
      <c r="H57" s="28"/>
      <c r="I57" s="45"/>
      <c r="Y57" s="594"/>
    </row>
    <row r="58" spans="1:25">
      <c r="A58" s="54"/>
      <c r="B58" s="28"/>
      <c r="C58" s="28"/>
      <c r="D58" s="28"/>
      <c r="E58" s="28"/>
      <c r="F58" s="45"/>
      <c r="G58" s="28"/>
      <c r="H58" s="28"/>
      <c r="I58" s="45"/>
      <c r="Y58" s="594"/>
    </row>
    <row r="59" spans="1:25">
      <c r="A59" s="54"/>
      <c r="B59" s="28"/>
      <c r="C59" s="28"/>
      <c r="D59" s="28"/>
      <c r="E59" s="28"/>
      <c r="F59" s="45"/>
      <c r="G59" s="28"/>
      <c r="H59" s="28"/>
      <c r="I59" s="45"/>
      <c r="Y59" s="594"/>
    </row>
    <row r="60" spans="1:25">
      <c r="A60" s="54"/>
      <c r="B60" s="28"/>
      <c r="C60" s="28"/>
      <c r="D60" s="28"/>
      <c r="E60" s="28"/>
      <c r="F60" s="45"/>
      <c r="G60" s="28"/>
      <c r="H60" s="28"/>
      <c r="I60" s="45"/>
      <c r="Y60" s="594"/>
    </row>
    <row r="61" spans="1:25">
      <c r="A61" s="44"/>
      <c r="B61" s="28"/>
      <c r="C61" s="47"/>
      <c r="D61" s="28"/>
      <c r="E61" s="28"/>
      <c r="F61" s="45"/>
      <c r="G61" s="28"/>
      <c r="H61" s="28"/>
      <c r="I61" s="45"/>
      <c r="Y61" s="594"/>
    </row>
    <row r="62" spans="1:25">
      <c r="C62" s="24"/>
      <c r="E62" s="30"/>
      <c r="Y62" s="594"/>
    </row>
    <row r="63" spans="1:25">
      <c r="C63" s="29"/>
      <c r="Y63" s="594"/>
    </row>
    <row r="64" spans="1:25">
      <c r="Y64" s="594"/>
    </row>
    <row r="65" spans="25:25">
      <c r="Y65" s="594"/>
    </row>
    <row r="66" spans="25:25">
      <c r="Y66" s="594"/>
    </row>
    <row r="67" spans="25:25">
      <c r="Y67" s="594"/>
    </row>
    <row r="68" spans="25:25">
      <c r="Y68" s="594"/>
    </row>
    <row r="69" spans="25:25">
      <c r="Y69" s="594"/>
    </row>
    <row r="70" spans="25:25">
      <c r="Y70" s="594"/>
    </row>
    <row r="71" spans="25:25">
      <c r="Y71" s="594"/>
    </row>
    <row r="72" spans="25:25">
      <c r="Y72" s="594"/>
    </row>
    <row r="73" spans="25:25">
      <c r="Y73" s="594"/>
    </row>
    <row r="74" spans="25:25">
      <c r="Y74" s="594"/>
    </row>
    <row r="75" spans="25:25">
      <c r="Y75" s="594"/>
    </row>
    <row r="76" spans="25:25">
      <c r="Y76" s="594"/>
    </row>
    <row r="77" spans="25:25">
      <c r="Y77" s="594"/>
    </row>
    <row r="78" spans="25:25">
      <c r="Y78" s="594"/>
    </row>
    <row r="79" spans="25:25">
      <c r="Y79" s="594"/>
    </row>
    <row r="80" spans="25:25">
      <c r="Y80" s="594"/>
    </row>
    <row r="81" spans="25:25">
      <c r="Y81" s="594"/>
    </row>
    <row r="82" spans="25:25">
      <c r="Y82" s="594"/>
    </row>
    <row r="83" spans="25:25">
      <c r="Y83" s="594"/>
    </row>
    <row r="84" spans="25:25">
      <c r="Y84" s="594"/>
    </row>
    <row r="85" spans="25:25">
      <c r="Y85" s="594"/>
    </row>
    <row r="86" spans="25:25">
      <c r="Y86" s="594"/>
    </row>
    <row r="87" spans="25:25">
      <c r="Y87" s="594"/>
    </row>
    <row r="88" spans="25:25">
      <c r="Y88" s="594"/>
    </row>
    <row r="89" spans="25:25">
      <c r="Y89" s="594"/>
    </row>
    <row r="90" spans="25:25">
      <c r="Y90" s="594"/>
    </row>
    <row r="91" spans="25:25">
      <c r="Y91" s="594"/>
    </row>
    <row r="92" spans="25:25">
      <c r="Y92" s="594"/>
    </row>
    <row r="93" spans="25:25">
      <c r="Y93" s="594"/>
    </row>
    <row r="94" spans="25:25">
      <c r="Y94" s="594"/>
    </row>
    <row r="95" spans="25:25">
      <c r="Y95" s="594"/>
    </row>
    <row r="96" spans="25:25">
      <c r="Y96" s="594"/>
    </row>
    <row r="97" spans="25:25">
      <c r="Y97" s="594"/>
    </row>
    <row r="98" spans="25:25">
      <c r="Y98" s="594"/>
    </row>
    <row r="99" spans="25:25">
      <c r="Y99" s="594"/>
    </row>
    <row r="100" spans="25:25">
      <c r="Y100" s="594"/>
    </row>
    <row r="101" spans="25:25">
      <c r="Y101" s="594"/>
    </row>
    <row r="102" spans="25:25">
      <c r="Y102" s="594"/>
    </row>
    <row r="103" spans="25:25">
      <c r="Y103" s="594"/>
    </row>
    <row r="106" spans="25:25">
      <c r="Y106" s="594"/>
    </row>
    <row r="107" spans="25:25">
      <c r="Y107" s="594"/>
    </row>
    <row r="108" spans="25:25">
      <c r="Y108" s="594"/>
    </row>
    <row r="109" spans="25:25">
      <c r="Y109" s="594"/>
    </row>
    <row r="110" spans="25:25">
      <c r="Y110" s="594"/>
    </row>
    <row r="111" spans="25:25">
      <c r="Y111" s="594"/>
    </row>
    <row r="112" spans="25:25">
      <c r="Y112" s="594"/>
    </row>
    <row r="113" spans="25:25">
      <c r="Y113" s="594"/>
    </row>
    <row r="114" spans="25:25">
      <c r="Y114" s="594"/>
    </row>
    <row r="115" spans="25:25">
      <c r="Y115" s="594"/>
    </row>
    <row r="116" spans="25:25">
      <c r="Y116" s="594"/>
    </row>
    <row r="117" spans="25:25">
      <c r="Y117" s="594"/>
    </row>
    <row r="118" spans="25:25">
      <c r="Y118" s="594"/>
    </row>
    <row r="119" spans="25:25">
      <c r="Y119" s="594"/>
    </row>
    <row r="120" spans="25:25">
      <c r="Y120" s="594"/>
    </row>
    <row r="121" spans="25:25">
      <c r="Y121" s="594"/>
    </row>
    <row r="122" spans="25:25">
      <c r="Y122" s="594"/>
    </row>
    <row r="123" spans="25:25">
      <c r="Y123" s="594"/>
    </row>
    <row r="124" spans="25:25">
      <c r="Y124" s="594"/>
    </row>
    <row r="125" spans="25:25">
      <c r="Y125" s="594"/>
    </row>
    <row r="126" spans="25:25">
      <c r="Y126" s="594"/>
    </row>
    <row r="127" spans="25:25">
      <c r="Y127" s="594"/>
    </row>
    <row r="128" spans="25:25">
      <c r="Y128" s="594"/>
    </row>
    <row r="129" spans="25:25">
      <c r="Y129" s="594"/>
    </row>
    <row r="130" spans="25:25">
      <c r="Y130" s="594"/>
    </row>
    <row r="131" spans="25:25">
      <c r="Y131" s="594"/>
    </row>
    <row r="132" spans="25:25">
      <c r="Y132" s="594"/>
    </row>
    <row r="133" spans="25:25">
      <c r="Y133" s="594"/>
    </row>
    <row r="134" spans="25:25">
      <c r="Y134" s="594"/>
    </row>
    <row r="135" spans="25:25">
      <c r="Y135" s="594"/>
    </row>
    <row r="137" spans="25:25">
      <c r="Y137" s="594"/>
    </row>
    <row r="138" spans="25:25">
      <c r="Y138" s="594"/>
    </row>
    <row r="139" spans="25:25">
      <c r="Y139" s="594"/>
    </row>
    <row r="140" spans="25:25">
      <c r="Y140" s="594"/>
    </row>
    <row r="141" spans="25:25">
      <c r="Y141" s="594"/>
    </row>
    <row r="142" spans="25:25">
      <c r="Y142" s="594"/>
    </row>
    <row r="143" spans="25:25">
      <c r="Y143" s="594"/>
    </row>
    <row r="144" spans="25:25">
      <c r="Y144" s="594"/>
    </row>
    <row r="145" spans="25:25">
      <c r="Y145" s="594"/>
    </row>
    <row r="146" spans="25:25">
      <c r="Y146" s="594"/>
    </row>
    <row r="147" spans="25:25">
      <c r="Y147" s="594"/>
    </row>
    <row r="148" spans="25:25">
      <c r="Y148" s="594"/>
    </row>
    <row r="149" spans="25:25">
      <c r="Y149" s="594"/>
    </row>
    <row r="150" spans="25:25">
      <c r="Y150" s="594"/>
    </row>
    <row r="151" spans="25:25">
      <c r="Y151" s="594"/>
    </row>
    <row r="152" spans="25:25">
      <c r="Y152" s="594"/>
    </row>
    <row r="153" spans="25:25">
      <c r="Y153" s="594"/>
    </row>
    <row r="154" spans="25:25">
      <c r="Y154" s="594"/>
    </row>
    <row r="155" spans="25:25">
      <c r="Y155" s="594"/>
    </row>
    <row r="156" spans="25:25">
      <c r="Y156" s="594"/>
    </row>
    <row r="157" spans="25:25">
      <c r="Y157" s="594"/>
    </row>
    <row r="158" spans="25:25">
      <c r="Y158" s="594"/>
    </row>
    <row r="159" spans="25:25">
      <c r="Y159" s="594"/>
    </row>
    <row r="160" spans="25:25">
      <c r="Y160" s="594"/>
    </row>
    <row r="161" spans="25:25">
      <c r="Y161" s="594"/>
    </row>
    <row r="162" spans="25:25">
      <c r="Y162" s="594"/>
    </row>
    <row r="163" spans="25:25">
      <c r="Y163" s="594"/>
    </row>
    <row r="164" spans="25:25">
      <c r="Y164" s="594"/>
    </row>
    <row r="165" spans="25:25">
      <c r="Y165" s="594"/>
    </row>
    <row r="166" spans="25:25">
      <c r="Y166" s="594"/>
    </row>
  </sheetData>
  <phoneticPr fontId="25" type="noConversion"/>
  <printOptions horizontalCentered="1"/>
  <pageMargins left="0.2" right="0.2" top="0.41" bottom="0.35" header="0.17" footer="0.17"/>
  <pageSetup scale="90" orientation="landscape" r:id="rId1"/>
  <headerFooter alignWithMargins="0">
    <oddFooter>&amp;C&amp;A&amp;R&amp;8&amp;F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84"/>
  <sheetViews>
    <sheetView zoomScaleNormal="100" workbookViewId="0">
      <pane xSplit="2" ySplit="7" topLeftCell="C8" activePane="bottomRight" state="frozen"/>
      <selection activeCell="F32" sqref="F32"/>
      <selection pane="topRight" activeCell="F32" sqref="F32"/>
      <selection pane="bottomLeft" activeCell="F32" sqref="F32"/>
      <selection pane="bottomRight" activeCell="O29" sqref="O29"/>
    </sheetView>
  </sheetViews>
  <sheetFormatPr defaultColWidth="8.83203125" defaultRowHeight="15"/>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12" customWidth="1"/>
    <col min="12" max="12" width="12" customWidth="1"/>
    <col min="13" max="13" width="14.6640625" customWidth="1"/>
    <col min="14" max="14" width="15.1640625" customWidth="1"/>
    <col min="15" max="15" width="8.5" customWidth="1"/>
    <col min="16" max="16" width="2.5" customWidth="1"/>
    <col min="17" max="18" width="13.5" bestFit="1" customWidth="1"/>
    <col min="19" max="19" width="12.83203125" customWidth="1"/>
    <col min="20" max="16384" width="8.83203125" style="31"/>
  </cols>
  <sheetData>
    <row r="1" spans="1:21" ht="12.75" customHeight="1">
      <c r="B1" s="66" t="s">
        <v>25</v>
      </c>
      <c r="C1" s="59"/>
      <c r="D1" s="59"/>
      <c r="E1" s="59"/>
      <c r="F1" s="59"/>
      <c r="G1" s="59"/>
      <c r="H1" s="59"/>
      <c r="I1" s="59"/>
      <c r="J1" s="60"/>
      <c r="K1" s="60"/>
    </row>
    <row r="2" spans="1:21" s="32" customFormat="1" ht="12.75" customHeight="1">
      <c r="B2" s="66" t="s">
        <v>26</v>
      </c>
      <c r="C2" s="59"/>
      <c r="D2" s="59"/>
      <c r="E2" s="59"/>
      <c r="F2" s="59"/>
      <c r="G2" s="59"/>
      <c r="H2" s="59"/>
      <c r="I2" s="59"/>
      <c r="J2" s="62"/>
      <c r="K2" s="60"/>
      <c r="L2"/>
      <c r="M2"/>
      <c r="N2"/>
      <c r="O2"/>
      <c r="P2"/>
      <c r="Q2"/>
      <c r="R2"/>
      <c r="S2"/>
    </row>
    <row r="3" spans="1:21" s="32" customFormat="1" ht="12.75" customHeight="1">
      <c r="B3" s="636" t="str">
        <f>'New Format'!B5</f>
        <v>For The 12 Months Ending December 31, 2021</v>
      </c>
      <c r="C3" s="636"/>
      <c r="D3" s="636"/>
      <c r="E3" s="59"/>
      <c r="F3" s="59"/>
      <c r="G3" s="59"/>
      <c r="H3" s="59"/>
      <c r="I3" s="59"/>
      <c r="J3" s="60"/>
      <c r="K3" s="60"/>
      <c r="L3"/>
      <c r="M3"/>
      <c r="N3"/>
      <c r="O3"/>
      <c r="P3"/>
      <c r="Q3"/>
      <c r="R3"/>
      <c r="S3"/>
    </row>
    <row r="4" spans="1:21" s="32" customFormat="1" ht="12.75" customHeight="1">
      <c r="B4" s="124"/>
      <c r="C4" s="124"/>
      <c r="D4" s="124"/>
      <c r="E4" s="59"/>
      <c r="F4" s="59"/>
      <c r="G4" s="59"/>
      <c r="H4" s="59"/>
      <c r="I4" s="59"/>
      <c r="J4" s="60"/>
      <c r="K4" s="60"/>
      <c r="L4"/>
      <c r="M4"/>
      <c r="N4"/>
      <c r="O4"/>
      <c r="P4"/>
      <c r="Q4"/>
      <c r="R4"/>
      <c r="S4"/>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c r="M5"/>
      <c r="N5"/>
      <c r="O5"/>
      <c r="P5"/>
      <c r="Q5"/>
      <c r="R5"/>
      <c r="S5"/>
    </row>
    <row r="6" spans="1:21" s="32" customFormat="1" ht="12.75" customHeight="1">
      <c r="A6" s="236">
        <f t="shared" ref="A6:A41" si="0">A5+1</f>
        <v>2</v>
      </c>
      <c r="B6" s="61" t="s">
        <v>2</v>
      </c>
      <c r="C6" s="248" t="s">
        <v>17</v>
      </c>
      <c r="D6" s="249" t="s">
        <v>107</v>
      </c>
      <c r="E6" s="222" t="s">
        <v>143</v>
      </c>
      <c r="F6" s="222" t="s">
        <v>144</v>
      </c>
      <c r="G6" s="222" t="s">
        <v>144</v>
      </c>
      <c r="H6" s="222" t="s">
        <v>70</v>
      </c>
      <c r="I6" s="249" t="s">
        <v>18</v>
      </c>
      <c r="J6" s="60"/>
      <c r="K6" s="60"/>
      <c r="L6"/>
      <c r="M6"/>
      <c r="N6"/>
      <c r="O6"/>
      <c r="P6"/>
      <c r="Q6"/>
      <c r="R6"/>
      <c r="S6"/>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c r="M7"/>
      <c r="N7"/>
      <c r="O7"/>
      <c r="P7"/>
      <c r="Q7"/>
      <c r="R7"/>
      <c r="S7"/>
    </row>
    <row r="8" spans="1:21" s="32" customFormat="1" ht="12.75" customHeight="1">
      <c r="A8" s="236">
        <f t="shared" si="0"/>
        <v>4</v>
      </c>
      <c r="B8" s="115"/>
      <c r="C8" s="116"/>
      <c r="D8" s="116"/>
      <c r="E8" s="116"/>
      <c r="F8" s="116"/>
      <c r="G8" s="116"/>
      <c r="H8" s="299"/>
      <c r="I8" s="65"/>
      <c r="J8" s="117"/>
      <c r="K8" s="235"/>
      <c r="L8"/>
      <c r="M8"/>
      <c r="N8"/>
      <c r="O8"/>
      <c r="P8"/>
      <c r="Q8"/>
      <c r="R8"/>
      <c r="S8"/>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c r="M9"/>
      <c r="N9"/>
      <c r="O9"/>
      <c r="P9"/>
      <c r="Q9"/>
      <c r="R9"/>
      <c r="S9"/>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c r="M10"/>
      <c r="N10"/>
      <c r="O10"/>
      <c r="P10"/>
      <c r="Q10"/>
      <c r="R10"/>
      <c r="S1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c r="M11"/>
      <c r="N11"/>
      <c r="O11"/>
      <c r="P11"/>
      <c r="Q11"/>
      <c r="R11"/>
      <c r="S11"/>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11"/>
      <c r="L12"/>
      <c r="M12"/>
      <c r="N12"/>
      <c r="O12"/>
      <c r="P12"/>
      <c r="Q12"/>
      <c r="R12"/>
      <c r="S12"/>
      <c r="T12" s="562"/>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11"/>
      <c r="L13"/>
      <c r="M13"/>
      <c r="N13"/>
      <c r="O13"/>
      <c r="P13"/>
      <c r="Q13"/>
      <c r="R13"/>
      <c r="S13"/>
      <c r="T13" s="562"/>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11"/>
      <c r="L14"/>
      <c r="M14"/>
      <c r="N14"/>
      <c r="O14"/>
      <c r="P14"/>
      <c r="Q14"/>
      <c r="R14"/>
      <c r="S14"/>
      <c r="T14" s="562"/>
      <c r="U14" s="32"/>
    </row>
    <row r="15" spans="1:21" s="235" customFormat="1" ht="12.75" customHeight="1">
      <c r="A15" s="236">
        <f t="shared" si="0"/>
        <v>11</v>
      </c>
      <c r="B15" s="301" t="s">
        <v>146</v>
      </c>
      <c r="C15" s="116">
        <v>34199</v>
      </c>
      <c r="D15" s="116">
        <v>45156</v>
      </c>
      <c r="E15" s="302">
        <v>37851</v>
      </c>
      <c r="H15" s="299">
        <v>45156</v>
      </c>
      <c r="I15" s="300">
        <v>10655.88</v>
      </c>
      <c r="J15" s="117">
        <v>18900353</v>
      </c>
      <c r="K15" s="611"/>
      <c r="L15"/>
      <c r="M15"/>
      <c r="N15"/>
      <c r="O15"/>
      <c r="P15"/>
      <c r="Q15"/>
      <c r="R15"/>
      <c r="S15"/>
      <c r="T15" s="562"/>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11"/>
      <c r="L16"/>
      <c r="M16"/>
      <c r="N16"/>
      <c r="O16"/>
      <c r="P16"/>
      <c r="Q16"/>
      <c r="R16"/>
      <c r="S16"/>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11"/>
      <c r="L17"/>
      <c r="M17"/>
      <c r="N17"/>
      <c r="O17"/>
      <c r="P17"/>
      <c r="Q17"/>
      <c r="R17"/>
      <c r="S17"/>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11"/>
      <c r="L18"/>
      <c r="M18"/>
      <c r="N18"/>
      <c r="O18"/>
      <c r="P18"/>
      <c r="Q18"/>
      <c r="R18"/>
      <c r="S18"/>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11"/>
      <c r="L19"/>
      <c r="M19"/>
      <c r="N19"/>
      <c r="O19"/>
      <c r="P19"/>
      <c r="Q19"/>
      <c r="R19"/>
      <c r="S1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11"/>
      <c r="L20"/>
      <c r="M20"/>
      <c r="N20"/>
      <c r="O20"/>
      <c r="P20"/>
      <c r="Q20"/>
      <c r="R20"/>
      <c r="S20"/>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11"/>
      <c r="L21"/>
      <c r="M21"/>
      <c r="N21"/>
      <c r="O21"/>
      <c r="P21"/>
      <c r="Q21"/>
      <c r="R21"/>
      <c r="S21"/>
    </row>
    <row r="22" spans="1:21" s="235" customFormat="1" ht="12.75" customHeight="1">
      <c r="A22" s="236">
        <f t="shared" si="0"/>
        <v>18</v>
      </c>
      <c r="B22" s="301" t="s">
        <v>258</v>
      </c>
      <c r="C22" s="116">
        <v>37691</v>
      </c>
      <c r="D22" s="116">
        <v>47908</v>
      </c>
      <c r="E22" s="302">
        <v>41449</v>
      </c>
      <c r="F22" s="302" t="s">
        <v>259</v>
      </c>
      <c r="G22" s="302">
        <v>41417</v>
      </c>
      <c r="H22" s="299">
        <v>47908</v>
      </c>
      <c r="I22" s="300">
        <v>299128.68</v>
      </c>
      <c r="J22" s="117">
        <v>18900433</v>
      </c>
      <c r="K22" s="611"/>
      <c r="L22"/>
      <c r="M22"/>
      <c r="N22"/>
      <c r="O22"/>
      <c r="P22"/>
      <c r="Q22"/>
      <c r="R22"/>
      <c r="S22"/>
    </row>
    <row r="23" spans="1:21" s="235" customFormat="1" ht="12.75" customHeight="1">
      <c r="A23" s="236">
        <f t="shared" si="0"/>
        <v>19</v>
      </c>
      <c r="B23" s="301" t="s">
        <v>258</v>
      </c>
      <c r="C23" s="116">
        <v>37691</v>
      </c>
      <c r="D23" s="116">
        <v>47908</v>
      </c>
      <c r="E23" s="302">
        <v>41449</v>
      </c>
      <c r="F23" s="302" t="s">
        <v>259</v>
      </c>
      <c r="G23" s="302">
        <v>41417</v>
      </c>
      <c r="H23" s="299">
        <v>47908</v>
      </c>
      <c r="I23" s="300">
        <v>50553.24</v>
      </c>
      <c r="J23" s="117">
        <v>18900533</v>
      </c>
      <c r="K23" s="611"/>
      <c r="L23"/>
      <c r="M23"/>
      <c r="N23"/>
      <c r="O23"/>
      <c r="P23"/>
      <c r="Q23"/>
      <c r="R23"/>
      <c r="S23"/>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11"/>
      <c r="L24"/>
      <c r="M24"/>
      <c r="N24"/>
      <c r="O24"/>
      <c r="P24"/>
      <c r="Q24"/>
      <c r="R24"/>
      <c r="S24"/>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11"/>
      <c r="L25"/>
      <c r="M25"/>
      <c r="N25"/>
      <c r="O25"/>
      <c r="P25"/>
      <c r="Q25"/>
      <c r="R25"/>
      <c r="S25"/>
    </row>
    <row r="26" spans="1:21" s="235" customFormat="1" ht="12.75" customHeight="1">
      <c r="A26" s="236">
        <f t="shared" si="0"/>
        <v>22</v>
      </c>
      <c r="B26" s="115" t="s">
        <v>250</v>
      </c>
      <c r="C26" s="116">
        <v>33117</v>
      </c>
      <c r="D26" s="116">
        <v>44075</v>
      </c>
      <c r="E26" s="116">
        <v>40900</v>
      </c>
      <c r="F26" s="116" t="s">
        <v>251</v>
      </c>
      <c r="G26" s="116">
        <v>40869</v>
      </c>
      <c r="H26" s="299">
        <v>55472</v>
      </c>
      <c r="I26" s="300">
        <v>400518.84</v>
      </c>
      <c r="J26" s="117">
        <v>18900393</v>
      </c>
      <c r="K26" s="611"/>
      <c r="L26"/>
      <c r="M26"/>
      <c r="N26"/>
      <c r="O26"/>
      <c r="P26"/>
      <c r="Q26"/>
      <c r="R26"/>
      <c r="S26"/>
    </row>
    <row r="27" spans="1:21" s="235" customFormat="1" ht="12.75" customHeight="1">
      <c r="A27" s="236">
        <f t="shared" si="0"/>
        <v>23</v>
      </c>
      <c r="B27" s="115" t="s">
        <v>290</v>
      </c>
      <c r="C27" s="116">
        <v>38637</v>
      </c>
      <c r="D27" s="116">
        <v>42278</v>
      </c>
      <c r="E27" s="116">
        <v>42160</v>
      </c>
      <c r="F27" s="116" t="s">
        <v>292</v>
      </c>
      <c r="G27" s="116">
        <v>42150</v>
      </c>
      <c r="H27" s="299">
        <v>53102</v>
      </c>
      <c r="I27" s="300">
        <v>82302.48</v>
      </c>
      <c r="J27" s="117">
        <v>18900203</v>
      </c>
      <c r="K27" s="611"/>
      <c r="L27"/>
      <c r="M27"/>
      <c r="N27"/>
      <c r="O27"/>
      <c r="P27"/>
      <c r="Q27"/>
      <c r="R27"/>
      <c r="S27"/>
    </row>
    <row r="28" spans="1:21" s="235" customFormat="1" ht="12.75" customHeight="1">
      <c r="A28" s="236">
        <f t="shared" si="0"/>
        <v>24</v>
      </c>
      <c r="B28" s="115" t="s">
        <v>291</v>
      </c>
      <c r="C28" s="116">
        <v>39836</v>
      </c>
      <c r="D28" s="116">
        <v>42384</v>
      </c>
      <c r="E28" s="116">
        <v>42160</v>
      </c>
      <c r="F28" s="116" t="s">
        <v>292</v>
      </c>
      <c r="G28" s="116">
        <v>42150</v>
      </c>
      <c r="H28" s="299">
        <v>53102</v>
      </c>
      <c r="I28" s="300">
        <v>316649.76</v>
      </c>
      <c r="J28" s="117">
        <v>18900213</v>
      </c>
      <c r="K28" s="611"/>
      <c r="L28"/>
      <c r="M28"/>
      <c r="N28"/>
      <c r="O28"/>
      <c r="P28"/>
      <c r="Q28"/>
      <c r="R28"/>
      <c r="S28"/>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11"/>
      <c r="L29"/>
      <c r="M29"/>
      <c r="N29"/>
      <c r="O29"/>
      <c r="P29"/>
      <c r="Q29"/>
      <c r="R29"/>
      <c r="S29"/>
    </row>
    <row r="30" spans="1:21" s="235" customFormat="1" ht="12.75" customHeight="1">
      <c r="A30" s="236">
        <v>26</v>
      </c>
      <c r="B30" s="115"/>
      <c r="C30" s="116"/>
      <c r="D30" s="116"/>
      <c r="E30" s="116"/>
      <c r="F30" s="116"/>
      <c r="G30" s="116"/>
      <c r="H30" s="299"/>
      <c r="I30" s="300"/>
      <c r="J30" s="117"/>
      <c r="K30" s="611"/>
      <c r="L30"/>
      <c r="M30"/>
      <c r="N30"/>
      <c r="O30"/>
      <c r="P30"/>
      <c r="Q30"/>
      <c r="R30"/>
      <c r="S30"/>
    </row>
    <row r="31" spans="1:21" s="32" customFormat="1" ht="12.75" customHeight="1">
      <c r="A31" s="236">
        <f t="shared" si="0"/>
        <v>27</v>
      </c>
      <c r="B31" s="115"/>
      <c r="C31" s="116"/>
      <c r="D31" s="116"/>
      <c r="E31" s="116"/>
      <c r="F31" s="116"/>
      <c r="G31" s="116"/>
      <c r="H31" s="299"/>
      <c r="I31" s="303"/>
      <c r="J31" s="304"/>
      <c r="K31" s="235"/>
      <c r="L31"/>
      <c r="M31"/>
      <c r="N31"/>
      <c r="O31"/>
      <c r="P31"/>
      <c r="Q31"/>
      <c r="R31"/>
      <c r="S31"/>
    </row>
    <row r="32" spans="1:21" s="32" customFormat="1" ht="15" customHeight="1" thickBot="1">
      <c r="A32" s="236">
        <f t="shared" si="0"/>
        <v>28</v>
      </c>
      <c r="B32" s="113" t="s">
        <v>28</v>
      </c>
      <c r="C32" s="118"/>
      <c r="D32" s="118"/>
      <c r="E32" s="118"/>
      <c r="F32" s="118"/>
      <c r="G32" s="118"/>
      <c r="H32" s="118"/>
      <c r="I32" s="305">
        <f>SUM(I8:I31)</f>
        <v>2157708.2400000002</v>
      </c>
      <c r="J32" s="120"/>
      <c r="K32" s="235"/>
      <c r="L32"/>
      <c r="M32"/>
      <c r="N32"/>
      <c r="O32"/>
      <c r="P32"/>
      <c r="Q32"/>
      <c r="R32"/>
      <c r="S32"/>
    </row>
    <row r="33" spans="1:19" s="32" customFormat="1" ht="12.75" customHeight="1" thickTop="1">
      <c r="A33" s="236">
        <f t="shared" si="0"/>
        <v>29</v>
      </c>
      <c r="B33" s="121"/>
      <c r="C33" s="122"/>
      <c r="D33" s="122"/>
      <c r="E33" s="122"/>
      <c r="F33" s="122"/>
      <c r="G33" s="122"/>
      <c r="H33" s="122"/>
      <c r="I33" s="65"/>
      <c r="J33" s="119"/>
      <c r="K33" s="235"/>
      <c r="L33"/>
      <c r="M33"/>
      <c r="N33"/>
      <c r="O33"/>
      <c r="P33"/>
      <c r="Q33"/>
      <c r="R33"/>
      <c r="S33"/>
    </row>
    <row r="34" spans="1:19" s="32" customFormat="1" ht="12.75" customHeight="1">
      <c r="A34" s="236">
        <f t="shared" si="0"/>
        <v>30</v>
      </c>
      <c r="B34" s="121" t="s">
        <v>302</v>
      </c>
      <c r="C34" s="122"/>
      <c r="D34" s="122"/>
      <c r="E34" s="122"/>
      <c r="F34" s="122"/>
      <c r="G34" s="122"/>
      <c r="H34" s="122"/>
      <c r="I34" s="300">
        <f>'New Format'!C30</f>
        <v>9118404906</v>
      </c>
      <c r="J34" s="119"/>
      <c r="K34" s="235"/>
      <c r="L34"/>
      <c r="M34"/>
      <c r="N34"/>
      <c r="O34"/>
      <c r="P34"/>
      <c r="Q34"/>
      <c r="R34"/>
      <c r="S34"/>
    </row>
    <row r="35" spans="1:19" s="32" customFormat="1" ht="12.75" customHeight="1">
      <c r="A35" s="236">
        <v>27</v>
      </c>
      <c r="B35" s="121"/>
      <c r="C35" s="122"/>
      <c r="D35" s="122"/>
      <c r="E35" s="122"/>
      <c r="F35" s="122"/>
      <c r="G35" s="122"/>
      <c r="H35" s="122"/>
      <c r="I35" s="65"/>
      <c r="J35" s="119"/>
      <c r="K35" s="235"/>
      <c r="L35"/>
      <c r="M35"/>
      <c r="N35"/>
      <c r="O35"/>
      <c r="P35"/>
      <c r="Q35"/>
      <c r="R35"/>
      <c r="S35"/>
    </row>
    <row r="36" spans="1:19" s="32" customFormat="1" ht="12.75" customHeight="1">
      <c r="A36" s="236">
        <f t="shared" si="0"/>
        <v>28</v>
      </c>
      <c r="B36" s="121" t="s">
        <v>305</v>
      </c>
      <c r="C36" s="122"/>
      <c r="D36" s="122"/>
      <c r="E36" s="122"/>
      <c r="F36" s="122"/>
      <c r="G36" s="122"/>
      <c r="H36" s="122"/>
      <c r="I36" s="574">
        <f>ROUND(I32/I34,4)</f>
        <v>2.0000000000000001E-4</v>
      </c>
      <c r="J36" s="588"/>
      <c r="K36" s="235"/>
      <c r="L36"/>
      <c r="M36"/>
      <c r="N36"/>
      <c r="O36"/>
      <c r="P36"/>
      <c r="Q36"/>
      <c r="R36"/>
      <c r="S36"/>
    </row>
    <row r="37" spans="1:19" s="32" customFormat="1" ht="12.75" customHeight="1">
      <c r="A37" s="236">
        <f t="shared" si="0"/>
        <v>29</v>
      </c>
      <c r="B37" s="121"/>
      <c r="C37" s="122"/>
      <c r="D37" s="122"/>
      <c r="E37" s="122"/>
      <c r="F37" s="122"/>
      <c r="G37" s="122"/>
      <c r="H37" s="122"/>
      <c r="I37" s="65"/>
      <c r="J37" s="119"/>
      <c r="K37" s="235"/>
      <c r="L37"/>
      <c r="M37"/>
      <c r="N37"/>
      <c r="O37"/>
      <c r="P37"/>
      <c r="Q37"/>
      <c r="R37"/>
      <c r="S37"/>
    </row>
    <row r="38" spans="1:19" s="32" customFormat="1" ht="12.75" customHeight="1">
      <c r="A38" s="236">
        <f t="shared" si="0"/>
        <v>30</v>
      </c>
      <c r="C38" s="58"/>
      <c r="D38" s="58"/>
      <c r="E38" s="58"/>
      <c r="F38" s="58"/>
      <c r="G38" s="58"/>
      <c r="H38" s="149"/>
      <c r="I38" s="65"/>
      <c r="J38" s="119"/>
      <c r="K38" s="235"/>
      <c r="L38"/>
      <c r="M38"/>
      <c r="N38"/>
      <c r="O38"/>
      <c r="P38"/>
      <c r="Q38"/>
      <c r="R38"/>
      <c r="S38"/>
    </row>
    <row r="39" spans="1:19" s="32" customFormat="1" ht="12.75" customHeight="1">
      <c r="A39" s="236">
        <f t="shared" si="0"/>
        <v>31</v>
      </c>
      <c r="B39" s="234"/>
      <c r="C39" s="235"/>
      <c r="D39" s="235"/>
      <c r="E39" s="235"/>
      <c r="F39" s="235"/>
      <c r="H39" s="33"/>
      <c r="I39" s="65"/>
      <c r="K39" s="235"/>
      <c r="L39"/>
      <c r="M39"/>
      <c r="N39"/>
      <c r="O39"/>
      <c r="P39"/>
      <c r="Q39"/>
      <c r="R39"/>
      <c r="S39"/>
    </row>
    <row r="40" spans="1:19" s="32" customFormat="1" ht="12.75" customHeight="1">
      <c r="A40" s="236">
        <v>28</v>
      </c>
      <c r="B40" s="58" t="s">
        <v>141</v>
      </c>
      <c r="H40" s="33"/>
      <c r="I40" s="65"/>
      <c r="J40" s="117"/>
      <c r="K40" s="235"/>
      <c r="L40"/>
      <c r="M40"/>
      <c r="N40"/>
      <c r="O40"/>
      <c r="P40"/>
      <c r="Q40"/>
      <c r="R40"/>
      <c r="S40"/>
    </row>
    <row r="41" spans="1:19" s="32" customFormat="1" ht="12.75" customHeight="1">
      <c r="A41" s="236">
        <f t="shared" si="0"/>
        <v>29</v>
      </c>
      <c r="B41" s="265" t="s">
        <v>140</v>
      </c>
      <c r="H41" s="33"/>
      <c r="I41" s="33"/>
      <c r="K41" s="235"/>
      <c r="L41"/>
      <c r="M41"/>
      <c r="N41"/>
      <c r="O41"/>
      <c r="P41"/>
      <c r="Q41"/>
      <c r="R41"/>
      <c r="S41"/>
    </row>
    <row r="42" spans="1:19" s="32" customFormat="1" ht="12.75" customHeight="1">
      <c r="A42" s="237"/>
      <c r="H42" s="33"/>
      <c r="I42" s="33"/>
      <c r="K42" s="235"/>
      <c r="L42"/>
      <c r="M42"/>
      <c r="N42"/>
      <c r="O42"/>
      <c r="P42"/>
      <c r="Q42"/>
      <c r="R42"/>
      <c r="S42"/>
    </row>
    <row r="43" spans="1:19" s="32" customFormat="1" ht="12.75" customHeight="1">
      <c r="H43" s="33"/>
      <c r="I43" s="33"/>
      <c r="K43" s="235"/>
      <c r="L43"/>
      <c r="M43"/>
      <c r="N43"/>
      <c r="O43"/>
      <c r="P43"/>
      <c r="Q43"/>
      <c r="R43"/>
      <c r="S43"/>
    </row>
    <row r="44" spans="1:19" s="32" customFormat="1" ht="12.75" customHeight="1">
      <c r="H44" s="33"/>
      <c r="I44" s="224"/>
      <c r="K44" s="235"/>
      <c r="L44"/>
      <c r="M44"/>
      <c r="N44"/>
      <c r="O44"/>
      <c r="P44"/>
      <c r="Q44"/>
      <c r="R44"/>
      <c r="S44"/>
    </row>
    <row r="45" spans="1:19" s="32" customFormat="1" ht="12.75" customHeight="1">
      <c r="H45" s="33"/>
      <c r="I45" s="33"/>
      <c r="K45" s="235"/>
      <c r="L45"/>
      <c r="M45"/>
      <c r="N45"/>
      <c r="O45"/>
      <c r="P45"/>
      <c r="Q45"/>
      <c r="R45"/>
      <c r="S45"/>
    </row>
    <row r="46" spans="1:19" s="32" customFormat="1" ht="12.75" customHeight="1">
      <c r="H46" s="33"/>
      <c r="I46" s="33"/>
      <c r="K46" s="235"/>
      <c r="L46"/>
      <c r="M46"/>
      <c r="N46"/>
      <c r="O46"/>
      <c r="P46"/>
      <c r="Q46"/>
      <c r="R46"/>
      <c r="S46"/>
    </row>
    <row r="47" spans="1:19" s="32" customFormat="1" ht="12.75" customHeight="1">
      <c r="H47" s="33"/>
      <c r="I47" s="33"/>
      <c r="K47" s="235"/>
      <c r="L47"/>
      <c r="M47"/>
      <c r="N47"/>
      <c r="O47"/>
      <c r="P47"/>
      <c r="Q47"/>
      <c r="R47"/>
      <c r="S47"/>
    </row>
    <row r="48" spans="1:19" s="32" customFormat="1" ht="12.75" customHeight="1">
      <c r="H48" s="33"/>
      <c r="I48" s="33"/>
      <c r="K48" s="235"/>
      <c r="L48"/>
      <c r="M48"/>
      <c r="N48"/>
      <c r="O48"/>
      <c r="P48"/>
      <c r="Q48"/>
      <c r="R48"/>
      <c r="S48"/>
    </row>
    <row r="49" spans="8:19" s="32" customFormat="1" ht="12.75" customHeight="1">
      <c r="H49" s="33"/>
      <c r="I49" s="33"/>
      <c r="K49" s="235"/>
      <c r="L49"/>
      <c r="M49"/>
      <c r="N49"/>
      <c r="O49"/>
      <c r="P49"/>
      <c r="Q49"/>
      <c r="R49"/>
      <c r="S49"/>
    </row>
    <row r="50" spans="8:19" s="32" customFormat="1" ht="12.75" customHeight="1">
      <c r="H50" s="33"/>
      <c r="I50" s="33"/>
      <c r="K50" s="235"/>
      <c r="L50"/>
      <c r="M50"/>
      <c r="N50"/>
      <c r="O50"/>
      <c r="P50"/>
      <c r="Q50"/>
      <c r="R50"/>
      <c r="S50"/>
    </row>
    <row r="51" spans="8:19" s="32" customFormat="1" ht="12.75" customHeight="1">
      <c r="H51" s="33"/>
      <c r="I51" s="33"/>
      <c r="K51" s="235"/>
      <c r="L51"/>
      <c r="M51"/>
      <c r="N51"/>
      <c r="O51"/>
      <c r="P51"/>
      <c r="Q51"/>
      <c r="R51"/>
      <c r="S51"/>
    </row>
    <row r="52" spans="8:19" s="32" customFormat="1" ht="12.75" customHeight="1">
      <c r="H52" s="33"/>
      <c r="I52" s="33"/>
      <c r="K52" s="235"/>
      <c r="L52"/>
      <c r="M52"/>
      <c r="N52"/>
      <c r="O52"/>
      <c r="P52"/>
      <c r="Q52"/>
      <c r="R52"/>
      <c r="S52"/>
    </row>
    <row r="53" spans="8:19" s="32" customFormat="1" ht="12.75" customHeight="1">
      <c r="K53" s="235"/>
      <c r="L53"/>
      <c r="M53"/>
      <c r="N53"/>
      <c r="O53"/>
      <c r="P53"/>
      <c r="Q53"/>
      <c r="R53"/>
      <c r="S53"/>
    </row>
    <row r="54" spans="8:19" s="32" customFormat="1" ht="12.75" customHeight="1">
      <c r="K54" s="235"/>
      <c r="L54"/>
      <c r="M54"/>
      <c r="N54"/>
      <c r="O54"/>
      <c r="P54"/>
      <c r="Q54"/>
      <c r="R54"/>
      <c r="S54"/>
    </row>
    <row r="55" spans="8:19" s="32" customFormat="1" ht="12.75" customHeight="1">
      <c r="K55" s="235"/>
      <c r="L55"/>
      <c r="M55"/>
      <c r="N55"/>
      <c r="O55"/>
      <c r="P55"/>
      <c r="Q55"/>
      <c r="R55"/>
      <c r="S55"/>
    </row>
    <row r="56" spans="8:19" s="32" customFormat="1" ht="12.75" customHeight="1">
      <c r="K56" s="235"/>
      <c r="L56"/>
      <c r="M56"/>
      <c r="N56"/>
      <c r="O56"/>
      <c r="P56"/>
      <c r="Q56"/>
      <c r="R56"/>
      <c r="S56"/>
    </row>
    <row r="57" spans="8:19" s="32" customFormat="1" ht="12.75" customHeight="1">
      <c r="K57" s="235"/>
      <c r="L57"/>
      <c r="M57"/>
      <c r="N57"/>
      <c r="O57"/>
      <c r="P57"/>
      <c r="Q57"/>
      <c r="R57"/>
      <c r="S57"/>
    </row>
    <row r="58" spans="8:19" s="32" customFormat="1" ht="12.75" customHeight="1">
      <c r="K58" s="235"/>
      <c r="L58"/>
      <c r="M58"/>
      <c r="N58"/>
      <c r="O58"/>
      <c r="P58"/>
      <c r="Q58"/>
      <c r="R58"/>
      <c r="S58"/>
    </row>
    <row r="59" spans="8:19" s="32" customFormat="1" ht="12.75" customHeight="1">
      <c r="K59" s="235"/>
      <c r="L59"/>
      <c r="M59"/>
      <c r="N59"/>
      <c r="O59"/>
      <c r="P59"/>
      <c r="Q59"/>
      <c r="R59"/>
      <c r="S59"/>
    </row>
    <row r="60" spans="8:19" s="32" customFormat="1" ht="15.75">
      <c r="K60" s="235"/>
      <c r="L60"/>
      <c r="M60"/>
      <c r="N60"/>
      <c r="O60"/>
      <c r="P60"/>
      <c r="Q60"/>
      <c r="R60"/>
      <c r="S60"/>
    </row>
    <row r="61" spans="8:19" s="32" customFormat="1" ht="15.75">
      <c r="K61" s="235"/>
      <c r="L61"/>
      <c r="M61"/>
      <c r="N61"/>
      <c r="O61"/>
      <c r="P61"/>
      <c r="Q61"/>
      <c r="R61"/>
      <c r="S61"/>
    </row>
    <row r="62" spans="8:19" s="32" customFormat="1" ht="15.75">
      <c r="K62" s="235"/>
      <c r="L62"/>
      <c r="M62"/>
      <c r="N62"/>
      <c r="O62"/>
      <c r="P62"/>
      <c r="Q62"/>
      <c r="R62"/>
      <c r="S62"/>
    </row>
    <row r="63" spans="8:19" s="32" customFormat="1" ht="15.75">
      <c r="K63" s="235"/>
      <c r="L63"/>
      <c r="M63"/>
      <c r="N63"/>
      <c r="O63"/>
      <c r="P63"/>
      <c r="Q63"/>
      <c r="R63"/>
      <c r="S63"/>
    </row>
    <row r="64" spans="8:19" s="32" customFormat="1" ht="15.75">
      <c r="K64" s="235"/>
      <c r="L64"/>
      <c r="M64"/>
      <c r="N64"/>
      <c r="O64"/>
      <c r="P64"/>
      <c r="Q64"/>
      <c r="R64"/>
      <c r="S64"/>
    </row>
    <row r="65" spans="11:19" s="32" customFormat="1" ht="15.75">
      <c r="K65" s="235"/>
      <c r="L65"/>
      <c r="M65"/>
      <c r="N65"/>
      <c r="O65"/>
      <c r="P65"/>
      <c r="Q65"/>
      <c r="R65"/>
      <c r="S65"/>
    </row>
    <row r="66" spans="11:19" s="32" customFormat="1" ht="15.75">
      <c r="K66" s="235"/>
      <c r="L66"/>
      <c r="M66"/>
      <c r="N66"/>
      <c r="O66"/>
      <c r="P66"/>
      <c r="Q66"/>
      <c r="R66"/>
      <c r="S66"/>
    </row>
    <row r="67" spans="11:19" s="32" customFormat="1" ht="15.75">
      <c r="K67" s="235"/>
      <c r="L67"/>
      <c r="M67"/>
      <c r="N67"/>
      <c r="O67"/>
      <c r="P67"/>
      <c r="Q67"/>
      <c r="R67"/>
      <c r="S67"/>
    </row>
    <row r="68" spans="11:19" s="32" customFormat="1" ht="15.75">
      <c r="K68" s="235"/>
      <c r="L68"/>
      <c r="M68"/>
      <c r="N68"/>
      <c r="O68"/>
      <c r="P68"/>
      <c r="Q68"/>
      <c r="R68"/>
      <c r="S68"/>
    </row>
    <row r="69" spans="11:19" s="32" customFormat="1" ht="15.75">
      <c r="K69" s="235"/>
      <c r="L69"/>
      <c r="M69"/>
      <c r="N69"/>
      <c r="O69"/>
      <c r="P69"/>
      <c r="Q69"/>
      <c r="R69"/>
      <c r="S69"/>
    </row>
    <row r="70" spans="11:19" s="32" customFormat="1" ht="15.75">
      <c r="K70" s="235"/>
      <c r="L70"/>
      <c r="M70"/>
      <c r="N70"/>
      <c r="O70"/>
      <c r="P70"/>
      <c r="Q70"/>
      <c r="R70"/>
      <c r="S70"/>
    </row>
    <row r="71" spans="11:19" s="32" customFormat="1" ht="15.75">
      <c r="K71" s="235"/>
      <c r="L71"/>
      <c r="M71"/>
      <c r="N71"/>
      <c r="O71"/>
      <c r="P71"/>
      <c r="Q71"/>
      <c r="R71"/>
      <c r="S71"/>
    </row>
    <row r="72" spans="11:19" s="32" customFormat="1" ht="15.75">
      <c r="K72" s="235"/>
      <c r="L72"/>
      <c r="M72"/>
      <c r="N72"/>
      <c r="O72"/>
      <c r="P72"/>
      <c r="Q72"/>
      <c r="R72"/>
      <c r="S72"/>
    </row>
    <row r="73" spans="11:19" s="32" customFormat="1" ht="15.75">
      <c r="K73" s="235"/>
      <c r="L73"/>
      <c r="M73"/>
      <c r="N73"/>
      <c r="O73"/>
      <c r="P73"/>
      <c r="Q73"/>
      <c r="R73"/>
      <c r="S73"/>
    </row>
    <row r="74" spans="11:19" s="32" customFormat="1" ht="15.75">
      <c r="K74" s="235"/>
      <c r="L74"/>
      <c r="M74"/>
      <c r="N74"/>
      <c r="O74"/>
      <c r="P74"/>
      <c r="Q74"/>
      <c r="R74"/>
      <c r="S74"/>
    </row>
    <row r="75" spans="11:19" s="32" customFormat="1" ht="15.75">
      <c r="K75" s="235"/>
      <c r="L75"/>
      <c r="M75"/>
      <c r="N75"/>
      <c r="O75"/>
      <c r="P75"/>
      <c r="Q75"/>
      <c r="R75"/>
      <c r="S75"/>
    </row>
    <row r="76" spans="11:19" s="32" customFormat="1" ht="15.75">
      <c r="K76" s="235"/>
      <c r="L76"/>
      <c r="M76"/>
      <c r="N76"/>
      <c r="O76"/>
      <c r="P76"/>
      <c r="Q76"/>
      <c r="R76"/>
      <c r="S76"/>
    </row>
    <row r="77" spans="11:19" s="32" customFormat="1" ht="15.75">
      <c r="K77" s="235"/>
      <c r="L77"/>
      <c r="M77"/>
      <c r="N77"/>
      <c r="O77"/>
      <c r="P77"/>
      <c r="Q77"/>
      <c r="R77"/>
      <c r="S77"/>
    </row>
    <row r="78" spans="11:19" s="32" customFormat="1" ht="15.75">
      <c r="K78" s="235"/>
      <c r="L78"/>
      <c r="M78"/>
      <c r="N78"/>
      <c r="O78"/>
      <c r="P78"/>
      <c r="Q78"/>
      <c r="R78"/>
      <c r="S78"/>
    </row>
    <row r="79" spans="11:19" s="32" customFormat="1" ht="15.75">
      <c r="K79" s="235"/>
      <c r="L79"/>
      <c r="M79"/>
      <c r="N79"/>
      <c r="O79"/>
      <c r="P79"/>
      <c r="Q79"/>
      <c r="R79"/>
      <c r="S79"/>
    </row>
    <row r="80" spans="11:19" s="32" customFormat="1" ht="15.75">
      <c r="K80" s="235"/>
      <c r="L80"/>
      <c r="M80"/>
      <c r="N80"/>
      <c r="O80"/>
      <c r="P80"/>
      <c r="Q80"/>
      <c r="R80"/>
      <c r="S80"/>
    </row>
    <row r="81" spans="11:19" s="32" customFormat="1" ht="15.75">
      <c r="K81" s="235"/>
      <c r="L81"/>
      <c r="M81"/>
      <c r="N81"/>
      <c r="O81"/>
      <c r="P81"/>
      <c r="Q81"/>
      <c r="R81"/>
      <c r="S81"/>
    </row>
    <row r="82" spans="11:19" s="32" customFormat="1" ht="15.75">
      <c r="K82" s="235"/>
      <c r="L82"/>
      <c r="M82"/>
      <c r="N82"/>
      <c r="O82"/>
      <c r="P82"/>
      <c r="Q82"/>
      <c r="R82"/>
      <c r="S82"/>
    </row>
    <row r="83" spans="11:19" s="32" customFormat="1" ht="15.75">
      <c r="K83" s="235"/>
      <c r="L83"/>
      <c r="M83"/>
      <c r="N83"/>
      <c r="O83"/>
      <c r="P83"/>
      <c r="Q83"/>
      <c r="R83"/>
      <c r="S83"/>
    </row>
    <row r="84" spans="11:19" s="32" customFormat="1" ht="15.75">
      <c r="K84" s="235"/>
      <c r="L84"/>
      <c r="M84"/>
      <c r="N84"/>
      <c r="O84"/>
      <c r="P84"/>
      <c r="Q84"/>
      <c r="R84"/>
      <c r="S84"/>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&amp;C&amp;A&amp;R&amp;7&amp;F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199</v>
      </c>
    </row>
    <row r="5" spans="1:26" ht="33.75">
      <c r="A5" s="361">
        <v>1</v>
      </c>
      <c r="B5" s="362" t="s">
        <v>127</v>
      </c>
      <c r="C5" s="362" t="s">
        <v>100</v>
      </c>
      <c r="D5" s="362" t="s">
        <v>57</v>
      </c>
      <c r="E5" s="362" t="s">
        <v>104</v>
      </c>
      <c r="F5" s="362" t="s">
        <v>117</v>
      </c>
      <c r="G5" s="362" t="s">
        <v>294</v>
      </c>
      <c r="H5" s="362" t="s">
        <v>295</v>
      </c>
      <c r="I5" s="362" t="s">
        <v>80</v>
      </c>
      <c r="J5" s="363" t="e">
        <f>'Pg 2 CapStructure'!#REF!</f>
        <v>#REF!</v>
      </c>
      <c r="K5" s="363" t="e">
        <f>'Pg 2 CapStructure'!#REF!</f>
        <v>#REF!</v>
      </c>
      <c r="L5" s="363" t="e">
        <f>'Pg 2 CapStructure'!#REF!</f>
        <v>#REF!</v>
      </c>
      <c r="M5" s="363">
        <f>'Pg 2 CapStructure'!C6</f>
        <v>44196</v>
      </c>
      <c r="N5" s="363">
        <f>'Pg 2 CapStructure'!D6</f>
        <v>44227</v>
      </c>
      <c r="O5" s="363">
        <f>'Pg 2 CapStructure'!E6</f>
        <v>44255</v>
      </c>
      <c r="P5" s="363">
        <f>'Pg 2 CapStructure'!F6</f>
        <v>44286</v>
      </c>
      <c r="Q5" s="363">
        <f>'Pg 2 CapStructure'!G6</f>
        <v>44316</v>
      </c>
      <c r="R5" s="363">
        <f>'Pg 2 CapStructure'!H6</f>
        <v>44347</v>
      </c>
      <c r="S5" s="363">
        <f>'Pg 2 CapStructure'!I6</f>
        <v>44377</v>
      </c>
      <c r="T5" s="363">
        <f>'Pg 2 CapStructure'!J6</f>
        <v>44408</v>
      </c>
      <c r="U5" s="363">
        <f>'Pg 2 CapStructure'!K6</f>
        <v>44439</v>
      </c>
      <c r="V5" s="363">
        <f>'Pg 2 CapStructure'!L6</f>
        <v>44469</v>
      </c>
      <c r="Y5" s="473" t="s">
        <v>38</v>
      </c>
      <c r="Z5" s="473"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69"/>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293</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4AD0D4F6BF7344299F812ABC97FDE97" ma:contentTypeVersion="28" ma:contentTypeDescription="" ma:contentTypeScope="" ma:versionID="485382a3aea5a0e98f81d6e6f8b948c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2022-03-31T07:00:00+00:00</OpenedDate>
    <SignificantOrder xmlns="dc463f71-b30c-4ab2-9473-d307f9d35888">false</SignificantOrder>
    <Date1 xmlns="dc463f71-b30c-4ab2-9473-d307f9d35888">2022-03-31T07:00:00+00:00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220229</DocketNumber>
    <DelegatedOrder xmlns="dc463f71-b30c-4ab2-9473-d307f9d35888">false</DelegatedOrder>
  </documentManagement>
</p:properties>
</file>

<file path=customXml/itemProps1.xml><?xml version="1.0" encoding="utf-8"?>
<ds:datastoreItem xmlns:ds="http://schemas.openxmlformats.org/officeDocument/2006/customXml" ds:itemID="{F37F5FB3-5C9B-4288-B356-C2D5EB671830}"/>
</file>

<file path=customXml/itemProps2.xml><?xml version="1.0" encoding="utf-8"?>
<ds:datastoreItem xmlns:ds="http://schemas.openxmlformats.org/officeDocument/2006/customXml" ds:itemID="{A524487D-2CCA-4216-A01C-1A97ED59BC23}"/>
</file>

<file path=customXml/itemProps3.xml><?xml version="1.0" encoding="utf-8"?>
<ds:datastoreItem xmlns:ds="http://schemas.openxmlformats.org/officeDocument/2006/customXml" ds:itemID="{9E57C1D2-47B4-44E7-B6D1-E12318CE689A}"/>
</file>

<file path=customXml/itemProps4.xml><?xml version="1.0" encoding="utf-8"?>
<ds:datastoreItem xmlns:ds="http://schemas.openxmlformats.org/officeDocument/2006/customXml" ds:itemID="{CF36A5FB-9EBC-409C-90BC-538120B839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Kellogg, Anh</cp:lastModifiedBy>
  <cp:lastPrinted>2022-02-09T15:56:44Z</cp:lastPrinted>
  <dcterms:created xsi:type="dcterms:W3CDTF">2001-12-28T16:42:36Z</dcterms:created>
  <dcterms:modified xsi:type="dcterms:W3CDTF">2022-03-25T15:28:58Z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0x0101006E56B4D1795A2E4DB2F0B01679ED314A00C4AD0D4F6BF7344299F812ABC97FDE97</vt:lpwstr>
  </property>
  <property fmtid="{D5CDD505-2E9C-101B-9397-08002B2CF9AE}" pid="3" name="_docset_NoMedatataSyncRequired">
    <vt:lpwstr>False</vt:lpwstr>
  </property>
  <property fmtid="{D5CDD505-2E9C-101B-9397-08002B2CF9AE}" pid="4" name="IsEFSEC">
    <vt:bool>false</vt:bool>
  </property>
</Properties>
</file>