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stern Region\WUTC\WUTC-LeMay\Commodity Credit\2180 PCR\3-1-2022\"/>
    </mc:Choice>
  </mc:AlternateContent>
  <bookViews>
    <workbookView xWindow="0" yWindow="0" windowWidth="20490" windowHeight="6405" tabRatio="842"/>
  </bookViews>
  <sheets>
    <sheet name="CPA 3-1-2022 PCR" sheetId="7" r:id="rId1"/>
    <sheet name="JBLM CPA 3-1-2022" sheetId="8" r:id="rId2"/>
    <sheet name="CPA 3-1-2021 PCR" sheetId="1" r:id="rId3"/>
    <sheet name="JBLM CPA 3-1-2021" sheetId="2" r:id="rId4"/>
    <sheet name="Commodity Credit 3-1-20" sheetId="4" r:id="rId5"/>
    <sheet name="Commodity Credit 9-1-19" sheetId="3" r:id="rId6"/>
    <sheet name="JBLM CPA 3-1-2020" sheetId="6" r:id="rId7"/>
    <sheet name="JBLM CPA 9-1-19" sheetId="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BREMAIR_COST_of_SERVICE_STUDY" localSheetId="2">#REF!</definedName>
    <definedName name="BREMAIR_COST_of_SERVICE_STUDY" localSheetId="0">#REF!</definedName>
    <definedName name="BREMAIR_COST_of_SERVICE_STUDY" localSheetId="3">#REF!</definedName>
    <definedName name="BREMAIR_COST_of_SERVICE_STUDY" localSheetId="1">#REF!</definedName>
    <definedName name="BREMAIR_COST_of_SERVICE_STUDY">#REF!</definedName>
    <definedName name="ControlNumber">[1]Summary!$J$8</definedName>
    <definedName name="DateFrom" localSheetId="0">#REF!</definedName>
    <definedName name="DateFrom" localSheetId="1">#REF!</definedName>
    <definedName name="DateFrom">#REF!</definedName>
    <definedName name="DateTo" localSheetId="0">#REF!</definedName>
    <definedName name="DateTo" localSheetId="1">#REF!</definedName>
    <definedName name="DateTo">#REF!</definedName>
    <definedName name="DeleteCMReconBook">[1]Summary!$J$10</definedName>
    <definedName name="District" localSheetId="2">[2]Summary!$J$17</definedName>
    <definedName name="District" localSheetId="0">[2]Summary!$J$17</definedName>
    <definedName name="District" localSheetId="3">[2]Summary!$J$17</definedName>
    <definedName name="District" localSheetId="1">[2]Summary!$J$17</definedName>
    <definedName name="District">[1]Summary!$J$17</definedName>
    <definedName name="DistrictName">[1]Summary!$M$8</definedName>
    <definedName name="DistStaffSignOffStatus">[1]Summary!$N$19</definedName>
    <definedName name="DivisionSignOffReq">[1]Summary!$M$11</definedName>
    <definedName name="DivSignOffStatus">[1]Summary!$N$18</definedName>
    <definedName name="EntrieShownLimit" localSheetId="0">#REF!</definedName>
    <definedName name="EntrieShownLimit" localSheetId="1">#REF!</definedName>
    <definedName name="EntrieShownLimit">#REF!</definedName>
    <definedName name="HeaderReturnMessage">[1]Summary!$Q$16</definedName>
    <definedName name="LastExecutedFor">[1]Summary!$Q$17</definedName>
    <definedName name="LastSavedOn">[1]Summary!$Q$19</definedName>
    <definedName name="MissingAccountList">[1]Summary!$Q$18</definedName>
    <definedName name="NewAccountCheck">[1]Summary!$L$18</definedName>
    <definedName name="_xlnm.Print_Area" localSheetId="4">'Commodity Credit 3-1-20'!$A$1:$I$25</definedName>
    <definedName name="_xlnm.Print_Area" localSheetId="5">'Commodity Credit 9-1-19'!$A$1:$I$25</definedName>
    <definedName name="_xlnm.Print_Area" localSheetId="2">'CPA 3-1-2021 PCR'!$A$1:$O$25</definedName>
    <definedName name="_xlnm.Print_Area" localSheetId="0">'CPA 3-1-2022 PCR'!$A$1:$O$25</definedName>
    <definedName name="_xlnm.Print_Area" localSheetId="6">'JBLM CPA 3-1-2020'!$A$1:$I$26</definedName>
    <definedName name="_xlnm.Print_Area" localSheetId="3">'JBLM CPA 3-1-2021'!$A$1:$O$25</definedName>
    <definedName name="_xlnm.Print_Area" localSheetId="1">'JBLM CPA 3-1-2022'!$A$1:$O$25</definedName>
    <definedName name="_xlnm.Print_Area" localSheetId="7">'JBLM CPA 9-1-19'!$A$1:$I$26</definedName>
    <definedName name="_xlnm.Print_Titles" localSheetId="4">'Commodity Credit 3-1-20'!$1:$5</definedName>
    <definedName name="_xlnm.Print_Titles" localSheetId="5">'Commodity Credit 9-1-19'!$1:$5</definedName>
    <definedName name="_xlnm.Print_Titles" localSheetId="2">'CPA 3-1-2021 PCR'!$1:$5</definedName>
    <definedName name="_xlnm.Print_Titles" localSheetId="0">'CPA 3-1-2022 PCR'!$1:$5</definedName>
    <definedName name="_xlnm.Print_Titles" localSheetId="3">'JBLM CPA 3-1-2021'!$1:$5</definedName>
    <definedName name="_xlnm.Print_Titles" localSheetId="1">'JBLM CPA 3-1-2022'!$1:$5</definedName>
    <definedName name="Print1" localSheetId="2">#REF!</definedName>
    <definedName name="Print1" localSheetId="0">#REF!</definedName>
    <definedName name="Print1" localSheetId="3">#REF!</definedName>
    <definedName name="Print1" localSheetId="1">#REF!</definedName>
    <definedName name="Print1">#REF!</definedName>
    <definedName name="Print2" localSheetId="2">#REF!</definedName>
    <definedName name="Print2" localSheetId="0">#REF!</definedName>
    <definedName name="Print2" localSheetId="3">#REF!</definedName>
    <definedName name="Print2" localSheetId="1">#REF!</definedName>
    <definedName name="Print2">#REF!</definedName>
    <definedName name="ReconMonth" localSheetId="2">[2]Summary!$J$18</definedName>
    <definedName name="ReconMonth" localSheetId="0">[2]Summary!$J$18</definedName>
    <definedName name="ReconMonth" localSheetId="3">[2]Summary!$J$18</definedName>
    <definedName name="ReconMonth" localSheetId="1">[2]Summary!$J$18</definedName>
    <definedName name="ReconMonth">[1]Summary!$J$18</definedName>
    <definedName name="RegionSignOffReq">[1]Summary!$M$10</definedName>
    <definedName name="RegionSignOffStatus">[1]Summary!$N$17</definedName>
    <definedName name="UserTestMode">[1]Summary!$J$9</definedName>
    <definedName name="VarianceStatus">[1]Summary!$L$17</definedName>
    <definedName name="VarianceTolerance">[1]Summary!$U$21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8" l="1"/>
  <c r="D31" i="8"/>
  <c r="E31" i="8"/>
  <c r="F31" i="8"/>
  <c r="G31" i="8"/>
  <c r="H31" i="8"/>
  <c r="I31" i="8"/>
  <c r="J31" i="8"/>
  <c r="K31" i="8"/>
  <c r="L31" i="8"/>
  <c r="M31" i="8"/>
  <c r="B31" i="8"/>
  <c r="M12" i="8" l="1"/>
  <c r="L12" i="8"/>
  <c r="K12" i="8"/>
  <c r="J12" i="8"/>
  <c r="I12" i="8"/>
  <c r="H12" i="8"/>
  <c r="G12" i="8"/>
  <c r="F12" i="8"/>
  <c r="E12" i="8"/>
  <c r="D12" i="8"/>
  <c r="C12" i="8"/>
  <c r="B12" i="8"/>
  <c r="B12" i="7"/>
  <c r="M12" i="7"/>
  <c r="L12" i="7"/>
  <c r="K12" i="7"/>
  <c r="J12" i="7"/>
  <c r="I12" i="7"/>
  <c r="H12" i="7"/>
  <c r="G12" i="7"/>
  <c r="F12" i="7"/>
  <c r="E12" i="7"/>
  <c r="D12" i="7"/>
  <c r="C12" i="7"/>
  <c r="M7" i="7" l="1"/>
  <c r="L7" i="7"/>
  <c r="K7" i="7"/>
  <c r="J7" i="7"/>
  <c r="I7" i="7"/>
  <c r="H7" i="7"/>
  <c r="G7" i="7"/>
  <c r="F7" i="7"/>
  <c r="E7" i="7"/>
  <c r="D7" i="7"/>
  <c r="C7" i="7"/>
  <c r="M7" i="8"/>
  <c r="L7" i="8"/>
  <c r="K7" i="8"/>
  <c r="J7" i="8"/>
  <c r="I7" i="8"/>
  <c r="H7" i="8"/>
  <c r="G7" i="8"/>
  <c r="F7" i="8"/>
  <c r="E7" i="8"/>
  <c r="D7" i="8"/>
  <c r="C7" i="8"/>
  <c r="J8" i="8" l="1"/>
  <c r="I8" i="8"/>
  <c r="H8" i="8"/>
  <c r="F8" i="8"/>
  <c r="B8" i="8"/>
  <c r="D8" i="7"/>
  <c r="D8" i="8" s="1"/>
  <c r="E8" i="7"/>
  <c r="E8" i="8" s="1"/>
  <c r="F8" i="7"/>
  <c r="G8" i="7"/>
  <c r="G8" i="8" s="1"/>
  <c r="H8" i="7"/>
  <c r="I8" i="7"/>
  <c r="J8" i="7"/>
  <c r="K8" i="7"/>
  <c r="K8" i="8" s="1"/>
  <c r="L8" i="7"/>
  <c r="L8" i="8" s="1"/>
  <c r="M8" i="7"/>
  <c r="M8" i="8" s="1"/>
  <c r="C8" i="7"/>
  <c r="C8" i="8" s="1"/>
  <c r="B8" i="7" l="1"/>
  <c r="B7" i="8" l="1"/>
  <c r="B7" i="7"/>
  <c r="A3" i="8"/>
  <c r="D10" i="8"/>
  <c r="L10" i="8"/>
  <c r="K10" i="8"/>
  <c r="J10" i="8"/>
  <c r="I10" i="8"/>
  <c r="H10" i="8"/>
  <c r="G10" i="8"/>
  <c r="F10" i="8"/>
  <c r="C10" i="8"/>
  <c r="B10" i="8"/>
  <c r="J10" i="7"/>
  <c r="J14" i="7" s="1"/>
  <c r="G10" i="7"/>
  <c r="G14" i="7" s="1"/>
  <c r="B10" i="7"/>
  <c r="K10" i="7"/>
  <c r="K14" i="7" s="1"/>
  <c r="I10" i="7"/>
  <c r="H10" i="7"/>
  <c r="F10" i="7"/>
  <c r="E10" i="7"/>
  <c r="E14" i="7" s="1"/>
  <c r="D10" i="7"/>
  <c r="D14" i="7" s="1"/>
  <c r="C10" i="7"/>
  <c r="C14" i="7" s="1"/>
  <c r="G14" i="8" l="1"/>
  <c r="J14" i="8"/>
  <c r="K14" i="8"/>
  <c r="L14" i="8"/>
  <c r="H14" i="8"/>
  <c r="I14" i="8"/>
  <c r="M10" i="8"/>
  <c r="M14" i="8" s="1"/>
  <c r="L10" i="7"/>
  <c r="L14" i="7" s="1"/>
  <c r="M10" i="7"/>
  <c r="M14" i="7" s="1"/>
  <c r="I14" i="7"/>
  <c r="N7" i="7"/>
  <c r="N12" i="7"/>
  <c r="F14" i="7"/>
  <c r="H14" i="7"/>
  <c r="N7" i="8"/>
  <c r="F14" i="8"/>
  <c r="E10" i="8"/>
  <c r="B14" i="8"/>
  <c r="B14" i="7"/>
  <c r="N10" i="8" l="1"/>
  <c r="N10" i="7"/>
  <c r="D14" i="8"/>
  <c r="N12" i="8"/>
  <c r="N20" i="8"/>
  <c r="E14" i="8"/>
  <c r="C14" i="8"/>
  <c r="B7" i="6"/>
  <c r="C7" i="6"/>
  <c r="D7" i="6"/>
  <c r="E7" i="6"/>
  <c r="E10" i="6" s="1"/>
  <c r="F7" i="6"/>
  <c r="F10" i="6" s="1"/>
  <c r="G7" i="6"/>
  <c r="B8" i="6"/>
  <c r="B10" i="6" s="1"/>
  <c r="C8" i="6"/>
  <c r="C10" i="6" s="1"/>
  <c r="C14" i="6" s="1"/>
  <c r="D8" i="6"/>
  <c r="D10" i="6" s="1"/>
  <c r="D14" i="6" s="1"/>
  <c r="E8" i="6"/>
  <c r="F8" i="6"/>
  <c r="G8" i="6"/>
  <c r="B12" i="6"/>
  <c r="C12" i="6"/>
  <c r="D12" i="6"/>
  <c r="E12" i="6"/>
  <c r="F12" i="6"/>
  <c r="G12" i="6"/>
  <c r="C15" i="6"/>
  <c r="B7" i="5"/>
  <c r="C7" i="5"/>
  <c r="C10" i="5" s="1"/>
  <c r="C14" i="5" s="1"/>
  <c r="D7" i="5"/>
  <c r="D10" i="5" s="1"/>
  <c r="D14" i="5" s="1"/>
  <c r="E7" i="5"/>
  <c r="E10" i="5" s="1"/>
  <c r="E14" i="5" s="1"/>
  <c r="F7" i="5"/>
  <c r="F10" i="5" s="1"/>
  <c r="F14" i="5" s="1"/>
  <c r="G7" i="5"/>
  <c r="G10" i="5" s="1"/>
  <c r="G14" i="5" s="1"/>
  <c r="B8" i="5"/>
  <c r="B10" i="5" s="1"/>
  <c r="C8" i="5"/>
  <c r="D8" i="5"/>
  <c r="E8" i="5"/>
  <c r="F8" i="5"/>
  <c r="G8" i="5"/>
  <c r="B12" i="5"/>
  <c r="H12" i="5" s="1"/>
  <c r="C12" i="5"/>
  <c r="D12" i="5"/>
  <c r="E12" i="5"/>
  <c r="F12" i="5" s="1"/>
  <c r="G12" i="5"/>
  <c r="B15" i="5"/>
  <c r="B16" i="5" s="1"/>
  <c r="C15" i="5"/>
  <c r="C16" i="5" s="1"/>
  <c r="D15" i="5"/>
  <c r="D16" i="5" s="1"/>
  <c r="E15" i="5"/>
  <c r="E16" i="5" s="1"/>
  <c r="F15" i="5"/>
  <c r="G15" i="5"/>
  <c r="G16" i="5" s="1"/>
  <c r="H24" i="5"/>
  <c r="B7" i="4"/>
  <c r="C7" i="4"/>
  <c r="D7" i="4"/>
  <c r="E7" i="4"/>
  <c r="E10" i="4" s="1"/>
  <c r="F7" i="4"/>
  <c r="G7" i="4"/>
  <c r="B8" i="4"/>
  <c r="B10" i="4" s="1"/>
  <c r="C8" i="4"/>
  <c r="C10" i="4" s="1"/>
  <c r="D8" i="4"/>
  <c r="D10" i="4" s="1"/>
  <c r="E8" i="4"/>
  <c r="F8" i="4"/>
  <c r="G8" i="4"/>
  <c r="B12" i="4"/>
  <c r="C12" i="4"/>
  <c r="D12" i="4"/>
  <c r="E12" i="4"/>
  <c r="F12" i="4"/>
  <c r="G12" i="4"/>
  <c r="B15" i="4"/>
  <c r="C15" i="4"/>
  <c r="D15" i="4"/>
  <c r="E15" i="4"/>
  <c r="F15" i="4"/>
  <c r="G15" i="4"/>
  <c r="F16" i="4"/>
  <c r="H23" i="4"/>
  <c r="B7" i="3"/>
  <c r="C7" i="3"/>
  <c r="D7" i="3"/>
  <c r="E7" i="3"/>
  <c r="F7" i="3"/>
  <c r="F10" i="3" s="1"/>
  <c r="F14" i="3" s="1"/>
  <c r="G7" i="3"/>
  <c r="G10" i="3" s="1"/>
  <c r="G14" i="3" s="1"/>
  <c r="B8" i="3"/>
  <c r="B10" i="3" s="1"/>
  <c r="C8" i="3"/>
  <c r="D8" i="3"/>
  <c r="E8" i="3"/>
  <c r="F8" i="3"/>
  <c r="G8" i="3"/>
  <c r="C10" i="3"/>
  <c r="C14" i="3" s="1"/>
  <c r="D10" i="3"/>
  <c r="D14" i="3" s="1"/>
  <c r="E10" i="3"/>
  <c r="B12" i="3"/>
  <c r="H12" i="3" s="1"/>
  <c r="C12" i="3"/>
  <c r="D12" i="3"/>
  <c r="D16" i="3" s="1"/>
  <c r="D17" i="3" s="1"/>
  <c r="E12" i="3"/>
  <c r="E14" i="3" s="1"/>
  <c r="F12" i="3"/>
  <c r="G12" i="3"/>
  <c r="B15" i="3"/>
  <c r="C15" i="3"/>
  <c r="C16" i="3" s="1"/>
  <c r="C17" i="3" s="1"/>
  <c r="D15" i="3"/>
  <c r="E15" i="3"/>
  <c r="E16" i="3" s="1"/>
  <c r="E17" i="3" s="1"/>
  <c r="F15" i="3"/>
  <c r="F16" i="3" s="1"/>
  <c r="G15" i="3"/>
  <c r="G16" i="3" s="1"/>
  <c r="B16" i="3"/>
  <c r="H23" i="3"/>
  <c r="B16" i="4" l="1"/>
  <c r="B15" i="6"/>
  <c r="E16" i="4"/>
  <c r="E17" i="4" s="1"/>
  <c r="B16" i="6"/>
  <c r="C16" i="6"/>
  <c r="F10" i="4"/>
  <c r="F17" i="4" s="1"/>
  <c r="N20" i="7"/>
  <c r="D16" i="4"/>
  <c r="D17" i="4" s="1"/>
  <c r="G16" i="4"/>
  <c r="G10" i="4"/>
  <c r="D15" i="6"/>
  <c r="D16" i="6" s="1"/>
  <c r="D17" i="6" s="1"/>
  <c r="H12" i="6"/>
  <c r="G10" i="6"/>
  <c r="H10" i="6" s="1"/>
  <c r="H20" i="6" s="1"/>
  <c r="C17" i="6"/>
  <c r="E17" i="5"/>
  <c r="D17" i="5"/>
  <c r="H7" i="5"/>
  <c r="C17" i="5"/>
  <c r="B14" i="6"/>
  <c r="B17" i="6"/>
  <c r="G14" i="6"/>
  <c r="F14" i="6"/>
  <c r="E14" i="6"/>
  <c r="H7" i="6"/>
  <c r="H10" i="5"/>
  <c r="B14" i="5"/>
  <c r="H21" i="5"/>
  <c r="G17" i="5"/>
  <c r="F16" i="5"/>
  <c r="F17" i="5" s="1"/>
  <c r="B17" i="5"/>
  <c r="H12" i="4"/>
  <c r="C16" i="4"/>
  <c r="C17" i="4" s="1"/>
  <c r="D14" i="4"/>
  <c r="C14" i="4"/>
  <c r="H7" i="4"/>
  <c r="G14" i="4"/>
  <c r="B14" i="4"/>
  <c r="B17" i="4"/>
  <c r="F14" i="4"/>
  <c r="E14" i="4"/>
  <c r="H10" i="3"/>
  <c r="B14" i="3"/>
  <c r="H20" i="3"/>
  <c r="B17" i="3"/>
  <c r="G17" i="3"/>
  <c r="F17" i="3"/>
  <c r="H7" i="3"/>
  <c r="M7" i="1"/>
  <c r="L7" i="1"/>
  <c r="K7" i="1"/>
  <c r="J7" i="1"/>
  <c r="I7" i="1"/>
  <c r="H7" i="1"/>
  <c r="G7" i="1"/>
  <c r="F7" i="1"/>
  <c r="E7" i="1"/>
  <c r="D7" i="1"/>
  <c r="C7" i="1"/>
  <c r="B7" i="1"/>
  <c r="G17" i="4" l="1"/>
  <c r="H10" i="4"/>
  <c r="H20" i="4" s="1"/>
  <c r="H17" i="5"/>
  <c r="H20" i="5" s="1"/>
  <c r="H22" i="5" s="1"/>
  <c r="H25" i="5" s="1"/>
  <c r="F15" i="6"/>
  <c r="F16" i="6" s="1"/>
  <c r="F17" i="6" s="1"/>
  <c r="G15" i="6"/>
  <c r="G16" i="6" s="1"/>
  <c r="G17" i="6" s="1"/>
  <c r="E15" i="6"/>
  <c r="E16" i="6" s="1"/>
  <c r="E17" i="6" s="1"/>
  <c r="H16" i="5"/>
  <c r="H17" i="4"/>
  <c r="H17" i="3"/>
  <c r="H19" i="3" s="1"/>
  <c r="H21" i="3" s="1"/>
  <c r="H26" i="5" l="1"/>
  <c r="I25" i="5"/>
  <c r="H23" i="6"/>
  <c r="H17" i="6"/>
  <c r="H19" i="6" s="1"/>
  <c r="H21" i="6" s="1"/>
  <c r="J17" i="4"/>
  <c r="H19" i="4"/>
  <c r="H21" i="4" s="1"/>
  <c r="H24" i="3"/>
  <c r="M15" i="2"/>
  <c r="L15" i="2"/>
  <c r="K15" i="2"/>
  <c r="J15" i="2"/>
  <c r="I15" i="2"/>
  <c r="H15" i="2"/>
  <c r="G15" i="2"/>
  <c r="F15" i="2"/>
  <c r="E15" i="2"/>
  <c r="D15" i="2"/>
  <c r="C15" i="2"/>
  <c r="B15" i="2"/>
  <c r="D7" i="2"/>
  <c r="E7" i="2"/>
  <c r="F7" i="2"/>
  <c r="G7" i="2"/>
  <c r="H7" i="2"/>
  <c r="I7" i="2"/>
  <c r="J7" i="2"/>
  <c r="K7" i="2"/>
  <c r="L7" i="2"/>
  <c r="M7" i="2"/>
  <c r="C7" i="2"/>
  <c r="B7" i="2"/>
  <c r="M12" i="1"/>
  <c r="L12" i="1"/>
  <c r="K12" i="1"/>
  <c r="J12" i="1"/>
  <c r="I12" i="1"/>
  <c r="H12" i="1"/>
  <c r="G12" i="1"/>
  <c r="F12" i="1"/>
  <c r="E12" i="1"/>
  <c r="D12" i="1"/>
  <c r="D16" i="1" s="1"/>
  <c r="C12" i="1"/>
  <c r="C16" i="1" s="1"/>
  <c r="F15" i="1"/>
  <c r="G15" i="1"/>
  <c r="H15" i="1"/>
  <c r="I15" i="1"/>
  <c r="I16" i="1" s="1"/>
  <c r="J15" i="1"/>
  <c r="J16" i="1" s="1"/>
  <c r="K15" i="1"/>
  <c r="K16" i="1" s="1"/>
  <c r="L15" i="1"/>
  <c r="L16" i="1" s="1"/>
  <c r="M15" i="1"/>
  <c r="B15" i="7" s="1"/>
  <c r="E15" i="1"/>
  <c r="C15" i="1"/>
  <c r="D15" i="1"/>
  <c r="B15" i="1"/>
  <c r="B15" i="8" l="1"/>
  <c r="B16" i="8" s="1"/>
  <c r="B17" i="8" s="1"/>
  <c r="C15" i="8"/>
  <c r="C16" i="8" s="1"/>
  <c r="C17" i="8" s="1"/>
  <c r="D15" i="8"/>
  <c r="D16" i="8" s="1"/>
  <c r="D17" i="8" s="1"/>
  <c r="C15" i="7"/>
  <c r="B16" i="7"/>
  <c r="B17" i="7" s="1"/>
  <c r="H16" i="1"/>
  <c r="G16" i="1"/>
  <c r="E16" i="1"/>
  <c r="F16" i="1"/>
  <c r="M16" i="1"/>
  <c r="L17" i="1"/>
  <c r="H24" i="4"/>
  <c r="H25" i="4" s="1"/>
  <c r="D27" i="1"/>
  <c r="C27" i="1"/>
  <c r="N23" i="1"/>
  <c r="H24" i="6"/>
  <c r="N23" i="2"/>
  <c r="I24" i="3"/>
  <c r="H25" i="3"/>
  <c r="M12" i="2"/>
  <c r="M16" i="2" s="1"/>
  <c r="L12" i="2"/>
  <c r="L16" i="2" s="1"/>
  <c r="K12" i="2"/>
  <c r="K16" i="2" s="1"/>
  <c r="J12" i="2"/>
  <c r="J16" i="2" s="1"/>
  <c r="I12" i="2"/>
  <c r="I16" i="2" s="1"/>
  <c r="H12" i="2"/>
  <c r="M8" i="2"/>
  <c r="L8" i="2"/>
  <c r="K8" i="2"/>
  <c r="J8" i="2"/>
  <c r="I8" i="2"/>
  <c r="I10" i="2" s="1"/>
  <c r="H8" i="2"/>
  <c r="H10" i="2" s="1"/>
  <c r="G8" i="2"/>
  <c r="G10" i="2" s="1"/>
  <c r="F8" i="2"/>
  <c r="F10" i="2" s="1"/>
  <c r="E8" i="2"/>
  <c r="E10" i="2" s="1"/>
  <c r="D8" i="2"/>
  <c r="D10" i="2" s="1"/>
  <c r="C8" i="2"/>
  <c r="C10" i="2" s="1"/>
  <c r="B8" i="2"/>
  <c r="J10" i="2"/>
  <c r="B12" i="1"/>
  <c r="B16" i="1" s="1"/>
  <c r="B17" i="1" s="1"/>
  <c r="M8" i="1"/>
  <c r="L8" i="1"/>
  <c r="K8" i="1"/>
  <c r="K10" i="1" s="1"/>
  <c r="K17" i="1" s="1"/>
  <c r="J8" i="1"/>
  <c r="J10" i="1" s="1"/>
  <c r="J17" i="1" s="1"/>
  <c r="I8" i="1"/>
  <c r="I10" i="1" s="1"/>
  <c r="I17" i="1" s="1"/>
  <c r="H8" i="1"/>
  <c r="H10" i="1" s="1"/>
  <c r="G8" i="1"/>
  <c r="G10" i="1" s="1"/>
  <c r="G17" i="1" s="1"/>
  <c r="F8" i="1"/>
  <c r="F10" i="1" s="1"/>
  <c r="F17" i="1" s="1"/>
  <c r="E8" i="1"/>
  <c r="E10" i="1" s="1"/>
  <c r="D8" i="1"/>
  <c r="D10" i="1" s="1"/>
  <c r="D17" i="1" s="1"/>
  <c r="C8" i="1"/>
  <c r="C10" i="1" s="1"/>
  <c r="C17" i="1" s="1"/>
  <c r="B8" i="1"/>
  <c r="L10" i="1"/>
  <c r="N7" i="1"/>
  <c r="I24" i="4" l="1"/>
  <c r="D15" i="7"/>
  <c r="D16" i="7" s="1"/>
  <c r="D17" i="7" s="1"/>
  <c r="C16" i="7"/>
  <c r="C17" i="7" s="1"/>
  <c r="H17" i="1"/>
  <c r="E17" i="1"/>
  <c r="I17" i="2"/>
  <c r="J17" i="2"/>
  <c r="F27" i="1"/>
  <c r="J27" i="1"/>
  <c r="E27" i="1"/>
  <c r="G27" i="1"/>
  <c r="K27" i="1"/>
  <c r="H27" i="1"/>
  <c r="L27" i="1"/>
  <c r="I27" i="1"/>
  <c r="M27" i="1"/>
  <c r="F12" i="2"/>
  <c r="F16" i="2" s="1"/>
  <c r="F17" i="2" s="1"/>
  <c r="I24" i="6"/>
  <c r="H25" i="6"/>
  <c r="D12" i="2"/>
  <c r="D16" i="2" s="1"/>
  <c r="D17" i="2" s="1"/>
  <c r="H16" i="2"/>
  <c r="H17" i="2" s="1"/>
  <c r="N12" i="1"/>
  <c r="N7" i="2"/>
  <c r="K10" i="2"/>
  <c r="K14" i="2" s="1"/>
  <c r="M10" i="1"/>
  <c r="M17" i="1" s="1"/>
  <c r="L10" i="2"/>
  <c r="L14" i="2" s="1"/>
  <c r="B10" i="1"/>
  <c r="B14" i="1" s="1"/>
  <c r="M10" i="2"/>
  <c r="M17" i="2" s="1"/>
  <c r="J14" i="2"/>
  <c r="H14" i="2"/>
  <c r="I14" i="2"/>
  <c r="C12" i="2"/>
  <c r="C14" i="2" s="1"/>
  <c r="G12" i="2"/>
  <c r="G14" i="2" s="1"/>
  <c r="B10" i="2"/>
  <c r="E12" i="2"/>
  <c r="E14" i="2" s="1"/>
  <c r="B12" i="2"/>
  <c r="C14" i="1"/>
  <c r="K14" i="1"/>
  <c r="D14" i="1"/>
  <c r="H14" i="1"/>
  <c r="I14" i="1"/>
  <c r="G14" i="1"/>
  <c r="L14" i="1"/>
  <c r="E14" i="1"/>
  <c r="F14" i="1"/>
  <c r="J14" i="1"/>
  <c r="N17" i="1" l="1"/>
  <c r="D14" i="2"/>
  <c r="G16" i="2"/>
  <c r="G17" i="2" s="1"/>
  <c r="L17" i="2"/>
  <c r="K17" i="2"/>
  <c r="F14" i="2"/>
  <c r="N19" i="1"/>
  <c r="M14" i="1"/>
  <c r="N10" i="1"/>
  <c r="N20" i="1" s="1"/>
  <c r="M14" i="2"/>
  <c r="N12" i="2"/>
  <c r="E16" i="2"/>
  <c r="E17" i="2" s="1"/>
  <c r="C16" i="2"/>
  <c r="C17" i="2" s="1"/>
  <c r="N10" i="2"/>
  <c r="N20" i="2" s="1"/>
  <c r="B14" i="2"/>
  <c r="B16" i="2"/>
  <c r="B17" i="2" s="1"/>
  <c r="M15" i="7" l="1"/>
  <c r="M16" i="7" s="1"/>
  <c r="M17" i="7" s="1"/>
  <c r="E15" i="7"/>
  <c r="E16" i="7" s="1"/>
  <c r="K15" i="7"/>
  <c r="K16" i="7" s="1"/>
  <c r="K17" i="7" s="1"/>
  <c r="J15" i="7"/>
  <c r="J16" i="7" s="1"/>
  <c r="J17" i="7" s="1"/>
  <c r="I15" i="7"/>
  <c r="I16" i="7" s="1"/>
  <c r="I17" i="7" s="1"/>
  <c r="H15" i="7"/>
  <c r="H16" i="7" s="1"/>
  <c r="H17" i="7" s="1"/>
  <c r="G15" i="7"/>
  <c r="G16" i="7" s="1"/>
  <c r="G17" i="7" s="1"/>
  <c r="F15" i="7"/>
  <c r="F16" i="7" s="1"/>
  <c r="F17" i="7" s="1"/>
  <c r="L15" i="7"/>
  <c r="L16" i="7" s="1"/>
  <c r="L17" i="7" s="1"/>
  <c r="L15" i="8"/>
  <c r="L16" i="8" s="1"/>
  <c r="L17" i="8" s="1"/>
  <c r="K15" i="8"/>
  <c r="K16" i="8" s="1"/>
  <c r="K17" i="8" s="1"/>
  <c r="J15" i="8"/>
  <c r="J16" i="8" s="1"/>
  <c r="J17" i="8" s="1"/>
  <c r="I15" i="8"/>
  <c r="I16" i="8" s="1"/>
  <c r="I17" i="8" s="1"/>
  <c r="H15" i="8"/>
  <c r="H16" i="8" s="1"/>
  <c r="H17" i="8" s="1"/>
  <c r="G15" i="8"/>
  <c r="G16" i="8" s="1"/>
  <c r="G17" i="8" s="1"/>
  <c r="F15" i="8"/>
  <c r="F16" i="8" s="1"/>
  <c r="F17" i="8" s="1"/>
  <c r="M15" i="8"/>
  <c r="M16" i="8" s="1"/>
  <c r="M17" i="8" s="1"/>
  <c r="E15" i="8"/>
  <c r="E16" i="8" s="1"/>
  <c r="N17" i="2"/>
  <c r="N21" i="1"/>
  <c r="N19" i="2"/>
  <c r="E17" i="7" l="1"/>
  <c r="E17" i="8"/>
  <c r="N17" i="8" s="1"/>
  <c r="N19" i="8" s="1"/>
  <c r="N21" i="8" s="1"/>
  <c r="N17" i="7"/>
  <c r="N19" i="7" s="1"/>
  <c r="N21" i="7" s="1"/>
  <c r="N24" i="1"/>
  <c r="N25" i="1" s="1"/>
  <c r="N23" i="7"/>
  <c r="O24" i="1"/>
  <c r="N21" i="2"/>
  <c r="N24" i="2" l="1"/>
  <c r="N25" i="2" s="1"/>
  <c r="N23" i="8"/>
  <c r="N24" i="8" s="1"/>
  <c r="N24" i="7"/>
  <c r="O24" i="2"/>
  <c r="N25" i="7" l="1"/>
  <c r="O24" i="7"/>
  <c r="N25" i="8"/>
  <c r="O24" i="8"/>
</calcChain>
</file>

<file path=xl/comments1.xml><?xml version="1.0" encoding="utf-8"?>
<comments xmlns="http://schemas.openxmlformats.org/spreadsheetml/2006/main">
  <authors>
    <author>Author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sharedStrings.xml><?xml version="1.0" encoding="utf-8"?>
<sst xmlns="http://schemas.openxmlformats.org/spreadsheetml/2006/main" count="145" uniqueCount="41">
  <si>
    <t>Pierce County Refuse G-98</t>
  </si>
  <si>
    <t xml:space="preserve">Commodity Price Adjustment Calculation </t>
  </si>
  <si>
    <t>Rate Effective March 1, 2021</t>
  </si>
  <si>
    <t>Total</t>
  </si>
  <si>
    <t>Tonnages</t>
  </si>
  <si>
    <t>Price per Ton (Per Pioneer Invoice)</t>
  </si>
  <si>
    <t>Monthly Customers</t>
  </si>
  <si>
    <t>Earned Revenue</t>
  </si>
  <si>
    <t>Projected Earnings</t>
  </si>
  <si>
    <t>Projected Revenue</t>
  </si>
  <si>
    <t>(Under)/Over Earned</t>
  </si>
  <si>
    <t>Over/(Under) Earned:</t>
  </si>
  <si>
    <t>12 Month Average Projection:</t>
  </si>
  <si>
    <t>Old (Debit)/Credit:</t>
  </si>
  <si>
    <t>Change:</t>
  </si>
  <si>
    <t>Revenue Impact:</t>
  </si>
  <si>
    <t>Commodity Price Adjustment Calculation - EQR</t>
  </si>
  <si>
    <t>Old Debit/(Credit):</t>
  </si>
  <si>
    <t>New Commodity Debit/(Credit):</t>
  </si>
  <si>
    <t>6 Month Average Projection:</t>
  </si>
  <si>
    <t>Over/(Under) Paid</t>
  </si>
  <si>
    <t>Projected Rate</t>
  </si>
  <si>
    <t>Rate Effective September 1, 2019</t>
  </si>
  <si>
    <t xml:space="preserve">Commodity Credit Calculation </t>
  </si>
  <si>
    <t>Rate Effective March 1, 2020</t>
  </si>
  <si>
    <t>Revenue</t>
  </si>
  <si>
    <t>Price (From Pioneer Invoice)</t>
  </si>
  <si>
    <t>Annual</t>
  </si>
  <si>
    <t>Commodity Credit Accrual - EQR</t>
  </si>
  <si>
    <t>Commodity Price Adjustment - JBLM Residential Housing</t>
  </si>
  <si>
    <t>Over/(Under) Paid:</t>
  </si>
  <si>
    <t>Future Projection:</t>
  </si>
  <si>
    <t>Rate Effective March 1, 2022</t>
  </si>
  <si>
    <t>12-Month rolling cost/(benefit) of material sales/customer</t>
  </si>
  <si>
    <t>Under/(Over) collected/customer:</t>
  </si>
  <si>
    <t>Revenue (Expense)/Ton</t>
  </si>
  <si>
    <t>Earned Revenue (Expense)/Customer</t>
  </si>
  <si>
    <t>Projected Revenue (Expense)/Customer</t>
  </si>
  <si>
    <t>Projected Revenue (Expense)</t>
  </si>
  <si>
    <t>Due From/(To) customers</t>
  </si>
  <si>
    <t>Actual Revenue 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</si>
</sst>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i/>
      <u/>
      <sz val="9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 applyFill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3" fillId="0" borderId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5">
    <xf numFmtId="0" fontId="0" fillId="0" borderId="0" xfId="0"/>
    <xf numFmtId="0" fontId="5" fillId="0" borderId="0" xfId="3" applyNumberFormat="1" applyFont="1"/>
    <xf numFmtId="0" fontId="6" fillId="0" borderId="0" xfId="3" applyFont="1"/>
    <xf numFmtId="0" fontId="6" fillId="0" borderId="0" xfId="3" applyFont="1" applyFill="1"/>
    <xf numFmtId="0" fontId="5" fillId="0" borderId="0" xfId="3" applyNumberFormat="1" applyFont="1" applyAlignment="1">
      <alignment horizontal="left"/>
    </xf>
    <xf numFmtId="0" fontId="5" fillId="0" borderId="0" xfId="3" applyFont="1" applyFill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3" fontId="6" fillId="0" borderId="0" xfId="4" applyFont="1" applyAlignment="1">
      <alignment horizontal="center"/>
    </xf>
    <xf numFmtId="0" fontId="6" fillId="0" borderId="1" xfId="3" applyNumberFormat="1" applyFont="1" applyBorder="1" applyAlignment="1">
      <alignment horizontal="left"/>
    </xf>
    <xf numFmtId="17" fontId="5" fillId="0" borderId="1" xfId="5" applyNumberFormat="1" applyFont="1" applyBorder="1" applyAlignment="1">
      <alignment horizontal="center"/>
    </xf>
    <xf numFmtId="17" fontId="5" fillId="0" borderId="1" xfId="3" applyNumberFormat="1" applyFont="1" applyBorder="1" applyAlignment="1">
      <alignment horizontal="center"/>
    </xf>
    <xf numFmtId="43" fontId="6" fillId="0" borderId="1" xfId="4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43" fontId="6" fillId="0" borderId="0" xfId="4" applyFont="1" applyFill="1" applyBorder="1" applyAlignment="1">
      <alignment horizontal="center"/>
    </xf>
    <xf numFmtId="43" fontId="6" fillId="0" borderId="0" xfId="4" applyFont="1" applyBorder="1" applyAlignment="1">
      <alignment horizontal="center"/>
    </xf>
    <xf numFmtId="0" fontId="7" fillId="0" borderId="0" xfId="3" applyNumberFormat="1" applyFont="1" applyBorder="1" applyAlignment="1">
      <alignment horizontal="left"/>
    </xf>
    <xf numFmtId="43" fontId="6" fillId="0" borderId="0" xfId="6" applyFont="1" applyFill="1"/>
    <xf numFmtId="0" fontId="0" fillId="0" borderId="0" xfId="0" applyFill="1" applyAlignment="1">
      <alignment horizontal="right"/>
    </xf>
    <xf numFmtId="165" fontId="6" fillId="0" borderId="0" xfId="4" applyNumberFormat="1" applyFont="1" applyFill="1"/>
    <xf numFmtId="10" fontId="6" fillId="0" borderId="0" xfId="2" applyNumberFormat="1" applyFont="1" applyFill="1"/>
    <xf numFmtId="10" fontId="6" fillId="0" borderId="0" xfId="2" applyNumberFormat="1" applyFont="1"/>
    <xf numFmtId="7" fontId="6" fillId="2" borderId="0" xfId="6" applyNumberFormat="1" applyFont="1" applyFill="1"/>
    <xf numFmtId="0" fontId="6" fillId="0" borderId="0" xfId="7" applyFont="1"/>
    <xf numFmtId="164" fontId="6" fillId="0" borderId="0" xfId="4" applyNumberFormat="1" applyFont="1"/>
    <xf numFmtId="164" fontId="6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center"/>
    </xf>
    <xf numFmtId="43" fontId="5" fillId="0" borderId="0" xfId="4" applyFont="1" applyFill="1" applyBorder="1" applyAlignment="1">
      <alignment horizontal="center"/>
    </xf>
    <xf numFmtId="0" fontId="6" fillId="0" borderId="0" xfId="3" applyFont="1" applyFill="1" applyBorder="1"/>
    <xf numFmtId="0" fontId="5" fillId="0" borderId="2" xfId="3" applyNumberFormat="1" applyFont="1" applyBorder="1"/>
    <xf numFmtId="166" fontId="5" fillId="0" borderId="2" xfId="1" applyNumberFormat="1" applyFont="1" applyBorder="1"/>
    <xf numFmtId="166" fontId="5" fillId="0" borderId="0" xfId="1" applyNumberFormat="1" applyFont="1" applyFill="1" applyBorder="1" applyAlignment="1">
      <alignment horizontal="right"/>
    </xf>
    <xf numFmtId="164" fontId="5" fillId="0" borderId="0" xfId="4" applyNumberFormat="1" applyFont="1" applyFill="1" applyBorder="1"/>
    <xf numFmtId="43" fontId="5" fillId="0" borderId="0" xfId="4" applyFont="1" applyFill="1" applyBorder="1"/>
    <xf numFmtId="43" fontId="5" fillId="0" borderId="0" xfId="3" applyNumberFormat="1" applyFont="1" applyFill="1" applyBorder="1"/>
    <xf numFmtId="0" fontId="5" fillId="0" borderId="0" xfId="3" applyFont="1" applyFill="1" applyBorder="1"/>
    <xf numFmtId="0" fontId="5" fillId="0" borderId="0" xfId="3" applyFont="1" applyFill="1"/>
    <xf numFmtId="0" fontId="5" fillId="0" borderId="0" xfId="3" applyFont="1"/>
    <xf numFmtId="0" fontId="6" fillId="0" borderId="0" xfId="3" applyNumberFormat="1" applyFont="1"/>
    <xf numFmtId="166" fontId="6" fillId="0" borderId="0" xfId="3" applyNumberFormat="1" applyFont="1"/>
    <xf numFmtId="0" fontId="6" fillId="0" borderId="0" xfId="3" applyFont="1" applyBorder="1"/>
    <xf numFmtId="164" fontId="5" fillId="0" borderId="2" xfId="4" applyNumberFormat="1" applyFont="1" applyBorder="1"/>
    <xf numFmtId="164" fontId="5" fillId="2" borderId="2" xfId="4" applyNumberFormat="1" applyFont="1" applyFill="1" applyBorder="1"/>
    <xf numFmtId="43" fontId="6" fillId="0" borderId="0" xfId="4" applyNumberFormat="1" applyFont="1" applyFill="1" applyBorder="1"/>
    <xf numFmtId="43" fontId="6" fillId="0" borderId="0" xfId="4" applyFont="1" applyFill="1" applyBorder="1"/>
    <xf numFmtId="164" fontId="6" fillId="0" borderId="0" xfId="4" applyNumberFormat="1" applyFont="1" applyFill="1"/>
    <xf numFmtId="0" fontId="6" fillId="0" borderId="0" xfId="4" applyNumberFormat="1" applyFont="1"/>
    <xf numFmtId="10" fontId="6" fillId="0" borderId="0" xfId="2" applyNumberFormat="1" applyFont="1" applyFill="1" applyBorder="1"/>
    <xf numFmtId="44" fontId="6" fillId="0" borderId="0" xfId="1" applyFont="1"/>
    <xf numFmtId="44" fontId="6" fillId="0" borderId="0" xfId="1" applyFont="1" applyFill="1" applyBorder="1"/>
    <xf numFmtId="44" fontId="8" fillId="0" borderId="0" xfId="1" applyFont="1"/>
    <xf numFmtId="166" fontId="6" fillId="0" borderId="0" xfId="1" applyNumberFormat="1" applyFont="1"/>
    <xf numFmtId="166" fontId="6" fillId="0" borderId="0" xfId="1" applyNumberFormat="1" applyFont="1" applyFill="1" applyBorder="1"/>
    <xf numFmtId="164" fontId="8" fillId="0" borderId="0" xfId="4" applyNumberFormat="1" applyFont="1" applyFill="1" applyBorder="1"/>
    <xf numFmtId="166" fontId="5" fillId="0" borderId="3" xfId="1" applyNumberFormat="1" applyFont="1" applyFill="1" applyBorder="1"/>
    <xf numFmtId="44" fontId="5" fillId="0" borderId="0" xfId="1" applyFont="1" applyFill="1" applyBorder="1" applyAlignment="1">
      <alignment horizontal="right"/>
    </xf>
    <xf numFmtId="164" fontId="5" fillId="0" borderId="0" xfId="4" applyNumberFormat="1" applyFont="1" applyFill="1"/>
    <xf numFmtId="164" fontId="5" fillId="0" borderId="0" xfId="4" applyNumberFormat="1" applyFont="1"/>
    <xf numFmtId="43" fontId="6" fillId="0" borderId="0" xfId="4" applyNumberFormat="1" applyFont="1"/>
    <xf numFmtId="4" fontId="6" fillId="0" borderId="0" xfId="4" applyNumberFormat="1" applyFont="1"/>
    <xf numFmtId="4" fontId="6" fillId="0" borderId="0" xfId="4" applyNumberFormat="1" applyFont="1" applyFill="1" applyBorder="1"/>
    <xf numFmtId="164" fontId="6" fillId="0" borderId="0" xfId="4" applyNumberFormat="1" applyFont="1" applyFill="1" applyBorder="1" applyAlignment="1">
      <alignment horizontal="center"/>
    </xf>
    <xf numFmtId="164" fontId="4" fillId="0" borderId="0" xfId="8" applyNumberFormat="1" applyFont="1" applyFill="1" applyAlignment="1">
      <alignment horizontal="right"/>
    </xf>
    <xf numFmtId="44" fontId="4" fillId="0" borderId="0" xfId="9" applyFont="1" applyFill="1" applyBorder="1"/>
    <xf numFmtId="43" fontId="4" fillId="0" borderId="0" xfId="10" applyNumberFormat="1" applyFont="1" applyFill="1" applyBorder="1"/>
    <xf numFmtId="164" fontId="10" fillId="0" borderId="0" xfId="8" applyNumberFormat="1" applyFont="1" applyFill="1" applyAlignment="1">
      <alignment horizontal="right"/>
    </xf>
    <xf numFmtId="0" fontId="3" fillId="0" borderId="0" xfId="11"/>
    <xf numFmtId="4" fontId="10" fillId="0" borderId="0" xfId="8" applyNumberFormat="1" applyFont="1" applyFill="1" applyBorder="1"/>
    <xf numFmtId="44" fontId="4" fillId="0" borderId="0" xfId="1" applyNumberFormat="1" applyFont="1" applyFill="1" applyBorder="1"/>
    <xf numFmtId="10" fontId="4" fillId="0" borderId="0" xfId="12" applyNumberFormat="1" applyFont="1" applyFill="1" applyBorder="1"/>
    <xf numFmtId="166" fontId="4" fillId="0" borderId="0" xfId="1" applyNumberFormat="1" applyFont="1" applyFill="1" applyBorder="1"/>
    <xf numFmtId="0" fontId="5" fillId="0" borderId="0" xfId="3" applyNumberFormat="1" applyFont="1" applyAlignment="1">
      <alignment horizontal="right"/>
    </xf>
    <xf numFmtId="43" fontId="6" fillId="0" borderId="0" xfId="3" applyNumberFormat="1" applyFont="1"/>
    <xf numFmtId="44" fontId="5" fillId="0" borderId="3" xfId="1" applyFont="1" applyFill="1" applyBorder="1"/>
    <xf numFmtId="0" fontId="0" fillId="0" borderId="0" xfId="0" applyFill="1" applyAlignment="1">
      <alignment horizontal="left"/>
    </xf>
    <xf numFmtId="7" fontId="6" fillId="3" borderId="0" xfId="6" applyNumberFormat="1" applyFont="1" applyFill="1"/>
    <xf numFmtId="44" fontId="6" fillId="3" borderId="0" xfId="1" applyFont="1" applyFill="1"/>
    <xf numFmtId="164" fontId="5" fillId="3" borderId="2" xfId="4" applyNumberFormat="1" applyFont="1" applyFill="1" applyBorder="1"/>
    <xf numFmtId="164" fontId="6" fillId="3" borderId="0" xfId="6" applyNumberFormat="1" applyFont="1" applyFill="1"/>
    <xf numFmtId="43" fontId="0" fillId="0" borderId="0" xfId="8" applyFont="1" applyFill="1" applyBorder="1"/>
    <xf numFmtId="43" fontId="11" fillId="0" borderId="0" xfId="8" applyFont="1" applyFill="1" applyBorder="1"/>
    <xf numFmtId="44" fontId="10" fillId="4" borderId="4" xfId="9" applyFont="1" applyFill="1" applyBorder="1"/>
    <xf numFmtId="0" fontId="2" fillId="0" borderId="0" xfId="11" applyFont="1"/>
    <xf numFmtId="44" fontId="4" fillId="3" borderId="0" xfId="1" applyNumberFormat="1" applyFont="1" applyFill="1" applyBorder="1"/>
    <xf numFmtId="164" fontId="6" fillId="0" borderId="0" xfId="13" applyNumberFormat="1" applyFont="1"/>
    <xf numFmtId="164" fontId="6" fillId="0" borderId="0" xfId="13" applyNumberFormat="1" applyFont="1" applyFill="1"/>
    <xf numFmtId="164" fontId="6" fillId="0" borderId="0" xfId="13" applyNumberFormat="1" applyFont="1" applyFill="1" applyBorder="1"/>
    <xf numFmtId="164" fontId="6" fillId="0" borderId="0" xfId="13" applyNumberFormat="1" applyFont="1" applyFill="1" applyBorder="1" applyAlignment="1">
      <alignment horizontal="center"/>
    </xf>
    <xf numFmtId="4" fontId="6" fillId="0" borderId="0" xfId="13" applyNumberFormat="1" applyFont="1" applyFill="1" applyBorder="1"/>
    <xf numFmtId="4" fontId="6" fillId="0" borderId="0" xfId="13" applyNumberFormat="1" applyFont="1"/>
    <xf numFmtId="43" fontId="6" fillId="0" borderId="0" xfId="13" applyNumberFormat="1" applyFont="1"/>
    <xf numFmtId="0" fontId="6" fillId="0" borderId="0" xfId="13" applyNumberFormat="1" applyFont="1"/>
    <xf numFmtId="0" fontId="1" fillId="0" borderId="0" xfId="14"/>
    <xf numFmtId="164" fontId="4" fillId="0" borderId="0" xfId="8" applyNumberFormat="1" applyFont="1" applyFill="1" applyBorder="1"/>
    <xf numFmtId="43" fontId="4" fillId="0" borderId="0" xfId="8" applyFont="1" applyFill="1" applyBorder="1"/>
    <xf numFmtId="43" fontId="4" fillId="2" borderId="0" xfId="8" applyFont="1" applyFill="1" applyBorder="1"/>
    <xf numFmtId="44" fontId="10" fillId="5" borderId="4" xfId="9" applyFont="1" applyFill="1" applyBorder="1"/>
    <xf numFmtId="164" fontId="10" fillId="5" borderId="0" xfId="8" applyNumberFormat="1" applyFont="1" applyFill="1" applyAlignment="1">
      <alignment horizontal="right"/>
    </xf>
    <xf numFmtId="164" fontId="6" fillId="5" borderId="0" xfId="13" applyNumberFormat="1" applyFont="1" applyFill="1"/>
    <xf numFmtId="43" fontId="6" fillId="5" borderId="0" xfId="13" applyNumberFormat="1" applyFont="1" applyFill="1"/>
    <xf numFmtId="164" fontId="5" fillId="0" borderId="0" xfId="13" applyNumberFormat="1" applyFont="1"/>
    <xf numFmtId="164" fontId="5" fillId="0" borderId="0" xfId="13" applyNumberFormat="1" applyFont="1" applyFill="1"/>
    <xf numFmtId="164" fontId="5" fillId="0" borderId="0" xfId="13" applyNumberFormat="1" applyFont="1" applyFill="1" applyBorder="1"/>
    <xf numFmtId="44" fontId="5" fillId="0" borderId="0" xfId="15" applyFont="1" applyFill="1" applyBorder="1" applyAlignment="1">
      <alignment horizontal="right"/>
    </xf>
    <xf numFmtId="44" fontId="5" fillId="0" borderId="3" xfId="15" applyFont="1" applyFill="1" applyBorder="1"/>
    <xf numFmtId="0" fontId="5" fillId="0" borderId="3" xfId="13" applyNumberFormat="1" applyFont="1" applyFill="1" applyBorder="1"/>
    <xf numFmtId="164" fontId="8" fillId="0" borderId="0" xfId="13" applyNumberFormat="1" applyFont="1" applyFill="1" applyBorder="1"/>
    <xf numFmtId="43" fontId="5" fillId="0" borderId="0" xfId="13" applyFont="1" applyFill="1" applyBorder="1" applyAlignment="1">
      <alignment horizontal="center"/>
    </xf>
    <xf numFmtId="164" fontId="5" fillId="0" borderId="0" xfId="13" applyNumberFormat="1" applyFont="1" applyFill="1" applyBorder="1" applyAlignment="1">
      <alignment horizontal="center"/>
    </xf>
    <xf numFmtId="166" fontId="6" fillId="0" borderId="0" xfId="15" applyNumberFormat="1" applyFont="1" applyFill="1" applyBorder="1"/>
    <xf numFmtId="166" fontId="6" fillId="0" borderId="0" xfId="15" applyNumberFormat="1" applyFont="1"/>
    <xf numFmtId="44" fontId="6" fillId="0" borderId="0" xfId="15" applyFont="1" applyFill="1" applyBorder="1"/>
    <xf numFmtId="44" fontId="8" fillId="0" borderId="0" xfId="15" applyFont="1"/>
    <xf numFmtId="44" fontId="6" fillId="2" borderId="0" xfId="15" applyFont="1" applyFill="1"/>
    <xf numFmtId="44" fontId="6" fillId="0" borderId="0" xfId="15" applyFont="1"/>
    <xf numFmtId="10" fontId="6" fillId="0" borderId="0" xfId="16" applyNumberFormat="1" applyFont="1" applyFill="1" applyBorder="1"/>
    <xf numFmtId="43" fontId="6" fillId="0" borderId="0" xfId="13" applyFont="1" applyFill="1" applyBorder="1"/>
    <xf numFmtId="43" fontId="6" fillId="0" borderId="0" xfId="13" applyNumberFormat="1" applyFont="1" applyFill="1" applyBorder="1"/>
    <xf numFmtId="164" fontId="5" fillId="0" borderId="2" xfId="13" applyNumberFormat="1" applyFont="1" applyBorder="1"/>
    <xf numFmtId="164" fontId="5" fillId="2" borderId="2" xfId="13" applyNumberFormat="1" applyFont="1" applyFill="1" applyBorder="1"/>
    <xf numFmtId="43" fontId="5" fillId="0" borderId="0" xfId="13" applyFont="1" applyFill="1" applyBorder="1"/>
    <xf numFmtId="166" fontId="5" fillId="0" borderId="0" xfId="15" applyNumberFormat="1" applyFont="1" applyFill="1" applyBorder="1" applyAlignment="1">
      <alignment horizontal="right"/>
    </xf>
    <xf numFmtId="166" fontId="5" fillId="0" borderId="2" xfId="15" applyNumberFormat="1" applyFont="1" applyBorder="1"/>
    <xf numFmtId="0" fontId="6" fillId="0" borderId="0" xfId="17" applyFont="1"/>
    <xf numFmtId="10" fontId="6" fillId="0" borderId="0" xfId="16" applyNumberFormat="1" applyFont="1"/>
    <xf numFmtId="10" fontId="6" fillId="0" borderId="0" xfId="16" applyNumberFormat="1" applyFont="1" applyFill="1"/>
    <xf numFmtId="165" fontId="6" fillId="0" borderId="0" xfId="13" applyNumberFormat="1" applyFont="1" applyFill="1"/>
    <xf numFmtId="0" fontId="12" fillId="0" borderId="0" xfId="18" applyFill="1" applyAlignment="1">
      <alignment horizontal="right"/>
    </xf>
    <xf numFmtId="164" fontId="6" fillId="2" borderId="0" xfId="6" applyNumberFormat="1" applyFont="1" applyFill="1"/>
    <xf numFmtId="43" fontId="6" fillId="2" borderId="0" xfId="6" applyFont="1" applyFill="1"/>
    <xf numFmtId="43" fontId="6" fillId="0" borderId="0" xfId="13" applyFont="1" applyBorder="1" applyAlignment="1">
      <alignment horizontal="center"/>
    </xf>
    <xf numFmtId="43" fontId="6" fillId="0" borderId="0" xfId="13" applyFont="1" applyFill="1" applyBorder="1" applyAlignment="1">
      <alignment horizontal="center"/>
    </xf>
    <xf numFmtId="43" fontId="6" fillId="0" borderId="1" xfId="13" applyFont="1" applyBorder="1" applyAlignment="1">
      <alignment horizontal="center"/>
    </xf>
    <xf numFmtId="43" fontId="6" fillId="0" borderId="0" xfId="13" applyFont="1" applyAlignment="1">
      <alignment horizontal="center"/>
    </xf>
    <xf numFmtId="0" fontId="6" fillId="0" borderId="0" xfId="19" applyFont="1"/>
    <xf numFmtId="0" fontId="6" fillId="0" borderId="0" xfId="19" applyNumberFormat="1" applyFont="1"/>
    <xf numFmtId="164" fontId="6" fillId="0" borderId="0" xfId="20" applyNumberFormat="1" applyFont="1"/>
    <xf numFmtId="164" fontId="6" fillId="0" borderId="0" xfId="20" applyNumberFormat="1" applyFont="1" applyFill="1"/>
    <xf numFmtId="164" fontId="6" fillId="0" borderId="0" xfId="20" applyNumberFormat="1" applyFont="1" applyFill="1" applyBorder="1"/>
    <xf numFmtId="164" fontId="6" fillId="0" borderId="0" xfId="20" applyNumberFormat="1" applyFont="1" applyFill="1" applyBorder="1" applyAlignment="1">
      <alignment horizontal="center"/>
    </xf>
    <xf numFmtId="4" fontId="6" fillId="0" borderId="0" xfId="20" applyNumberFormat="1" applyFont="1" applyFill="1" applyBorder="1"/>
    <xf numFmtId="4" fontId="6" fillId="0" borderId="0" xfId="20" applyNumberFormat="1" applyFont="1"/>
    <xf numFmtId="43" fontId="6" fillId="0" borderId="0" xfId="20" applyNumberFormat="1" applyFont="1"/>
    <xf numFmtId="0" fontId="6" fillId="0" borderId="0" xfId="20" applyNumberFormat="1" applyFont="1"/>
    <xf numFmtId="166" fontId="4" fillId="0" borderId="0" xfId="21" applyNumberFormat="1" applyFont="1" applyFill="1" applyBorder="1"/>
    <xf numFmtId="44" fontId="4" fillId="0" borderId="0" xfId="21" applyNumberFormat="1" applyFont="1" applyFill="1" applyBorder="1"/>
    <xf numFmtId="44" fontId="4" fillId="2" borderId="0" xfId="21" applyNumberFormat="1" applyFont="1" applyFill="1" applyBorder="1"/>
    <xf numFmtId="44" fontId="10" fillId="0" borderId="4" xfId="9" applyFont="1" applyFill="1" applyBorder="1"/>
    <xf numFmtId="164" fontId="5" fillId="0" borderId="0" xfId="20" applyNumberFormat="1" applyFont="1"/>
    <xf numFmtId="164" fontId="5" fillId="0" borderId="0" xfId="20" applyNumberFormat="1" applyFont="1" applyFill="1"/>
    <xf numFmtId="164" fontId="5" fillId="0" borderId="0" xfId="20" applyNumberFormat="1" applyFont="1" applyFill="1" applyBorder="1"/>
    <xf numFmtId="43" fontId="5" fillId="0" borderId="0" xfId="19" applyNumberFormat="1" applyFont="1" applyFill="1" applyBorder="1"/>
    <xf numFmtId="44" fontId="5" fillId="0" borderId="0" xfId="21" applyFont="1" applyFill="1" applyBorder="1" applyAlignment="1">
      <alignment horizontal="right"/>
    </xf>
    <xf numFmtId="44" fontId="5" fillId="0" borderId="3" xfId="21" applyFont="1" applyFill="1" applyBorder="1"/>
    <xf numFmtId="0" fontId="5" fillId="0" borderId="3" xfId="20" applyNumberFormat="1" applyFont="1" applyFill="1" applyBorder="1"/>
    <xf numFmtId="164" fontId="8" fillId="0" borderId="0" xfId="20" applyNumberFormat="1" applyFont="1" applyFill="1" applyBorder="1"/>
    <xf numFmtId="43" fontId="5" fillId="0" borderId="0" xfId="20" applyFont="1" applyFill="1" applyBorder="1" applyAlignment="1">
      <alignment horizontal="center"/>
    </xf>
    <xf numFmtId="164" fontId="5" fillId="0" borderId="0" xfId="20" applyNumberFormat="1" applyFont="1" applyFill="1" applyBorder="1" applyAlignment="1">
      <alignment horizontal="center"/>
    </xf>
    <xf numFmtId="166" fontId="6" fillId="0" borderId="0" xfId="21" applyNumberFormat="1" applyFont="1" applyFill="1" applyBorder="1"/>
    <xf numFmtId="166" fontId="6" fillId="0" borderId="0" xfId="21" applyNumberFormat="1" applyFont="1"/>
    <xf numFmtId="44" fontId="6" fillId="0" borderId="0" xfId="21" applyFont="1" applyFill="1" applyBorder="1"/>
    <xf numFmtId="44" fontId="8" fillId="0" borderId="0" xfId="21" applyFont="1"/>
    <xf numFmtId="44" fontId="6" fillId="2" borderId="0" xfId="21" applyFont="1" applyFill="1"/>
    <xf numFmtId="44" fontId="6" fillId="0" borderId="0" xfId="21" applyFont="1"/>
    <xf numFmtId="10" fontId="6" fillId="0" borderId="0" xfId="22" applyNumberFormat="1" applyFont="1" applyFill="1" applyBorder="1"/>
    <xf numFmtId="0" fontId="6" fillId="0" borderId="0" xfId="19" applyFont="1" applyFill="1" applyBorder="1"/>
    <xf numFmtId="43" fontId="6" fillId="0" borderId="0" xfId="20" applyFont="1" applyFill="1" applyBorder="1"/>
    <xf numFmtId="43" fontId="6" fillId="0" borderId="0" xfId="20" applyNumberFormat="1" applyFont="1" applyFill="1" applyBorder="1"/>
    <xf numFmtId="164" fontId="5" fillId="0" borderId="2" xfId="20" applyNumberFormat="1" applyFont="1" applyBorder="1"/>
    <xf numFmtId="164" fontId="5" fillId="2" borderId="2" xfId="20" applyNumberFormat="1" applyFont="1" applyFill="1" applyBorder="1"/>
    <xf numFmtId="0" fontId="6" fillId="0" borderId="0" xfId="19" applyFont="1" applyFill="1"/>
    <xf numFmtId="0" fontId="6" fillId="0" borderId="0" xfId="19" applyFont="1" applyBorder="1"/>
    <xf numFmtId="166" fontId="6" fillId="0" borderId="0" xfId="19" applyNumberFormat="1" applyFont="1"/>
    <xf numFmtId="0" fontId="5" fillId="0" borderId="0" xfId="19" applyFont="1"/>
    <xf numFmtId="0" fontId="5" fillId="0" borderId="0" xfId="19" applyFont="1" applyFill="1"/>
    <xf numFmtId="0" fontId="5" fillId="0" borderId="0" xfId="19" applyFont="1" applyFill="1" applyBorder="1"/>
    <xf numFmtId="43" fontId="5" fillId="0" borderId="0" xfId="20" applyFont="1" applyFill="1" applyBorder="1"/>
    <xf numFmtId="166" fontId="5" fillId="0" borderId="0" xfId="21" applyNumberFormat="1" applyFont="1" applyFill="1" applyBorder="1" applyAlignment="1">
      <alignment horizontal="right"/>
    </xf>
    <xf numFmtId="166" fontId="5" fillId="0" borderId="2" xfId="21" applyNumberFormat="1" applyFont="1" applyBorder="1"/>
    <xf numFmtId="0" fontId="5" fillId="0" borderId="2" xfId="19" applyNumberFormat="1" applyFont="1" applyBorder="1"/>
    <xf numFmtId="0" fontId="6" fillId="0" borderId="0" xfId="23" applyFont="1"/>
    <xf numFmtId="10" fontId="6" fillId="0" borderId="0" xfId="22" applyNumberFormat="1" applyFont="1"/>
    <xf numFmtId="10" fontId="6" fillId="0" borderId="0" xfId="22" applyNumberFormat="1" applyFont="1" applyFill="1"/>
    <xf numFmtId="165" fontId="6" fillId="0" borderId="0" xfId="20" applyNumberFormat="1" applyFont="1" applyFill="1"/>
    <xf numFmtId="0" fontId="7" fillId="0" borderId="0" xfId="19" applyNumberFormat="1" applyFont="1" applyBorder="1" applyAlignment="1">
      <alignment horizontal="left"/>
    </xf>
    <xf numFmtId="0" fontId="6" fillId="0" borderId="0" xfId="19" applyFont="1" applyBorder="1" applyAlignment="1">
      <alignment horizontal="center"/>
    </xf>
    <xf numFmtId="43" fontId="6" fillId="0" borderId="0" xfId="20" applyFont="1" applyBorder="1" applyAlignment="1">
      <alignment horizontal="center"/>
    </xf>
    <xf numFmtId="43" fontId="6" fillId="0" borderId="0" xfId="20" applyFont="1" applyFill="1" applyBorder="1" applyAlignment="1">
      <alignment horizontal="center"/>
    </xf>
    <xf numFmtId="0" fontId="6" fillId="0" borderId="1" xfId="19" applyFont="1" applyBorder="1" applyAlignment="1">
      <alignment horizontal="center"/>
    </xf>
    <xf numFmtId="43" fontId="6" fillId="0" borderId="1" xfId="20" applyFont="1" applyBorder="1" applyAlignment="1">
      <alignment horizontal="center"/>
    </xf>
    <xf numFmtId="17" fontId="5" fillId="0" borderId="1" xfId="19" applyNumberFormat="1" applyFont="1" applyBorder="1" applyAlignment="1">
      <alignment horizontal="center"/>
    </xf>
    <xf numFmtId="0" fontId="6" fillId="0" borderId="1" xfId="19" applyNumberFormat="1" applyFont="1" applyBorder="1" applyAlignment="1">
      <alignment horizontal="left"/>
    </xf>
    <xf numFmtId="0" fontId="6" fillId="0" borderId="0" xfId="19" applyFont="1" applyAlignment="1">
      <alignment horizontal="center"/>
    </xf>
    <xf numFmtId="43" fontId="6" fillId="0" borderId="0" xfId="20" applyFont="1" applyAlignment="1">
      <alignment horizontal="center"/>
    </xf>
    <xf numFmtId="0" fontId="5" fillId="0" borderId="0" xfId="19" applyFont="1" applyAlignment="1">
      <alignment horizontal="center"/>
    </xf>
    <xf numFmtId="0" fontId="5" fillId="0" borderId="0" xfId="19" applyFont="1" applyFill="1" applyAlignment="1">
      <alignment horizontal="center"/>
    </xf>
    <xf numFmtId="0" fontId="5" fillId="0" borderId="0" xfId="19" applyNumberFormat="1" applyFont="1" applyAlignment="1">
      <alignment horizontal="left"/>
    </xf>
    <xf numFmtId="0" fontId="5" fillId="0" borderId="0" xfId="19" applyNumberFormat="1" applyFont="1"/>
    <xf numFmtId="0" fontId="6" fillId="0" borderId="0" xfId="5" applyFont="1"/>
    <xf numFmtId="0" fontId="6" fillId="0" borderId="0" xfId="5" applyNumberFormat="1" applyFont="1"/>
    <xf numFmtId="164" fontId="6" fillId="0" borderId="0" xfId="24" applyNumberFormat="1" applyFont="1"/>
    <xf numFmtId="164" fontId="6" fillId="5" borderId="0" xfId="24" applyNumberFormat="1" applyFont="1" applyFill="1"/>
    <xf numFmtId="0" fontId="6" fillId="5" borderId="0" xfId="5" applyFont="1" applyFill="1"/>
    <xf numFmtId="0" fontId="6" fillId="0" borderId="0" xfId="5" applyFont="1" applyFill="1"/>
    <xf numFmtId="164" fontId="6" fillId="0" borderId="0" xfId="25" applyNumberFormat="1" applyFont="1"/>
    <xf numFmtId="164" fontId="6" fillId="0" borderId="0" xfId="25" applyNumberFormat="1" applyFont="1" applyFill="1"/>
    <xf numFmtId="164" fontId="6" fillId="0" borderId="0" xfId="25" applyNumberFormat="1" applyFont="1" applyFill="1" applyBorder="1"/>
    <xf numFmtId="0" fontId="6" fillId="0" borderId="0" xfId="25" applyNumberFormat="1" applyFont="1"/>
    <xf numFmtId="164" fontId="6" fillId="0" borderId="0" xfId="25" applyNumberFormat="1" applyFont="1" applyFill="1" applyAlignment="1">
      <alignment horizontal="center"/>
    </xf>
    <xf numFmtId="43" fontId="15" fillId="0" borderId="0" xfId="6" applyNumberFormat="1" applyFont="1" applyFill="1"/>
    <xf numFmtId="4" fontId="6" fillId="0" borderId="0" xfId="25" applyNumberFormat="1" applyFont="1" applyFill="1"/>
    <xf numFmtId="43" fontId="6" fillId="0" borderId="0" xfId="25" applyNumberFormat="1" applyFont="1" applyFill="1"/>
    <xf numFmtId="164" fontId="5" fillId="0" borderId="0" xfId="25" applyNumberFormat="1" applyFont="1"/>
    <xf numFmtId="164" fontId="5" fillId="0" borderId="0" xfId="25" applyNumberFormat="1" applyFont="1" applyFill="1"/>
    <xf numFmtId="43" fontId="5" fillId="0" borderId="0" xfId="20" applyFont="1" applyFill="1"/>
    <xf numFmtId="44" fontId="16" fillId="0" borderId="0" xfId="26" applyFont="1" applyFill="1" applyBorder="1"/>
    <xf numFmtId="44" fontId="5" fillId="0" borderId="3" xfId="26" applyFont="1" applyFill="1" applyBorder="1"/>
    <xf numFmtId="4" fontId="6" fillId="0" borderId="0" xfId="6" applyNumberFormat="1" applyFont="1"/>
    <xf numFmtId="166" fontId="6" fillId="0" borderId="0" xfId="26" applyNumberFormat="1" applyFont="1" applyFill="1"/>
    <xf numFmtId="44" fontId="8" fillId="0" borderId="0" xfId="26" applyFont="1" applyFill="1"/>
    <xf numFmtId="44" fontId="6" fillId="6" borderId="0" xfId="26" applyFont="1" applyFill="1"/>
    <xf numFmtId="166" fontId="6" fillId="0" borderId="0" xfId="26" applyNumberFormat="1" applyFont="1"/>
    <xf numFmtId="44" fontId="6" fillId="0" borderId="0" xfId="26" applyFont="1" applyFill="1"/>
    <xf numFmtId="44" fontId="6" fillId="0" borderId="0" xfId="26" applyFont="1"/>
    <xf numFmtId="43" fontId="6" fillId="0" borderId="0" xfId="25" applyFont="1" applyFill="1"/>
    <xf numFmtId="164" fontId="5" fillId="0" borderId="2" xfId="20" applyNumberFormat="1" applyFont="1" applyFill="1" applyBorder="1"/>
    <xf numFmtId="164" fontId="5" fillId="6" borderId="2" xfId="20" applyNumberFormat="1" applyFont="1" applyFill="1" applyBorder="1"/>
    <xf numFmtId="0" fontId="5" fillId="0" borderId="0" xfId="5" applyFont="1"/>
    <xf numFmtId="0" fontId="5" fillId="0" borderId="0" xfId="5" applyFont="1" applyFill="1"/>
    <xf numFmtId="43" fontId="5" fillId="0" borderId="0" xfId="25" applyFont="1" applyFill="1"/>
    <xf numFmtId="166" fontId="5" fillId="0" borderId="2" xfId="26" applyNumberFormat="1" applyFont="1" applyFill="1" applyBorder="1"/>
    <xf numFmtId="0" fontId="5" fillId="0" borderId="2" xfId="5" applyNumberFormat="1" applyFont="1" applyBorder="1"/>
    <xf numFmtId="43" fontId="6" fillId="0" borderId="0" xfId="25" applyFont="1"/>
    <xf numFmtId="0" fontId="17" fillId="0" borderId="0" xfId="5" applyFont="1" applyBorder="1"/>
    <xf numFmtId="7" fontId="6" fillId="6" borderId="0" xfId="25" applyNumberFormat="1" applyFont="1" applyFill="1"/>
    <xf numFmtId="0" fontId="5" fillId="0" borderId="0" xfId="5" applyNumberFormat="1" applyFont="1"/>
    <xf numFmtId="43" fontId="5" fillId="0" borderId="0" xfId="25" applyFont="1"/>
    <xf numFmtId="43" fontId="5" fillId="6" borderId="0" xfId="25" applyFont="1" applyFill="1"/>
    <xf numFmtId="0" fontId="7" fillId="0" borderId="0" xfId="5" applyNumberFormat="1" applyFont="1" applyBorder="1" applyAlignment="1">
      <alignment horizontal="left"/>
    </xf>
    <xf numFmtId="0" fontId="6" fillId="0" borderId="0" xfId="5" applyFont="1" applyBorder="1" applyAlignment="1">
      <alignment horizontal="center"/>
    </xf>
    <xf numFmtId="43" fontId="6" fillId="0" borderId="0" xfId="2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43" fontId="6" fillId="0" borderId="1" xfId="25" applyFont="1" applyBorder="1" applyAlignment="1">
      <alignment horizontal="center"/>
    </xf>
    <xf numFmtId="0" fontId="6" fillId="0" borderId="1" xfId="5" applyNumberFormat="1" applyFont="1" applyBorder="1" applyAlignment="1">
      <alignment horizontal="center"/>
    </xf>
    <xf numFmtId="0" fontId="6" fillId="0" borderId="0" xfId="5" applyFont="1" applyAlignment="1">
      <alignment horizontal="center"/>
    </xf>
    <xf numFmtId="43" fontId="6" fillId="0" borderId="0" xfId="25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left"/>
    </xf>
    <xf numFmtId="166" fontId="4" fillId="0" borderId="0" xfId="27" applyNumberFormat="1" applyFont="1" applyFill="1" applyBorder="1"/>
    <xf numFmtId="43" fontId="6" fillId="0" borderId="0" xfId="6" applyNumberFormat="1" applyFont="1"/>
    <xf numFmtId="0" fontId="6" fillId="0" borderId="0" xfId="6" applyNumberFormat="1" applyFont="1"/>
    <xf numFmtId="44" fontId="4" fillId="0" borderId="0" xfId="27" applyNumberFormat="1" applyFont="1" applyFill="1" applyBorder="1"/>
    <xf numFmtId="44" fontId="4" fillId="2" borderId="0" xfId="27" applyNumberFormat="1" applyFont="1" applyFill="1" applyBorder="1"/>
    <xf numFmtId="4" fontId="6" fillId="0" borderId="0" xfId="6" applyNumberFormat="1" applyFont="1" applyFill="1" applyBorder="1"/>
    <xf numFmtId="44" fontId="5" fillId="0" borderId="0" xfId="27" applyFont="1" applyFill="1" applyBorder="1" applyAlignment="1">
      <alignment horizontal="right"/>
    </xf>
    <xf numFmtId="44" fontId="5" fillId="0" borderId="3" xfId="27" applyFont="1" applyFill="1" applyBorder="1"/>
    <xf numFmtId="0" fontId="5" fillId="0" borderId="3" xfId="6" applyNumberFormat="1" applyFont="1" applyFill="1" applyBorder="1"/>
    <xf numFmtId="166" fontId="6" fillId="0" borderId="0" xfId="27" applyNumberFormat="1" applyFont="1" applyFill="1" applyBorder="1"/>
    <xf numFmtId="166" fontId="6" fillId="0" borderId="0" xfId="27" applyNumberFormat="1" applyFont="1"/>
    <xf numFmtId="44" fontId="6" fillId="0" borderId="0" xfId="27" applyFont="1" applyFill="1" applyBorder="1"/>
    <xf numFmtId="44" fontId="8" fillId="0" borderId="0" xfId="27" applyFont="1"/>
    <xf numFmtId="44" fontId="6" fillId="2" borderId="0" xfId="27" applyFont="1" applyFill="1"/>
    <xf numFmtId="44" fontId="6" fillId="0" borderId="0" xfId="27" applyFont="1"/>
    <xf numFmtId="166" fontId="5" fillId="0" borderId="2" xfId="27" applyNumberFormat="1" applyFont="1" applyFill="1" applyBorder="1"/>
    <xf numFmtId="7" fontId="6" fillId="2" borderId="0" xfId="25" applyNumberFormat="1" applyFont="1" applyFill="1"/>
    <xf numFmtId="43" fontId="5" fillId="2" borderId="0" xfId="25" applyFont="1" applyFill="1"/>
    <xf numFmtId="166" fontId="5" fillId="0" borderId="2" xfId="21" applyNumberFormat="1" applyFont="1" applyFill="1" applyBorder="1"/>
    <xf numFmtId="0" fontId="5" fillId="0" borderId="0" xfId="19" applyFont="1" applyAlignment="1">
      <alignment horizontal="right"/>
    </xf>
    <xf numFmtId="0" fontId="5" fillId="0" borderId="0" xfId="19" applyFont="1" applyFill="1" applyAlignment="1">
      <alignment horizontal="right"/>
    </xf>
    <xf numFmtId="43" fontId="6" fillId="3" borderId="0" xfId="6" applyNumberFormat="1" applyFont="1" applyFill="1"/>
    <xf numFmtId="43" fontId="6" fillId="0" borderId="0" xfId="28" applyFont="1" applyFill="1" applyBorder="1" applyAlignment="1">
      <alignment horizontal="center"/>
    </xf>
    <xf numFmtId="0" fontId="5" fillId="0" borderId="0" xfId="3" applyNumberFormat="1" applyFont="1" applyBorder="1" applyAlignment="1">
      <alignment horizontal="left"/>
    </xf>
    <xf numFmtId="0" fontId="5" fillId="0" borderId="0" xfId="5" applyNumberFormat="1" applyFont="1" applyBorder="1"/>
    <xf numFmtId="164" fontId="6" fillId="0" borderId="0" xfId="6" applyNumberFormat="1" applyFont="1" applyFill="1"/>
    <xf numFmtId="43" fontId="6" fillId="0" borderId="0" xfId="6" applyNumberFormat="1" applyFont="1" applyFill="1"/>
    <xf numFmtId="44" fontId="6" fillId="0" borderId="0" xfId="6" applyNumberFormat="1" applyFont="1" applyFill="1"/>
    <xf numFmtId="166" fontId="5" fillId="0" borderId="2" xfId="1" applyNumberFormat="1" applyFont="1" applyFill="1" applyBorder="1"/>
    <xf numFmtId="166" fontId="6" fillId="0" borderId="0" xfId="3" applyNumberFormat="1" applyFont="1" applyFill="1"/>
    <xf numFmtId="164" fontId="5" fillId="0" borderId="2" xfId="4" applyNumberFormat="1" applyFont="1" applyFill="1" applyBorder="1"/>
    <xf numFmtId="44" fontId="6" fillId="0" borderId="0" xfId="1" applyFont="1" applyFill="1"/>
    <xf numFmtId="44" fontId="8" fillId="0" borderId="0" xfId="1" applyFont="1" applyFill="1"/>
    <xf numFmtId="166" fontId="6" fillId="0" borderId="0" xfId="1" applyNumberFormat="1" applyFont="1" applyFill="1"/>
    <xf numFmtId="43" fontId="6" fillId="0" borderId="0" xfId="4" applyNumberFormat="1" applyFont="1" applyFill="1"/>
    <xf numFmtId="4" fontId="6" fillId="0" borderId="0" xfId="4" applyNumberFormat="1" applyFont="1" applyFill="1"/>
    <xf numFmtId="0" fontId="3" fillId="0" borderId="0" xfId="11" applyFill="1"/>
    <xf numFmtId="166" fontId="6" fillId="0" borderId="0" xfId="3" applyNumberFormat="1" applyFont="1" applyFill="1" applyBorder="1"/>
    <xf numFmtId="0" fontId="6" fillId="0" borderId="0" xfId="3" applyNumberFormat="1" applyFont="1" applyFill="1" applyBorder="1"/>
    <xf numFmtId="43" fontId="6" fillId="0" borderId="0" xfId="3" applyNumberFormat="1" applyFont="1" applyFill="1" applyBorder="1"/>
    <xf numFmtId="0" fontId="5" fillId="0" borderId="0" xfId="3" applyNumberFormat="1" applyFont="1" applyFill="1" applyBorder="1"/>
    <xf numFmtId="166" fontId="5" fillId="0" borderId="0" xfId="3" quotePrefix="1" applyNumberFormat="1" applyFont="1" applyFill="1" applyBorder="1" applyAlignment="1">
      <alignment horizontal="center"/>
    </xf>
    <xf numFmtId="166" fontId="5" fillId="0" borderId="0" xfId="3" applyNumberFormat="1" applyFont="1" applyFill="1" applyBorder="1"/>
    <xf numFmtId="39" fontId="6" fillId="0" borderId="0" xfId="3" applyNumberFormat="1" applyFont="1" applyFill="1" applyBorder="1"/>
    <xf numFmtId="44" fontId="6" fillId="0" borderId="0" xfId="3" applyNumberFormat="1" applyFont="1" applyFill="1" applyBorder="1"/>
  </cellXfs>
  <cellStyles count="29">
    <cellStyle name="Comma" xfId="28" builtinId="3"/>
    <cellStyle name="Comma 10" xfId="6"/>
    <cellStyle name="Comma 2" xfId="20"/>
    <cellStyle name="Comma 2 2" xfId="25"/>
    <cellStyle name="Comma 21" xfId="24"/>
    <cellStyle name="Comma 22" xfId="8"/>
    <cellStyle name="Comma 24" xfId="13"/>
    <cellStyle name="Comma 3" xfId="4"/>
    <cellStyle name="Currency" xfId="1" builtinId="4"/>
    <cellStyle name="Currency 12" xfId="9"/>
    <cellStyle name="Currency 13" xfId="15"/>
    <cellStyle name="Currency 2" xfId="21"/>
    <cellStyle name="Currency 2 3 3" xfId="27"/>
    <cellStyle name="Currency 2 5" xfId="26"/>
    <cellStyle name="Normal" xfId="0" builtinId="0"/>
    <cellStyle name="Normal 2" xfId="18"/>
    <cellStyle name="Normal 99" xfId="14"/>
    <cellStyle name="Normal 99 3" xfId="11"/>
    <cellStyle name="Normal_Pacific 1-1-06" xfId="10"/>
    <cellStyle name="Normal_PCR 3-1-02" xfId="19"/>
    <cellStyle name="Normal_PCR 3-1-02 2" xfId="5"/>
    <cellStyle name="Normal_PCR 3-1-02 3" xfId="3"/>
    <cellStyle name="Normal_Trial reporting Sheet 3" xfId="23"/>
    <cellStyle name="Normal_Trial reporting Sheet 3 2" xfId="17"/>
    <cellStyle name="Normal_Trial reporting Sheet 3 3" xfId="7"/>
    <cellStyle name="Percent" xfId="2" builtinId="5"/>
    <cellStyle name="Percent 14" xfId="12"/>
    <cellStyle name="Percent 16" xfId="16"/>
    <cellStyle name="Percent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6-2020\Balance%20Sheet%20Recon\2020-06_2180_BSRec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1%20County%20Suppor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2%20County%20Suppor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3%20County%20Suppor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4%20County%20Suppor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5%20County%20Suppor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6%20County%20Suppor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7%20County%20Suppor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8%20County%20Suppor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9-2020\Revenue\2020-09%20REVJE10%20-%20Commingle%20Revenu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2020-11%20REVJE10%20-%20Commingle%20Reven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ControllerDir\Northern_Washington\Month%20End\2020\North%20LeMay\09-2020\Balance%20Sheet%20Recon\2020-09_2180_BSReco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Support\2180_Price%20Out%20by%20Bill%20Area_12-18%20-%2011-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PCR%20CPA%203-1-2020%20-%209.30.2020%20Rec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June%20-2019%20PO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July%20-2019%20P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August%20-2019%20PO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September%20-2019%20P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October%20-2019%20P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November%20-2019%20PO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12-18%20-%2011-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PCR%20CPA%203-1-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Pierce%20County%20Recycle%2020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erce%20County%20Recycle%20201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erce%20County%20Recycle%20201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oneer%20Pricing%20Matrix%20Dec18-May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2180_Price%20Out%20by%20Bill%20Area_201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2180_Price%20Out%20by%20Bill%20Area_201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PCR%20CPA%209-1-1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Pierce%20County%20Recycle%20201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Pioneer%20Pricing%20Matrix%20Dec18-May1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201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021-12%20REVJE10%20-%20Commingle%20Revenue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PCR%20-%20EQR%20CPA%203-1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020-12%20REVJE10%20-%20Commingle%20Revenu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Pierce%20County%20Recycle%202020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ierce%20County%20Recycle%2020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Pierce%20County%20Recycle%20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2019-12%20REVJE10%20-%20Commingle%20Reven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4"/>
      <sheetName val="12005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8">
          <cell r="J8" t="str">
            <v>ReconBook</v>
          </cell>
          <cell r="M8" t="str">
            <v>Pierce County Hauling Regulated</v>
          </cell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J17">
            <v>2180</v>
          </cell>
          <cell r="L17" t="str">
            <v>Complete</v>
          </cell>
          <cell r="N17" t="str">
            <v>Incomplete</v>
          </cell>
          <cell r="Q17" t="str">
            <v>2180: 2020-06</v>
          </cell>
        </row>
        <row r="18">
          <cell r="J18" t="str">
            <v>2020-06</v>
          </cell>
          <cell r="L18" t="str">
            <v>Complete</v>
          </cell>
          <cell r="N18" t="str">
            <v>Complete</v>
          </cell>
          <cell r="Q18" t="str">
            <v>None</v>
          </cell>
        </row>
        <row r="19">
          <cell r="N19" t="str">
            <v>Complete</v>
          </cell>
          <cell r="Q19" t="str">
            <v>07/13/20 12:24 PM</v>
          </cell>
        </row>
        <row r="21">
          <cell r="U21">
            <v>0.1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Estimates 2020.01"/>
      <sheetName val="Pioneer 2020.01"/>
      <sheetName val="JMK - Vashon 2020.01"/>
      <sheetName val="JMK - DM Disposal 2020.01"/>
      <sheetName val="JMK - DM Recycling 2020.01"/>
      <sheetName val="Caraustar 2020.01"/>
      <sheetName val="IP 2020.01"/>
      <sheetName val="Sonoco 2020.01"/>
      <sheetName val="WW2020.01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-105.46995604501765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2"/>
      <sheetName val="JMK - Vashon 2020.02"/>
      <sheetName val="JMK - DM Disposal 2020.02"/>
      <sheetName val="JMK - DM Recycling 2020.02"/>
      <sheetName val="Caraustar 2020.02"/>
      <sheetName val="IP 2020.02"/>
      <sheetName val="Sonoco 2020.02"/>
      <sheetName val="WW2020.02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-103.52007117810228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3"/>
      <sheetName val="JMK - Vashon 2020.03"/>
      <sheetName val="JMK - DM Disposal 2020.03"/>
      <sheetName val="JMK - DM Recycling 2020.03"/>
      <sheetName val="Caraustar 2020.03"/>
      <sheetName val="IP 2020.03"/>
      <sheetName val="Sonoco 2020.03"/>
      <sheetName val="WW2020.03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-102.6301075683015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4"/>
      <sheetName val="JMK - Vashon 2020.04"/>
      <sheetName val="JMK - DM Disposal 2020.04"/>
      <sheetName val="JMK - DM Recycling 2020.04"/>
      <sheetName val="Caraustar 2020.04"/>
      <sheetName val="IP 2020.04"/>
      <sheetName val="Sonoco 2020.04"/>
      <sheetName val="WW2020.04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-103.83019925089036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E Query"/>
      <sheetName val="JMK Commingle Breakdown"/>
      <sheetName val="Volume Reconciliation"/>
      <sheetName val="Pioneer 2020.05"/>
      <sheetName val="JMK - Vashon 2020.05"/>
      <sheetName val="JMK - DM Disposal 2020.05"/>
      <sheetName val="JMK - DM Recycling 2020.05"/>
      <sheetName val="Caraustar 2020.05"/>
      <sheetName val="IP 2020.05"/>
      <sheetName val="Sonoco 2020.05"/>
      <sheetName val="WW2020.05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-87.990052500690837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6"/>
      <sheetName val="JMK - Vashon 2020.06"/>
      <sheetName val="JMK - DM Disposal 2020.06"/>
      <sheetName val="JMK - DM Recycling 2020.06"/>
      <sheetName val="Caraustar 2020.06"/>
      <sheetName val="IP 2020.06"/>
      <sheetName val="Sonoco 2020.06"/>
      <sheetName val="WW2020.06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-99.689985719538541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7"/>
      <sheetName val="JMK - Vashon 2020.07"/>
      <sheetName val="JMK - DM Disposal 2020.07"/>
      <sheetName val="JMK - DM Recycling 2020.07"/>
      <sheetName val="Caraustar 2020.07"/>
      <sheetName val="IP 2020.07"/>
      <sheetName val="Sonoco 2020.07"/>
      <sheetName val="WW2020.07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-101.05009344275612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8"/>
      <sheetName val="JMK - Vashon 2020.08"/>
      <sheetName val="JMK - DM Disposal 2020.08"/>
      <sheetName val="JMK - DM Recycling 2020.08"/>
      <sheetName val="Caraustar 2020.08"/>
      <sheetName val="IP 2020.08"/>
      <sheetName val="Sonoco 2020.08"/>
      <sheetName val="WW2020.08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-94.48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8">
          <cell r="B8">
            <v>69.150000000000006</v>
          </cell>
        </row>
        <row r="12">
          <cell r="J12">
            <v>-87.16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12">
          <cell r="K12">
            <v>-83.98</v>
          </cell>
          <cell r="L12">
            <v>-72.58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5"/>
      <sheetName val="12004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17">
          <cell r="J17">
            <v>2180</v>
          </cell>
        </row>
        <row r="18">
          <cell r="J18" t="str">
            <v>2020-09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</row>
        <row r="88">
          <cell r="AD88">
            <v>53382.894477317568</v>
          </cell>
        </row>
      </sheetData>
      <sheetData sheetId="2"/>
      <sheetData sheetId="3">
        <row r="92">
          <cell r="AD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6 PCR"/>
      <sheetName val="Commodity Credit 3-1-2017 PCR"/>
      <sheetName val="Commodity Credit 3-1-2018 PCR"/>
      <sheetName val="Commodity Credit 10-1-2018 PCR"/>
      <sheetName val="Commodity Credit 3-1-19 PCR"/>
      <sheetName val="Commodity Credit 9-1-19 PCR"/>
      <sheetName val="Commodity Credit 3-1-20 PCR"/>
      <sheetName val="Commodity Credit 3-1-2021 PCR"/>
      <sheetName val="Recon to BS"/>
      <sheetName val="Commodity Credit 3-1-2017 EQR"/>
      <sheetName val="Commodity Credit 3-1-2018 EQR"/>
      <sheetName val="Commodity Credit 10-1-18"/>
      <sheetName val="CPA 3-1-19"/>
      <sheetName val="CPA 9-1-19"/>
      <sheetName val="CPA 3-1-2020"/>
      <sheetName val="Commodity Credit 3-1-2021 EQR"/>
      <sheetName val="11511-2020"/>
      <sheetName val="11511-2019"/>
      <sheetName val="11511-2018"/>
      <sheetName val="20325-2018"/>
    </sheetNames>
    <sheetDataSet>
      <sheetData sheetId="0"/>
      <sheetData sheetId="1">
        <row r="65">
          <cell r="N65">
            <v>0.74</v>
          </cell>
        </row>
      </sheetData>
      <sheetData sheetId="2">
        <row r="53">
          <cell r="M53">
            <v>0.88</v>
          </cell>
        </row>
      </sheetData>
      <sheetData sheetId="3">
        <row r="71">
          <cell r="G71">
            <v>-0.14000000000000001</v>
          </cell>
        </row>
      </sheetData>
      <sheetData sheetId="4"/>
      <sheetData sheetId="5">
        <row r="20">
          <cell r="H20">
            <v>1.674383072741064</v>
          </cell>
        </row>
      </sheetData>
      <sheetData sheetId="6">
        <row r="20">
          <cell r="H20">
            <v>-1.933945318799426</v>
          </cell>
        </row>
      </sheetData>
      <sheetData sheetId="7"/>
      <sheetData sheetId="8"/>
      <sheetData sheetId="9">
        <row r="59">
          <cell r="N59">
            <v>0.53</v>
          </cell>
        </row>
      </sheetData>
      <sheetData sheetId="10">
        <row r="59">
          <cell r="N59">
            <v>0.35</v>
          </cell>
        </row>
      </sheetData>
      <sheetData sheetId="11">
        <row r="72">
          <cell r="G72">
            <v>0.09</v>
          </cell>
        </row>
      </sheetData>
      <sheetData sheetId="12"/>
      <sheetData sheetId="13">
        <row r="21">
          <cell r="H21">
            <v>1.4000051498618318</v>
          </cell>
        </row>
      </sheetData>
      <sheetData sheetId="14">
        <row r="12">
          <cell r="B12">
            <v>4906</v>
          </cell>
          <cell r="C12">
            <v>4906</v>
          </cell>
          <cell r="D12">
            <v>4910</v>
          </cell>
          <cell r="E12">
            <v>4900</v>
          </cell>
          <cell r="F12">
            <v>4905</v>
          </cell>
          <cell r="G12">
            <v>4906</v>
          </cell>
        </row>
      </sheetData>
      <sheetData sheetId="15">
        <row r="17">
          <cell r="N17">
            <v>6605.2822385863519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-107.6056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-105.66560000000001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-105.90089999999999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-109.95339999999997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-111.92589999999998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-112.07739999999998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  <cell r="AE87">
            <v>247.36738056013175</v>
          </cell>
          <cell r="AF87">
            <v>253.18121911037889</v>
          </cell>
          <cell r="AG87">
            <v>246.45057660626028</v>
          </cell>
          <cell r="AH87">
            <v>242.40032948929158</v>
          </cell>
          <cell r="AI87">
            <v>242.07825370675451</v>
          </cell>
        </row>
        <row r="88">
          <cell r="AD88">
            <v>53382.894477317568</v>
          </cell>
          <cell r="AE88">
            <v>53413.162721893488</v>
          </cell>
          <cell r="AF88">
            <v>53580.635108481263</v>
          </cell>
          <cell r="AG88">
            <v>53601.014792899412</v>
          </cell>
          <cell r="AH88">
            <v>53665.563116370809</v>
          </cell>
          <cell r="AI88">
            <v>53645.897435897423</v>
          </cell>
        </row>
      </sheetData>
      <sheetData sheetId="2"/>
      <sheetData sheetId="3">
        <row r="92">
          <cell r="AD92">
            <v>4906</v>
          </cell>
          <cell r="AE92">
            <v>4906</v>
          </cell>
          <cell r="AF92">
            <v>4910</v>
          </cell>
          <cell r="AG92">
            <v>4900</v>
          </cell>
          <cell r="AH92">
            <v>4905</v>
          </cell>
          <cell r="AI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3-1-20 No MF"/>
      <sheetName val="Commodity Credit 9-1-19"/>
      <sheetName val="Commodity Credit 3-1-20"/>
    </sheetNames>
    <sheetDataSet>
      <sheetData sheetId="0"/>
      <sheetData sheetId="1"/>
      <sheetData sheetId="2">
        <row r="20">
          <cell r="H20">
            <v>1.3190302269883769</v>
          </cell>
        </row>
      </sheetData>
      <sheetData sheetId="3"/>
      <sheetData sheetId="4">
        <row r="20">
          <cell r="H20">
            <v>1.674383072741064</v>
          </cell>
        </row>
      </sheetData>
      <sheetData sheetId="5">
        <row r="8">
          <cell r="B8">
            <v>-107.6056</v>
          </cell>
          <cell r="C8">
            <v>-105.66560000000001</v>
          </cell>
          <cell r="D8">
            <v>-105.90089999999999</v>
          </cell>
          <cell r="E8">
            <v>-109.95339999999997</v>
          </cell>
          <cell r="F8">
            <v>-111.92589999999998</v>
          </cell>
          <cell r="G8">
            <v>-112.07739999999998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B9">
            <v>1149.8100000000002</v>
          </cell>
          <cell r="C9">
            <v>857.65</v>
          </cell>
          <cell r="D9">
            <v>887.86</v>
          </cell>
          <cell r="E9">
            <v>1004.2599999999999</v>
          </cell>
          <cell r="F9">
            <v>1015.4</v>
          </cell>
          <cell r="G9">
            <v>1079.5200000000007</v>
          </cell>
          <cell r="H9">
            <v>1158.0999999999992</v>
          </cell>
          <cell r="I9">
            <v>931.4</v>
          </cell>
          <cell r="J9">
            <v>962.41000000000054</v>
          </cell>
          <cell r="K9">
            <v>1014.67</v>
          </cell>
          <cell r="L9">
            <v>1016.55</v>
          </cell>
          <cell r="M9">
            <v>1111.05</v>
          </cell>
        </row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54073.215267413463</v>
          </cell>
          <cell r="F111">
            <v>54418.058200829357</v>
          </cell>
          <cell r="G111">
            <v>54252.123502155053</v>
          </cell>
          <cell r="H111">
            <v>54756.256888650722</v>
          </cell>
          <cell r="I111">
            <v>54841.063253928311</v>
          </cell>
          <cell r="J111">
            <v>55031.372760602826</v>
          </cell>
          <cell r="K111">
            <v>55117.494341524674</v>
          </cell>
          <cell r="L111">
            <v>55160.602994704808</v>
          </cell>
        </row>
        <row r="161">
          <cell r="B161">
            <v>69.150000000000006</v>
          </cell>
          <cell r="C161">
            <v>69.099999999999994</v>
          </cell>
          <cell r="D161">
            <v>62.58</v>
          </cell>
          <cell r="E161">
            <v>80.42</v>
          </cell>
          <cell r="F161">
            <v>75.41</v>
          </cell>
          <cell r="G161">
            <v>66.390000000000015</v>
          </cell>
          <cell r="H161">
            <v>60.84</v>
          </cell>
          <cell r="I161">
            <v>59.06</v>
          </cell>
          <cell r="J161">
            <v>75.540000000000006</v>
          </cell>
          <cell r="K161">
            <v>65.42</v>
          </cell>
          <cell r="L161">
            <v>51.85</v>
          </cell>
          <cell r="M161">
            <v>70.430000000000007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M73">
            <v>0</v>
          </cell>
        </row>
        <row r="74">
          <cell r="M74">
            <v>208.857519</v>
          </cell>
        </row>
        <row r="75">
          <cell r="M75">
            <v>491.37419</v>
          </cell>
        </row>
        <row r="76">
          <cell r="M76">
            <v>25.649169000000001</v>
          </cell>
        </row>
        <row r="77">
          <cell r="M77">
            <v>10.052970999999999</v>
          </cell>
        </row>
        <row r="78">
          <cell r="M78">
            <v>10.052970999999999</v>
          </cell>
        </row>
        <row r="79">
          <cell r="M79">
            <v>1.409295</v>
          </cell>
        </row>
        <row r="80">
          <cell r="M80">
            <v>3.7581199999999999</v>
          </cell>
        </row>
        <row r="81">
          <cell r="M81">
            <v>76.947507000000002</v>
          </cell>
        </row>
        <row r="82">
          <cell r="M82">
            <v>9.5832060000000006</v>
          </cell>
        </row>
        <row r="83">
          <cell r="M83">
            <v>20.857566000000002</v>
          </cell>
        </row>
        <row r="84">
          <cell r="M84">
            <v>2.8185899999999999</v>
          </cell>
        </row>
        <row r="85">
          <cell r="M85">
            <v>75.726118</v>
          </cell>
        </row>
        <row r="86">
          <cell r="M86">
            <v>2.4427779999999997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251.22234149999994</v>
          </cell>
          <cell r="C74">
            <v>168.883533</v>
          </cell>
          <cell r="D74">
            <v>203.50231200000002</v>
          </cell>
          <cell r="E74">
            <v>193.48769700000003</v>
          </cell>
          <cell r="F74">
            <v>207.28585800000002</v>
          </cell>
        </row>
        <row r="75">
          <cell r="B75">
            <v>591.04491499999995</v>
          </cell>
          <cell r="C75">
            <v>397.32833000000005</v>
          </cell>
          <cell r="D75">
            <v>478.77512000000007</v>
          </cell>
          <cell r="E75">
            <v>455.21397000000007</v>
          </cell>
          <cell r="F75">
            <v>487.67658000000006</v>
          </cell>
        </row>
        <row r="76">
          <cell r="B76">
            <v>30.851866499999996</v>
          </cell>
          <cell r="C76">
            <v>20.740083000000002</v>
          </cell>
          <cell r="D76">
            <v>24.991512000000004</v>
          </cell>
          <cell r="E76">
            <v>23.761647000000004</v>
          </cell>
          <cell r="F76">
            <v>25.456158000000002</v>
          </cell>
        </row>
        <row r="77">
          <cell r="B77">
            <v>12.092123499999998</v>
          </cell>
          <cell r="C77">
            <v>8.1288970000000003</v>
          </cell>
          <cell r="D77">
            <v>9.7952080000000006</v>
          </cell>
          <cell r="E77">
            <v>9.3131730000000008</v>
          </cell>
          <cell r="F77">
            <v>9.9773219999999991</v>
          </cell>
        </row>
        <row r="78">
          <cell r="B78">
            <v>12.092123499999998</v>
          </cell>
          <cell r="C78">
            <v>8.1288970000000003</v>
          </cell>
          <cell r="D78">
            <v>9.7952080000000006</v>
          </cell>
          <cell r="E78">
            <v>9.3131730000000008</v>
          </cell>
          <cell r="F78">
            <v>9.9773219999999991</v>
          </cell>
        </row>
        <row r="79">
          <cell r="B79">
            <v>1.6951574999999997</v>
          </cell>
          <cell r="C79">
            <v>1.1395650000000002</v>
          </cell>
          <cell r="D79">
            <v>1.3731600000000002</v>
          </cell>
          <cell r="E79">
            <v>1.3055850000000002</v>
          </cell>
          <cell r="F79">
            <v>1.39869</v>
          </cell>
        </row>
        <row r="80">
          <cell r="B80">
            <v>4.5204199999999997</v>
          </cell>
          <cell r="C80">
            <v>3.0388400000000004</v>
          </cell>
          <cell r="D80">
            <v>3.6617600000000001</v>
          </cell>
          <cell r="E80">
            <v>3.4815600000000004</v>
          </cell>
          <cell r="F80">
            <v>3.7298400000000003</v>
          </cell>
        </row>
        <row r="81">
          <cell r="B81">
            <v>92.555599499999985</v>
          </cell>
          <cell r="C81">
            <v>62.220249000000003</v>
          </cell>
          <cell r="D81">
            <v>74.974536000000001</v>
          </cell>
          <cell r="E81">
            <v>71.284941000000003</v>
          </cell>
          <cell r="F81">
            <v>76.368474000000006</v>
          </cell>
        </row>
        <row r="82">
          <cell r="B82">
            <v>11.527070999999999</v>
          </cell>
          <cell r="C82">
            <v>7.7490420000000011</v>
          </cell>
          <cell r="D82">
            <v>9.3374880000000005</v>
          </cell>
          <cell r="E82">
            <v>8.8779780000000024</v>
          </cell>
          <cell r="F82">
            <v>9.5110920000000014</v>
          </cell>
        </row>
        <row r="83">
          <cell r="B83">
            <v>25.088330999999997</v>
          </cell>
          <cell r="C83">
            <v>16.865562000000001</v>
          </cell>
          <cell r="D83">
            <v>20.322768000000003</v>
          </cell>
          <cell r="E83">
            <v>19.322658000000004</v>
          </cell>
          <cell r="F83">
            <v>20.700612000000003</v>
          </cell>
        </row>
        <row r="84">
          <cell r="B84">
            <v>3.3903149999999993</v>
          </cell>
          <cell r="C84">
            <v>2.2791300000000003</v>
          </cell>
          <cell r="D84">
            <v>2.7463200000000003</v>
          </cell>
          <cell r="E84">
            <v>2.6111700000000004</v>
          </cell>
          <cell r="F84">
            <v>2.79738</v>
          </cell>
        </row>
        <row r="85">
          <cell r="B85">
            <v>91.086462999999995</v>
          </cell>
          <cell r="C85">
            <v>61.232626000000003</v>
          </cell>
          <cell r="D85">
            <v>73.784464000000014</v>
          </cell>
          <cell r="E85">
            <v>70.153434000000019</v>
          </cell>
          <cell r="F85">
            <v>75.156276000000005</v>
          </cell>
        </row>
        <row r="86">
          <cell r="B86">
            <v>2.9382729999999992</v>
          </cell>
          <cell r="C86">
            <v>1.9752460000000001</v>
          </cell>
          <cell r="D86">
            <v>2.380144</v>
          </cell>
          <cell r="E86">
            <v>2.2630140000000001</v>
          </cell>
          <cell r="F86">
            <v>2.4243959999999998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>
        <row r="28">
          <cell r="G28">
            <v>-79.117449999999991</v>
          </cell>
        </row>
      </sheetData>
      <sheetData sheetId="1">
        <row r="28">
          <cell r="G28">
            <v>-87.291549999999987</v>
          </cell>
        </row>
      </sheetData>
      <sheetData sheetId="2">
        <row r="28">
          <cell r="G28">
            <v>-98.354199999999992</v>
          </cell>
        </row>
      </sheetData>
      <sheetData sheetId="3">
        <row r="28">
          <cell r="G28">
            <v>-100.63679999999999</v>
          </cell>
        </row>
      </sheetData>
      <sheetData sheetId="4">
        <row r="28">
          <cell r="G28">
            <v>-106.56739999999999</v>
          </cell>
        </row>
      </sheetData>
      <sheetData sheetId="5">
        <row r="28">
          <cell r="G28">
            <v>-108.9653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>
        <row r="92">
          <cell r="AI92">
            <v>52983.822485207093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>
        <row r="92">
          <cell r="X92">
            <v>53014.607447952709</v>
          </cell>
          <cell r="Y92">
            <v>52927.20994706724</v>
          </cell>
          <cell r="Z92">
            <v>53161.748225014555</v>
          </cell>
          <cell r="AA92">
            <v>53409.872032078092</v>
          </cell>
          <cell r="AB92">
            <v>53539.911227981247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9-1-19"/>
    </sheetNames>
    <sheetDataSet>
      <sheetData sheetId="0"/>
      <sheetData sheetId="1"/>
      <sheetData sheetId="2">
        <row r="15">
          <cell r="G15">
            <v>-1.5218819616765027</v>
          </cell>
        </row>
        <row r="20">
          <cell r="H20">
            <v>1.3190302269883769</v>
          </cell>
        </row>
        <row r="22">
          <cell r="H22">
            <v>2.0790808241030114</v>
          </cell>
        </row>
      </sheetData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4">
          <cell r="M164">
            <v>0</v>
          </cell>
        </row>
        <row r="165">
          <cell r="M165">
            <v>15.274232999999999</v>
          </cell>
        </row>
        <row r="166">
          <cell r="M166">
            <v>35.93533</v>
          </cell>
        </row>
        <row r="167">
          <cell r="M167">
            <v>1.875783</v>
          </cell>
        </row>
        <row r="168">
          <cell r="M168">
            <v>0.73519699999999988</v>
          </cell>
        </row>
        <row r="169">
          <cell r="M169">
            <v>0.73519699999999988</v>
          </cell>
        </row>
        <row r="170">
          <cell r="M170">
            <v>0.10306499999999999</v>
          </cell>
        </row>
        <row r="171">
          <cell r="M171">
            <v>0.27483999999999997</v>
          </cell>
        </row>
        <row r="172">
          <cell r="M172">
            <v>5.6273489999999997</v>
          </cell>
        </row>
        <row r="173">
          <cell r="M173">
            <v>0.70084199999999996</v>
          </cell>
        </row>
        <row r="174">
          <cell r="M174">
            <v>1.5253619999999999</v>
          </cell>
        </row>
        <row r="175">
          <cell r="M175">
            <v>0.20612999999999998</v>
          </cell>
        </row>
        <row r="176">
          <cell r="M176">
            <v>5.5380259999999994</v>
          </cell>
        </row>
        <row r="177">
          <cell r="M177">
            <v>0.17864599999999997</v>
          </cell>
        </row>
        <row r="178">
          <cell r="M178">
            <v>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 refreshError="1">
        <row r="28">
          <cell r="G28">
            <v>-79.117449999999991</v>
          </cell>
        </row>
      </sheetData>
      <sheetData sheetId="1" refreshError="1">
        <row r="28">
          <cell r="G28">
            <v>-87.291549999999987</v>
          </cell>
        </row>
      </sheetData>
      <sheetData sheetId="2" refreshError="1">
        <row r="28">
          <cell r="G28">
            <v>-98.354199999999992</v>
          </cell>
        </row>
      </sheetData>
      <sheetData sheetId="3" refreshError="1">
        <row r="28">
          <cell r="G28">
            <v>-100.63679999999999</v>
          </cell>
        </row>
      </sheetData>
      <sheetData sheetId="4" refreshError="1">
        <row r="28">
          <cell r="G28">
            <v>-106.56739999999999</v>
          </cell>
        </row>
      </sheetData>
      <sheetData sheetId="5" refreshError="1">
        <row r="28">
          <cell r="G28">
            <v>-108.9653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/>
      <sheetData sheetId="1" refreshError="1"/>
      <sheetData sheetId="2" refreshError="1">
        <row r="92">
          <cell r="AI92">
            <v>4906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  <sheetName val="2180 (EQR) - Price 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2">
          <cell r="X92">
            <v>4905</v>
          </cell>
          <cell r="Y92">
            <v>4905</v>
          </cell>
          <cell r="AB92">
            <v>4906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/>
      <sheetData sheetId="2">
        <row r="7">
          <cell r="B7">
            <v>1034.0049999999997</v>
          </cell>
          <cell r="C7">
            <v>794.13</v>
          </cell>
          <cell r="D7">
            <v>857.21</v>
          </cell>
          <cell r="E7">
            <v>992.90000000000009</v>
          </cell>
          <cell r="F7">
            <v>943.61</v>
          </cell>
          <cell r="G7">
            <v>879.2</v>
          </cell>
          <cell r="H7">
            <v>947.26</v>
          </cell>
          <cell r="I7">
            <v>773.05</v>
          </cell>
          <cell r="J7">
            <v>703.21</v>
          </cell>
          <cell r="K7">
            <v>751.24</v>
          </cell>
          <cell r="L7">
            <v>947.37</v>
          </cell>
        </row>
        <row r="8">
          <cell r="B8">
            <v>83.410000000000025</v>
          </cell>
          <cell r="C8">
            <v>66.78</v>
          </cell>
          <cell r="D8">
            <v>91.8</v>
          </cell>
          <cell r="E8">
            <v>83.54</v>
          </cell>
          <cell r="F8">
            <v>51.69</v>
          </cell>
          <cell r="G8">
            <v>66.02</v>
          </cell>
          <cell r="H8">
            <v>40.82</v>
          </cell>
          <cell r="I8">
            <v>56.04</v>
          </cell>
          <cell r="J8">
            <v>56.18</v>
          </cell>
          <cell r="K8">
            <v>63.11</v>
          </cell>
          <cell r="L8">
            <v>75.48</v>
          </cell>
        </row>
        <row r="12">
          <cell r="B12">
            <v>-60.24</v>
          </cell>
          <cell r="C12">
            <v>-70</v>
          </cell>
          <cell r="D12">
            <v>-64.59</v>
          </cell>
          <cell r="E12">
            <v>-47.95</v>
          </cell>
          <cell r="F12">
            <v>-41.42</v>
          </cell>
          <cell r="G12">
            <v>-19.48</v>
          </cell>
          <cell r="H12">
            <v>0.86</v>
          </cell>
          <cell r="I12">
            <v>14.16</v>
          </cell>
          <cell r="J12">
            <v>19.97</v>
          </cell>
          <cell r="K12">
            <v>17.21</v>
          </cell>
          <cell r="L12">
            <v>-1.02</v>
          </cell>
        </row>
      </sheetData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10-1-18"/>
      <sheetName val="CPA 3-1-19"/>
      <sheetName val="CPA 9-1-19"/>
      <sheetName val="CPA 3-1-2020"/>
    </sheetNames>
    <sheetDataSet>
      <sheetData sheetId="0"/>
      <sheetData sheetId="1">
        <row r="15">
          <cell r="G15">
            <v>-1.1992481812174811</v>
          </cell>
        </row>
        <row r="21">
          <cell r="H21">
            <v>1.0464232116902947</v>
          </cell>
        </row>
        <row r="23">
          <cell r="H23">
            <v>1.814756545023628</v>
          </cell>
        </row>
      </sheetData>
      <sheetData sheetId="2">
        <row r="15">
          <cell r="G15">
            <v>-1.0464232116902947</v>
          </cell>
        </row>
      </sheetData>
      <sheetData sheetId="3">
        <row r="19">
          <cell r="H19">
            <v>-0.11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 refreshError="1"/>
      <sheetData sheetId="1">
        <row r="12">
          <cell r="M12">
            <v>-63.200322753542132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Resources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1">
          <cell r="M111">
            <v>55212.056878381547</v>
          </cell>
        </row>
        <row r="181">
          <cell r="M181">
            <v>4909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55709.136059982695</v>
          </cell>
          <cell r="F111">
            <v>55750.104261608365</v>
          </cell>
          <cell r="G111">
            <v>55801.639669600183</v>
          </cell>
          <cell r="H111">
            <v>55870.280804671114</v>
          </cell>
          <cell r="I111">
            <v>55859.725381563112</v>
          </cell>
          <cell r="J111">
            <v>56061.840174393947</v>
          </cell>
          <cell r="K111">
            <v>56041.363129413126</v>
          </cell>
          <cell r="L111">
            <v>55997.471978838286</v>
          </cell>
        </row>
        <row r="158">
          <cell r="B158">
            <v>4906</v>
          </cell>
          <cell r="C158">
            <v>4906</v>
          </cell>
          <cell r="D158">
            <v>4902</v>
          </cell>
          <cell r="E158">
            <v>4902</v>
          </cell>
          <cell r="F158">
            <v>4902</v>
          </cell>
          <cell r="G158">
            <v>4902</v>
          </cell>
          <cell r="H158">
            <v>4902</v>
          </cell>
          <cell r="I158">
            <v>4902</v>
          </cell>
          <cell r="J158">
            <v>4902</v>
          </cell>
          <cell r="K158">
            <v>4902</v>
          </cell>
          <cell r="L158">
            <v>4902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G7">
            <v>918.51</v>
          </cell>
          <cell r="H7">
            <v>1089.97</v>
          </cell>
          <cell r="I7">
            <v>1019.69</v>
          </cell>
          <cell r="J7">
            <v>882.33</v>
          </cell>
          <cell r="K7">
            <v>930.17</v>
          </cell>
          <cell r="L7">
            <v>902.08</v>
          </cell>
        </row>
        <row r="9">
          <cell r="M9">
            <v>1053.3900000000001</v>
          </cell>
        </row>
        <row r="161">
          <cell r="H161">
            <v>62.23</v>
          </cell>
          <cell r="I161">
            <v>61.06</v>
          </cell>
          <cell r="J161">
            <v>63.17</v>
          </cell>
          <cell r="K161">
            <v>69.17</v>
          </cell>
          <cell r="L161">
            <v>65.010000000000005</v>
          </cell>
          <cell r="M161">
            <v>70.3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B165">
            <v>17.495010000000001</v>
          </cell>
          <cell r="C165">
            <v>12.937860000000001</v>
          </cell>
          <cell r="D165">
            <v>14.791842000000001</v>
          </cell>
          <cell r="E165">
            <v>15.412058999999999</v>
          </cell>
          <cell r="F165">
            <v>18.546489000000001</v>
          </cell>
        </row>
        <row r="166">
          <cell r="B166">
            <v>41.1601</v>
          </cell>
          <cell r="C166">
            <v>30.438600000000001</v>
          </cell>
          <cell r="D166">
            <v>34.800420000000003</v>
          </cell>
          <cell r="E166">
            <v>36.259590000000003</v>
          </cell>
          <cell r="F166">
            <v>43.633890000000008</v>
          </cell>
        </row>
        <row r="167">
          <cell r="B167">
            <v>2.1485100000000004</v>
          </cell>
          <cell r="C167">
            <v>1.5888600000000002</v>
          </cell>
          <cell r="D167">
            <v>1.8165420000000003</v>
          </cell>
          <cell r="E167">
            <v>1.892709</v>
          </cell>
          <cell r="F167">
            <v>2.2776390000000002</v>
          </cell>
        </row>
        <row r="168">
          <cell r="B168">
            <v>0.84209000000000001</v>
          </cell>
          <cell r="C168">
            <v>0.62273999999999996</v>
          </cell>
          <cell r="D168">
            <v>0.711978</v>
          </cell>
          <cell r="E168">
            <v>0.74183099999999991</v>
          </cell>
          <cell r="F168">
            <v>0.89270100000000008</v>
          </cell>
        </row>
        <row r="169">
          <cell r="B169">
            <v>0.84209000000000001</v>
          </cell>
          <cell r="C169">
            <v>0.62273999999999996</v>
          </cell>
          <cell r="D169">
            <v>0.711978</v>
          </cell>
          <cell r="E169">
            <v>0.74183099999999991</v>
          </cell>
          <cell r="F169">
            <v>0.89270100000000008</v>
          </cell>
        </row>
        <row r="170">
          <cell r="B170">
            <v>0.11805</v>
          </cell>
          <cell r="C170">
            <v>8.7300000000000003E-2</v>
          </cell>
          <cell r="D170">
            <v>9.981000000000001E-2</v>
          </cell>
          <cell r="E170">
            <v>0.103995</v>
          </cell>
          <cell r="F170">
            <v>0.12514500000000001</v>
          </cell>
        </row>
        <row r="171">
          <cell r="B171">
            <v>0.31480000000000002</v>
          </cell>
          <cell r="C171">
            <v>0.23280000000000001</v>
          </cell>
          <cell r="D171">
            <v>0.26616000000000001</v>
          </cell>
          <cell r="E171">
            <v>0.27732000000000001</v>
          </cell>
          <cell r="F171">
            <v>0.33372000000000002</v>
          </cell>
        </row>
        <row r="172">
          <cell r="B172">
            <v>6.4455300000000006</v>
          </cell>
          <cell r="C172">
            <v>4.7665800000000003</v>
          </cell>
          <cell r="D172">
            <v>5.4496260000000003</v>
          </cell>
          <cell r="E172">
            <v>5.6781269999999999</v>
          </cell>
          <cell r="F172">
            <v>6.832917000000001</v>
          </cell>
        </row>
        <row r="173">
          <cell r="B173">
            <v>0.80274000000000012</v>
          </cell>
          <cell r="C173">
            <v>0.59364000000000006</v>
          </cell>
          <cell r="D173">
            <v>0.67870800000000009</v>
          </cell>
          <cell r="E173">
            <v>0.70716600000000007</v>
          </cell>
          <cell r="F173">
            <v>0.85098600000000013</v>
          </cell>
        </row>
        <row r="174">
          <cell r="B174">
            <v>1.7471400000000001</v>
          </cell>
          <cell r="C174">
            <v>1.2920400000000001</v>
          </cell>
          <cell r="D174">
            <v>1.4771880000000002</v>
          </cell>
          <cell r="E174">
            <v>1.539126</v>
          </cell>
          <cell r="F174">
            <v>1.8521460000000003</v>
          </cell>
        </row>
        <row r="175">
          <cell r="B175">
            <v>0.2361</v>
          </cell>
          <cell r="C175">
            <v>0.17460000000000001</v>
          </cell>
          <cell r="D175">
            <v>0.19962000000000002</v>
          </cell>
          <cell r="E175">
            <v>0.20799000000000001</v>
          </cell>
          <cell r="F175">
            <v>0.25029000000000001</v>
          </cell>
        </row>
        <row r="176">
          <cell r="B176">
            <v>6.3432200000000005</v>
          </cell>
          <cell r="C176">
            <v>4.6909200000000002</v>
          </cell>
          <cell r="D176">
            <v>5.3631240000000009</v>
          </cell>
          <cell r="E176">
            <v>5.5879979999999998</v>
          </cell>
          <cell r="F176">
            <v>6.7244580000000012</v>
          </cell>
        </row>
        <row r="177">
          <cell r="B177">
            <v>0.20462</v>
          </cell>
          <cell r="C177">
            <v>0.15132000000000001</v>
          </cell>
          <cell r="D177">
            <v>0.17300400000000002</v>
          </cell>
          <cell r="E177">
            <v>0.18025799999999997</v>
          </cell>
          <cell r="F177">
            <v>0.216918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2180 Commodity Revenue"/>
      <sheetName val="Pioneer Price"/>
      <sheetName val="Interject_LastPulledValues"/>
      <sheetName val="Pioneer Detail"/>
      <sheetName val="Pioneer Invoice"/>
      <sheetName val="Invoice"/>
    </sheetNames>
    <sheetDataSet>
      <sheetData sheetId="0" refreshError="1"/>
      <sheetData sheetId="1">
        <row r="12">
          <cell r="M12">
            <v>-111.72239999999998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52"/>
  <sheetViews>
    <sheetView showGridLines="0" tabSelected="1" zoomScale="115" zoomScaleNormal="115" zoomScaleSheetLayoutView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H30" sqref="H30"/>
    </sheetView>
  </sheetViews>
  <sheetFormatPr defaultRowHeight="12" x14ac:dyDescent="0.2"/>
  <cols>
    <col min="1" max="1" width="34.7109375" style="39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7" customFormat="1" x14ac:dyDescent="0.2">
      <c r="A3" s="4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V3" s="8"/>
      <c r="W3" s="8"/>
    </row>
    <row r="4" spans="1:27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8"/>
      <c r="W4" s="8"/>
    </row>
    <row r="5" spans="1:27" s="13" customFormat="1" x14ac:dyDescent="0.2">
      <c r="A5" s="9"/>
      <c r="B5" s="10">
        <v>44166</v>
      </c>
      <c r="C5" s="10">
        <v>44197</v>
      </c>
      <c r="D5" s="10">
        <v>44228</v>
      </c>
      <c r="E5" s="10">
        <v>44256</v>
      </c>
      <c r="F5" s="10">
        <v>44287</v>
      </c>
      <c r="G5" s="10">
        <v>44317</v>
      </c>
      <c r="H5" s="10">
        <v>44348</v>
      </c>
      <c r="I5" s="10">
        <v>44378</v>
      </c>
      <c r="J5" s="10">
        <v>44409</v>
      </c>
      <c r="K5" s="10">
        <v>44440</v>
      </c>
      <c r="L5" s="10">
        <v>44470</v>
      </c>
      <c r="M5" s="10">
        <v>44501</v>
      </c>
      <c r="N5" s="11" t="s">
        <v>3</v>
      </c>
      <c r="O5" s="11"/>
      <c r="P5" s="12"/>
      <c r="Q5" s="12"/>
    </row>
    <row r="6" spans="1:27" s="14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</row>
    <row r="7" spans="1:27" ht="12.75" x14ac:dyDescent="0.2">
      <c r="A7" s="273" t="s">
        <v>4</v>
      </c>
      <c r="B7" s="275">
        <f>'[3]Raw Data'!M9</f>
        <v>1111.05</v>
      </c>
      <c r="C7" s="275">
        <f>+'[4]2180 Commodity Revenue'!B$7</f>
        <v>1034.0049999999997</v>
      </c>
      <c r="D7" s="275">
        <f>+'[4]2180 Commodity Revenue'!C$7</f>
        <v>794.13</v>
      </c>
      <c r="E7" s="275">
        <f>+'[4]2180 Commodity Revenue'!D$7</f>
        <v>857.21</v>
      </c>
      <c r="F7" s="275">
        <f>+'[4]2180 Commodity Revenue'!E$7</f>
        <v>992.90000000000009</v>
      </c>
      <c r="G7" s="275">
        <f>+'[4]2180 Commodity Revenue'!F$7</f>
        <v>943.61</v>
      </c>
      <c r="H7" s="275">
        <f>+'[4]2180 Commodity Revenue'!G$7</f>
        <v>879.2</v>
      </c>
      <c r="I7" s="275">
        <f>+'[4]2180 Commodity Revenue'!H$7</f>
        <v>947.26</v>
      </c>
      <c r="J7" s="275">
        <f>+'[4]2180 Commodity Revenue'!I$7</f>
        <v>773.05</v>
      </c>
      <c r="K7" s="275">
        <f>+'[4]2180 Commodity Revenue'!J$7</f>
        <v>703.21</v>
      </c>
      <c r="L7" s="275">
        <f>+'[4]2180 Commodity Revenue'!K$7</f>
        <v>751.24</v>
      </c>
      <c r="M7" s="275">
        <f>+'[4]2180 Commodity Revenue'!L$7</f>
        <v>947.37</v>
      </c>
      <c r="N7" s="18">
        <f>SUM(B7:M7)</f>
        <v>10734.235000000001</v>
      </c>
      <c r="O7" s="75"/>
      <c r="P7" s="20"/>
      <c r="Q7" s="20"/>
      <c r="R7" s="21"/>
      <c r="S7" s="22"/>
    </row>
    <row r="8" spans="1:27" ht="12.75" x14ac:dyDescent="0.2">
      <c r="A8" s="273" t="s">
        <v>35</v>
      </c>
      <c r="B8" s="276">
        <f>+'[5]2180 Commodity Revenue'!$M$12</f>
        <v>-63.200322753542132</v>
      </c>
      <c r="C8" s="277">
        <f>+'[4]2180 Commodity Revenue'!B$12</f>
        <v>-60.24</v>
      </c>
      <c r="D8" s="277">
        <f>+'[4]2180 Commodity Revenue'!C$12</f>
        <v>-70</v>
      </c>
      <c r="E8" s="277">
        <f>+'[4]2180 Commodity Revenue'!D$12</f>
        <v>-64.59</v>
      </c>
      <c r="F8" s="277">
        <f>+'[4]2180 Commodity Revenue'!E$12</f>
        <v>-47.95</v>
      </c>
      <c r="G8" s="277">
        <f>+'[4]2180 Commodity Revenue'!F$12</f>
        <v>-41.42</v>
      </c>
      <c r="H8" s="277">
        <f>+'[4]2180 Commodity Revenue'!G$12</f>
        <v>-19.48</v>
      </c>
      <c r="I8" s="277">
        <f>+'[4]2180 Commodity Revenue'!H$12</f>
        <v>0.86</v>
      </c>
      <c r="J8" s="277">
        <f>+'[4]2180 Commodity Revenue'!I$12</f>
        <v>14.16</v>
      </c>
      <c r="K8" s="277">
        <f>+'[4]2180 Commodity Revenue'!J$12</f>
        <v>19.97</v>
      </c>
      <c r="L8" s="277">
        <f>+'[4]2180 Commodity Revenue'!K$12</f>
        <v>17.21</v>
      </c>
      <c r="M8" s="277">
        <f>+'[4]2180 Commodity Revenue'!L$12</f>
        <v>-1.02</v>
      </c>
      <c r="N8" s="18"/>
      <c r="O8" s="19"/>
      <c r="P8" s="20"/>
      <c r="Q8" s="20"/>
      <c r="R8" s="21"/>
      <c r="S8" s="22"/>
    </row>
    <row r="9" spans="1:27" x14ac:dyDescent="0.2">
      <c r="A9" s="24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26"/>
      <c r="P9" s="27"/>
      <c r="Q9" s="28"/>
      <c r="R9" s="29"/>
      <c r="S9" s="29"/>
      <c r="T9" s="29"/>
      <c r="U9" s="29"/>
      <c r="V9" s="29"/>
      <c r="W9" s="29"/>
      <c r="X9" s="29"/>
    </row>
    <row r="10" spans="1:27" s="38" customFormat="1" x14ac:dyDescent="0.2">
      <c r="A10" s="232" t="s">
        <v>40</v>
      </c>
      <c r="B10" s="278">
        <f>B7*B8</f>
        <v>-70218.718595322978</v>
      </c>
      <c r="C10" s="278">
        <f t="shared" ref="C10:M10" si="0">C7*C8</f>
        <v>-62288.461199999983</v>
      </c>
      <c r="D10" s="278">
        <f t="shared" si="0"/>
        <v>-55589.1</v>
      </c>
      <c r="E10" s="278">
        <f t="shared" si="0"/>
        <v>-55367.193900000006</v>
      </c>
      <c r="F10" s="278">
        <f t="shared" si="0"/>
        <v>-47609.555000000008</v>
      </c>
      <c r="G10" s="278">
        <f t="shared" si="0"/>
        <v>-39084.326200000003</v>
      </c>
      <c r="H10" s="278">
        <f t="shared" si="0"/>
        <v>-17126.816000000003</v>
      </c>
      <c r="I10" s="278">
        <f>I7*I8</f>
        <v>814.64359999999999</v>
      </c>
      <c r="J10" s="278">
        <f t="shared" si="0"/>
        <v>10946.387999999999</v>
      </c>
      <c r="K10" s="278">
        <f t="shared" si="0"/>
        <v>14043.1037</v>
      </c>
      <c r="L10" s="278">
        <f t="shared" si="0"/>
        <v>12928.840400000001</v>
      </c>
      <c r="M10" s="278">
        <f t="shared" si="0"/>
        <v>-966.31740000000002</v>
      </c>
      <c r="N10" s="278">
        <f>SUM(B10:M10)</f>
        <v>-309517.51259532303</v>
      </c>
      <c r="O10" s="32"/>
      <c r="P10" s="33"/>
      <c r="Q10" s="34"/>
      <c r="R10" s="35"/>
      <c r="S10" s="36"/>
      <c r="T10" s="36"/>
      <c r="U10" s="36"/>
      <c r="V10" s="36"/>
      <c r="W10" s="36"/>
      <c r="X10" s="36"/>
      <c r="Y10" s="37"/>
      <c r="Z10" s="37"/>
      <c r="AA10" s="37"/>
    </row>
    <row r="11" spans="1:27" x14ac:dyDescent="0.2"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9"/>
      <c r="O11" s="29"/>
      <c r="P11" s="26"/>
      <c r="Q11" s="26"/>
      <c r="R11" s="26"/>
      <c r="S11" s="29"/>
      <c r="T11" s="29"/>
      <c r="U11" s="29"/>
      <c r="V11" s="29"/>
      <c r="W11" s="29"/>
      <c r="X11" s="29"/>
      <c r="Y11" s="3"/>
      <c r="Z11" s="3"/>
      <c r="AA11" s="3"/>
    </row>
    <row r="12" spans="1:27" s="46" customFormat="1" x14ac:dyDescent="0.2">
      <c r="A12" s="42" t="s">
        <v>6</v>
      </c>
      <c r="B12" s="280">
        <f>+'[6]Raw Data'!$M$111</f>
        <v>55212.056878381547</v>
      </c>
      <c r="C12" s="280">
        <f>+'[7]Raw Data'!B$111</f>
        <v>53365.326442402125</v>
      </c>
      <c r="D12" s="280">
        <f>+'[7]Raw Data'!C$111</f>
        <v>53409.753671438448</v>
      </c>
      <c r="E12" s="280">
        <f>+'[7]Raw Data'!D$111</f>
        <v>53598.28953822569</v>
      </c>
      <c r="F12" s="280">
        <f>+'[7]Raw Data'!E$111</f>
        <v>55709.136059982695</v>
      </c>
      <c r="G12" s="280">
        <f>+'[7]Raw Data'!F$111</f>
        <v>55750.104261608365</v>
      </c>
      <c r="H12" s="280">
        <f>+'[7]Raw Data'!G$111</f>
        <v>55801.639669600183</v>
      </c>
      <c r="I12" s="280">
        <f>+'[7]Raw Data'!H$111</f>
        <v>55870.280804671114</v>
      </c>
      <c r="J12" s="280">
        <f>+'[7]Raw Data'!I$111</f>
        <v>55859.725381563112</v>
      </c>
      <c r="K12" s="280">
        <f>+'[7]Raw Data'!J$111</f>
        <v>56061.840174393947</v>
      </c>
      <c r="L12" s="280">
        <f>+'[7]Raw Data'!K$111</f>
        <v>56041.363129413126</v>
      </c>
      <c r="M12" s="280">
        <f>+'[7]Raw Data'!L$111</f>
        <v>55997.471978838286</v>
      </c>
      <c r="N12" s="280">
        <f>SUM(B12:M12)</f>
        <v>662676.98799051868</v>
      </c>
      <c r="O12" s="33"/>
      <c r="P12" s="26"/>
      <c r="Q12" s="45"/>
      <c r="R12" s="26"/>
      <c r="S12" s="26"/>
      <c r="T12" s="26"/>
      <c r="U12" s="26"/>
      <c r="V12" s="26"/>
      <c r="W12" s="26"/>
      <c r="X12" s="26"/>
    </row>
    <row r="13" spans="1:27" s="25" customFormat="1" x14ac:dyDescent="0.2">
      <c r="A13" s="4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9"/>
      <c r="P13" s="26"/>
      <c r="Q13" s="48"/>
      <c r="R13" s="26"/>
      <c r="S13" s="26"/>
      <c r="T13" s="26"/>
      <c r="U13" s="26"/>
      <c r="V13" s="26"/>
      <c r="W13" s="26"/>
      <c r="X13" s="26"/>
      <c r="Y13" s="46"/>
      <c r="Z13" s="46"/>
      <c r="AA13" s="46"/>
    </row>
    <row r="14" spans="1:27" s="25" customFormat="1" x14ac:dyDescent="0.2">
      <c r="A14" s="236" t="s">
        <v>36</v>
      </c>
      <c r="B14" s="281">
        <f t="shared" ref="B14:M14" si="1">+IFERROR(B10/B12,0)</f>
        <v>-1.2718004465944346</v>
      </c>
      <c r="C14" s="281">
        <f t="shared" si="1"/>
        <v>-1.1672084732251888</v>
      </c>
      <c r="D14" s="281">
        <f t="shared" si="1"/>
        <v>-1.0408042759749141</v>
      </c>
      <c r="E14" s="281">
        <f t="shared" si="1"/>
        <v>-1.0330030002265791</v>
      </c>
      <c r="F14" s="281">
        <f t="shared" si="1"/>
        <v>-0.85460946564919316</v>
      </c>
      <c r="G14" s="281">
        <f t="shared" si="1"/>
        <v>-0.70106283598315977</v>
      </c>
      <c r="H14" s="281">
        <f t="shared" si="1"/>
        <v>-0.30692316751635546</v>
      </c>
      <c r="I14" s="281">
        <f t="shared" si="1"/>
        <v>1.4580982738355784E-2</v>
      </c>
      <c r="J14" s="281">
        <f t="shared" si="1"/>
        <v>0.19596208046545338</v>
      </c>
      <c r="K14" s="281">
        <f t="shared" si="1"/>
        <v>0.25049309220524196</v>
      </c>
      <c r="L14" s="281">
        <f t="shared" si="1"/>
        <v>0.23070174738869514</v>
      </c>
      <c r="M14" s="281">
        <f t="shared" si="1"/>
        <v>-1.7256446868979657E-2</v>
      </c>
      <c r="N14" s="281"/>
      <c r="O14" s="50"/>
      <c r="P14" s="26"/>
      <c r="Q14" s="26"/>
      <c r="R14" s="26"/>
      <c r="S14" s="26"/>
      <c r="T14" s="26"/>
      <c r="U14" s="26"/>
      <c r="V14" s="26"/>
      <c r="W14" s="26"/>
      <c r="X14" s="26"/>
      <c r="Y14" s="46"/>
      <c r="Z14" s="46"/>
      <c r="AA14" s="46"/>
    </row>
    <row r="15" spans="1:27" s="25" customFormat="1" x14ac:dyDescent="0.2">
      <c r="A15" s="236" t="s">
        <v>37</v>
      </c>
      <c r="B15" s="281">
        <f>+'CPA 3-1-2021 PCR'!$M$15</f>
        <v>-1.933945318799426</v>
      </c>
      <c r="C15" s="281">
        <f>+B15</f>
        <v>-1.933945318799426</v>
      </c>
      <c r="D15" s="281">
        <f>+C15</f>
        <v>-1.933945318799426</v>
      </c>
      <c r="E15" s="281">
        <f>-'CPA 3-1-2021 PCR'!$N$20</f>
        <v>-1.7923509261975059</v>
      </c>
      <c r="F15" s="281">
        <f>-'CPA 3-1-2021 PCR'!$N$20</f>
        <v>-1.7923509261975059</v>
      </c>
      <c r="G15" s="281">
        <f>-'CPA 3-1-2021 PCR'!$N$20</f>
        <v>-1.7923509261975059</v>
      </c>
      <c r="H15" s="281">
        <f>-'CPA 3-1-2021 PCR'!$N$20</f>
        <v>-1.7923509261975059</v>
      </c>
      <c r="I15" s="281">
        <f>-'CPA 3-1-2021 PCR'!$N$20</f>
        <v>-1.7923509261975059</v>
      </c>
      <c r="J15" s="281">
        <f>-'CPA 3-1-2021 PCR'!$N$20</f>
        <v>-1.7923509261975059</v>
      </c>
      <c r="K15" s="281">
        <f>-'CPA 3-1-2021 PCR'!$N$20</f>
        <v>-1.7923509261975059</v>
      </c>
      <c r="L15" s="281">
        <f>-'CPA 3-1-2021 PCR'!$N$20</f>
        <v>-1.7923509261975059</v>
      </c>
      <c r="M15" s="281">
        <f>-'CPA 3-1-2021 PCR'!$N$20</f>
        <v>-1.7923509261975059</v>
      </c>
      <c r="N15" s="282"/>
      <c r="O15" s="50"/>
      <c r="P15" s="26"/>
      <c r="Q15" s="26"/>
      <c r="R15" s="26"/>
      <c r="S15" s="26"/>
      <c r="T15" s="26"/>
      <c r="U15" s="26"/>
      <c r="V15" s="26"/>
      <c r="W15" s="26"/>
      <c r="X15" s="26"/>
      <c r="Y15" s="46"/>
      <c r="Z15" s="46"/>
      <c r="AA15" s="46"/>
    </row>
    <row r="16" spans="1:27" s="25" customFormat="1" x14ac:dyDescent="0.2">
      <c r="A16" s="236" t="s">
        <v>38</v>
      </c>
      <c r="B16" s="283">
        <f t="shared" ref="B16:M16" si="2">+B15*B12</f>
        <v>-106777.09894123363</v>
      </c>
      <c r="C16" s="283">
        <f t="shared" si="2"/>
        <v>-103205.62325948682</v>
      </c>
      <c r="D16" s="283">
        <f t="shared" si="2"/>
        <v>-103291.54309110885</v>
      </c>
      <c r="E16" s="283">
        <f t="shared" si="2"/>
        <v>-96066.943896440906</v>
      </c>
      <c r="F16" s="283">
        <f t="shared" si="2"/>
        <v>-99850.321614772853</v>
      </c>
      <c r="G16" s="283">
        <f t="shared" si="2"/>
        <v>-99923.751008901279</v>
      </c>
      <c r="H16" s="283">
        <f t="shared" si="2"/>
        <v>-100016.12054514738</v>
      </c>
      <c r="I16" s="283">
        <f t="shared" si="2"/>
        <v>-100139.14954716701</v>
      </c>
      <c r="J16" s="283">
        <f t="shared" si="2"/>
        <v>-100120.23052478298</v>
      </c>
      <c r="K16" s="283">
        <f t="shared" si="2"/>
        <v>-100482.49116091154</v>
      </c>
      <c r="L16" s="283">
        <f t="shared" si="2"/>
        <v>-100445.78911037438</v>
      </c>
      <c r="M16" s="283">
        <f t="shared" si="2"/>
        <v>-100367.12076598969</v>
      </c>
      <c r="N16" s="283"/>
      <c r="O16" s="53"/>
      <c r="P16" s="26"/>
      <c r="Q16" s="28"/>
      <c r="R16" s="54"/>
      <c r="S16" s="26"/>
      <c r="T16" s="26"/>
      <c r="U16" s="26"/>
      <c r="V16" s="26"/>
      <c r="W16" s="26"/>
      <c r="X16" s="26"/>
      <c r="Y16" s="46"/>
      <c r="Z16" s="46"/>
      <c r="AA16" s="46"/>
    </row>
    <row r="17" spans="1:27" s="58" customFormat="1" x14ac:dyDescent="0.2">
      <c r="A17" s="232" t="s">
        <v>39</v>
      </c>
      <c r="B17" s="268">
        <f t="shared" ref="B17:M17" si="3">+ROUND((B16-B10),2)</f>
        <v>-36558.379999999997</v>
      </c>
      <c r="C17" s="268">
        <f t="shared" si="3"/>
        <v>-40917.160000000003</v>
      </c>
      <c r="D17" s="268">
        <f t="shared" si="3"/>
        <v>-47702.44</v>
      </c>
      <c r="E17" s="268">
        <f t="shared" si="3"/>
        <v>-40699.75</v>
      </c>
      <c r="F17" s="268">
        <f t="shared" si="3"/>
        <v>-52240.77</v>
      </c>
      <c r="G17" s="268">
        <f t="shared" si="3"/>
        <v>-60839.42</v>
      </c>
      <c r="H17" s="268">
        <f t="shared" si="3"/>
        <v>-82889.3</v>
      </c>
      <c r="I17" s="268">
        <f t="shared" si="3"/>
        <v>-100953.79</v>
      </c>
      <c r="J17" s="268">
        <f t="shared" si="3"/>
        <v>-111066.62</v>
      </c>
      <c r="K17" s="268">
        <f t="shared" si="3"/>
        <v>-114525.59</v>
      </c>
      <c r="L17" s="268">
        <f t="shared" si="3"/>
        <v>-113374.63</v>
      </c>
      <c r="M17" s="268">
        <f t="shared" si="3"/>
        <v>-99400.8</v>
      </c>
      <c r="N17" s="280">
        <f>SUM(B17:M17)</f>
        <v>-901168.64999999991</v>
      </c>
      <c r="O17" s="56"/>
      <c r="P17" s="26"/>
      <c r="Q17" s="33"/>
      <c r="R17" s="35"/>
      <c r="S17" s="33"/>
      <c r="T17" s="33"/>
      <c r="U17" s="33"/>
      <c r="V17" s="33"/>
      <c r="W17" s="33"/>
      <c r="X17" s="33"/>
      <c r="Y17" s="57"/>
      <c r="Z17" s="57"/>
      <c r="AA17" s="57"/>
    </row>
    <row r="18" spans="1:27" s="25" customFormat="1" x14ac:dyDescent="0.2">
      <c r="A18" s="47"/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5"/>
      <c r="O18" s="61"/>
      <c r="P18" s="62"/>
      <c r="Q18" s="62"/>
      <c r="R18" s="26"/>
      <c r="S18" s="26"/>
      <c r="T18" s="26"/>
      <c r="U18" s="26"/>
      <c r="V18" s="26"/>
      <c r="W18" s="26"/>
      <c r="X18" s="26"/>
      <c r="Y18" s="46"/>
      <c r="Z18" s="46"/>
      <c r="AA18" s="46"/>
    </row>
    <row r="19" spans="1:27" s="25" customFormat="1" ht="12.75" x14ac:dyDescent="0.2">
      <c r="A19" s="47"/>
      <c r="B19" s="284"/>
      <c r="C19" s="284"/>
      <c r="D19" s="284"/>
      <c r="E19" s="284"/>
      <c r="F19" s="284"/>
      <c r="G19" s="46"/>
      <c r="H19" s="63"/>
      <c r="I19" s="63"/>
      <c r="J19" s="63"/>
      <c r="K19" s="63"/>
      <c r="L19" s="63"/>
      <c r="M19" s="270" t="s">
        <v>34</v>
      </c>
      <c r="N19" s="64">
        <f>ROUND((N17/N12),2)</f>
        <v>-1.36</v>
      </c>
      <c r="O19" s="80"/>
      <c r="P19" s="62"/>
      <c r="Q19" s="62"/>
      <c r="R19" s="26"/>
      <c r="S19" s="26"/>
      <c r="T19" s="26"/>
      <c r="U19" s="26"/>
      <c r="V19" s="26"/>
      <c r="W19" s="26"/>
      <c r="X19" s="26"/>
      <c r="Y19" s="46"/>
      <c r="Z19" s="46"/>
      <c r="AA19" s="46"/>
    </row>
    <row r="20" spans="1:27" s="25" customFormat="1" ht="12.75" x14ac:dyDescent="0.2">
      <c r="A20" s="274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284"/>
      <c r="M20" s="270" t="s">
        <v>33</v>
      </c>
      <c r="N20" s="64">
        <f>-N10/N12</f>
        <v>0.46707146649817194</v>
      </c>
      <c r="O20" s="65"/>
      <c r="P20" s="62"/>
      <c r="Q20" s="62"/>
      <c r="R20" s="26"/>
      <c r="S20" s="26"/>
      <c r="T20" s="26"/>
      <c r="U20" s="26"/>
      <c r="V20" s="26"/>
      <c r="W20" s="26"/>
      <c r="X20" s="26"/>
      <c r="Y20" s="46"/>
      <c r="Z20" s="46"/>
      <c r="AA20" s="46"/>
    </row>
    <row r="21" spans="1:27" s="25" customFormat="1" ht="15" x14ac:dyDescent="0.25">
      <c r="A21" s="274"/>
      <c r="B21" s="284"/>
      <c r="C21" s="284"/>
      <c r="D21" s="284"/>
      <c r="E21" s="284"/>
      <c r="F21" s="284"/>
      <c r="G21" s="46"/>
      <c r="H21" s="66"/>
      <c r="I21" s="66"/>
      <c r="J21" s="66"/>
      <c r="K21" s="66"/>
      <c r="L21" s="66"/>
      <c r="M21" s="270" t="s">
        <v>18</v>
      </c>
      <c r="N21" s="148">
        <f>+N19+N20</f>
        <v>-0.89292853350182821</v>
      </c>
      <c r="O21" s="286"/>
      <c r="P21" s="62"/>
      <c r="Q21" s="62"/>
      <c r="R21" s="26"/>
      <c r="S21" s="26"/>
      <c r="T21" s="26"/>
      <c r="U21" s="26"/>
      <c r="V21" s="26"/>
      <c r="W21" s="26"/>
      <c r="X21" s="26"/>
      <c r="Y21" s="46"/>
      <c r="Z21" s="46"/>
      <c r="AA21" s="46"/>
    </row>
    <row r="22" spans="1:27" s="25" customFormat="1" ht="15" x14ac:dyDescent="0.25">
      <c r="A22" s="274"/>
      <c r="B22" s="284"/>
      <c r="C22" s="284"/>
      <c r="D22" s="284"/>
      <c r="E22" s="284"/>
      <c r="F22" s="284"/>
      <c r="G22" s="46"/>
      <c r="H22" s="63"/>
      <c r="I22" s="63"/>
      <c r="J22" s="63"/>
      <c r="K22" s="63"/>
      <c r="L22" s="63"/>
      <c r="M22" s="63"/>
      <c r="N22" s="68"/>
      <c r="O22" s="286"/>
      <c r="P22" s="62"/>
      <c r="Q22" s="62"/>
      <c r="R22" s="26"/>
      <c r="S22" s="26"/>
      <c r="T22" s="26"/>
      <c r="U22" s="26"/>
      <c r="V22" s="26"/>
      <c r="W22" s="26"/>
      <c r="X22" s="26"/>
      <c r="Y22" s="46"/>
      <c r="Z22" s="46"/>
      <c r="AA22" s="46"/>
    </row>
    <row r="23" spans="1:27" s="25" customFormat="1" ht="15" x14ac:dyDescent="0.25">
      <c r="A23" s="274"/>
      <c r="B23" s="284"/>
      <c r="C23" s="284"/>
      <c r="D23" s="284"/>
      <c r="E23" s="284"/>
      <c r="F23" s="284"/>
      <c r="G23" s="46"/>
      <c r="H23" s="63"/>
      <c r="I23" s="63"/>
      <c r="J23" s="63"/>
      <c r="K23" s="63"/>
      <c r="L23" s="63"/>
      <c r="M23" s="270" t="s">
        <v>17</v>
      </c>
      <c r="N23" s="69">
        <f>+'CPA 3-1-2021 PCR'!N21</f>
        <v>1.7123509261975058</v>
      </c>
      <c r="O23" s="286"/>
      <c r="P23" s="62"/>
      <c r="Q23" s="62"/>
      <c r="R23" s="26"/>
      <c r="S23" s="26"/>
      <c r="T23" s="26"/>
      <c r="U23" s="26"/>
      <c r="V23" s="26"/>
      <c r="W23" s="26"/>
      <c r="X23" s="26"/>
      <c r="Y23" s="46"/>
      <c r="Z23" s="46"/>
      <c r="AA23" s="46"/>
    </row>
    <row r="24" spans="1:27" s="25" customFormat="1" ht="12.75" x14ac:dyDescent="0.2">
      <c r="A24" s="47"/>
      <c r="B24" s="284"/>
      <c r="C24" s="284"/>
      <c r="D24" s="284"/>
      <c r="E24" s="284"/>
      <c r="F24" s="284"/>
      <c r="G24" s="46"/>
      <c r="H24" s="63"/>
      <c r="I24" s="63"/>
      <c r="J24" s="63"/>
      <c r="K24" s="63"/>
      <c r="L24" s="63"/>
      <c r="M24" s="270" t="s">
        <v>14</v>
      </c>
      <c r="N24" s="69">
        <f>N21-N23</f>
        <v>-2.6052794596993341</v>
      </c>
      <c r="O24" s="70">
        <f>N24/N23</f>
        <v>-1.5214635153582041</v>
      </c>
      <c r="P24" s="62"/>
      <c r="Q24" s="62"/>
      <c r="R24" s="26"/>
      <c r="S24" s="26"/>
      <c r="T24" s="26"/>
      <c r="U24" s="26"/>
      <c r="V24" s="26"/>
      <c r="W24" s="26"/>
      <c r="X24" s="26"/>
      <c r="Y24" s="46"/>
      <c r="Z24" s="46"/>
      <c r="AA24" s="46"/>
    </row>
    <row r="25" spans="1:27" s="25" customFormat="1" ht="15" x14ac:dyDescent="0.25">
      <c r="A25" s="47"/>
      <c r="B25" s="284"/>
      <c r="C25" s="284"/>
      <c r="D25" s="284"/>
      <c r="E25" s="284"/>
      <c r="F25" s="284"/>
      <c r="G25" s="46"/>
      <c r="H25" s="63"/>
      <c r="I25" s="63"/>
      <c r="J25" s="63"/>
      <c r="K25" s="63"/>
      <c r="L25" s="63"/>
      <c r="M25" s="270" t="s">
        <v>15</v>
      </c>
      <c r="N25" s="71">
        <f>-N24*N12*2</f>
        <v>3452917.4904542412</v>
      </c>
      <c r="O25" s="286"/>
      <c r="P25" s="62"/>
      <c r="Q25" s="62"/>
      <c r="R25" s="26"/>
      <c r="S25" s="26"/>
      <c r="T25" s="26"/>
      <c r="U25" s="26"/>
      <c r="V25" s="26"/>
      <c r="W25" s="26"/>
      <c r="X25" s="26"/>
      <c r="Y25" s="46"/>
      <c r="Z25" s="46"/>
      <c r="AA25" s="46"/>
    </row>
    <row r="26" spans="1:27" s="25" customFormat="1" x14ac:dyDescent="0.2">
      <c r="A26" s="47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5"/>
      <c r="O26" s="61"/>
      <c r="P26" s="62"/>
      <c r="Q26" s="62"/>
      <c r="R26" s="26"/>
      <c r="S26" s="26"/>
      <c r="T26" s="26"/>
      <c r="U26" s="26"/>
      <c r="V26" s="26"/>
      <c r="W26" s="26"/>
      <c r="X26" s="26"/>
      <c r="Y26" s="46"/>
      <c r="Z26" s="46"/>
      <c r="AA26" s="46"/>
    </row>
    <row r="27" spans="1:27" x14ac:dyDescent="0.2">
      <c r="A27" s="7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9" spans="1:27" x14ac:dyDescent="0.2">
      <c r="A29" s="288"/>
      <c r="B29" s="53"/>
      <c r="C29" s="53"/>
      <c r="D29" s="53"/>
      <c r="E29" s="53"/>
      <c r="F29" s="53"/>
      <c r="G29" s="53"/>
      <c r="H29" s="52"/>
      <c r="I29" s="52"/>
      <c r="J29" s="52"/>
      <c r="K29" s="52"/>
      <c r="L29" s="52"/>
      <c r="M29" s="52"/>
    </row>
    <row r="30" spans="1:27" x14ac:dyDescent="0.2">
      <c r="A30" s="288"/>
      <c r="B30" s="44"/>
      <c r="C30" s="44"/>
      <c r="D30" s="44"/>
      <c r="E30" s="44"/>
      <c r="F30" s="44"/>
      <c r="G30" s="44"/>
      <c r="H30" s="59"/>
      <c r="I30" s="59"/>
      <c r="J30" s="59"/>
      <c r="K30" s="59"/>
      <c r="L30" s="59"/>
      <c r="M30" s="59"/>
    </row>
    <row r="31" spans="1:27" x14ac:dyDescent="0.2">
      <c r="A31" s="288"/>
      <c r="B31" s="289"/>
      <c r="C31" s="289"/>
      <c r="D31" s="289"/>
      <c r="E31" s="289"/>
      <c r="F31" s="289"/>
      <c r="G31" s="289"/>
      <c r="H31" s="73"/>
      <c r="I31" s="73"/>
      <c r="J31" s="73"/>
      <c r="K31" s="73"/>
      <c r="L31" s="73"/>
      <c r="M31" s="73"/>
    </row>
    <row r="32" spans="1:27" x14ac:dyDescent="0.2">
      <c r="A32" s="290"/>
      <c r="B32" s="291"/>
      <c r="C32" s="292"/>
      <c r="D32" s="287"/>
      <c r="E32" s="29"/>
      <c r="F32" s="29"/>
      <c r="G32" s="29"/>
    </row>
    <row r="33" spans="1:7" x14ac:dyDescent="0.2">
      <c r="A33" s="288"/>
      <c r="B33" s="29"/>
      <c r="C33" s="29"/>
      <c r="D33" s="29"/>
      <c r="E33" s="29"/>
      <c r="F33" s="29"/>
      <c r="G33" s="29"/>
    </row>
    <row r="34" spans="1:7" x14ac:dyDescent="0.2">
      <c r="A34" s="288"/>
      <c r="B34" s="287"/>
      <c r="C34" s="29"/>
      <c r="D34" s="29"/>
      <c r="E34" s="287"/>
      <c r="F34" s="29"/>
      <c r="G34" s="29"/>
    </row>
    <row r="35" spans="1:7" x14ac:dyDescent="0.2">
      <c r="A35" s="288"/>
      <c r="B35" s="287"/>
      <c r="C35" s="29"/>
      <c r="D35" s="29"/>
      <c r="E35" s="289"/>
      <c r="F35" s="29"/>
      <c r="G35" s="29"/>
    </row>
    <row r="36" spans="1:7" x14ac:dyDescent="0.2">
      <c r="A36" s="288"/>
      <c r="B36" s="29"/>
      <c r="C36" s="287"/>
      <c r="D36" s="29"/>
      <c r="E36" s="29"/>
      <c r="F36" s="29"/>
      <c r="G36" s="29"/>
    </row>
    <row r="37" spans="1:7" x14ac:dyDescent="0.2">
      <c r="A37" s="288"/>
      <c r="B37" s="29"/>
      <c r="C37" s="29"/>
      <c r="D37" s="29"/>
      <c r="E37" s="29"/>
      <c r="F37" s="29"/>
      <c r="G37" s="29"/>
    </row>
    <row r="38" spans="1:7" x14ac:dyDescent="0.2">
      <c r="A38" s="288"/>
      <c r="B38" s="29"/>
      <c r="C38" s="29"/>
      <c r="D38" s="29"/>
      <c r="E38" s="29"/>
      <c r="F38" s="29"/>
      <c r="G38" s="29"/>
    </row>
    <row r="39" spans="1:7" x14ac:dyDescent="0.2">
      <c r="A39" s="288"/>
      <c r="B39" s="287"/>
      <c r="C39" s="29"/>
      <c r="D39" s="29"/>
      <c r="E39" s="29"/>
      <c r="F39" s="29"/>
      <c r="G39" s="29"/>
    </row>
    <row r="40" spans="1:7" x14ac:dyDescent="0.2">
      <c r="A40" s="288"/>
      <c r="B40" s="287"/>
      <c r="C40" s="29"/>
      <c r="D40" s="29"/>
      <c r="E40" s="289"/>
      <c r="F40" s="29"/>
      <c r="G40" s="29"/>
    </row>
    <row r="41" spans="1:7" x14ac:dyDescent="0.2">
      <c r="A41" s="288"/>
      <c r="B41" s="29"/>
      <c r="C41" s="287"/>
      <c r="D41" s="29"/>
      <c r="E41" s="293"/>
      <c r="F41" s="294"/>
      <c r="G41" s="29"/>
    </row>
    <row r="42" spans="1:7" x14ac:dyDescent="0.2">
      <c r="A42" s="288"/>
      <c r="B42" s="29"/>
      <c r="C42" s="287"/>
      <c r="D42" s="29"/>
      <c r="E42" s="29"/>
      <c r="F42" s="29"/>
      <c r="G42" s="29"/>
    </row>
    <row r="43" spans="1:7" x14ac:dyDescent="0.2">
      <c r="A43" s="288"/>
      <c r="B43" s="29"/>
      <c r="C43" s="29"/>
      <c r="D43" s="29"/>
      <c r="E43" s="29"/>
      <c r="F43" s="29"/>
      <c r="G43" s="29"/>
    </row>
    <row r="44" spans="1:7" x14ac:dyDescent="0.2">
      <c r="A44" s="288"/>
      <c r="B44" s="29"/>
      <c r="C44" s="29"/>
      <c r="D44" s="29"/>
      <c r="E44" s="29"/>
      <c r="F44" s="29"/>
      <c r="G44" s="29"/>
    </row>
    <row r="45" spans="1:7" x14ac:dyDescent="0.2">
      <c r="A45" s="288"/>
      <c r="B45" s="287"/>
      <c r="C45" s="29"/>
      <c r="D45" s="29"/>
      <c r="E45" s="29"/>
      <c r="F45" s="29"/>
      <c r="G45" s="29"/>
    </row>
    <row r="46" spans="1:7" x14ac:dyDescent="0.2">
      <c r="A46" s="288"/>
      <c r="B46" s="287"/>
      <c r="C46" s="29"/>
      <c r="D46" s="29"/>
      <c r="E46" s="29"/>
      <c r="F46" s="29"/>
      <c r="G46" s="29"/>
    </row>
    <row r="47" spans="1:7" x14ac:dyDescent="0.2">
      <c r="A47" s="288"/>
      <c r="B47" s="29"/>
      <c r="C47" s="287"/>
      <c r="D47" s="29"/>
      <c r="E47" s="289"/>
      <c r="F47" s="294"/>
      <c r="G47" s="29"/>
    </row>
    <row r="48" spans="1:7" x14ac:dyDescent="0.2">
      <c r="A48" s="288"/>
      <c r="B48" s="29"/>
      <c r="C48" s="287"/>
      <c r="D48" s="29"/>
      <c r="E48" s="29"/>
      <c r="F48" s="29"/>
      <c r="G48" s="29"/>
    </row>
    <row r="49" spans="1:7" x14ac:dyDescent="0.2">
      <c r="A49" s="288"/>
      <c r="B49" s="29"/>
      <c r="C49" s="29"/>
      <c r="D49" s="29"/>
      <c r="E49" s="294"/>
      <c r="F49" s="29"/>
      <c r="G49" s="29"/>
    </row>
    <row r="50" spans="1:7" x14ac:dyDescent="0.2">
      <c r="A50" s="288"/>
      <c r="B50" s="29"/>
      <c r="C50" s="29"/>
      <c r="D50" s="29"/>
      <c r="E50" s="29"/>
      <c r="F50" s="29"/>
      <c r="G50" s="29"/>
    </row>
    <row r="51" spans="1:7" x14ac:dyDescent="0.2">
      <c r="A51" s="288"/>
      <c r="B51" s="29"/>
      <c r="C51" s="29"/>
      <c r="D51" s="29"/>
      <c r="E51" s="29"/>
      <c r="F51" s="29"/>
      <c r="G51" s="29"/>
    </row>
    <row r="52" spans="1:7" x14ac:dyDescent="0.2">
      <c r="A52" s="288"/>
      <c r="B52" s="29"/>
      <c r="C52" s="29"/>
      <c r="D52" s="29"/>
      <c r="E52" s="29"/>
      <c r="F52" s="29"/>
      <c r="G52" s="29"/>
    </row>
  </sheetData>
  <pageMargins left="0.5" right="0.5" top="0.5" bottom="0.5" header="0.5" footer="0.5"/>
  <pageSetup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31"/>
  <sheetViews>
    <sheetView showGridLines="0" zoomScale="130" zoomScaleNormal="130" zoomScaleSheetLayoutView="100" workbookViewId="0">
      <pane xSplit="1" ySplit="5" topLeftCell="B6" activePane="bottomRight" state="frozen"/>
      <selection activeCell="C27" sqref="C27"/>
      <selection pane="topRight" activeCell="C27" sqref="C27"/>
      <selection pane="bottomLeft" activeCell="C27" sqref="C27"/>
      <selection pane="bottomRight" activeCell="A17" sqref="A17"/>
    </sheetView>
  </sheetViews>
  <sheetFormatPr defaultRowHeight="12" x14ac:dyDescent="0.2"/>
  <cols>
    <col min="1" max="1" width="45.42578125" style="39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7" customFormat="1" x14ac:dyDescent="0.2">
      <c r="A3" s="4" t="str">
        <f>+'CPA 3-1-2022 PCR'!A3</f>
        <v>Rate Effective March 1, 2022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V3" s="8"/>
      <c r="W3" s="8"/>
    </row>
    <row r="4" spans="1:27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8"/>
      <c r="W4" s="8"/>
    </row>
    <row r="5" spans="1:27" s="13" customFormat="1" x14ac:dyDescent="0.2">
      <c r="A5" s="9"/>
      <c r="B5" s="10">
        <v>44166</v>
      </c>
      <c r="C5" s="10">
        <v>44197</v>
      </c>
      <c r="D5" s="10">
        <v>44228</v>
      </c>
      <c r="E5" s="10">
        <v>44256</v>
      </c>
      <c r="F5" s="10">
        <v>44287</v>
      </c>
      <c r="G5" s="10">
        <v>44317</v>
      </c>
      <c r="H5" s="10">
        <v>44348</v>
      </c>
      <c r="I5" s="10">
        <v>44378</v>
      </c>
      <c r="J5" s="10">
        <v>44409</v>
      </c>
      <c r="K5" s="10">
        <v>44440</v>
      </c>
      <c r="L5" s="10">
        <v>44470</v>
      </c>
      <c r="M5" s="10">
        <v>44501</v>
      </c>
      <c r="N5" s="11" t="s">
        <v>3</v>
      </c>
      <c r="O5" s="11"/>
      <c r="P5" s="12"/>
      <c r="Q5" s="12"/>
    </row>
    <row r="6" spans="1:27" s="14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</row>
    <row r="7" spans="1:27" ht="12.75" x14ac:dyDescent="0.2">
      <c r="A7" s="273" t="s">
        <v>4</v>
      </c>
      <c r="B7" s="79">
        <f>+'[3]Raw Data'!M161</f>
        <v>70.430000000000007</v>
      </c>
      <c r="C7" s="79">
        <f>+'[4]2180 Commodity Revenue'!B$8</f>
        <v>83.410000000000025</v>
      </c>
      <c r="D7" s="79">
        <f>+'[4]2180 Commodity Revenue'!C$8</f>
        <v>66.78</v>
      </c>
      <c r="E7" s="79">
        <f>+'[4]2180 Commodity Revenue'!D$8</f>
        <v>91.8</v>
      </c>
      <c r="F7" s="79">
        <f>+'[4]2180 Commodity Revenue'!E$8</f>
        <v>83.54</v>
      </c>
      <c r="G7" s="79">
        <f>+'[4]2180 Commodity Revenue'!F$8</f>
        <v>51.69</v>
      </c>
      <c r="H7" s="79">
        <f>+'[4]2180 Commodity Revenue'!G$8</f>
        <v>66.02</v>
      </c>
      <c r="I7" s="79">
        <f>+'[4]2180 Commodity Revenue'!H$8</f>
        <v>40.82</v>
      </c>
      <c r="J7" s="79">
        <f>+'[4]2180 Commodity Revenue'!I$8</f>
        <v>56.04</v>
      </c>
      <c r="K7" s="79">
        <f>+'[4]2180 Commodity Revenue'!J$8</f>
        <v>56.18</v>
      </c>
      <c r="L7" s="79">
        <f>+'[4]2180 Commodity Revenue'!K$8</f>
        <v>63.11</v>
      </c>
      <c r="M7" s="79">
        <f>+'[4]2180 Commodity Revenue'!L$8</f>
        <v>75.48</v>
      </c>
      <c r="N7" s="18">
        <f>SUM(B7:M7)</f>
        <v>805.30000000000007</v>
      </c>
      <c r="O7" s="19"/>
      <c r="P7" s="20"/>
      <c r="Q7" s="20"/>
      <c r="R7" s="21"/>
      <c r="S7" s="22"/>
    </row>
    <row r="8" spans="1:27" ht="12.75" x14ac:dyDescent="0.2">
      <c r="A8" s="273" t="s">
        <v>35</v>
      </c>
      <c r="B8" s="271">
        <f>+'CPA 3-1-2022 PCR'!B8</f>
        <v>-63.200322753542132</v>
      </c>
      <c r="C8" s="271">
        <f>+'CPA 3-1-2022 PCR'!C8</f>
        <v>-60.24</v>
      </c>
      <c r="D8" s="271">
        <f>+'CPA 3-1-2022 PCR'!D8</f>
        <v>-70</v>
      </c>
      <c r="E8" s="271">
        <f>+'CPA 3-1-2022 PCR'!E8</f>
        <v>-64.59</v>
      </c>
      <c r="F8" s="271">
        <f>+'CPA 3-1-2022 PCR'!F8</f>
        <v>-47.95</v>
      </c>
      <c r="G8" s="271">
        <f>+'CPA 3-1-2022 PCR'!G8</f>
        <v>-41.42</v>
      </c>
      <c r="H8" s="271">
        <f>+'CPA 3-1-2022 PCR'!H8</f>
        <v>-19.48</v>
      </c>
      <c r="I8" s="271">
        <f>+'CPA 3-1-2022 PCR'!I8</f>
        <v>0.86</v>
      </c>
      <c r="J8" s="271">
        <f>+'CPA 3-1-2022 PCR'!J8</f>
        <v>14.16</v>
      </c>
      <c r="K8" s="271">
        <f>+'CPA 3-1-2022 PCR'!K8</f>
        <v>19.97</v>
      </c>
      <c r="L8" s="271">
        <f>+'CPA 3-1-2022 PCR'!L8</f>
        <v>17.21</v>
      </c>
      <c r="M8" s="271">
        <f>+'CPA 3-1-2022 PCR'!M8</f>
        <v>-1.02</v>
      </c>
      <c r="N8" s="18"/>
      <c r="O8" s="19"/>
      <c r="P8" s="20"/>
      <c r="Q8" s="20"/>
      <c r="R8" s="21"/>
      <c r="S8" s="22"/>
    </row>
    <row r="9" spans="1:27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/>
      <c r="Q9" s="28"/>
      <c r="R9" s="29"/>
      <c r="S9" s="29"/>
      <c r="T9" s="29"/>
      <c r="U9" s="29"/>
      <c r="V9" s="29"/>
      <c r="W9" s="29"/>
      <c r="X9" s="29"/>
    </row>
    <row r="10" spans="1:27" s="38" customFormat="1" x14ac:dyDescent="0.2">
      <c r="A10" s="232" t="s">
        <v>40</v>
      </c>
      <c r="B10" s="31">
        <f>B7*B8</f>
        <v>-4451.198731531973</v>
      </c>
      <c r="C10" s="31">
        <f t="shared" ref="C10:M10" si="0">C7*C8</f>
        <v>-5024.6184000000021</v>
      </c>
      <c r="D10" s="31">
        <f t="shared" si="0"/>
        <v>-4674.6000000000004</v>
      </c>
      <c r="E10" s="31">
        <f t="shared" si="0"/>
        <v>-5929.3620000000001</v>
      </c>
      <c r="F10" s="31">
        <f t="shared" si="0"/>
        <v>-4005.7430000000004</v>
      </c>
      <c r="G10" s="31">
        <f t="shared" si="0"/>
        <v>-2140.9998000000001</v>
      </c>
      <c r="H10" s="31">
        <f t="shared" si="0"/>
        <v>-1286.0696</v>
      </c>
      <c r="I10" s="31">
        <f t="shared" si="0"/>
        <v>35.105199999999996</v>
      </c>
      <c r="J10" s="31">
        <f t="shared" si="0"/>
        <v>793.52639999999997</v>
      </c>
      <c r="K10" s="31">
        <f t="shared" si="0"/>
        <v>1121.9145999999998</v>
      </c>
      <c r="L10" s="31">
        <f t="shared" si="0"/>
        <v>1086.1231</v>
      </c>
      <c r="M10" s="31">
        <f t="shared" si="0"/>
        <v>-76.98960000000001</v>
      </c>
      <c r="N10" s="31">
        <f>SUM(B10:M10)</f>
        <v>-24552.911831531972</v>
      </c>
      <c r="O10" s="32"/>
      <c r="P10" s="33"/>
      <c r="Q10" s="34"/>
      <c r="R10" s="35"/>
      <c r="S10" s="36"/>
      <c r="T10" s="36"/>
      <c r="U10" s="36"/>
      <c r="V10" s="36"/>
      <c r="W10" s="36"/>
      <c r="X10" s="36"/>
      <c r="Y10" s="37"/>
      <c r="Z10" s="37"/>
      <c r="AA10" s="37"/>
    </row>
    <row r="11" spans="1:27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29"/>
      <c r="P11" s="26"/>
      <c r="Q11" s="26"/>
      <c r="R11" s="26"/>
      <c r="S11" s="29"/>
      <c r="T11" s="29"/>
      <c r="U11" s="29"/>
      <c r="V11" s="29"/>
      <c r="W11" s="29"/>
      <c r="X11" s="29"/>
      <c r="Y11" s="3"/>
      <c r="Z11" s="3"/>
      <c r="AA11" s="3"/>
    </row>
    <row r="12" spans="1:27" s="46" customFormat="1" x14ac:dyDescent="0.2">
      <c r="A12" s="42" t="s">
        <v>6</v>
      </c>
      <c r="B12" s="78">
        <f>+'[6]Raw Data'!$M$181</f>
        <v>4909</v>
      </c>
      <c r="C12" s="78">
        <f>+'[7]Raw Data'!B$158</f>
        <v>4906</v>
      </c>
      <c r="D12" s="78">
        <f>+'[7]Raw Data'!C$158</f>
        <v>4906</v>
      </c>
      <c r="E12" s="78">
        <f>+'[7]Raw Data'!D$158</f>
        <v>4902</v>
      </c>
      <c r="F12" s="78">
        <f>+'[7]Raw Data'!E$158</f>
        <v>4902</v>
      </c>
      <c r="G12" s="78">
        <f>+'[7]Raw Data'!F$158</f>
        <v>4902</v>
      </c>
      <c r="H12" s="78">
        <f>+'[7]Raw Data'!G$158</f>
        <v>4902</v>
      </c>
      <c r="I12" s="78">
        <f>+'[7]Raw Data'!H$158</f>
        <v>4902</v>
      </c>
      <c r="J12" s="78">
        <f>+'[7]Raw Data'!I$158</f>
        <v>4902</v>
      </c>
      <c r="K12" s="78">
        <f>+'[7]Raw Data'!J$158</f>
        <v>4902</v>
      </c>
      <c r="L12" s="78">
        <f>+'[7]Raw Data'!K$158</f>
        <v>4902</v>
      </c>
      <c r="M12" s="78">
        <f>+'[7]Raw Data'!L$158</f>
        <v>4902</v>
      </c>
      <c r="N12" s="42">
        <f>SUM(B12:M12)</f>
        <v>58839</v>
      </c>
      <c r="O12" s="33"/>
      <c r="P12" s="44"/>
      <c r="Q12" s="45"/>
      <c r="R12" s="26"/>
      <c r="S12" s="26"/>
      <c r="T12" s="26"/>
      <c r="U12" s="26"/>
      <c r="V12" s="26"/>
      <c r="W12" s="26"/>
      <c r="X12" s="26"/>
    </row>
    <row r="13" spans="1:27" s="25" customFormat="1" x14ac:dyDescent="0.2">
      <c r="A13" s="4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9"/>
      <c r="P13" s="26"/>
      <c r="Q13" s="48"/>
      <c r="R13" s="26"/>
      <c r="S13" s="26"/>
      <c r="T13" s="26"/>
      <c r="U13" s="26"/>
      <c r="V13" s="26"/>
      <c r="W13" s="26"/>
      <c r="X13" s="26"/>
      <c r="Y13" s="46"/>
      <c r="Z13" s="46"/>
      <c r="AA13" s="46"/>
    </row>
    <row r="14" spans="1:27" s="25" customFormat="1" x14ac:dyDescent="0.2">
      <c r="A14" s="236" t="s">
        <v>36</v>
      </c>
      <c r="B14" s="49">
        <f t="shared" ref="B14:M14" si="1">+IFERROR(B10/B12,0)</f>
        <v>-0.90674245906131046</v>
      </c>
      <c r="C14" s="49">
        <f t="shared" si="1"/>
        <v>-1.0241782307378724</v>
      </c>
      <c r="D14" s="49">
        <f t="shared" si="1"/>
        <v>-0.95283326538931923</v>
      </c>
      <c r="E14" s="49">
        <f t="shared" si="1"/>
        <v>-1.2095801713586292</v>
      </c>
      <c r="F14" s="49">
        <f t="shared" si="1"/>
        <v>-0.81716503467972268</v>
      </c>
      <c r="G14" s="49">
        <f t="shared" si="1"/>
        <v>-0.43676046511627908</v>
      </c>
      <c r="H14" s="49">
        <f t="shared" si="1"/>
        <v>-0.26235609955120359</v>
      </c>
      <c r="I14" s="49">
        <f t="shared" si="1"/>
        <v>7.1614035087719293E-3</v>
      </c>
      <c r="J14" s="49">
        <f t="shared" si="1"/>
        <v>0.16187809057527539</v>
      </c>
      <c r="K14" s="49">
        <f t="shared" si="1"/>
        <v>0.22886874745002037</v>
      </c>
      <c r="L14" s="49">
        <f t="shared" si="1"/>
        <v>0.2215673398612811</v>
      </c>
      <c r="M14" s="49">
        <f t="shared" si="1"/>
        <v>-1.570575275397797E-2</v>
      </c>
      <c r="N14" s="49"/>
      <c r="O14" s="50"/>
      <c r="P14" s="26"/>
      <c r="Q14" s="26"/>
      <c r="R14" s="26"/>
      <c r="S14" s="26"/>
      <c r="T14" s="26"/>
      <c r="U14" s="26"/>
      <c r="V14" s="26"/>
      <c r="W14" s="26"/>
      <c r="X14" s="26"/>
      <c r="Y14" s="46"/>
      <c r="Z14" s="46"/>
      <c r="AA14" s="46"/>
    </row>
    <row r="15" spans="1:27" s="25" customFormat="1" x14ac:dyDescent="0.2">
      <c r="A15" s="236" t="s">
        <v>37</v>
      </c>
      <c r="B15" s="77">
        <f>+'JBLM CPA 3-1-2021'!$M$15</f>
        <v>-1.4473148688207114</v>
      </c>
      <c r="C15" s="77">
        <f>+'JBLM CPA 3-1-2021'!$M$15</f>
        <v>-1.4473148688207114</v>
      </c>
      <c r="D15" s="77">
        <f>+'JBLM CPA 3-1-2021'!$M$15</f>
        <v>-1.4473148688207114</v>
      </c>
      <c r="E15" s="77">
        <f>-'JBLM CPA 3-1-2021'!$N$20</f>
        <v>-1.3232786557665766</v>
      </c>
      <c r="F15" s="77">
        <f>-'JBLM CPA 3-1-2021'!$N$20</f>
        <v>-1.3232786557665766</v>
      </c>
      <c r="G15" s="77">
        <f>-'JBLM CPA 3-1-2021'!$N$20</f>
        <v>-1.3232786557665766</v>
      </c>
      <c r="H15" s="77">
        <f>-'JBLM CPA 3-1-2021'!$N$20</f>
        <v>-1.3232786557665766</v>
      </c>
      <c r="I15" s="77">
        <f>-'JBLM CPA 3-1-2021'!$N$20</f>
        <v>-1.3232786557665766</v>
      </c>
      <c r="J15" s="77">
        <f>-'JBLM CPA 3-1-2021'!$N$20</f>
        <v>-1.3232786557665766</v>
      </c>
      <c r="K15" s="77">
        <f>-'JBLM CPA 3-1-2021'!$N$20</f>
        <v>-1.3232786557665766</v>
      </c>
      <c r="L15" s="77">
        <f>-'JBLM CPA 3-1-2021'!$N$20</f>
        <v>-1.3232786557665766</v>
      </c>
      <c r="M15" s="77">
        <f>-'JBLM CPA 3-1-2021'!$N$20</f>
        <v>-1.3232786557665766</v>
      </c>
      <c r="N15" s="51"/>
      <c r="O15" s="50"/>
      <c r="P15" s="26"/>
      <c r="Q15" s="26"/>
      <c r="R15" s="26"/>
      <c r="S15" s="26"/>
      <c r="T15" s="26"/>
      <c r="U15" s="26"/>
      <c r="V15" s="26"/>
      <c r="W15" s="26"/>
      <c r="X15" s="26"/>
      <c r="Y15" s="46"/>
      <c r="Z15" s="46"/>
      <c r="AA15" s="46"/>
    </row>
    <row r="16" spans="1:27" s="25" customFormat="1" x14ac:dyDescent="0.2">
      <c r="A16" s="236" t="s">
        <v>38</v>
      </c>
      <c r="B16" s="52">
        <f t="shared" ref="B16:M16" si="2">+B15*B12</f>
        <v>-7104.8686910408724</v>
      </c>
      <c r="C16" s="52">
        <f t="shared" si="2"/>
        <v>-7100.5267464344097</v>
      </c>
      <c r="D16" s="52">
        <f t="shared" si="2"/>
        <v>-7100.5267464344097</v>
      </c>
      <c r="E16" s="52">
        <f t="shared" si="2"/>
        <v>-6486.7119705677578</v>
      </c>
      <c r="F16" s="52">
        <f t="shared" si="2"/>
        <v>-6486.7119705677578</v>
      </c>
      <c r="G16" s="52">
        <f t="shared" si="2"/>
        <v>-6486.7119705677578</v>
      </c>
      <c r="H16" s="52">
        <f t="shared" si="2"/>
        <v>-6486.7119705677578</v>
      </c>
      <c r="I16" s="52">
        <f t="shared" si="2"/>
        <v>-6486.7119705677578</v>
      </c>
      <c r="J16" s="52">
        <f t="shared" si="2"/>
        <v>-6486.7119705677578</v>
      </c>
      <c r="K16" s="52">
        <f t="shared" si="2"/>
        <v>-6486.7119705677578</v>
      </c>
      <c r="L16" s="52">
        <f t="shared" si="2"/>
        <v>-6486.7119705677578</v>
      </c>
      <c r="M16" s="52">
        <f t="shared" si="2"/>
        <v>-6486.7119705677578</v>
      </c>
      <c r="N16" s="52"/>
      <c r="O16" s="53"/>
      <c r="P16" s="27"/>
      <c r="Q16" s="28"/>
      <c r="R16" s="54"/>
      <c r="S16" s="26"/>
      <c r="T16" s="26"/>
      <c r="U16" s="26"/>
      <c r="V16" s="26"/>
      <c r="W16" s="26"/>
      <c r="X16" s="26"/>
      <c r="Y16" s="46"/>
      <c r="Z16" s="46"/>
      <c r="AA16" s="46"/>
    </row>
    <row r="17" spans="1:27" s="58" customFormat="1" ht="12.75" thickBot="1" x14ac:dyDescent="0.25">
      <c r="A17" s="232" t="s">
        <v>39</v>
      </c>
      <c r="B17" s="268">
        <f t="shared" ref="B17:M17" si="3">+ROUND((B16-B10),2)</f>
        <v>-2653.67</v>
      </c>
      <c r="C17" s="268">
        <f t="shared" si="3"/>
        <v>-2075.91</v>
      </c>
      <c r="D17" s="268">
        <f t="shared" si="3"/>
        <v>-2425.9299999999998</v>
      </c>
      <c r="E17" s="268">
        <f t="shared" si="3"/>
        <v>-557.35</v>
      </c>
      <c r="F17" s="268">
        <f t="shared" si="3"/>
        <v>-2480.9699999999998</v>
      </c>
      <c r="G17" s="268">
        <f t="shared" si="3"/>
        <v>-4345.71</v>
      </c>
      <c r="H17" s="268">
        <f t="shared" si="3"/>
        <v>-5200.6400000000003</v>
      </c>
      <c r="I17" s="268">
        <f t="shared" si="3"/>
        <v>-6521.82</v>
      </c>
      <c r="J17" s="268">
        <f t="shared" si="3"/>
        <v>-7280.24</v>
      </c>
      <c r="K17" s="268">
        <f t="shared" si="3"/>
        <v>-7608.63</v>
      </c>
      <c r="L17" s="268">
        <f t="shared" si="3"/>
        <v>-7572.84</v>
      </c>
      <c r="M17" s="268">
        <f t="shared" si="3"/>
        <v>-6409.72</v>
      </c>
      <c r="N17" s="74">
        <f>SUM(B17:M17)</f>
        <v>-55133.429999999993</v>
      </c>
      <c r="O17" s="56"/>
      <c r="P17" s="33"/>
      <c r="Q17" s="33"/>
      <c r="R17" s="35"/>
      <c r="S17" s="33"/>
      <c r="T17" s="33"/>
      <c r="U17" s="33"/>
      <c r="V17" s="33"/>
      <c r="W17" s="33"/>
      <c r="X17" s="33"/>
      <c r="Y17" s="57"/>
      <c r="Z17" s="57"/>
      <c r="AA17" s="57"/>
    </row>
    <row r="18" spans="1:27" s="25" customFormat="1" x14ac:dyDescent="0.2">
      <c r="A18" s="4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61"/>
      <c r="P18" s="62"/>
      <c r="Q18" s="62"/>
      <c r="R18" s="26"/>
      <c r="S18" s="26"/>
      <c r="T18" s="26"/>
      <c r="U18" s="26"/>
      <c r="V18" s="26"/>
      <c r="W18" s="26"/>
      <c r="X18" s="26"/>
      <c r="Y18" s="46"/>
      <c r="Z18" s="46"/>
      <c r="AA18" s="46"/>
    </row>
    <row r="19" spans="1:27" s="25" customFormat="1" ht="12.75" x14ac:dyDescent="0.2">
      <c r="A19" s="47"/>
      <c r="B19" s="59"/>
      <c r="C19" s="59"/>
      <c r="D19" s="59"/>
      <c r="E19" s="59"/>
      <c r="F19" s="59"/>
      <c r="H19" s="63"/>
      <c r="I19" s="63"/>
      <c r="J19" s="63"/>
      <c r="K19" s="63"/>
      <c r="L19" s="63"/>
      <c r="M19" s="269" t="s">
        <v>30</v>
      </c>
      <c r="N19" s="64">
        <f>ROUND((N17/N12),2)</f>
        <v>-0.94</v>
      </c>
      <c r="O19" s="81"/>
      <c r="P19" s="62"/>
      <c r="Q19" s="62"/>
      <c r="R19" s="26"/>
      <c r="S19" s="26"/>
      <c r="T19" s="26"/>
      <c r="U19" s="26"/>
      <c r="V19" s="26"/>
      <c r="W19" s="26"/>
      <c r="X19" s="26"/>
      <c r="Y19" s="46"/>
      <c r="Z19" s="46"/>
      <c r="AA19" s="46"/>
    </row>
    <row r="20" spans="1:27" s="25" customFormat="1" ht="12.75" x14ac:dyDescent="0.2">
      <c r="A20" s="47"/>
      <c r="B20" s="59"/>
      <c r="L20" s="63"/>
      <c r="M20" s="269" t="s">
        <v>31</v>
      </c>
      <c r="N20" s="64">
        <f>-N10/N12</f>
        <v>0.41728975393075973</v>
      </c>
      <c r="O20" s="65"/>
      <c r="P20" s="62"/>
      <c r="Q20" s="62"/>
      <c r="R20" s="26"/>
      <c r="S20" s="26"/>
      <c r="T20" s="26"/>
      <c r="U20" s="26"/>
      <c r="V20" s="26"/>
      <c r="W20" s="26"/>
      <c r="X20" s="26"/>
      <c r="Y20" s="46"/>
      <c r="Z20" s="46"/>
      <c r="AA20" s="46"/>
    </row>
    <row r="21" spans="1:27" s="25" customFormat="1" ht="15" x14ac:dyDescent="0.25">
      <c r="A21" s="47"/>
      <c r="B21" s="59"/>
      <c r="C21" s="59"/>
      <c r="D21" s="59"/>
      <c r="E21" s="59"/>
      <c r="F21" s="59"/>
      <c r="H21" s="66"/>
      <c r="I21" s="66"/>
      <c r="J21" s="66"/>
      <c r="K21" s="66"/>
      <c r="L21" s="66"/>
      <c r="M21" s="270" t="s">
        <v>18</v>
      </c>
      <c r="N21" s="82">
        <f>+N19+N20</f>
        <v>-0.52271024606924021</v>
      </c>
      <c r="O21" s="83"/>
      <c r="P21" s="62"/>
      <c r="Q21" s="62"/>
      <c r="R21" s="26"/>
      <c r="S21" s="26"/>
      <c r="T21" s="26"/>
      <c r="U21" s="26"/>
      <c r="V21" s="26"/>
      <c r="W21" s="26"/>
      <c r="X21" s="26"/>
      <c r="Y21" s="46"/>
      <c r="Z21" s="46"/>
      <c r="AA21" s="46"/>
    </row>
    <row r="22" spans="1:27" s="25" customFormat="1" ht="15" x14ac:dyDescent="0.25">
      <c r="A22" s="47"/>
      <c r="B22" s="59"/>
      <c r="C22" s="59"/>
      <c r="D22" s="59"/>
      <c r="E22" s="59"/>
      <c r="F22" s="59"/>
      <c r="H22" s="63"/>
      <c r="I22" s="63"/>
      <c r="J22" s="63"/>
      <c r="K22" s="63"/>
      <c r="L22" s="63"/>
      <c r="M22" s="63"/>
      <c r="N22" s="68"/>
      <c r="O22" s="67"/>
      <c r="P22" s="62"/>
      <c r="Q22" s="62"/>
      <c r="R22" s="26"/>
      <c r="S22" s="26"/>
      <c r="T22" s="26"/>
      <c r="U22" s="26"/>
      <c r="V22" s="26"/>
      <c r="W22" s="26"/>
      <c r="X22" s="26"/>
      <c r="Y22" s="46"/>
      <c r="Z22" s="46"/>
      <c r="AA22" s="46"/>
    </row>
    <row r="23" spans="1:27" s="25" customFormat="1" ht="15" x14ac:dyDescent="0.25">
      <c r="A23" s="47"/>
      <c r="B23" s="59"/>
      <c r="C23" s="59"/>
      <c r="D23" s="59"/>
      <c r="E23" s="59"/>
      <c r="F23" s="59"/>
      <c r="H23" s="63"/>
      <c r="I23" s="63"/>
      <c r="J23" s="63"/>
      <c r="K23" s="63"/>
      <c r="L23" s="63"/>
      <c r="M23" s="269" t="s">
        <v>17</v>
      </c>
      <c r="N23" s="84">
        <f>+'JBLM CPA 3-1-2021'!N21</f>
        <v>1.2132786557665765</v>
      </c>
      <c r="O23" s="67"/>
      <c r="P23" s="62"/>
      <c r="Q23" s="62"/>
      <c r="R23" s="26"/>
      <c r="S23" s="26"/>
      <c r="T23" s="26"/>
      <c r="U23" s="26"/>
      <c r="V23" s="26"/>
      <c r="W23" s="26"/>
      <c r="X23" s="26"/>
      <c r="Y23" s="46"/>
      <c r="Z23" s="46"/>
      <c r="AA23" s="46"/>
    </row>
    <row r="24" spans="1:27" s="25" customFormat="1" ht="12.75" x14ac:dyDescent="0.2">
      <c r="A24" s="47"/>
      <c r="B24" s="59"/>
      <c r="C24" s="59"/>
      <c r="D24" s="59"/>
      <c r="E24" s="59"/>
      <c r="F24" s="59"/>
      <c r="H24" s="63"/>
      <c r="I24" s="63"/>
      <c r="J24" s="63"/>
      <c r="K24" s="63"/>
      <c r="L24" s="63"/>
      <c r="M24" s="269" t="s">
        <v>14</v>
      </c>
      <c r="N24" s="69">
        <f>N21-N23</f>
        <v>-1.7359889018358166</v>
      </c>
      <c r="O24" s="70">
        <f>N24/N23</f>
        <v>-1.4308245625066074</v>
      </c>
      <c r="P24" s="62"/>
      <c r="Q24" s="62"/>
      <c r="R24" s="26"/>
      <c r="S24" s="26"/>
      <c r="T24" s="26"/>
      <c r="U24" s="26"/>
      <c r="V24" s="26"/>
      <c r="W24" s="26"/>
      <c r="X24" s="26"/>
      <c r="Y24" s="46"/>
      <c r="Z24" s="46"/>
      <c r="AA24" s="46"/>
    </row>
    <row r="25" spans="1:27" s="25" customFormat="1" ht="15" x14ac:dyDescent="0.25">
      <c r="A25" s="47"/>
      <c r="B25" s="59"/>
      <c r="C25" s="59"/>
      <c r="D25" s="59"/>
      <c r="E25" s="59"/>
      <c r="F25" s="59"/>
      <c r="H25" s="63"/>
      <c r="I25" s="63"/>
      <c r="J25" s="63"/>
      <c r="K25" s="63"/>
      <c r="L25" s="63"/>
      <c r="M25" s="269" t="s">
        <v>15</v>
      </c>
      <c r="N25" s="71">
        <f>-N24*N12*2</f>
        <v>204287.70199023522</v>
      </c>
      <c r="O25" s="67"/>
      <c r="P25" s="62"/>
      <c r="Q25" s="62"/>
      <c r="R25" s="26"/>
      <c r="S25" s="26"/>
      <c r="T25" s="26"/>
      <c r="U25" s="26"/>
      <c r="V25" s="26"/>
      <c r="W25" s="26"/>
      <c r="X25" s="26"/>
      <c r="Y25" s="46"/>
      <c r="Z25" s="46"/>
      <c r="AA25" s="46"/>
    </row>
    <row r="26" spans="1:27" s="25" customFormat="1" x14ac:dyDescent="0.2">
      <c r="A26" s="4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61"/>
      <c r="P26" s="62"/>
      <c r="Q26" s="62"/>
      <c r="R26" s="26"/>
      <c r="S26" s="26"/>
      <c r="T26" s="26"/>
      <c r="U26" s="26"/>
      <c r="V26" s="26"/>
      <c r="W26" s="26"/>
      <c r="X26" s="26"/>
      <c r="Y26" s="46"/>
      <c r="Z26" s="46"/>
      <c r="AA26" s="46"/>
    </row>
    <row r="27" spans="1:27" x14ac:dyDescent="0.2">
      <c r="A27" s="72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31" spans="1:27" x14ac:dyDescent="0.2">
      <c r="B31" s="40">
        <f>B10+'CPA 3-1-2022 PCR'!B10</f>
        <v>-74669.917326854949</v>
      </c>
      <c r="C31" s="40">
        <f>C10+'CPA 3-1-2022 PCR'!C10</f>
        <v>-67313.079599999983</v>
      </c>
      <c r="D31" s="40">
        <f>D10+'CPA 3-1-2022 PCR'!D10</f>
        <v>-60263.7</v>
      </c>
      <c r="E31" s="40">
        <f>E10+'CPA 3-1-2022 PCR'!E10</f>
        <v>-61296.555900000007</v>
      </c>
      <c r="F31" s="40">
        <f>F10+'CPA 3-1-2022 PCR'!F10</f>
        <v>-51615.29800000001</v>
      </c>
      <c r="G31" s="40">
        <f>G10+'CPA 3-1-2022 PCR'!G10</f>
        <v>-41225.326000000001</v>
      </c>
      <c r="H31" s="40">
        <f>H10+'CPA 3-1-2022 PCR'!H10</f>
        <v>-18412.885600000001</v>
      </c>
      <c r="I31" s="40">
        <f>I10+'CPA 3-1-2022 PCR'!I10</f>
        <v>849.74879999999996</v>
      </c>
      <c r="J31" s="40">
        <f>J10+'CPA 3-1-2022 PCR'!J10</f>
        <v>11739.9144</v>
      </c>
      <c r="K31" s="40">
        <f>K10+'CPA 3-1-2022 PCR'!K10</f>
        <v>15165.0183</v>
      </c>
      <c r="L31" s="40">
        <f>L10+'CPA 3-1-2022 PCR'!L10</f>
        <v>14014.963500000002</v>
      </c>
      <c r="M31" s="40">
        <f>M10+'CPA 3-1-2022 PCR'!M10</f>
        <v>-1043.307</v>
      </c>
    </row>
  </sheetData>
  <pageMargins left="0.5" right="0.5" top="0.5" bottom="0.5" header="0.5" footer="0.5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zoomScale="85" zoomScaleNormal="85" zoomScaleSheetLayoutView="100" workbookViewId="0">
      <pane xSplit="1" ySplit="5" topLeftCell="B6" activePane="bottomRight" state="frozen"/>
      <selection activeCell="C27" sqref="C27"/>
      <selection pane="topRight" activeCell="C27" sqref="C27"/>
      <selection pane="bottomLeft" activeCell="C27" sqref="C27"/>
      <selection pane="bottomRight" activeCell="G35" sqref="G35"/>
    </sheetView>
  </sheetViews>
  <sheetFormatPr defaultRowHeight="12" x14ac:dyDescent="0.2"/>
  <cols>
    <col min="1" max="1" width="31.28515625" style="39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7" customFormat="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V3" s="8"/>
      <c r="W3" s="8"/>
    </row>
    <row r="4" spans="1:27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8"/>
      <c r="W4" s="8"/>
    </row>
    <row r="5" spans="1:27" s="13" customFormat="1" x14ac:dyDescent="0.2">
      <c r="A5" s="9"/>
      <c r="B5" s="10">
        <v>43800</v>
      </c>
      <c r="C5" s="10">
        <v>43831</v>
      </c>
      <c r="D5" s="10">
        <v>43862</v>
      </c>
      <c r="E5" s="10">
        <v>43891</v>
      </c>
      <c r="F5" s="10">
        <v>43922</v>
      </c>
      <c r="G5" s="10">
        <v>43952</v>
      </c>
      <c r="H5" s="10">
        <v>43983</v>
      </c>
      <c r="I5" s="10">
        <v>44013</v>
      </c>
      <c r="J5" s="10">
        <v>44044</v>
      </c>
      <c r="K5" s="10">
        <v>44075</v>
      </c>
      <c r="L5" s="10">
        <v>44105</v>
      </c>
      <c r="M5" s="10">
        <v>44136</v>
      </c>
      <c r="N5" s="11" t="s">
        <v>3</v>
      </c>
      <c r="O5" s="11"/>
      <c r="P5" s="12"/>
      <c r="Q5" s="12"/>
    </row>
    <row r="6" spans="1:27" s="14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</row>
    <row r="7" spans="1:27" ht="12.75" x14ac:dyDescent="0.2">
      <c r="A7" s="17" t="s">
        <v>4</v>
      </c>
      <c r="B7" s="79">
        <f>+'[8]Raw Data'!$M$9</f>
        <v>1053.3900000000001</v>
      </c>
      <c r="C7" s="79">
        <f>'[3]Raw Data'!B9</f>
        <v>1149.8100000000002</v>
      </c>
      <c r="D7" s="79">
        <f>'[3]Raw Data'!C9</f>
        <v>857.65</v>
      </c>
      <c r="E7" s="79">
        <f>'[3]Raw Data'!D9</f>
        <v>887.86</v>
      </c>
      <c r="F7" s="79">
        <f>'[3]Raw Data'!E9</f>
        <v>1004.2599999999999</v>
      </c>
      <c r="G7" s="79">
        <f>'[3]Raw Data'!F9</f>
        <v>1015.4</v>
      </c>
      <c r="H7" s="79">
        <f>'[3]Raw Data'!G9</f>
        <v>1079.5200000000007</v>
      </c>
      <c r="I7" s="79">
        <f>'[3]Raw Data'!H9</f>
        <v>1158.0999999999992</v>
      </c>
      <c r="J7" s="79">
        <f>'[3]Raw Data'!I9</f>
        <v>931.4</v>
      </c>
      <c r="K7" s="79">
        <f>'[3]Raw Data'!J9</f>
        <v>962.41000000000054</v>
      </c>
      <c r="L7" s="79">
        <f>'[3]Raw Data'!K9</f>
        <v>1014.67</v>
      </c>
      <c r="M7" s="79">
        <f>'[3]Raw Data'!L9</f>
        <v>1016.55</v>
      </c>
      <c r="N7" s="18">
        <f>SUM(B7:M7)</f>
        <v>12131.019999999999</v>
      </c>
      <c r="O7" s="75"/>
      <c r="P7" s="20"/>
      <c r="Q7" s="20"/>
      <c r="R7" s="21"/>
      <c r="S7" s="22"/>
    </row>
    <row r="8" spans="1:27" ht="12.75" x14ac:dyDescent="0.2">
      <c r="A8" s="17" t="s">
        <v>5</v>
      </c>
      <c r="B8" s="76">
        <f>'[9]2180 Commodity Revenue'!$M$12</f>
        <v>-111.72239999999998</v>
      </c>
      <c r="C8" s="76">
        <f>'[10]County Reporting'!$C$3</f>
        <v>-105.46995604501765</v>
      </c>
      <c r="D8" s="76">
        <f>'[11]County Reporting'!$C$3</f>
        <v>-103.52007117810228</v>
      </c>
      <c r="E8" s="76">
        <f>'[12]County Reporting'!$C$3</f>
        <v>-102.6301075683015</v>
      </c>
      <c r="F8" s="76">
        <f>'[13]County Reporting'!$C$3</f>
        <v>-103.83019925089036</v>
      </c>
      <c r="G8" s="76">
        <f>'[14]County Reporting'!$C$3</f>
        <v>-87.990052500690837</v>
      </c>
      <c r="H8" s="76">
        <f>'[15]County Reporting'!$C$3</f>
        <v>-99.689985719538541</v>
      </c>
      <c r="I8" s="76">
        <f>'[16]County Reporting'!$C$3</f>
        <v>-101.05009344275612</v>
      </c>
      <c r="J8" s="76">
        <f>'[17]County Reporting'!$D$3</f>
        <v>-94.48</v>
      </c>
      <c r="K8" s="76">
        <f>'[18]2180 Commodity Revenue'!$J$12</f>
        <v>-87.16</v>
      </c>
      <c r="L8" s="76">
        <f>+'[19]2180 Commodity Revenue'!$K$12</f>
        <v>-83.98</v>
      </c>
      <c r="M8" s="76">
        <f>+'[19]2180 Commodity Revenue'!$L$12</f>
        <v>-72.58</v>
      </c>
      <c r="N8" s="18"/>
      <c r="O8" s="19"/>
      <c r="P8" s="20"/>
      <c r="Q8" s="20"/>
      <c r="R8" s="21"/>
      <c r="S8" s="22"/>
    </row>
    <row r="9" spans="1:27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/>
      <c r="Q9" s="28"/>
      <c r="R9" s="29"/>
      <c r="S9" s="29"/>
      <c r="T9" s="29"/>
      <c r="U9" s="29"/>
      <c r="V9" s="29"/>
      <c r="W9" s="29"/>
      <c r="X9" s="29"/>
    </row>
    <row r="10" spans="1:27" s="38" customFormat="1" x14ac:dyDescent="0.2">
      <c r="A10" s="30" t="s">
        <v>3</v>
      </c>
      <c r="B10" s="31">
        <f>B7*B8</f>
        <v>-117687.25893599998</v>
      </c>
      <c r="C10" s="31">
        <f t="shared" ref="C10:M10" si="0">C7*C8</f>
        <v>-121270.41016012177</v>
      </c>
      <c r="D10" s="31">
        <f t="shared" si="0"/>
        <v>-88783.98904589942</v>
      </c>
      <c r="E10" s="31">
        <f t="shared" si="0"/>
        <v>-91121.167305592171</v>
      </c>
      <c r="F10" s="31">
        <f t="shared" si="0"/>
        <v>-104272.51589969914</v>
      </c>
      <c r="G10" s="31">
        <f t="shared" si="0"/>
        <v>-89345.099309201469</v>
      </c>
      <c r="H10" s="31">
        <f t="shared" si="0"/>
        <v>-107617.33338395631</v>
      </c>
      <c r="I10" s="31">
        <f>I7*I8</f>
        <v>-117026.11321605579</v>
      </c>
      <c r="J10" s="31">
        <f t="shared" si="0"/>
        <v>-87998.672000000006</v>
      </c>
      <c r="K10" s="31">
        <f t="shared" si="0"/>
        <v>-83883.655600000042</v>
      </c>
      <c r="L10" s="31">
        <f t="shared" si="0"/>
        <v>-85211.986600000004</v>
      </c>
      <c r="M10" s="31">
        <f t="shared" si="0"/>
        <v>-73781.198999999993</v>
      </c>
      <c r="N10" s="31">
        <f>SUM(B10:M10)</f>
        <v>-1167999.4004565261</v>
      </c>
      <c r="O10" s="32"/>
      <c r="P10" s="33"/>
      <c r="Q10" s="34"/>
      <c r="R10" s="35"/>
      <c r="S10" s="36"/>
      <c r="T10" s="36"/>
      <c r="U10" s="36"/>
      <c r="V10" s="36"/>
      <c r="W10" s="36"/>
      <c r="X10" s="36"/>
      <c r="Y10" s="37"/>
      <c r="Z10" s="37"/>
      <c r="AA10" s="37"/>
    </row>
    <row r="11" spans="1:27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29"/>
      <c r="P11" s="26"/>
      <c r="Q11" s="26"/>
      <c r="R11" s="26"/>
      <c r="S11" s="29"/>
      <c r="T11" s="29"/>
      <c r="U11" s="29"/>
      <c r="V11" s="29"/>
      <c r="W11" s="29"/>
      <c r="X11" s="29"/>
      <c r="Y11" s="3"/>
      <c r="Z11" s="3"/>
      <c r="AA11" s="3"/>
    </row>
    <row r="12" spans="1:27" s="46" customFormat="1" x14ac:dyDescent="0.2">
      <c r="A12" s="42" t="s">
        <v>6</v>
      </c>
      <c r="B12" s="78">
        <f>'[20]2180 (Reg.) - Price Out '!AD87+'[20]2180 (Reg.) - Price Out '!AD88</f>
        <v>53634.209139591047</v>
      </c>
      <c r="C12" s="78">
        <f>+'[3]Raw Data'!B111</f>
        <v>53365.326442402125</v>
      </c>
      <c r="D12" s="78">
        <f>+'[3]Raw Data'!C111</f>
        <v>53409.753671438448</v>
      </c>
      <c r="E12" s="78">
        <f>+'[3]Raw Data'!D111</f>
        <v>53598.28953822569</v>
      </c>
      <c r="F12" s="78">
        <f>+'[3]Raw Data'!E111</f>
        <v>54073.215267413463</v>
      </c>
      <c r="G12" s="78">
        <f>+'[3]Raw Data'!F111</f>
        <v>54418.058200829357</v>
      </c>
      <c r="H12" s="78">
        <f>+'[3]Raw Data'!G111</f>
        <v>54252.123502155053</v>
      </c>
      <c r="I12" s="78">
        <f>+'[3]Raw Data'!H111</f>
        <v>54756.256888650722</v>
      </c>
      <c r="J12" s="78">
        <f>+'[3]Raw Data'!I111</f>
        <v>54841.063253928311</v>
      </c>
      <c r="K12" s="78">
        <f>+'[3]Raw Data'!J111</f>
        <v>55031.372760602826</v>
      </c>
      <c r="L12" s="78">
        <f>+'[3]Raw Data'!K111</f>
        <v>55117.494341524674</v>
      </c>
      <c r="M12" s="78">
        <f>+'[3]Raw Data'!L111</f>
        <v>55160.602994704808</v>
      </c>
      <c r="N12" s="42">
        <f>SUM(B12:M12)</f>
        <v>651657.76600146655</v>
      </c>
      <c r="O12" s="33"/>
      <c r="P12" s="44"/>
      <c r="Q12" s="45"/>
      <c r="R12" s="26"/>
      <c r="S12" s="26"/>
      <c r="T12" s="26"/>
      <c r="U12" s="26"/>
      <c r="V12" s="26"/>
      <c r="W12" s="26"/>
      <c r="X12" s="26"/>
    </row>
    <row r="13" spans="1:27" s="25" customFormat="1" x14ac:dyDescent="0.2">
      <c r="A13" s="4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9"/>
      <c r="P13" s="26"/>
      <c r="Q13" s="48"/>
      <c r="R13" s="26"/>
      <c r="S13" s="26"/>
      <c r="T13" s="26"/>
      <c r="U13" s="26"/>
      <c r="V13" s="26"/>
      <c r="W13" s="26"/>
      <c r="X13" s="26"/>
      <c r="Y13" s="46"/>
      <c r="Z13" s="46"/>
      <c r="AA13" s="46"/>
    </row>
    <row r="14" spans="1:27" s="25" customFormat="1" x14ac:dyDescent="0.2">
      <c r="A14" s="47" t="s">
        <v>7</v>
      </c>
      <c r="B14" s="49">
        <f t="shared" ref="B14:M14" si="1">+IFERROR(B10/B12,0)</f>
        <v>-2.1942573746114404</v>
      </c>
      <c r="C14" s="49">
        <f t="shared" si="1"/>
        <v>-2.2724570099090551</v>
      </c>
      <c r="D14" s="49">
        <f t="shared" si="1"/>
        <v>-1.6623178903252984</v>
      </c>
      <c r="E14" s="49">
        <f t="shared" si="1"/>
        <v>-1.7000760302361064</v>
      </c>
      <c r="F14" s="49">
        <f t="shared" si="1"/>
        <v>-1.9283579750904445</v>
      </c>
      <c r="G14" s="49">
        <f t="shared" si="1"/>
        <v>-1.6418281405682316</v>
      </c>
      <c r="H14" s="49">
        <f t="shared" si="1"/>
        <v>-1.983652001744806</v>
      </c>
      <c r="I14" s="49">
        <f t="shared" si="1"/>
        <v>-2.1372190114096656</v>
      </c>
      <c r="J14" s="49">
        <f t="shared" si="1"/>
        <v>-1.6046127988537238</v>
      </c>
      <c r="K14" s="49">
        <f t="shared" si="1"/>
        <v>-1.5242878996479019</v>
      </c>
      <c r="L14" s="49">
        <f t="shared" si="1"/>
        <v>-1.5460061749541942</v>
      </c>
      <c r="M14" s="49">
        <f t="shared" si="1"/>
        <v>-1.3375705665705411</v>
      </c>
      <c r="N14" s="49"/>
      <c r="O14" s="50"/>
      <c r="P14" s="26"/>
      <c r="Q14" s="26"/>
      <c r="R14" s="26"/>
      <c r="S14" s="26"/>
      <c r="T14" s="26"/>
      <c r="U14" s="26"/>
      <c r="V14" s="26"/>
      <c r="W14" s="26"/>
      <c r="X14" s="26"/>
      <c r="Y14" s="46"/>
      <c r="Z14" s="46"/>
      <c r="AA14" s="46"/>
    </row>
    <row r="15" spans="1:27" s="25" customFormat="1" x14ac:dyDescent="0.2">
      <c r="A15" s="47" t="s">
        <v>8</v>
      </c>
      <c r="B15" s="77">
        <f>+'Commodity Credit 3-1-20'!$G$15</f>
        <v>-1.674383072741064</v>
      </c>
      <c r="C15" s="77">
        <f>+'Commodity Credit 3-1-20'!$G$15</f>
        <v>-1.674383072741064</v>
      </c>
      <c r="D15" s="77">
        <f>+'Commodity Credit 3-1-20'!$G$15</f>
        <v>-1.674383072741064</v>
      </c>
      <c r="E15" s="77">
        <f>+'Commodity Credit 3-1-20'!$H$20</f>
        <v>-1.933945318799426</v>
      </c>
      <c r="F15" s="77">
        <f>+'Commodity Credit 3-1-20'!$H$20</f>
        <v>-1.933945318799426</v>
      </c>
      <c r="G15" s="77">
        <f>+'Commodity Credit 3-1-20'!$H$20</f>
        <v>-1.933945318799426</v>
      </c>
      <c r="H15" s="77">
        <f>+'Commodity Credit 3-1-20'!$H$20</f>
        <v>-1.933945318799426</v>
      </c>
      <c r="I15" s="77">
        <f>+'Commodity Credit 3-1-20'!$H$20</f>
        <v>-1.933945318799426</v>
      </c>
      <c r="J15" s="77">
        <f>+'Commodity Credit 3-1-20'!$H$20</f>
        <v>-1.933945318799426</v>
      </c>
      <c r="K15" s="77">
        <f>+'Commodity Credit 3-1-20'!$H$20</f>
        <v>-1.933945318799426</v>
      </c>
      <c r="L15" s="77">
        <f>+'Commodity Credit 3-1-20'!$H$20</f>
        <v>-1.933945318799426</v>
      </c>
      <c r="M15" s="77">
        <f>+'Commodity Credit 3-1-20'!$H$20</f>
        <v>-1.933945318799426</v>
      </c>
      <c r="N15" s="51"/>
      <c r="O15" s="50"/>
      <c r="P15" s="26"/>
      <c r="Q15" s="26"/>
      <c r="R15" s="26"/>
      <c r="S15" s="26"/>
      <c r="T15" s="26"/>
      <c r="U15" s="26"/>
      <c r="V15" s="26"/>
      <c r="W15" s="26"/>
      <c r="X15" s="26"/>
      <c r="Y15" s="46"/>
      <c r="Z15" s="46"/>
      <c r="AA15" s="46"/>
    </row>
    <row r="16" spans="1:27" s="25" customFormat="1" x14ac:dyDescent="0.2">
      <c r="A16" s="47" t="s">
        <v>9</v>
      </c>
      <c r="B16" s="52">
        <f t="shared" ref="B16:M16" si="2">+B15*B12</f>
        <v>-89804.211903185322</v>
      </c>
      <c r="C16" s="52">
        <f t="shared" si="2"/>
        <v>-89353.999266459228</v>
      </c>
      <c r="D16" s="52">
        <f t="shared" si="2"/>
        <v>-89428.387466726432</v>
      </c>
      <c r="E16" s="52">
        <f t="shared" si="2"/>
        <v>-103656.16114810781</v>
      </c>
      <c r="F16" s="52">
        <f t="shared" si="2"/>
        <v>-104574.64153884792</v>
      </c>
      <c r="G16" s="52">
        <f t="shared" si="2"/>
        <v>-105241.54891564864</v>
      </c>
      <c r="H16" s="52">
        <f t="shared" si="2"/>
        <v>-104920.64028192108</v>
      </c>
      <c r="I16" s="52">
        <f t="shared" si="2"/>
        <v>-105895.60668478489</v>
      </c>
      <c r="J16" s="52">
        <f t="shared" si="2"/>
        <v>-106059.61755791787</v>
      </c>
      <c r="K16" s="52">
        <f t="shared" si="2"/>
        <v>-106427.66573747408</v>
      </c>
      <c r="L16" s="52">
        <f t="shared" si="2"/>
        <v>-106594.2201657455</v>
      </c>
      <c r="M16" s="52">
        <f t="shared" si="2"/>
        <v>-106677.58994376296</v>
      </c>
      <c r="N16" s="52"/>
      <c r="O16" s="53"/>
      <c r="P16" s="27"/>
      <c r="Q16" s="28"/>
      <c r="R16" s="54"/>
      <c r="S16" s="26"/>
      <c r="T16" s="26"/>
      <c r="U16" s="26"/>
      <c r="V16" s="26"/>
      <c r="W16" s="26"/>
      <c r="X16" s="26"/>
      <c r="Y16" s="46"/>
      <c r="Z16" s="46"/>
      <c r="AA16" s="46"/>
    </row>
    <row r="17" spans="1:27" s="58" customFormat="1" ht="12.75" thickBot="1" x14ac:dyDescent="0.25">
      <c r="A17" s="180" t="s">
        <v>20</v>
      </c>
      <c r="B17" s="268">
        <f t="shared" ref="B17:M17" si="3">+ROUND((B16-B10),2)</f>
        <v>27883.05</v>
      </c>
      <c r="C17" s="268">
        <f t="shared" si="3"/>
        <v>31916.41</v>
      </c>
      <c r="D17" s="268">
        <f t="shared" si="3"/>
        <v>-644.4</v>
      </c>
      <c r="E17" s="268">
        <f t="shared" si="3"/>
        <v>-12534.99</v>
      </c>
      <c r="F17" s="268">
        <f t="shared" si="3"/>
        <v>-302.13</v>
      </c>
      <c r="G17" s="268">
        <f t="shared" si="3"/>
        <v>-15896.45</v>
      </c>
      <c r="H17" s="268">
        <f t="shared" si="3"/>
        <v>2696.69</v>
      </c>
      <c r="I17" s="268">
        <f t="shared" si="3"/>
        <v>11130.51</v>
      </c>
      <c r="J17" s="268">
        <f t="shared" si="3"/>
        <v>-18060.95</v>
      </c>
      <c r="K17" s="268">
        <f t="shared" si="3"/>
        <v>-22544.01</v>
      </c>
      <c r="L17" s="268">
        <f t="shared" si="3"/>
        <v>-21382.23</v>
      </c>
      <c r="M17" s="268">
        <f t="shared" si="3"/>
        <v>-32896.39</v>
      </c>
      <c r="N17" s="55">
        <f>SUM(B17:M17)</f>
        <v>-50634.89</v>
      </c>
      <c r="O17" s="56"/>
      <c r="P17" s="33"/>
      <c r="Q17" s="33"/>
      <c r="R17" s="35"/>
      <c r="S17" s="33"/>
      <c r="T17" s="33"/>
      <c r="U17" s="33"/>
      <c r="V17" s="33"/>
      <c r="W17" s="33"/>
      <c r="X17" s="33"/>
      <c r="Y17" s="57"/>
      <c r="Z17" s="57"/>
      <c r="AA17" s="57"/>
    </row>
    <row r="18" spans="1:27" s="25" customFormat="1" x14ac:dyDescent="0.2">
      <c r="A18" s="4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61"/>
      <c r="P18" s="62"/>
      <c r="Q18" s="62"/>
      <c r="R18" s="26"/>
      <c r="S18" s="26"/>
      <c r="T18" s="26"/>
      <c r="U18" s="26"/>
      <c r="V18" s="26"/>
      <c r="W18" s="26"/>
      <c r="X18" s="26"/>
      <c r="Y18" s="46"/>
      <c r="Z18" s="46"/>
      <c r="AA18" s="46"/>
    </row>
    <row r="19" spans="1:27" s="25" customFormat="1" ht="12.75" x14ac:dyDescent="0.2">
      <c r="A19" s="47"/>
      <c r="B19" s="59"/>
      <c r="C19" s="59"/>
      <c r="D19" s="59"/>
      <c r="E19" s="59"/>
      <c r="F19" s="59"/>
      <c r="H19" s="63"/>
      <c r="I19" s="63"/>
      <c r="J19" s="63"/>
      <c r="K19" s="63"/>
      <c r="L19" s="63"/>
      <c r="M19" s="269" t="s">
        <v>30</v>
      </c>
      <c r="N19" s="64">
        <f>ROUND((N17/N12),2)</f>
        <v>-0.08</v>
      </c>
      <c r="O19" s="80"/>
      <c r="P19" s="62"/>
      <c r="Q19" s="62"/>
      <c r="R19" s="26"/>
      <c r="S19" s="26"/>
      <c r="T19" s="26"/>
      <c r="U19" s="26"/>
      <c r="V19" s="26"/>
      <c r="W19" s="26"/>
      <c r="X19" s="26"/>
      <c r="Y19" s="46"/>
      <c r="Z19" s="46"/>
      <c r="AA19" s="46"/>
    </row>
    <row r="20" spans="1:27" s="25" customFormat="1" ht="12.75" x14ac:dyDescent="0.2">
      <c r="A20" s="47"/>
      <c r="L20" s="59"/>
      <c r="M20" s="269" t="s">
        <v>31</v>
      </c>
      <c r="N20" s="64">
        <f>-N10/N12</f>
        <v>1.7923509261975059</v>
      </c>
      <c r="O20" s="65"/>
      <c r="P20" s="62"/>
      <c r="Q20" s="62"/>
      <c r="R20" s="26"/>
      <c r="S20" s="26"/>
      <c r="T20" s="26"/>
      <c r="U20" s="26"/>
      <c r="V20" s="26"/>
      <c r="W20" s="26"/>
      <c r="X20" s="26"/>
      <c r="Y20" s="46"/>
      <c r="Z20" s="46"/>
      <c r="AA20" s="46"/>
    </row>
    <row r="21" spans="1:27" s="25" customFormat="1" ht="15" x14ac:dyDescent="0.25">
      <c r="A21" s="47"/>
      <c r="B21" s="59"/>
      <c r="C21" s="59"/>
      <c r="D21" s="59"/>
      <c r="E21" s="59"/>
      <c r="F21" s="59"/>
      <c r="H21" s="66"/>
      <c r="I21" s="66"/>
      <c r="J21" s="66"/>
      <c r="K21" s="66"/>
      <c r="L21" s="66"/>
      <c r="M21" s="270" t="s">
        <v>18</v>
      </c>
      <c r="N21" s="82">
        <f>+N19+N20</f>
        <v>1.7123509261975058</v>
      </c>
      <c r="O21" s="67"/>
      <c r="P21" s="62"/>
      <c r="Q21" s="62"/>
      <c r="R21" s="26"/>
      <c r="S21" s="26"/>
      <c r="T21" s="26"/>
      <c r="U21" s="26"/>
      <c r="V21" s="26"/>
      <c r="W21" s="26"/>
      <c r="X21" s="26"/>
      <c r="Y21" s="46"/>
      <c r="Z21" s="46"/>
      <c r="AA21" s="46"/>
    </row>
    <row r="22" spans="1:27" s="25" customFormat="1" ht="15" x14ac:dyDescent="0.25">
      <c r="A22" s="47"/>
      <c r="B22" s="59"/>
      <c r="C22" s="59"/>
      <c r="D22" s="59"/>
      <c r="E22" s="59"/>
      <c r="F22" s="59"/>
      <c r="H22" s="63"/>
      <c r="I22" s="63"/>
      <c r="J22" s="63"/>
      <c r="K22" s="63"/>
      <c r="L22" s="63"/>
      <c r="M22" s="63"/>
      <c r="N22" s="68"/>
      <c r="O22" s="67"/>
      <c r="P22" s="62"/>
      <c r="Q22" s="62"/>
      <c r="R22" s="26"/>
      <c r="S22" s="26"/>
      <c r="T22" s="26"/>
      <c r="U22" s="26"/>
      <c r="V22" s="26"/>
      <c r="W22" s="26"/>
      <c r="X22" s="26"/>
      <c r="Y22" s="46"/>
      <c r="Z22" s="46"/>
      <c r="AA22" s="46"/>
    </row>
    <row r="23" spans="1:27" s="25" customFormat="1" ht="15" x14ac:dyDescent="0.25">
      <c r="A23" s="47"/>
      <c r="B23" s="59"/>
      <c r="C23" s="59"/>
      <c r="D23" s="59"/>
      <c r="E23" s="59"/>
      <c r="F23" s="59"/>
      <c r="H23" s="63"/>
      <c r="I23" s="63"/>
      <c r="J23" s="63"/>
      <c r="K23" s="63"/>
      <c r="L23" s="63"/>
      <c r="M23" s="269" t="s">
        <v>17</v>
      </c>
      <c r="N23" s="84">
        <f>-'Commodity Credit 3-1-20'!$H$21</f>
        <v>2.1539453187994262</v>
      </c>
      <c r="O23" s="67"/>
      <c r="P23" s="62"/>
      <c r="Q23" s="62"/>
      <c r="R23" s="26"/>
      <c r="S23" s="26"/>
      <c r="T23" s="26"/>
      <c r="U23" s="26"/>
      <c r="V23" s="26"/>
      <c r="W23" s="26"/>
      <c r="X23" s="26"/>
      <c r="Y23" s="46"/>
      <c r="Z23" s="46"/>
      <c r="AA23" s="46"/>
    </row>
    <row r="24" spans="1:27" s="25" customFormat="1" ht="12.75" x14ac:dyDescent="0.2">
      <c r="A24" s="47"/>
      <c r="B24" s="59"/>
      <c r="C24" s="59"/>
      <c r="D24" s="59"/>
      <c r="E24" s="59"/>
      <c r="F24" s="59"/>
      <c r="H24" s="63"/>
      <c r="I24" s="63"/>
      <c r="J24" s="63"/>
      <c r="K24" s="63"/>
      <c r="L24" s="63"/>
      <c r="M24" s="269" t="s">
        <v>14</v>
      </c>
      <c r="N24" s="69">
        <f>N21-N23</f>
        <v>-0.44159439260192035</v>
      </c>
      <c r="O24" s="70">
        <f>N24/N23</f>
        <v>-0.20501652885415764</v>
      </c>
      <c r="P24" s="62"/>
      <c r="Q24" s="62"/>
      <c r="R24" s="26"/>
      <c r="S24" s="26"/>
      <c r="T24" s="26"/>
      <c r="U24" s="26"/>
      <c r="V24" s="26"/>
      <c r="W24" s="26"/>
      <c r="X24" s="26"/>
      <c r="Y24" s="46"/>
      <c r="Z24" s="46"/>
      <c r="AA24" s="46"/>
    </row>
    <row r="25" spans="1:27" s="25" customFormat="1" ht="15" x14ac:dyDescent="0.25">
      <c r="A25" s="47"/>
      <c r="B25" s="59"/>
      <c r="C25" s="59"/>
      <c r="D25" s="59"/>
      <c r="E25" s="59"/>
      <c r="F25" s="59"/>
      <c r="H25" s="63"/>
      <c r="I25" s="63"/>
      <c r="J25" s="63"/>
      <c r="K25" s="63"/>
      <c r="L25" s="63"/>
      <c r="M25" s="269" t="s">
        <v>15</v>
      </c>
      <c r="N25" s="71">
        <f>-N24*N12*2</f>
        <v>575536.83072348393</v>
      </c>
      <c r="O25" s="67"/>
      <c r="P25" s="62"/>
      <c r="Q25" s="62"/>
      <c r="R25" s="26"/>
      <c r="S25" s="26"/>
      <c r="T25" s="26"/>
      <c r="U25" s="26"/>
      <c r="V25" s="26"/>
      <c r="W25" s="26"/>
      <c r="X25" s="26"/>
      <c r="Y25" s="46"/>
      <c r="Z25" s="46"/>
      <c r="AA25" s="46"/>
    </row>
    <row r="26" spans="1:27" s="25" customFormat="1" x14ac:dyDescent="0.2">
      <c r="A26" s="4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61"/>
      <c r="P26" s="62"/>
      <c r="Q26" s="62"/>
      <c r="R26" s="26"/>
      <c r="S26" s="26"/>
      <c r="T26" s="26"/>
      <c r="U26" s="26"/>
      <c r="V26" s="26"/>
      <c r="W26" s="26"/>
      <c r="X26" s="26"/>
      <c r="Y26" s="46"/>
      <c r="Z26" s="46"/>
      <c r="AA26" s="46"/>
    </row>
    <row r="27" spans="1:27" x14ac:dyDescent="0.2">
      <c r="A27" s="72"/>
      <c r="B27" s="52"/>
      <c r="C27" s="52">
        <f>C12*-'Commodity Credit 3-1-20'!$H$21</f>
        <v>114945.99507681529</v>
      </c>
      <c r="D27" s="52">
        <f>D12*-'Commodity Credit 3-1-20'!$H$21</f>
        <v>115041.6888988253</v>
      </c>
      <c r="E27" s="52">
        <f>E12*$N$23</f>
        <v>115447.78484651749</v>
      </c>
      <c r="F27" s="52">
        <f t="shared" ref="F27:M27" si="4">F12*$N$23</f>
        <v>116470.74889767889</v>
      </c>
      <c r="G27" s="52">
        <f t="shared" si="4"/>
        <v>117213.52171983111</v>
      </c>
      <c r="H27" s="52">
        <f t="shared" si="4"/>
        <v>116856.10745239521</v>
      </c>
      <c r="I27" s="52">
        <f t="shared" si="4"/>
        <v>117941.98320028806</v>
      </c>
      <c r="J27" s="52">
        <f t="shared" si="4"/>
        <v>118124.65147378211</v>
      </c>
      <c r="K27" s="52">
        <f t="shared" si="4"/>
        <v>118534.56774480671</v>
      </c>
      <c r="L27" s="52">
        <f t="shared" si="4"/>
        <v>118720.06892088093</v>
      </c>
      <c r="M27" s="52">
        <f t="shared" si="4"/>
        <v>118812.92260259803</v>
      </c>
    </row>
    <row r="29" spans="1:27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27" x14ac:dyDescent="0.2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27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27" x14ac:dyDescent="0.2">
      <c r="B32" s="40"/>
      <c r="C32" s="40"/>
      <c r="D32" s="40"/>
    </row>
  </sheetData>
  <pageMargins left="0.5" right="0.5" top="0.5" bottom="0.5" header="0.5" footer="0.5"/>
  <pageSetup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showGridLines="0" zoomScale="85" zoomScaleNormal="85" zoomScaleSheetLayoutView="100" workbookViewId="0">
      <pane xSplit="1" ySplit="5" topLeftCell="B6" activePane="bottomRight" state="frozen"/>
      <selection activeCell="C27" sqref="C27"/>
      <selection pane="topRight" activeCell="C27" sqref="C27"/>
      <selection pane="bottomLeft" activeCell="C27" sqref="C27"/>
      <selection pane="bottomRight" activeCell="N17" sqref="N17"/>
    </sheetView>
  </sheetViews>
  <sheetFormatPr defaultRowHeight="12" x14ac:dyDescent="0.2"/>
  <cols>
    <col min="1" max="1" width="31.28515625" style="39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s="7" customFormat="1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V3" s="8"/>
      <c r="W3" s="8"/>
    </row>
    <row r="4" spans="1:27" s="7" customForma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8"/>
      <c r="W4" s="8"/>
    </row>
    <row r="5" spans="1:27" s="13" customFormat="1" x14ac:dyDescent="0.2">
      <c r="A5" s="9"/>
      <c r="B5" s="10">
        <v>43800</v>
      </c>
      <c r="C5" s="10">
        <v>43831</v>
      </c>
      <c r="D5" s="10">
        <v>43862</v>
      </c>
      <c r="E5" s="10">
        <v>43891</v>
      </c>
      <c r="F5" s="10">
        <v>43922</v>
      </c>
      <c r="G5" s="10">
        <v>43952</v>
      </c>
      <c r="H5" s="10">
        <v>43983</v>
      </c>
      <c r="I5" s="10">
        <v>44013</v>
      </c>
      <c r="J5" s="10">
        <v>44044</v>
      </c>
      <c r="K5" s="10">
        <v>44075</v>
      </c>
      <c r="L5" s="10">
        <v>44105</v>
      </c>
      <c r="M5" s="10">
        <v>44136</v>
      </c>
      <c r="N5" s="11" t="s">
        <v>3</v>
      </c>
      <c r="O5" s="11"/>
      <c r="P5" s="12"/>
      <c r="Q5" s="12"/>
    </row>
    <row r="6" spans="1:27" s="14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</row>
    <row r="7" spans="1:27" ht="12.75" x14ac:dyDescent="0.2">
      <c r="A7" s="17" t="s">
        <v>4</v>
      </c>
      <c r="B7" s="79">
        <f>+'[8]Raw Data'!$M$161</f>
        <v>70.3</v>
      </c>
      <c r="C7" s="79">
        <f>+'[3]Raw Data'!B161</f>
        <v>69.150000000000006</v>
      </c>
      <c r="D7" s="79">
        <f>+'[3]Raw Data'!C161</f>
        <v>69.099999999999994</v>
      </c>
      <c r="E7" s="79">
        <f>+'[3]Raw Data'!D161</f>
        <v>62.58</v>
      </c>
      <c r="F7" s="79">
        <f>+'[3]Raw Data'!E161</f>
        <v>80.42</v>
      </c>
      <c r="G7" s="79">
        <f>+'[3]Raw Data'!F161</f>
        <v>75.41</v>
      </c>
      <c r="H7" s="79">
        <f>+'[3]Raw Data'!G161</f>
        <v>66.390000000000015</v>
      </c>
      <c r="I7" s="79">
        <f>+'[3]Raw Data'!H161</f>
        <v>60.84</v>
      </c>
      <c r="J7" s="79">
        <f>+'[3]Raw Data'!I161</f>
        <v>59.06</v>
      </c>
      <c r="K7" s="79">
        <f>+'[3]Raw Data'!J161</f>
        <v>75.540000000000006</v>
      </c>
      <c r="L7" s="79">
        <f>+'[3]Raw Data'!K161</f>
        <v>65.42</v>
      </c>
      <c r="M7" s="79">
        <f>+'[3]Raw Data'!L161</f>
        <v>51.85</v>
      </c>
      <c r="N7" s="18">
        <f>SUM(B7:M7)</f>
        <v>806.06</v>
      </c>
      <c r="O7" s="19"/>
      <c r="P7" s="20"/>
      <c r="Q7" s="20"/>
      <c r="R7" s="21"/>
      <c r="S7" s="22"/>
    </row>
    <row r="8" spans="1:27" ht="12.75" x14ac:dyDescent="0.2">
      <c r="A8" s="17" t="s">
        <v>5</v>
      </c>
      <c r="B8" s="76">
        <f>'[9]2180 Commodity Revenue'!$M$12</f>
        <v>-111.72239999999998</v>
      </c>
      <c r="C8" s="76">
        <f>'[10]County Reporting'!$C$3</f>
        <v>-105.46995604501765</v>
      </c>
      <c r="D8" s="76">
        <f>'[11]County Reporting'!$C$3</f>
        <v>-103.52007117810228</v>
      </c>
      <c r="E8" s="76">
        <f>'[12]County Reporting'!$C$3</f>
        <v>-102.6301075683015</v>
      </c>
      <c r="F8" s="76">
        <f>'[13]County Reporting'!$C$3</f>
        <v>-103.83019925089036</v>
      </c>
      <c r="G8" s="76">
        <f>'[14]County Reporting'!$C$3</f>
        <v>-87.990052500690837</v>
      </c>
      <c r="H8" s="76">
        <f>'[15]County Reporting'!$C$3</f>
        <v>-99.689985719538541</v>
      </c>
      <c r="I8" s="76">
        <f>'[16]County Reporting'!$C$3</f>
        <v>-101.05009344275612</v>
      </c>
      <c r="J8" s="76">
        <f>'[17]County Reporting'!$D$3</f>
        <v>-94.48</v>
      </c>
      <c r="K8" s="76">
        <f>'[18]2180 Commodity Revenue'!$J$12</f>
        <v>-87.16</v>
      </c>
      <c r="L8" s="76">
        <f>+'[19]2180 Commodity Revenue'!$K$12</f>
        <v>-83.98</v>
      </c>
      <c r="M8" s="76">
        <f>+'[19]2180 Commodity Revenue'!$L$12</f>
        <v>-72.58</v>
      </c>
      <c r="N8" s="18"/>
      <c r="O8" s="19"/>
      <c r="P8" s="20"/>
      <c r="Q8" s="20"/>
      <c r="R8" s="21"/>
      <c r="S8" s="22"/>
    </row>
    <row r="9" spans="1:27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/>
      <c r="Q9" s="28"/>
      <c r="R9" s="29"/>
      <c r="S9" s="29"/>
      <c r="T9" s="29"/>
      <c r="U9" s="29"/>
      <c r="V9" s="29"/>
      <c r="W9" s="29"/>
      <c r="X9" s="29"/>
    </row>
    <row r="10" spans="1:27" s="38" customFormat="1" x14ac:dyDescent="0.2">
      <c r="A10" s="30" t="s">
        <v>3</v>
      </c>
      <c r="B10" s="31">
        <f>B7*B8</f>
        <v>-7854.084719999998</v>
      </c>
      <c r="C10" s="31">
        <f t="shared" ref="C10:M10" si="0">C7*C8</f>
        <v>-7293.247460512971</v>
      </c>
      <c r="D10" s="31">
        <f t="shared" si="0"/>
        <v>-7153.2369184068675</v>
      </c>
      <c r="E10" s="31">
        <f t="shared" si="0"/>
        <v>-6422.5921316243075</v>
      </c>
      <c r="F10" s="31">
        <f t="shared" si="0"/>
        <v>-8350.0246237566025</v>
      </c>
      <c r="G10" s="31">
        <f t="shared" si="0"/>
        <v>-6635.3298590770955</v>
      </c>
      <c r="H10" s="31">
        <f t="shared" si="0"/>
        <v>-6618.4181519201647</v>
      </c>
      <c r="I10" s="31">
        <f t="shared" si="0"/>
        <v>-6147.8876850572824</v>
      </c>
      <c r="J10" s="31">
        <f t="shared" si="0"/>
        <v>-5579.9888000000001</v>
      </c>
      <c r="K10" s="31">
        <f t="shared" si="0"/>
        <v>-6584.0664000000006</v>
      </c>
      <c r="L10" s="31">
        <f t="shared" si="0"/>
        <v>-5493.9716000000008</v>
      </c>
      <c r="M10" s="31">
        <f t="shared" si="0"/>
        <v>-3763.2730000000001</v>
      </c>
      <c r="N10" s="31">
        <f>SUM(B10:M10)</f>
        <v>-77896.121350355301</v>
      </c>
      <c r="O10" s="32"/>
      <c r="P10" s="33"/>
      <c r="Q10" s="34"/>
      <c r="R10" s="35"/>
      <c r="S10" s="36"/>
      <c r="T10" s="36"/>
      <c r="U10" s="36"/>
      <c r="V10" s="36"/>
      <c r="W10" s="36"/>
      <c r="X10" s="36"/>
      <c r="Y10" s="37"/>
      <c r="Z10" s="37"/>
      <c r="AA10" s="37"/>
    </row>
    <row r="11" spans="1:27" x14ac:dyDescent="0.2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29"/>
      <c r="P11" s="26"/>
      <c r="Q11" s="26"/>
      <c r="R11" s="26"/>
      <c r="S11" s="29"/>
      <c r="T11" s="29"/>
      <c r="U11" s="29"/>
      <c r="V11" s="29"/>
      <c r="W11" s="29"/>
      <c r="X11" s="29"/>
      <c r="Y11" s="3"/>
      <c r="Z11" s="3"/>
      <c r="AA11" s="3"/>
    </row>
    <row r="12" spans="1:27" s="46" customFormat="1" x14ac:dyDescent="0.2">
      <c r="A12" s="42" t="s">
        <v>6</v>
      </c>
      <c r="B12" s="43">
        <f t="shared" ref="B12:G12" si="1">AVERAGE($H$12:$M$12)</f>
        <v>4905.5</v>
      </c>
      <c r="C12" s="43">
        <f t="shared" si="1"/>
        <v>4905.5</v>
      </c>
      <c r="D12" s="43">
        <f t="shared" si="1"/>
        <v>4905.5</v>
      </c>
      <c r="E12" s="43">
        <f t="shared" si="1"/>
        <v>4905.5</v>
      </c>
      <c r="F12" s="43">
        <f t="shared" si="1"/>
        <v>4905.5</v>
      </c>
      <c r="G12" s="43">
        <f t="shared" si="1"/>
        <v>4905.5</v>
      </c>
      <c r="H12" s="43">
        <f>'[21]CPA 3-1-2020'!B12</f>
        <v>4906</v>
      </c>
      <c r="I12" s="43">
        <f>'[21]CPA 3-1-2020'!C12</f>
        <v>4906</v>
      </c>
      <c r="J12" s="43">
        <f>'[21]CPA 3-1-2020'!D12</f>
        <v>4910</v>
      </c>
      <c r="K12" s="43">
        <f>'[21]CPA 3-1-2020'!E12</f>
        <v>4900</v>
      </c>
      <c r="L12" s="43">
        <f>'[21]CPA 3-1-2020'!F12</f>
        <v>4905</v>
      </c>
      <c r="M12" s="43">
        <f>'[21]CPA 3-1-2020'!G12</f>
        <v>4906</v>
      </c>
      <c r="N12" s="42">
        <f>SUM(B12:M12)</f>
        <v>58866</v>
      </c>
      <c r="O12" s="33"/>
      <c r="P12" s="44"/>
      <c r="Q12" s="45"/>
      <c r="R12" s="26"/>
      <c r="S12" s="26"/>
      <c r="T12" s="26"/>
      <c r="U12" s="26"/>
      <c r="V12" s="26"/>
      <c r="W12" s="26"/>
      <c r="X12" s="26"/>
    </row>
    <row r="13" spans="1:27" s="25" customFormat="1" x14ac:dyDescent="0.2">
      <c r="A13" s="4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9"/>
      <c r="P13" s="26"/>
      <c r="Q13" s="48"/>
      <c r="R13" s="26"/>
      <c r="S13" s="26"/>
      <c r="T13" s="26"/>
      <c r="U13" s="26"/>
      <c r="V13" s="26"/>
      <c r="W13" s="26"/>
      <c r="X13" s="26"/>
      <c r="Y13" s="46"/>
      <c r="Z13" s="46"/>
      <c r="AA13" s="46"/>
    </row>
    <row r="14" spans="1:27" s="25" customFormat="1" x14ac:dyDescent="0.2">
      <c r="A14" s="47" t="s">
        <v>7</v>
      </c>
      <c r="B14" s="49">
        <f t="shared" ref="B14:M14" si="2">+IFERROR(B10/B12,0)</f>
        <v>-1.6010773050657421</v>
      </c>
      <c r="C14" s="49">
        <f t="shared" si="2"/>
        <v>-1.4867490491311735</v>
      </c>
      <c r="D14" s="49">
        <f t="shared" si="2"/>
        <v>-1.458207505536004</v>
      </c>
      <c r="E14" s="49">
        <f t="shared" si="2"/>
        <v>-1.3092635065995939</v>
      </c>
      <c r="F14" s="49">
        <f t="shared" si="2"/>
        <v>-1.7021760521367042</v>
      </c>
      <c r="G14" s="49">
        <f t="shared" si="2"/>
        <v>-1.3526306918921813</v>
      </c>
      <c r="H14" s="49">
        <f t="shared" si="2"/>
        <v>-1.3490456893436944</v>
      </c>
      <c r="I14" s="49">
        <f t="shared" si="2"/>
        <v>-1.2531365032729886</v>
      </c>
      <c r="J14" s="49">
        <f t="shared" si="2"/>
        <v>-1.1364539307535642</v>
      </c>
      <c r="K14" s="49">
        <f t="shared" si="2"/>
        <v>-1.3436870204081635</v>
      </c>
      <c r="L14" s="49">
        <f t="shared" si="2"/>
        <v>-1.1200757594291542</v>
      </c>
      <c r="M14" s="49">
        <f t="shared" si="2"/>
        <v>-0.76707562168772936</v>
      </c>
      <c r="N14" s="49"/>
      <c r="O14" s="50"/>
      <c r="P14" s="26"/>
      <c r="Q14" s="26"/>
      <c r="R14" s="26"/>
      <c r="S14" s="26"/>
      <c r="T14" s="26"/>
      <c r="U14" s="26"/>
      <c r="V14" s="26"/>
      <c r="W14" s="26"/>
      <c r="X14" s="26"/>
      <c r="Y14" s="46"/>
      <c r="Z14" s="46"/>
      <c r="AA14" s="46"/>
    </row>
    <row r="15" spans="1:27" s="25" customFormat="1" x14ac:dyDescent="0.2">
      <c r="A15" s="47" t="s">
        <v>8</v>
      </c>
      <c r="B15" s="77">
        <f>+'JBLM CPA 3-1-2020'!$G$15</f>
        <v>-1.4000051498618318</v>
      </c>
      <c r="C15" s="77">
        <f>+'JBLM CPA 3-1-2020'!$G$15</f>
        <v>-1.4000051498618318</v>
      </c>
      <c r="D15" s="77">
        <f>+'JBLM CPA 3-1-2020'!$G$15</f>
        <v>-1.4000051498618318</v>
      </c>
      <c r="E15" s="77">
        <f>+'JBLM CPA 3-1-2020'!$H$20</f>
        <v>-1.4473148688207114</v>
      </c>
      <c r="F15" s="77">
        <f>+'JBLM CPA 3-1-2020'!$H$20</f>
        <v>-1.4473148688207114</v>
      </c>
      <c r="G15" s="77">
        <f>+'JBLM CPA 3-1-2020'!$H$20</f>
        <v>-1.4473148688207114</v>
      </c>
      <c r="H15" s="77">
        <f>+'JBLM CPA 3-1-2020'!$H$20</f>
        <v>-1.4473148688207114</v>
      </c>
      <c r="I15" s="77">
        <f>+'JBLM CPA 3-1-2020'!$H$20</f>
        <v>-1.4473148688207114</v>
      </c>
      <c r="J15" s="77">
        <f>+'JBLM CPA 3-1-2020'!$H$20</f>
        <v>-1.4473148688207114</v>
      </c>
      <c r="K15" s="77">
        <f>+'JBLM CPA 3-1-2020'!$H$20</f>
        <v>-1.4473148688207114</v>
      </c>
      <c r="L15" s="77">
        <f>+'JBLM CPA 3-1-2020'!$H$20</f>
        <v>-1.4473148688207114</v>
      </c>
      <c r="M15" s="77">
        <f>+'JBLM CPA 3-1-2020'!$H$20</f>
        <v>-1.4473148688207114</v>
      </c>
      <c r="N15" s="51"/>
      <c r="O15" s="50"/>
      <c r="P15" s="26"/>
      <c r="Q15" s="26"/>
      <c r="R15" s="26"/>
      <c r="S15" s="26"/>
      <c r="T15" s="26"/>
      <c r="U15" s="26"/>
      <c r="V15" s="26"/>
      <c r="W15" s="26"/>
      <c r="X15" s="26"/>
      <c r="Y15" s="46"/>
      <c r="Z15" s="46"/>
      <c r="AA15" s="46"/>
    </row>
    <row r="16" spans="1:27" s="25" customFormat="1" x14ac:dyDescent="0.2">
      <c r="A16" s="47" t="s">
        <v>9</v>
      </c>
      <c r="B16" s="52">
        <f t="shared" ref="B16:M16" si="3">+B15*B12</f>
        <v>-6867.7252626472155</v>
      </c>
      <c r="C16" s="52">
        <f t="shared" si="3"/>
        <v>-6867.7252626472155</v>
      </c>
      <c r="D16" s="52">
        <f t="shared" si="3"/>
        <v>-6867.7252626472155</v>
      </c>
      <c r="E16" s="52">
        <f t="shared" si="3"/>
        <v>-7099.803089</v>
      </c>
      <c r="F16" s="52">
        <f t="shared" si="3"/>
        <v>-7099.803089</v>
      </c>
      <c r="G16" s="52">
        <f t="shared" si="3"/>
        <v>-7099.803089</v>
      </c>
      <c r="H16" s="52">
        <f t="shared" si="3"/>
        <v>-7100.5267464344097</v>
      </c>
      <c r="I16" s="52">
        <f t="shared" si="3"/>
        <v>-7100.5267464344097</v>
      </c>
      <c r="J16" s="52">
        <f t="shared" si="3"/>
        <v>-7106.3160059096926</v>
      </c>
      <c r="K16" s="52">
        <f t="shared" si="3"/>
        <v>-7091.8428572214852</v>
      </c>
      <c r="L16" s="52">
        <f t="shared" si="3"/>
        <v>-7099.0794315655894</v>
      </c>
      <c r="M16" s="52">
        <f t="shared" si="3"/>
        <v>-7100.5267464344097</v>
      </c>
      <c r="N16" s="52"/>
      <c r="O16" s="53"/>
      <c r="P16" s="27"/>
      <c r="Q16" s="28"/>
      <c r="R16" s="54"/>
      <c r="S16" s="26"/>
      <c r="T16" s="26"/>
      <c r="U16" s="26"/>
      <c r="V16" s="26"/>
      <c r="W16" s="26"/>
      <c r="X16" s="26"/>
      <c r="Y16" s="46"/>
      <c r="Z16" s="46"/>
      <c r="AA16" s="46"/>
    </row>
    <row r="17" spans="1:27" s="58" customFormat="1" ht="12.75" thickBot="1" x14ac:dyDescent="0.25">
      <c r="A17" s="180" t="s">
        <v>20</v>
      </c>
      <c r="B17" s="268">
        <f t="shared" ref="B17:M17" si="4">+ROUND((B16-B10),2)</f>
        <v>986.36</v>
      </c>
      <c r="C17" s="268">
        <f t="shared" si="4"/>
        <v>425.52</v>
      </c>
      <c r="D17" s="268">
        <f t="shared" si="4"/>
        <v>285.51</v>
      </c>
      <c r="E17" s="268">
        <f t="shared" si="4"/>
        <v>-677.21</v>
      </c>
      <c r="F17" s="268">
        <f t="shared" si="4"/>
        <v>1250.22</v>
      </c>
      <c r="G17" s="268">
        <f t="shared" si="4"/>
        <v>-464.47</v>
      </c>
      <c r="H17" s="268">
        <f t="shared" si="4"/>
        <v>-482.11</v>
      </c>
      <c r="I17" s="268">
        <f t="shared" si="4"/>
        <v>-952.64</v>
      </c>
      <c r="J17" s="268">
        <f t="shared" si="4"/>
        <v>-1526.33</v>
      </c>
      <c r="K17" s="268">
        <f t="shared" si="4"/>
        <v>-507.78</v>
      </c>
      <c r="L17" s="268">
        <f t="shared" si="4"/>
        <v>-1605.11</v>
      </c>
      <c r="M17" s="268">
        <f t="shared" si="4"/>
        <v>-3337.25</v>
      </c>
      <c r="N17" s="55">
        <f>SUM(B17:M17)</f>
        <v>-6605.2899999999991</v>
      </c>
      <c r="O17" s="56"/>
      <c r="P17" s="33"/>
      <c r="Q17" s="33"/>
      <c r="R17" s="35"/>
      <c r="S17" s="33"/>
      <c r="T17" s="33"/>
      <c r="U17" s="33"/>
      <c r="V17" s="33"/>
      <c r="W17" s="33"/>
      <c r="X17" s="33"/>
      <c r="Y17" s="57"/>
      <c r="Z17" s="57"/>
      <c r="AA17" s="57"/>
    </row>
    <row r="18" spans="1:27" s="25" customFormat="1" x14ac:dyDescent="0.2">
      <c r="A18" s="47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61"/>
      <c r="P18" s="62"/>
      <c r="Q18" s="62"/>
      <c r="R18" s="26"/>
      <c r="S18" s="26"/>
      <c r="T18" s="26"/>
      <c r="U18" s="26"/>
      <c r="V18" s="26"/>
      <c r="W18" s="26"/>
      <c r="X18" s="26"/>
      <c r="Y18" s="46"/>
      <c r="Z18" s="46"/>
      <c r="AA18" s="46"/>
    </row>
    <row r="19" spans="1:27" s="25" customFormat="1" ht="12.75" x14ac:dyDescent="0.2">
      <c r="A19" s="47"/>
      <c r="B19" s="59"/>
      <c r="C19" s="59"/>
      <c r="D19" s="59"/>
      <c r="E19" s="59"/>
      <c r="F19" s="59"/>
      <c r="H19" s="63"/>
      <c r="I19" s="63"/>
      <c r="J19" s="63"/>
      <c r="K19" s="63"/>
      <c r="L19" s="63"/>
      <c r="M19" s="269" t="s">
        <v>30</v>
      </c>
      <c r="N19" s="64">
        <f>ROUND((N17/N12),2)</f>
        <v>-0.11</v>
      </c>
      <c r="O19" s="81"/>
      <c r="P19" s="62"/>
      <c r="Q19" s="62"/>
      <c r="R19" s="26"/>
      <c r="S19" s="26"/>
      <c r="T19" s="26"/>
      <c r="U19" s="26"/>
      <c r="V19" s="26"/>
      <c r="W19" s="26"/>
      <c r="X19" s="26"/>
      <c r="Y19" s="46"/>
      <c r="Z19" s="46"/>
      <c r="AA19" s="46"/>
    </row>
    <row r="20" spans="1:27" s="25" customFormat="1" ht="12.75" x14ac:dyDescent="0.2">
      <c r="A20" s="47"/>
      <c r="B20" s="59"/>
      <c r="L20" s="63"/>
      <c r="M20" s="269" t="s">
        <v>31</v>
      </c>
      <c r="N20" s="64">
        <f>-N10/N12</f>
        <v>1.3232786557665766</v>
      </c>
      <c r="O20" s="65"/>
      <c r="P20" s="62"/>
      <c r="Q20" s="62"/>
      <c r="R20" s="26"/>
      <c r="S20" s="26"/>
      <c r="T20" s="26"/>
      <c r="U20" s="26"/>
      <c r="V20" s="26"/>
      <c r="W20" s="26"/>
      <c r="X20" s="26"/>
      <c r="Y20" s="46"/>
      <c r="Z20" s="46"/>
      <c r="AA20" s="46"/>
    </row>
    <row r="21" spans="1:27" s="25" customFormat="1" ht="15" x14ac:dyDescent="0.25">
      <c r="A21" s="47"/>
      <c r="B21" s="59"/>
      <c r="C21" s="59"/>
      <c r="D21" s="59"/>
      <c r="E21" s="59"/>
      <c r="F21" s="59"/>
      <c r="H21" s="66"/>
      <c r="I21" s="66"/>
      <c r="J21" s="66"/>
      <c r="K21" s="66"/>
      <c r="L21" s="66"/>
      <c r="M21" s="270" t="s">
        <v>18</v>
      </c>
      <c r="N21" s="82">
        <f>+N19+N20</f>
        <v>1.2132786557665765</v>
      </c>
      <c r="O21" s="83"/>
      <c r="P21" s="62"/>
      <c r="Q21" s="62"/>
      <c r="R21" s="26"/>
      <c r="S21" s="26"/>
      <c r="T21" s="26"/>
      <c r="U21" s="26"/>
      <c r="V21" s="26"/>
      <c r="W21" s="26"/>
      <c r="X21" s="26"/>
      <c r="Y21" s="46"/>
      <c r="Z21" s="46"/>
      <c r="AA21" s="46"/>
    </row>
    <row r="22" spans="1:27" s="25" customFormat="1" ht="15" x14ac:dyDescent="0.25">
      <c r="A22" s="47"/>
      <c r="B22" s="59"/>
      <c r="C22" s="59"/>
      <c r="D22" s="59"/>
      <c r="E22" s="59"/>
      <c r="F22" s="59"/>
      <c r="H22" s="63"/>
      <c r="I22" s="63"/>
      <c r="J22" s="63"/>
      <c r="K22" s="63"/>
      <c r="L22" s="63"/>
      <c r="M22" s="63"/>
      <c r="N22" s="68"/>
      <c r="O22" s="67"/>
      <c r="P22" s="62"/>
      <c r="Q22" s="62"/>
      <c r="R22" s="26"/>
      <c r="S22" s="26"/>
      <c r="T22" s="26"/>
      <c r="U22" s="26"/>
      <c r="V22" s="26"/>
      <c r="W22" s="26"/>
      <c r="X22" s="26"/>
      <c r="Y22" s="46"/>
      <c r="Z22" s="46"/>
      <c r="AA22" s="46"/>
    </row>
    <row r="23" spans="1:27" s="25" customFormat="1" ht="15" x14ac:dyDescent="0.25">
      <c r="A23" s="47"/>
      <c r="B23" s="59"/>
      <c r="C23" s="59"/>
      <c r="D23" s="59"/>
      <c r="E23" s="59"/>
      <c r="F23" s="59"/>
      <c r="H23" s="63"/>
      <c r="I23" s="63"/>
      <c r="J23" s="63"/>
      <c r="K23" s="63"/>
      <c r="L23" s="63"/>
      <c r="M23" s="269" t="s">
        <v>17</v>
      </c>
      <c r="N23" s="84">
        <f>-+'JBLM CPA 3-1-2020'!$H$21</f>
        <v>1.5573148688207115</v>
      </c>
      <c r="O23" s="67"/>
      <c r="P23" s="62"/>
      <c r="Q23" s="62"/>
      <c r="R23" s="26"/>
      <c r="S23" s="26"/>
      <c r="T23" s="26"/>
      <c r="U23" s="26"/>
      <c r="V23" s="26"/>
      <c r="W23" s="26"/>
      <c r="X23" s="26"/>
      <c r="Y23" s="46"/>
      <c r="Z23" s="46"/>
      <c r="AA23" s="46"/>
    </row>
    <row r="24" spans="1:27" s="25" customFormat="1" ht="12.75" x14ac:dyDescent="0.2">
      <c r="A24" s="47"/>
      <c r="B24" s="59"/>
      <c r="C24" s="59"/>
      <c r="D24" s="59"/>
      <c r="E24" s="59"/>
      <c r="F24" s="59"/>
      <c r="H24" s="63"/>
      <c r="I24" s="63"/>
      <c r="J24" s="63"/>
      <c r="K24" s="63"/>
      <c r="L24" s="63"/>
      <c r="M24" s="269" t="s">
        <v>14</v>
      </c>
      <c r="N24" s="69">
        <f>N21-N23</f>
        <v>-0.34403621305413501</v>
      </c>
      <c r="O24" s="70">
        <f>N24/N23</f>
        <v>-0.22091628349677228</v>
      </c>
      <c r="P24" s="62"/>
      <c r="Q24" s="62"/>
      <c r="R24" s="26"/>
      <c r="S24" s="26"/>
      <c r="T24" s="26"/>
      <c r="U24" s="26"/>
      <c r="V24" s="26"/>
      <c r="W24" s="26"/>
      <c r="X24" s="26"/>
      <c r="Y24" s="46"/>
      <c r="Z24" s="46"/>
      <c r="AA24" s="46"/>
    </row>
    <row r="25" spans="1:27" s="25" customFormat="1" ht="15" x14ac:dyDescent="0.25">
      <c r="A25" s="47"/>
      <c r="B25" s="59"/>
      <c r="C25" s="59"/>
      <c r="D25" s="59"/>
      <c r="E25" s="59"/>
      <c r="F25" s="59"/>
      <c r="H25" s="63"/>
      <c r="I25" s="63"/>
      <c r="J25" s="63"/>
      <c r="K25" s="63"/>
      <c r="L25" s="63"/>
      <c r="M25" s="269" t="s">
        <v>15</v>
      </c>
      <c r="N25" s="71">
        <f>-N24*N12*2</f>
        <v>40504.071435289421</v>
      </c>
      <c r="O25" s="67"/>
      <c r="P25" s="62"/>
      <c r="Q25" s="62"/>
      <c r="R25" s="26"/>
      <c r="S25" s="26"/>
      <c r="T25" s="26"/>
      <c r="U25" s="26"/>
      <c r="V25" s="26"/>
      <c r="W25" s="26"/>
      <c r="X25" s="26"/>
      <c r="Y25" s="46"/>
      <c r="Z25" s="46"/>
      <c r="AA25" s="46"/>
    </row>
    <row r="26" spans="1:27" s="25" customFormat="1" x14ac:dyDescent="0.2">
      <c r="A26" s="4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61"/>
      <c r="P26" s="62"/>
      <c r="Q26" s="62"/>
      <c r="R26" s="26"/>
      <c r="S26" s="26"/>
      <c r="T26" s="26"/>
      <c r="U26" s="26"/>
      <c r="V26" s="26"/>
      <c r="W26" s="26"/>
      <c r="X26" s="26"/>
      <c r="Y26" s="46"/>
      <c r="Z26" s="46"/>
      <c r="AA26" s="46"/>
    </row>
    <row r="27" spans="1:27" x14ac:dyDescent="0.2">
      <c r="A27" s="72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pageMargins left="0.5" right="0.5" top="0.5" bottom="0.5" header="0.5" footer="0.5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Normal="100" zoomScaleSheetLayoutView="100" workbookViewId="0">
      <pane xSplit="1" ySplit="5" topLeftCell="B6" activePane="bottomRight" state="frozen"/>
      <selection activeCell="H21" sqref="H21"/>
      <selection pane="topRight" activeCell="H21" sqref="H21"/>
      <selection pane="bottomLeft" activeCell="H21" sqref="H21"/>
      <selection pane="bottomRight" activeCell="A42" sqref="A42"/>
    </sheetView>
  </sheetViews>
  <sheetFormatPr defaultRowHeight="12" x14ac:dyDescent="0.2"/>
  <cols>
    <col min="1" max="1" width="31.28515625" style="136" customWidth="1"/>
    <col min="2" max="8" width="12.7109375" style="135" customWidth="1"/>
    <col min="9" max="9" width="8.7109375" style="135" customWidth="1"/>
    <col min="10" max="10" width="19.140625" style="135" customWidth="1"/>
    <col min="11" max="11" width="11.5703125" style="135" bestFit="1" customWidth="1"/>
    <col min="12" max="12" width="11" style="135" bestFit="1" customWidth="1"/>
    <col min="13" max="13" width="13.28515625" style="135" customWidth="1"/>
    <col min="14" max="14" width="12.5703125" style="135" bestFit="1" customWidth="1"/>
    <col min="15" max="15" width="12.5703125" style="135" customWidth="1"/>
    <col min="16" max="16" width="2.28515625" style="135" customWidth="1"/>
    <col min="17" max="17" width="11.85546875" style="135" bestFit="1" customWidth="1"/>
    <col min="18" max="18" width="11.28515625" style="135" customWidth="1"/>
    <col min="19" max="16384" width="9.140625" style="135"/>
  </cols>
  <sheetData>
    <row r="1" spans="1:21" x14ac:dyDescent="0.2">
      <c r="A1" s="198" t="s">
        <v>0</v>
      </c>
    </row>
    <row r="2" spans="1:21" x14ac:dyDescent="0.2">
      <c r="A2" s="198" t="s">
        <v>1</v>
      </c>
      <c r="B2" s="171"/>
      <c r="C2" s="171"/>
      <c r="D2" s="171"/>
      <c r="E2" s="171"/>
      <c r="F2" s="171"/>
      <c r="G2" s="171"/>
    </row>
    <row r="3" spans="1:21" s="193" customFormat="1" x14ac:dyDescent="0.2">
      <c r="A3" s="197" t="s">
        <v>24</v>
      </c>
      <c r="B3" s="196"/>
      <c r="C3" s="196"/>
      <c r="D3" s="196"/>
      <c r="E3" s="196"/>
      <c r="F3" s="196"/>
      <c r="G3" s="196"/>
      <c r="H3" s="195"/>
      <c r="I3" s="195"/>
      <c r="J3" s="195"/>
      <c r="K3" s="195"/>
      <c r="L3" s="195"/>
      <c r="M3" s="195"/>
      <c r="P3" s="194"/>
      <c r="Q3" s="194"/>
    </row>
    <row r="4" spans="1:21" s="193" customFormat="1" x14ac:dyDescent="0.2">
      <c r="A4" s="197"/>
      <c r="B4" s="196"/>
      <c r="C4" s="196"/>
      <c r="D4" s="196"/>
      <c r="E4" s="196"/>
      <c r="F4" s="196"/>
      <c r="G4" s="196"/>
      <c r="H4" s="195"/>
      <c r="I4" s="195"/>
      <c r="J4" s="195"/>
      <c r="K4" s="195"/>
      <c r="L4" s="195"/>
      <c r="M4" s="195"/>
      <c r="N4" s="195"/>
      <c r="O4" s="195"/>
      <c r="P4" s="194"/>
      <c r="Q4" s="194"/>
    </row>
    <row r="5" spans="1:21" s="189" customFormat="1" x14ac:dyDescent="0.2">
      <c r="A5" s="192"/>
      <c r="B5" s="10">
        <v>43617</v>
      </c>
      <c r="C5" s="10">
        <v>43647</v>
      </c>
      <c r="D5" s="10">
        <v>43678</v>
      </c>
      <c r="E5" s="10">
        <v>43709</v>
      </c>
      <c r="F5" s="10">
        <v>43739</v>
      </c>
      <c r="G5" s="10">
        <v>43770</v>
      </c>
      <c r="H5" s="191" t="s">
        <v>3</v>
      </c>
      <c r="I5" s="191"/>
      <c r="J5" s="190"/>
      <c r="K5" s="190"/>
    </row>
    <row r="6" spans="1:21" s="186" customFormat="1" x14ac:dyDescent="0.2">
      <c r="B6" s="188"/>
      <c r="C6" s="188"/>
      <c r="D6" s="188"/>
      <c r="E6" s="188"/>
      <c r="F6" s="188"/>
      <c r="G6" s="188"/>
      <c r="H6" s="187"/>
      <c r="I6" s="187"/>
      <c r="J6" s="187"/>
    </row>
    <row r="7" spans="1:21" ht="12.75" x14ac:dyDescent="0.2">
      <c r="A7" s="185" t="s">
        <v>4</v>
      </c>
      <c r="B7" s="129">
        <f>'[8]Raw Data'!G7</f>
        <v>918.51</v>
      </c>
      <c r="C7" s="129">
        <f>'[8]Raw Data'!H7</f>
        <v>1089.97</v>
      </c>
      <c r="D7" s="129">
        <f>'[8]Raw Data'!I7</f>
        <v>1019.69</v>
      </c>
      <c r="E7" s="129">
        <f>'[8]Raw Data'!J7</f>
        <v>882.33</v>
      </c>
      <c r="F7" s="129">
        <f>'[8]Raw Data'!K7</f>
        <v>930.17</v>
      </c>
      <c r="G7" s="129">
        <f>'[8]Raw Data'!L7</f>
        <v>902.08</v>
      </c>
      <c r="H7" s="18">
        <f>SUM(B7:G7)</f>
        <v>5742.75</v>
      </c>
      <c r="I7" s="128"/>
      <c r="J7" s="184"/>
      <c r="K7" s="184"/>
      <c r="L7" s="183"/>
      <c r="M7" s="182"/>
    </row>
    <row r="8" spans="1:21" ht="12.75" x14ac:dyDescent="0.2">
      <c r="A8" s="185" t="s">
        <v>5</v>
      </c>
      <c r="B8" s="23">
        <f>[22]Matrix!$G$28</f>
        <v>-107.6056</v>
      </c>
      <c r="C8" s="23">
        <f>[23]Matrix!$G$28</f>
        <v>-105.66560000000001</v>
      </c>
      <c r="D8" s="23">
        <f>[24]Matrix!$G$28</f>
        <v>-105.90089999999999</v>
      </c>
      <c r="E8" s="23">
        <f>[25]Matrix!$G$28</f>
        <v>-109.95339999999997</v>
      </c>
      <c r="F8" s="23">
        <f>[26]Matrix!$G$28</f>
        <v>-111.92589999999998</v>
      </c>
      <c r="G8" s="23">
        <f>[27]Matrix!$G$28</f>
        <v>-112.07739999999998</v>
      </c>
      <c r="H8" s="18"/>
      <c r="I8" s="128"/>
      <c r="J8" s="184"/>
      <c r="K8" s="184"/>
      <c r="L8" s="183"/>
      <c r="M8" s="182"/>
    </row>
    <row r="9" spans="1:21" x14ac:dyDescent="0.2">
      <c r="A9" s="181"/>
      <c r="B9" s="137"/>
      <c r="C9" s="137"/>
      <c r="D9" s="137"/>
      <c r="E9" s="137"/>
      <c r="F9" s="137"/>
      <c r="G9" s="137"/>
      <c r="H9" s="137"/>
      <c r="I9" s="139"/>
      <c r="J9" s="158"/>
      <c r="K9" s="157"/>
      <c r="L9" s="166"/>
      <c r="M9" s="166"/>
      <c r="N9" s="166"/>
      <c r="O9" s="166"/>
      <c r="P9" s="166"/>
      <c r="Q9" s="166"/>
      <c r="R9" s="166"/>
    </row>
    <row r="10" spans="1:21" s="174" customFormat="1" x14ac:dyDescent="0.2">
      <c r="A10" s="180" t="s">
        <v>3</v>
      </c>
      <c r="B10" s="179">
        <f t="shared" ref="B10:G10" si="0">B7*B8</f>
        <v>-98836.819655999992</v>
      </c>
      <c r="C10" s="179">
        <f t="shared" si="0"/>
        <v>-115172.33403200001</v>
      </c>
      <c r="D10" s="179">
        <f t="shared" si="0"/>
        <v>-107986.08872099999</v>
      </c>
      <c r="E10" s="179">
        <f t="shared" si="0"/>
        <v>-97015.183421999987</v>
      </c>
      <c r="F10" s="179">
        <f t="shared" si="0"/>
        <v>-104110.11440299999</v>
      </c>
      <c r="G10" s="179">
        <f t="shared" si="0"/>
        <v>-101102.78099199999</v>
      </c>
      <c r="H10" s="179">
        <f>SUM(B10:G10)</f>
        <v>-624223.32122599997</v>
      </c>
      <c r="I10" s="178"/>
      <c r="J10" s="151"/>
      <c r="K10" s="177"/>
      <c r="L10" s="152"/>
      <c r="M10" s="176"/>
      <c r="N10" s="176"/>
      <c r="O10" s="176"/>
      <c r="P10" s="176"/>
      <c r="Q10" s="176"/>
      <c r="R10" s="176"/>
      <c r="S10" s="175"/>
      <c r="T10" s="175"/>
      <c r="U10" s="175"/>
    </row>
    <row r="11" spans="1:21" x14ac:dyDescent="0.2">
      <c r="B11" s="173"/>
      <c r="C11" s="173"/>
      <c r="D11" s="173"/>
      <c r="E11" s="173"/>
      <c r="F11" s="173"/>
      <c r="G11" s="173"/>
      <c r="H11" s="172"/>
      <c r="I11" s="166"/>
      <c r="J11" s="139"/>
      <c r="K11" s="139"/>
      <c r="L11" s="139"/>
      <c r="M11" s="166"/>
      <c r="N11" s="166"/>
      <c r="O11" s="166"/>
      <c r="P11" s="166"/>
      <c r="Q11" s="166"/>
      <c r="R11" s="166"/>
      <c r="S11" s="171"/>
      <c r="T11" s="171"/>
      <c r="U11" s="171"/>
    </row>
    <row r="12" spans="1:21" s="138" customFormat="1" x14ac:dyDescent="0.2">
      <c r="A12" s="169" t="s">
        <v>6</v>
      </c>
      <c r="B12" s="170">
        <f>'[28]2180 (Reg.) - Price Out '!AD87+'[28]2180 (Reg.) - Price Out '!AD88</f>
        <v>53634.209139591047</v>
      </c>
      <c r="C12" s="170">
        <f>'[28]2180 (Reg.) - Price Out '!AE87+'[28]2180 (Reg.) - Price Out '!AE88</f>
        <v>53660.530102453617</v>
      </c>
      <c r="D12" s="170">
        <f>'[28]2180 (Reg.) - Price Out '!AF87+'[28]2180 (Reg.) - Price Out '!AF88</f>
        <v>53833.816327591645</v>
      </c>
      <c r="E12" s="170">
        <f>'[28]2180 (Reg.) - Price Out '!AG87+'[28]2180 (Reg.) - Price Out '!AG88</f>
        <v>53847.46536950567</v>
      </c>
      <c r="F12" s="170">
        <f>'[28]2180 (Reg.) - Price Out '!AH87+'[28]2180 (Reg.) - Price Out '!AH88</f>
        <v>53907.963445860099</v>
      </c>
      <c r="G12" s="170">
        <f>'[28]2180 (Reg.) - Price Out '!AI87+'[28]2180 (Reg.) - Price Out '!AI88</f>
        <v>53887.97568960418</v>
      </c>
      <c r="H12" s="169">
        <f>SUM(B12:G12)</f>
        <v>322771.96007460624</v>
      </c>
      <c r="I12" s="151"/>
      <c r="J12" s="168"/>
      <c r="K12" s="167"/>
      <c r="L12" s="139"/>
      <c r="M12" s="139"/>
      <c r="N12" s="139"/>
      <c r="O12" s="139"/>
      <c r="P12" s="139"/>
      <c r="Q12" s="139"/>
      <c r="R12" s="139"/>
    </row>
    <row r="13" spans="1:21" s="137" customFormat="1" x14ac:dyDescent="0.2">
      <c r="A13" s="144"/>
      <c r="B13" s="135"/>
      <c r="C13" s="135"/>
      <c r="D13" s="135"/>
      <c r="E13" s="135"/>
      <c r="F13" s="135"/>
      <c r="G13" s="135"/>
      <c r="H13" s="135"/>
      <c r="I13" s="166"/>
      <c r="J13" s="139"/>
      <c r="K13" s="165"/>
      <c r="L13" s="139"/>
      <c r="M13" s="139"/>
      <c r="N13" s="139"/>
      <c r="O13" s="139"/>
      <c r="P13" s="139"/>
      <c r="Q13" s="139"/>
      <c r="R13" s="139"/>
      <c r="S13" s="138"/>
      <c r="T13" s="138"/>
      <c r="U13" s="138"/>
    </row>
    <row r="14" spans="1:21" s="137" customFormat="1" x14ac:dyDescent="0.2">
      <c r="A14" s="144" t="s">
        <v>7</v>
      </c>
      <c r="B14" s="164">
        <f t="shared" ref="B14:G14" si="1">+IFERROR(B10/B12,0)</f>
        <v>-1.8427943889088099</v>
      </c>
      <c r="C14" s="164">
        <f t="shared" si="1"/>
        <v>-2.1463137582148817</v>
      </c>
      <c r="D14" s="164">
        <f t="shared" si="1"/>
        <v>-2.0059155394794757</v>
      </c>
      <c r="E14" s="164">
        <f t="shared" si="1"/>
        <v>-1.8016666663189054</v>
      </c>
      <c r="F14" s="164">
        <f t="shared" si="1"/>
        <v>-1.9312566780148916</v>
      </c>
      <c r="G14" s="164">
        <f t="shared" si="1"/>
        <v>-1.876165873707226</v>
      </c>
      <c r="H14" s="164"/>
      <c r="I14" s="161"/>
      <c r="J14" s="139"/>
      <c r="K14" s="139"/>
      <c r="L14" s="139"/>
      <c r="M14" s="139"/>
      <c r="N14" s="139"/>
      <c r="O14" s="139"/>
      <c r="P14" s="139"/>
      <c r="Q14" s="139"/>
      <c r="R14" s="139"/>
      <c r="S14" s="138"/>
      <c r="T14" s="138"/>
      <c r="U14" s="138"/>
    </row>
    <row r="15" spans="1:21" s="137" customFormat="1" x14ac:dyDescent="0.2">
      <c r="A15" s="144" t="s">
        <v>8</v>
      </c>
      <c r="B15" s="163">
        <f>-'[29]Commodity Credit 3-1-19'!$H$20</f>
        <v>-1.3190302269883769</v>
      </c>
      <c r="C15" s="163">
        <f>-'[29]Commodity Credit 3-1-19'!$H$20</f>
        <v>-1.3190302269883769</v>
      </c>
      <c r="D15" s="163">
        <f>-'[29]Commodity Credit 3-1-19'!$H$20</f>
        <v>-1.3190302269883769</v>
      </c>
      <c r="E15" s="163">
        <f>-'Commodity Credit 9-1-19'!$H$20</f>
        <v>-1.674383072741064</v>
      </c>
      <c r="F15" s="163">
        <f>-'Commodity Credit 9-1-19'!$H$20</f>
        <v>-1.674383072741064</v>
      </c>
      <c r="G15" s="163">
        <f>-'Commodity Credit 9-1-19'!$H$20</f>
        <v>-1.674383072741064</v>
      </c>
      <c r="H15" s="162"/>
      <c r="I15" s="161"/>
      <c r="J15" s="139"/>
      <c r="K15" s="139"/>
      <c r="L15" s="139"/>
      <c r="M15" s="139"/>
      <c r="N15" s="139"/>
      <c r="O15" s="139"/>
      <c r="P15" s="139"/>
      <c r="Q15" s="139"/>
      <c r="R15" s="139"/>
      <c r="S15" s="138"/>
      <c r="T15" s="138"/>
      <c r="U15" s="138"/>
    </row>
    <row r="16" spans="1:21" s="137" customFormat="1" x14ac:dyDescent="0.2">
      <c r="A16" s="144" t="s">
        <v>9</v>
      </c>
      <c r="B16" s="160">
        <f t="shared" ref="B16:G16" si="2">+B15*B12</f>
        <v>-70745.143055736859</v>
      </c>
      <c r="C16" s="160">
        <f t="shared" si="2"/>
        <v>-70779.86120135602</v>
      </c>
      <c r="D16" s="160">
        <f t="shared" si="2"/>
        <v>-71008.430970233792</v>
      </c>
      <c r="E16" s="160">
        <f t="shared" si="2"/>
        <v>-90161.284524710936</v>
      </c>
      <c r="F16" s="160">
        <f t="shared" si="2"/>
        <v>-90262.581479692191</v>
      </c>
      <c r="G16" s="160">
        <f t="shared" si="2"/>
        <v>-90229.114318955209</v>
      </c>
      <c r="H16" s="160"/>
      <c r="I16" s="159"/>
      <c r="J16" s="158"/>
      <c r="K16" s="157"/>
      <c r="L16" s="156"/>
      <c r="M16" s="139"/>
      <c r="N16" s="139"/>
      <c r="O16" s="139"/>
      <c r="P16" s="139"/>
      <c r="Q16" s="139"/>
      <c r="R16" s="139"/>
      <c r="S16" s="138"/>
      <c r="T16" s="138"/>
      <c r="U16" s="138"/>
    </row>
    <row r="17" spans="1:21" s="149" customFormat="1" ht="12.75" thickBot="1" x14ac:dyDescent="0.25">
      <c r="A17" s="155" t="s">
        <v>10</v>
      </c>
      <c r="B17" s="154">
        <f t="shared" ref="B17:G17" si="3">B10-B16</f>
        <v>-28091.676600263134</v>
      </c>
      <c r="C17" s="154">
        <f t="shared" si="3"/>
        <v>-44392.472830643994</v>
      </c>
      <c r="D17" s="154">
        <f t="shared" si="3"/>
        <v>-36977.6577507662</v>
      </c>
      <c r="E17" s="154">
        <f t="shared" si="3"/>
        <v>-6853.8988972890511</v>
      </c>
      <c r="F17" s="154">
        <f t="shared" si="3"/>
        <v>-13847.532923307794</v>
      </c>
      <c r="G17" s="154">
        <f t="shared" si="3"/>
        <v>-10873.666673044776</v>
      </c>
      <c r="H17" s="154">
        <f>SUM(B17:G17)</f>
        <v>-141036.90567531495</v>
      </c>
      <c r="I17" s="153"/>
      <c r="J17" s="151">
        <f>H17/12*8</f>
        <v>-94024.603783543294</v>
      </c>
      <c r="K17" s="151"/>
      <c r="L17" s="152"/>
      <c r="M17" s="151"/>
      <c r="N17" s="151"/>
      <c r="O17" s="151"/>
      <c r="P17" s="151"/>
      <c r="Q17" s="151"/>
      <c r="R17" s="151"/>
      <c r="S17" s="150"/>
      <c r="T17" s="150"/>
      <c r="U17" s="150"/>
    </row>
    <row r="18" spans="1:21" s="137" customFormat="1" x14ac:dyDescent="0.2">
      <c r="A18" s="144"/>
      <c r="B18" s="143"/>
      <c r="C18" s="143"/>
      <c r="D18" s="143"/>
      <c r="E18" s="143"/>
      <c r="F18" s="143"/>
      <c r="G18" s="143"/>
      <c r="H18" s="142"/>
      <c r="I18" s="141"/>
      <c r="J18" s="140"/>
      <c r="K18" s="140"/>
      <c r="L18" s="139"/>
      <c r="M18" s="139"/>
      <c r="N18" s="139"/>
      <c r="O18" s="139"/>
      <c r="P18" s="139"/>
      <c r="Q18" s="139"/>
      <c r="R18" s="139"/>
      <c r="S18" s="138"/>
      <c r="T18" s="138"/>
      <c r="U18" s="138"/>
    </row>
    <row r="19" spans="1:21" s="137" customFormat="1" ht="12.75" x14ac:dyDescent="0.2">
      <c r="A19" s="144"/>
      <c r="B19" s="143"/>
      <c r="C19" s="143"/>
      <c r="D19" s="143"/>
      <c r="E19" s="143"/>
      <c r="F19" s="143"/>
      <c r="G19" s="63" t="s">
        <v>11</v>
      </c>
      <c r="H19" s="64">
        <f>ROUND((H17/H12/2),2)</f>
        <v>-0.22</v>
      </c>
      <c r="I19" s="95"/>
      <c r="J19" s="140"/>
      <c r="K19" s="140"/>
      <c r="L19" s="139"/>
      <c r="M19" s="139"/>
      <c r="N19" s="139"/>
      <c r="O19" s="139"/>
      <c r="P19" s="139"/>
      <c r="Q19" s="139"/>
      <c r="R19" s="139"/>
      <c r="S19" s="138"/>
      <c r="T19" s="138"/>
      <c r="U19" s="138"/>
    </row>
    <row r="20" spans="1:21" s="137" customFormat="1" ht="12.75" x14ac:dyDescent="0.2">
      <c r="A20" s="144"/>
      <c r="B20" s="143"/>
      <c r="C20" s="143"/>
      <c r="D20" s="143"/>
      <c r="E20" s="143"/>
      <c r="F20" s="143"/>
      <c r="G20" s="63" t="s">
        <v>12</v>
      </c>
      <c r="H20" s="64">
        <f>H10/H12</f>
        <v>-1.933945318799426</v>
      </c>
      <c r="I20" s="65"/>
      <c r="J20" s="140"/>
      <c r="K20" s="272"/>
      <c r="L20" s="139"/>
      <c r="M20" s="139"/>
      <c r="N20" s="139"/>
      <c r="O20" s="139"/>
      <c r="P20" s="139"/>
      <c r="Q20" s="139"/>
      <c r="R20" s="139"/>
      <c r="S20" s="138"/>
      <c r="T20" s="138"/>
      <c r="U20" s="138"/>
    </row>
    <row r="21" spans="1:21" s="137" customFormat="1" ht="15" x14ac:dyDescent="0.25">
      <c r="A21" s="144"/>
      <c r="B21" s="143"/>
      <c r="C21" s="143"/>
      <c r="D21" s="143"/>
      <c r="E21" s="143"/>
      <c r="F21" s="143"/>
      <c r="G21" s="66" t="s">
        <v>18</v>
      </c>
      <c r="H21" s="148">
        <f>SUM(H19:H20)</f>
        <v>-2.1539453187994262</v>
      </c>
      <c r="I21" s="93"/>
      <c r="J21" s="140"/>
      <c r="K21" s="140"/>
      <c r="L21" s="139"/>
      <c r="M21" s="139"/>
      <c r="N21" s="139"/>
      <c r="O21" s="139"/>
      <c r="P21" s="139"/>
      <c r="Q21" s="139"/>
      <c r="R21" s="139"/>
      <c r="S21" s="138"/>
      <c r="T21" s="138"/>
      <c r="U21" s="138"/>
    </row>
    <row r="22" spans="1:21" s="137" customFormat="1" ht="15" x14ac:dyDescent="0.25">
      <c r="A22" s="144"/>
      <c r="B22" s="143"/>
      <c r="C22" s="143"/>
      <c r="D22" s="143"/>
      <c r="E22" s="143"/>
      <c r="F22" s="143"/>
      <c r="G22" s="63"/>
      <c r="H22" s="68"/>
      <c r="I22" s="93"/>
      <c r="J22" s="140"/>
      <c r="K22" s="140"/>
      <c r="L22" s="139"/>
      <c r="M22" s="139"/>
      <c r="N22" s="139"/>
      <c r="O22" s="139"/>
      <c r="P22" s="139"/>
      <c r="Q22" s="139"/>
      <c r="R22" s="139"/>
      <c r="S22" s="138"/>
      <c r="T22" s="138"/>
      <c r="U22" s="138"/>
    </row>
    <row r="23" spans="1:21" s="137" customFormat="1" ht="15" x14ac:dyDescent="0.25">
      <c r="A23" s="144"/>
      <c r="B23" s="143"/>
      <c r="C23" s="143"/>
      <c r="D23" s="143"/>
      <c r="E23" s="143"/>
      <c r="F23" s="143"/>
      <c r="G23" s="63" t="s">
        <v>13</v>
      </c>
      <c r="H23" s="147">
        <f>-'Commodity Credit 9-1-19'!H21</f>
        <v>-1.924383072741064</v>
      </c>
      <c r="I23" s="93"/>
      <c r="J23" s="140"/>
      <c r="K23" s="140"/>
      <c r="L23" s="139"/>
      <c r="M23" s="139"/>
      <c r="N23" s="139"/>
      <c r="O23" s="139"/>
      <c r="P23" s="139"/>
      <c r="Q23" s="139"/>
      <c r="R23" s="139"/>
      <c r="S23" s="138"/>
      <c r="T23" s="138"/>
      <c r="U23" s="138"/>
    </row>
    <row r="24" spans="1:21" s="137" customFormat="1" ht="12.75" x14ac:dyDescent="0.2">
      <c r="A24" s="144"/>
      <c r="B24" s="143"/>
      <c r="C24" s="143"/>
      <c r="D24" s="143"/>
      <c r="E24" s="143"/>
      <c r="F24" s="143"/>
      <c r="G24" s="63" t="s">
        <v>14</v>
      </c>
      <c r="H24" s="146">
        <f>H21-H23</f>
        <v>-0.22956224605836217</v>
      </c>
      <c r="I24" s="70">
        <f>H24/H23</f>
        <v>0.11929134552788233</v>
      </c>
      <c r="J24" s="140"/>
      <c r="K24" s="140"/>
      <c r="L24" s="139"/>
      <c r="M24" s="139"/>
      <c r="N24" s="139"/>
      <c r="O24" s="139"/>
      <c r="P24" s="139"/>
      <c r="Q24" s="139"/>
      <c r="R24" s="139"/>
      <c r="S24" s="138"/>
      <c r="T24" s="138"/>
      <c r="U24" s="138"/>
    </row>
    <row r="25" spans="1:21" s="137" customFormat="1" ht="15" x14ac:dyDescent="0.25">
      <c r="A25" s="144"/>
      <c r="B25" s="143"/>
      <c r="C25" s="143"/>
      <c r="D25" s="143"/>
      <c r="E25" s="143"/>
      <c r="F25" s="143"/>
      <c r="G25" s="63" t="s">
        <v>15</v>
      </c>
      <c r="H25" s="145">
        <f>-H24*H12*2</f>
        <v>148192.51223877323</v>
      </c>
      <c r="I25" s="93"/>
      <c r="J25" s="140"/>
      <c r="K25" s="140"/>
      <c r="L25" s="139"/>
      <c r="M25" s="139"/>
      <c r="N25" s="139"/>
      <c r="O25" s="139"/>
      <c r="P25" s="139"/>
      <c r="Q25" s="139"/>
      <c r="R25" s="139"/>
      <c r="S25" s="138"/>
      <c r="T25" s="138"/>
      <c r="U25" s="138"/>
    </row>
    <row r="26" spans="1:21" s="137" customFormat="1" x14ac:dyDescent="0.2">
      <c r="A26" s="144"/>
      <c r="B26" s="143"/>
      <c r="C26" s="143"/>
      <c r="D26" s="143"/>
      <c r="E26" s="143"/>
      <c r="F26" s="143"/>
      <c r="G26" s="143"/>
      <c r="H26" s="142"/>
      <c r="I26" s="141"/>
      <c r="J26" s="140"/>
      <c r="K26" s="140"/>
      <c r="L26" s="139"/>
      <c r="M26" s="139"/>
      <c r="N26" s="139"/>
      <c r="O26" s="139"/>
      <c r="P26" s="139"/>
      <c r="Q26" s="139"/>
      <c r="R26" s="139"/>
      <c r="S26" s="138"/>
      <c r="T26" s="138"/>
      <c r="U26" s="138"/>
    </row>
  </sheetData>
  <pageMargins left="0.5" right="0.5" top="0.5" bottom="0.5" header="0.5" footer="0.5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Normal="100" zoomScaleSheetLayoutView="100" workbookViewId="0">
      <pane xSplit="1" ySplit="5" topLeftCell="B7" activePane="bottomRight" state="frozen"/>
      <selection activeCell="H26" sqref="H26"/>
      <selection pane="topRight" activeCell="H26" sqref="H26"/>
      <selection pane="bottomLeft" activeCell="H26" sqref="H26"/>
      <selection pane="bottomRight" activeCell="B16" sqref="B16:G16"/>
    </sheetView>
  </sheetViews>
  <sheetFormatPr defaultRowHeight="12" x14ac:dyDescent="0.2"/>
  <cols>
    <col min="1" max="1" width="31.28515625" style="39" customWidth="1"/>
    <col min="2" max="8" width="12.7109375" style="2" customWidth="1"/>
    <col min="9" max="9" width="8.7109375" style="2" customWidth="1"/>
    <col min="10" max="10" width="19.140625" style="2" customWidth="1"/>
    <col min="11" max="11" width="11.5703125" style="2" bestFit="1" customWidth="1"/>
    <col min="12" max="12" width="11" style="2" bestFit="1" customWidth="1"/>
    <col min="13" max="13" width="13.28515625" style="2" customWidth="1"/>
    <col min="14" max="14" width="12.5703125" style="2" bestFit="1" customWidth="1"/>
    <col min="15" max="15" width="12.5703125" style="2" customWidth="1"/>
    <col min="16" max="16" width="2.28515625" style="2" customWidth="1"/>
    <col min="17" max="17" width="11.85546875" style="2" bestFit="1" customWidth="1"/>
    <col min="18" max="18" width="11.28515625" style="2" customWidth="1"/>
    <col min="19" max="16384" width="9.140625" style="2"/>
  </cols>
  <sheetData>
    <row r="1" spans="1:21" x14ac:dyDescent="0.2">
      <c r="A1" s="1" t="s">
        <v>0</v>
      </c>
      <c r="E1" s="3"/>
    </row>
    <row r="2" spans="1:21" x14ac:dyDescent="0.2">
      <c r="A2" s="1" t="s">
        <v>23</v>
      </c>
      <c r="B2" s="3"/>
      <c r="C2" s="3"/>
      <c r="D2" s="3"/>
      <c r="E2" s="3"/>
      <c r="F2" s="3"/>
      <c r="G2" s="3"/>
    </row>
    <row r="3" spans="1:21" s="7" customFormat="1" x14ac:dyDescent="0.2">
      <c r="A3" s="4" t="s">
        <v>22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P3" s="134"/>
      <c r="Q3" s="134"/>
    </row>
    <row r="4" spans="1:21" s="7" customFormat="1" x14ac:dyDescent="0.2">
      <c r="A4" s="4"/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134"/>
      <c r="Q4" s="134"/>
    </row>
    <row r="5" spans="1:21" s="13" customFormat="1" x14ac:dyDescent="0.2">
      <c r="A5" s="9"/>
      <c r="B5" s="10">
        <v>43435</v>
      </c>
      <c r="C5" s="10">
        <v>43466</v>
      </c>
      <c r="D5" s="10">
        <v>43497</v>
      </c>
      <c r="E5" s="10">
        <v>43525</v>
      </c>
      <c r="F5" s="10">
        <v>43556</v>
      </c>
      <c r="G5" s="10">
        <v>43586</v>
      </c>
      <c r="H5" s="11" t="s">
        <v>3</v>
      </c>
      <c r="I5" s="11"/>
      <c r="J5" s="133"/>
      <c r="K5" s="133"/>
    </row>
    <row r="6" spans="1:21" s="14" customFormat="1" x14ac:dyDescent="0.2">
      <c r="B6" s="132"/>
      <c r="C6" s="132"/>
      <c r="D6" s="132"/>
      <c r="E6" s="132"/>
      <c r="F6" s="132"/>
      <c r="G6" s="132"/>
      <c r="H6" s="131"/>
      <c r="I6" s="131"/>
      <c r="J6" s="131"/>
    </row>
    <row r="7" spans="1:21" ht="12.75" x14ac:dyDescent="0.2">
      <c r="A7" s="17" t="s">
        <v>4</v>
      </c>
      <c r="B7" s="130">
        <f>SUM('[30]Raw Data'!$M$73:$M$86)</f>
        <v>939.53</v>
      </c>
      <c r="C7" s="129">
        <f>SUM('[31]Raw Data'!B$73:B$86)</f>
        <v>1130.105</v>
      </c>
      <c r="D7" s="129">
        <f>SUM('[31]Raw Data'!C$73:C$86)</f>
        <v>759.71</v>
      </c>
      <c r="E7" s="129">
        <f>SUM('[31]Raw Data'!D$73:D$86)</f>
        <v>915.44</v>
      </c>
      <c r="F7" s="129">
        <f>SUM('[31]Raw Data'!E$73:E$86)</f>
        <v>870.3900000000001</v>
      </c>
      <c r="G7" s="129">
        <f>SUM('[31]Raw Data'!F$73:F$86)</f>
        <v>932.45999999999981</v>
      </c>
      <c r="H7" s="18">
        <f>SUM(B7:G7)</f>
        <v>5547.6350000000002</v>
      </c>
      <c r="I7" s="128"/>
      <c r="J7" s="127"/>
      <c r="K7" s="127"/>
      <c r="L7" s="126"/>
      <c r="M7" s="125"/>
    </row>
    <row r="8" spans="1:21" ht="12.75" x14ac:dyDescent="0.2">
      <c r="A8" s="17" t="s">
        <v>5</v>
      </c>
      <c r="B8" s="23">
        <f>'[32]December 18'!$G$28</f>
        <v>-79.117449999999991</v>
      </c>
      <c r="C8" s="23">
        <f>'[32]January 19'!$G$28</f>
        <v>-87.291549999999987</v>
      </c>
      <c r="D8" s="23">
        <f>'[32]February 19'!$G$28</f>
        <v>-98.354199999999992</v>
      </c>
      <c r="E8" s="23">
        <f>'[32]March 19'!$G$28</f>
        <v>-100.63679999999999</v>
      </c>
      <c r="F8" s="23">
        <f>'[32]April 19'!$G$28</f>
        <v>-106.56739999999999</v>
      </c>
      <c r="G8" s="23">
        <f>'[32]May 19'!$G$28</f>
        <v>-108.9653</v>
      </c>
      <c r="H8" s="18"/>
      <c r="I8" s="128"/>
      <c r="J8" s="127"/>
      <c r="K8" s="127"/>
      <c r="L8" s="126"/>
      <c r="M8" s="125"/>
    </row>
    <row r="9" spans="1:21" x14ac:dyDescent="0.2">
      <c r="A9" s="124"/>
      <c r="B9" s="85"/>
      <c r="C9" s="85"/>
      <c r="D9" s="85"/>
      <c r="E9" s="85"/>
      <c r="F9" s="85"/>
      <c r="G9" s="85"/>
      <c r="H9" s="85"/>
      <c r="I9" s="87"/>
      <c r="J9" s="109"/>
      <c r="K9" s="108"/>
      <c r="L9" s="29"/>
      <c r="M9" s="29"/>
      <c r="N9" s="29"/>
      <c r="O9" s="29"/>
      <c r="P9" s="29"/>
      <c r="Q9" s="29"/>
      <c r="R9" s="29"/>
    </row>
    <row r="10" spans="1:21" s="38" customFormat="1" x14ac:dyDescent="0.2">
      <c r="A10" s="30" t="s">
        <v>3</v>
      </c>
      <c r="B10" s="123">
        <f t="shared" ref="B10:G10" si="0">B7*B8</f>
        <v>-74333.217798499987</v>
      </c>
      <c r="C10" s="123">
        <f t="shared" si="0"/>
        <v>-98648.617112749984</v>
      </c>
      <c r="D10" s="123">
        <f t="shared" si="0"/>
        <v>-74720.669282000003</v>
      </c>
      <c r="E10" s="123">
        <f t="shared" si="0"/>
        <v>-92126.952191999997</v>
      </c>
      <c r="F10" s="123">
        <f t="shared" si="0"/>
        <v>-92755.199286000003</v>
      </c>
      <c r="G10" s="123">
        <f t="shared" si="0"/>
        <v>-101605.78363799998</v>
      </c>
      <c r="H10" s="123">
        <f>SUM(B10:G10)</f>
        <v>-534190.43930924998</v>
      </c>
      <c r="I10" s="122"/>
      <c r="J10" s="103"/>
      <c r="K10" s="121"/>
      <c r="L10" s="35"/>
      <c r="M10" s="36"/>
      <c r="N10" s="36"/>
      <c r="O10" s="36"/>
      <c r="P10" s="36"/>
      <c r="Q10" s="36"/>
      <c r="R10" s="36"/>
      <c r="S10" s="37"/>
      <c r="T10" s="37"/>
      <c r="U10" s="37"/>
    </row>
    <row r="11" spans="1:21" x14ac:dyDescent="0.2">
      <c r="B11" s="40"/>
      <c r="C11" s="40"/>
      <c r="D11" s="40"/>
      <c r="E11" s="40"/>
      <c r="F11" s="40"/>
      <c r="G11" s="40"/>
      <c r="H11" s="41"/>
      <c r="I11" s="29"/>
      <c r="J11" s="87"/>
      <c r="K11" s="87"/>
      <c r="L11" s="87"/>
      <c r="M11" s="29"/>
      <c r="N11" s="29"/>
      <c r="O11" s="29"/>
      <c r="P11" s="29"/>
      <c r="Q11" s="29"/>
      <c r="R11" s="29"/>
      <c r="S11" s="3"/>
      <c r="T11" s="3"/>
      <c r="U11" s="3"/>
    </row>
    <row r="12" spans="1:21" s="86" customFormat="1" x14ac:dyDescent="0.2">
      <c r="A12" s="119" t="s">
        <v>6</v>
      </c>
      <c r="B12" s="120">
        <f>'[33]2180 (Reg.) - Price Out '!$AI$92</f>
        <v>52983.822485207093</v>
      </c>
      <c r="C12" s="120">
        <f>'[34]2180 (Reg.) - Price Out '!X$92</f>
        <v>53014.607447952709</v>
      </c>
      <c r="D12" s="120">
        <f>'[34]2180 (Reg.) - Price Out '!Y$92</f>
        <v>52927.20994706724</v>
      </c>
      <c r="E12" s="120">
        <f>'[34]2180 (Reg.) - Price Out '!Z$92</f>
        <v>53161.748225014555</v>
      </c>
      <c r="F12" s="120">
        <f>'[34]2180 (Reg.) - Price Out '!AA$92</f>
        <v>53409.872032078092</v>
      </c>
      <c r="G12" s="120">
        <f>'[34]2180 (Reg.) - Price Out '!AB$92</f>
        <v>53539.911227981247</v>
      </c>
      <c r="H12" s="119">
        <f>SUM(B12:G12)</f>
        <v>319037.17136530095</v>
      </c>
      <c r="I12" s="103"/>
      <c r="J12" s="118"/>
      <c r="K12" s="117"/>
      <c r="L12" s="87"/>
      <c r="M12" s="87"/>
      <c r="N12" s="87"/>
      <c r="O12" s="87"/>
      <c r="P12" s="87"/>
      <c r="Q12" s="87"/>
      <c r="R12" s="87"/>
    </row>
    <row r="13" spans="1:21" s="85" customFormat="1" x14ac:dyDescent="0.2">
      <c r="A13" s="92"/>
      <c r="B13" s="2"/>
      <c r="C13" s="2"/>
      <c r="D13" s="2"/>
      <c r="E13" s="2"/>
      <c r="F13" s="2"/>
      <c r="G13" s="2"/>
      <c r="H13" s="2"/>
      <c r="I13" s="29"/>
      <c r="J13" s="87"/>
      <c r="K13" s="116"/>
      <c r="L13" s="87"/>
      <c r="M13" s="87"/>
      <c r="N13" s="87"/>
      <c r="O13" s="87"/>
      <c r="P13" s="87"/>
      <c r="Q13" s="87"/>
      <c r="R13" s="87"/>
      <c r="S13" s="86"/>
      <c r="T13" s="86"/>
      <c r="U13" s="86"/>
    </row>
    <row r="14" spans="1:21" s="85" customFormat="1" x14ac:dyDescent="0.2">
      <c r="A14" s="92" t="s">
        <v>7</v>
      </c>
      <c r="B14" s="115">
        <f t="shared" ref="B14:G14" si="1">+IFERROR(B10/B12,0)</f>
        <v>-1.4029417718824189</v>
      </c>
      <c r="C14" s="115">
        <f t="shared" si="1"/>
        <v>-1.8607818082893217</v>
      </c>
      <c r="D14" s="115">
        <f t="shared" si="1"/>
        <v>-1.4117628599113481</v>
      </c>
      <c r="E14" s="115">
        <f t="shared" si="1"/>
        <v>-1.7329556545443117</v>
      </c>
      <c r="F14" s="115">
        <f t="shared" si="1"/>
        <v>-1.7366676937606407</v>
      </c>
      <c r="G14" s="115">
        <f t="shared" si="1"/>
        <v>-1.8977577905452025</v>
      </c>
      <c r="H14" s="115"/>
      <c r="I14" s="112"/>
      <c r="J14" s="87"/>
      <c r="K14" s="87"/>
      <c r="L14" s="87"/>
      <c r="M14" s="87"/>
      <c r="N14" s="87"/>
      <c r="O14" s="87"/>
      <c r="P14" s="87"/>
      <c r="Q14" s="87"/>
      <c r="R14" s="87"/>
      <c r="S14" s="86"/>
      <c r="T14" s="86"/>
      <c r="U14" s="86"/>
    </row>
    <row r="15" spans="1:21" s="85" customFormat="1" x14ac:dyDescent="0.2">
      <c r="A15" s="92" t="s">
        <v>21</v>
      </c>
      <c r="B15" s="114">
        <f>'[35]Commodity Credit 3-1-19'!$G$15</f>
        <v>-1.5218819616765027</v>
      </c>
      <c r="C15" s="114">
        <f>'[35]Commodity Credit 3-1-19'!$G$15</f>
        <v>-1.5218819616765027</v>
      </c>
      <c r="D15" s="114">
        <f>'[35]Commodity Credit 3-1-19'!$G$15</f>
        <v>-1.5218819616765027</v>
      </c>
      <c r="E15" s="114">
        <f>-'[35]Commodity Credit 3-1-19'!$H$20</f>
        <v>-1.3190302269883769</v>
      </c>
      <c r="F15" s="114">
        <f>-'[35]Commodity Credit 3-1-19'!$H$20</f>
        <v>-1.3190302269883769</v>
      </c>
      <c r="G15" s="114">
        <f>-'[35]Commodity Credit 3-1-19'!$H$20</f>
        <v>-1.3190302269883769</v>
      </c>
      <c r="H15" s="113"/>
      <c r="I15" s="112"/>
      <c r="J15" s="87"/>
      <c r="K15" s="87"/>
      <c r="L15" s="87"/>
      <c r="M15" s="87"/>
      <c r="N15" s="87"/>
      <c r="O15" s="87"/>
      <c r="P15" s="87"/>
      <c r="Q15" s="87"/>
      <c r="R15" s="87"/>
      <c r="S15" s="86"/>
      <c r="T15" s="86"/>
      <c r="U15" s="86"/>
    </row>
    <row r="16" spans="1:21" s="85" customFormat="1" x14ac:dyDescent="0.2">
      <c r="A16" s="92" t="s">
        <v>9</v>
      </c>
      <c r="B16" s="111">
        <f t="shared" ref="B16:G16" si="2">+B15*B12</f>
        <v>-80635.123700906566</v>
      </c>
      <c r="C16" s="111">
        <f t="shared" si="2"/>
        <v>-80681.974780399993</v>
      </c>
      <c r="D16" s="111">
        <f t="shared" si="2"/>
        <v>-80548.966100306803</v>
      </c>
      <c r="E16" s="111">
        <f t="shared" si="2"/>
        <v>-70121.952828339898</v>
      </c>
      <c r="F16" s="111">
        <f t="shared" si="2"/>
        <v>-70449.235629892122</v>
      </c>
      <c r="G16" s="111">
        <f t="shared" si="2"/>
        <v>-70620.761259981649</v>
      </c>
      <c r="H16" s="111"/>
      <c r="I16" s="110"/>
      <c r="J16" s="109"/>
      <c r="K16" s="108"/>
      <c r="L16" s="107"/>
      <c r="M16" s="87"/>
      <c r="N16" s="87"/>
      <c r="O16" s="87"/>
      <c r="P16" s="87"/>
      <c r="Q16" s="87"/>
      <c r="R16" s="87"/>
      <c r="S16" s="86"/>
      <c r="T16" s="86"/>
      <c r="U16" s="86"/>
    </row>
    <row r="17" spans="1:21" s="101" customFormat="1" ht="12.75" thickBot="1" x14ac:dyDescent="0.25">
      <c r="A17" s="106" t="s">
        <v>20</v>
      </c>
      <c r="B17" s="105">
        <f t="shared" ref="B17:G17" si="3">+ROUND(B16-B10,2)</f>
        <v>-6301.91</v>
      </c>
      <c r="C17" s="105">
        <f t="shared" si="3"/>
        <v>17966.64</v>
      </c>
      <c r="D17" s="105">
        <f t="shared" si="3"/>
        <v>-5828.3</v>
      </c>
      <c r="E17" s="105">
        <f t="shared" si="3"/>
        <v>22005</v>
      </c>
      <c r="F17" s="105">
        <f t="shared" si="3"/>
        <v>22305.96</v>
      </c>
      <c r="G17" s="105">
        <f t="shared" si="3"/>
        <v>30985.02</v>
      </c>
      <c r="H17" s="105">
        <f>SUM(B17:G17)</f>
        <v>81132.41</v>
      </c>
      <c r="I17" s="104"/>
      <c r="J17" s="103"/>
      <c r="K17" s="103"/>
      <c r="L17" s="35"/>
      <c r="M17" s="103"/>
      <c r="N17" s="103"/>
      <c r="O17" s="103"/>
      <c r="P17" s="103"/>
      <c r="Q17" s="103"/>
      <c r="R17" s="103"/>
      <c r="S17" s="102"/>
      <c r="T17" s="102"/>
      <c r="U17" s="102"/>
    </row>
    <row r="18" spans="1:21" s="85" customFormat="1" x14ac:dyDescent="0.2">
      <c r="A18" s="92"/>
      <c r="B18" s="91"/>
      <c r="C18" s="91"/>
      <c r="D18" s="91"/>
      <c r="E18" s="91"/>
      <c r="H18" s="90"/>
      <c r="I18" s="89"/>
      <c r="J18" s="88"/>
      <c r="K18" s="88"/>
      <c r="L18" s="87"/>
      <c r="M18" s="87"/>
      <c r="N18" s="87"/>
      <c r="O18" s="87"/>
      <c r="P18" s="87"/>
      <c r="Q18" s="87"/>
      <c r="R18" s="87"/>
      <c r="S18" s="86"/>
      <c r="T18" s="86"/>
      <c r="U18" s="86"/>
    </row>
    <row r="19" spans="1:21" s="85" customFormat="1" ht="12.75" x14ac:dyDescent="0.2">
      <c r="A19" s="92"/>
      <c r="B19" s="91"/>
      <c r="C19" s="91"/>
      <c r="D19" s="91"/>
      <c r="E19" s="91"/>
      <c r="G19" s="63" t="s">
        <v>11</v>
      </c>
      <c r="H19" s="64">
        <f>ROUND((H17/H12),2)</f>
        <v>0.25</v>
      </c>
      <c r="I19" s="95"/>
      <c r="J19" s="88"/>
      <c r="K19" s="88"/>
      <c r="L19" s="87"/>
      <c r="M19" s="87"/>
      <c r="N19" s="87"/>
      <c r="O19" s="87"/>
      <c r="P19" s="87"/>
      <c r="Q19" s="87"/>
      <c r="R19" s="87"/>
      <c r="S19" s="86"/>
      <c r="T19" s="86"/>
      <c r="U19" s="86"/>
    </row>
    <row r="20" spans="1:21" s="85" customFormat="1" ht="12.75" x14ac:dyDescent="0.2">
      <c r="A20" s="92"/>
      <c r="B20" s="91"/>
      <c r="C20" s="91"/>
      <c r="D20" s="91"/>
      <c r="E20" s="91"/>
      <c r="G20" s="63" t="s">
        <v>19</v>
      </c>
      <c r="H20" s="64">
        <f>-SUM(B10:G10)/SUM(B12:G12)</f>
        <v>1.674383072741064</v>
      </c>
      <c r="I20" s="65"/>
      <c r="J20" s="88"/>
      <c r="K20" s="88"/>
      <c r="L20" s="87"/>
      <c r="M20" s="87"/>
      <c r="N20" s="87"/>
      <c r="O20" s="87"/>
      <c r="P20" s="87"/>
      <c r="Q20" s="87"/>
      <c r="R20" s="87"/>
      <c r="S20" s="86"/>
      <c r="T20" s="86"/>
      <c r="U20" s="86"/>
    </row>
    <row r="21" spans="1:21" s="85" customFormat="1" ht="15" x14ac:dyDescent="0.25">
      <c r="A21" s="92"/>
      <c r="B21" s="91"/>
      <c r="C21" s="91"/>
      <c r="D21" s="91"/>
      <c r="E21" s="100"/>
      <c r="F21" s="99"/>
      <c r="G21" s="98" t="s">
        <v>18</v>
      </c>
      <c r="H21" s="97">
        <f>SUM(H19:H20)</f>
        <v>1.924383072741064</v>
      </c>
      <c r="I21" s="93"/>
      <c r="J21" s="88"/>
      <c r="K21" s="88"/>
      <c r="L21" s="87"/>
      <c r="M21" s="87"/>
      <c r="N21" s="87"/>
      <c r="O21" s="87"/>
      <c r="P21" s="87"/>
      <c r="Q21" s="87"/>
      <c r="R21" s="87"/>
      <c r="S21" s="86"/>
      <c r="T21" s="86"/>
      <c r="U21" s="86"/>
    </row>
    <row r="22" spans="1:21" s="85" customFormat="1" ht="15" x14ac:dyDescent="0.25">
      <c r="A22" s="92"/>
      <c r="B22" s="91"/>
      <c r="C22" s="91"/>
      <c r="D22" s="91"/>
      <c r="E22" s="91"/>
      <c r="G22" s="63"/>
      <c r="H22" s="68"/>
      <c r="I22" s="93"/>
      <c r="J22" s="88"/>
      <c r="K22" s="88"/>
      <c r="L22" s="87"/>
      <c r="M22" s="87"/>
      <c r="N22" s="87"/>
      <c r="O22" s="87"/>
      <c r="P22" s="87"/>
      <c r="Q22" s="87"/>
      <c r="R22" s="87"/>
      <c r="S22" s="86"/>
      <c r="T22" s="86"/>
      <c r="U22" s="86"/>
    </row>
    <row r="23" spans="1:21" s="85" customFormat="1" ht="15" x14ac:dyDescent="0.25">
      <c r="A23" s="92"/>
      <c r="B23" s="91"/>
      <c r="C23" s="91"/>
      <c r="D23" s="91"/>
      <c r="E23" s="91"/>
      <c r="G23" s="63" t="s">
        <v>17</v>
      </c>
      <c r="H23" s="96">
        <f>'[35]Commodity Credit 3-1-19'!H22</f>
        <v>2.0790808241030114</v>
      </c>
      <c r="I23" s="93"/>
      <c r="J23" s="88"/>
      <c r="K23" s="88"/>
      <c r="L23" s="87"/>
      <c r="M23" s="87"/>
      <c r="N23" s="87"/>
      <c r="O23" s="87"/>
      <c r="P23" s="87"/>
      <c r="Q23" s="87"/>
      <c r="R23" s="87"/>
      <c r="S23" s="86"/>
      <c r="T23" s="86"/>
      <c r="U23" s="86"/>
    </row>
    <row r="24" spans="1:21" s="85" customFormat="1" ht="12.75" x14ac:dyDescent="0.2">
      <c r="A24" s="92"/>
      <c r="B24" s="91"/>
      <c r="C24" s="91"/>
      <c r="D24" s="91"/>
      <c r="E24" s="91"/>
      <c r="G24" s="63" t="s">
        <v>14</v>
      </c>
      <c r="H24" s="95">
        <f>H21-H23</f>
        <v>-0.15469775136194741</v>
      </c>
      <c r="I24" s="70">
        <f>H24/H23</f>
        <v>-7.4406800143851773E-2</v>
      </c>
      <c r="J24" s="88"/>
      <c r="K24" s="88"/>
      <c r="L24" s="87"/>
      <c r="M24" s="87"/>
      <c r="N24" s="87"/>
      <c r="O24" s="87"/>
      <c r="P24" s="87"/>
      <c r="Q24" s="87"/>
      <c r="R24" s="87"/>
      <c r="S24" s="86"/>
      <c r="T24" s="86"/>
      <c r="U24" s="86"/>
    </row>
    <row r="25" spans="1:21" s="85" customFormat="1" ht="15" x14ac:dyDescent="0.25">
      <c r="A25" s="92"/>
      <c r="B25" s="91"/>
      <c r="C25" s="91"/>
      <c r="D25" s="91"/>
      <c r="E25" s="91"/>
      <c r="G25" s="63" t="s">
        <v>15</v>
      </c>
      <c r="H25" s="94">
        <f>H24*G12*6</f>
        <v>-49695.023250521874</v>
      </c>
      <c r="I25" s="93"/>
      <c r="J25" s="88"/>
      <c r="K25" s="88"/>
      <c r="L25" s="87"/>
      <c r="M25" s="87"/>
      <c r="N25" s="87"/>
      <c r="O25" s="87"/>
      <c r="P25" s="87"/>
      <c r="Q25" s="87"/>
      <c r="R25" s="87"/>
      <c r="S25" s="86"/>
      <c r="T25" s="86"/>
      <c r="U25" s="86"/>
    </row>
    <row r="26" spans="1:21" s="85" customFormat="1" x14ac:dyDescent="0.2">
      <c r="A26" s="92"/>
      <c r="B26" s="91"/>
      <c r="C26" s="91"/>
      <c r="D26" s="91"/>
      <c r="E26" s="91"/>
      <c r="H26" s="90"/>
      <c r="I26" s="89"/>
      <c r="J26" s="88"/>
      <c r="K26" s="88"/>
      <c r="L26" s="87"/>
      <c r="M26" s="87"/>
      <c r="N26" s="87"/>
      <c r="O26" s="87"/>
      <c r="P26" s="87"/>
      <c r="Q26" s="87"/>
      <c r="R26" s="87"/>
      <c r="S26" s="86"/>
      <c r="T26" s="86"/>
      <c r="U26" s="86"/>
    </row>
  </sheetData>
  <pageMargins left="0.5" right="0.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showGridLines="0" topLeftCell="A3" zoomScaleNormal="100" workbookViewId="0">
      <selection activeCell="H20" sqref="H20"/>
    </sheetView>
  </sheetViews>
  <sheetFormatPr defaultRowHeight="12" x14ac:dyDescent="0.2"/>
  <cols>
    <col min="1" max="1" width="33.42578125" style="200" bestFit="1" customWidth="1"/>
    <col min="2" max="8" width="12.85546875" style="199" customWidth="1"/>
    <col min="9" max="9" width="10.5703125" style="199" bestFit="1" customWidth="1"/>
    <col min="10" max="10" width="19.42578125" style="199" customWidth="1"/>
    <col min="11" max="11" width="10.5703125" style="199" bestFit="1" customWidth="1"/>
    <col min="12" max="12" width="10" style="199" bestFit="1" customWidth="1"/>
    <col min="13" max="13" width="9.85546875" style="199" customWidth="1"/>
    <col min="14" max="14" width="11.7109375" style="199" bestFit="1" customWidth="1"/>
    <col min="15" max="15" width="1.5703125" style="199" customWidth="1"/>
    <col min="16" max="16" width="11.85546875" style="199" bestFit="1" customWidth="1"/>
    <col min="17" max="17" width="10.140625" style="199" customWidth="1"/>
    <col min="18" max="16384" width="9.140625" style="199"/>
  </cols>
  <sheetData>
    <row r="1" spans="1:20" x14ac:dyDescent="0.2">
      <c r="A1" s="236" t="s">
        <v>0</v>
      </c>
      <c r="D1" s="204"/>
      <c r="E1" s="204"/>
      <c r="F1" s="204"/>
      <c r="G1" s="204"/>
      <c r="H1" s="204"/>
      <c r="I1" s="204"/>
      <c r="J1" s="204"/>
    </row>
    <row r="2" spans="1:20" x14ac:dyDescent="0.2">
      <c r="A2" s="236" t="s">
        <v>29</v>
      </c>
    </row>
    <row r="3" spans="1:20" s="245" customFormat="1" x14ac:dyDescent="0.2">
      <c r="A3" s="249" t="s">
        <v>24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N3" s="246"/>
      <c r="O3" s="246"/>
    </row>
    <row r="4" spans="1:20" s="245" customFormat="1" x14ac:dyDescent="0.2">
      <c r="A4" s="248"/>
      <c r="B4" s="247"/>
      <c r="C4" s="247"/>
      <c r="D4" s="247"/>
      <c r="E4" s="247"/>
      <c r="F4" s="247"/>
      <c r="G4" s="247"/>
      <c r="H4" s="247" t="s">
        <v>27</v>
      </c>
      <c r="I4" s="246"/>
      <c r="J4" s="246"/>
    </row>
    <row r="5" spans="1:20" s="242" customFormat="1" x14ac:dyDescent="0.2">
      <c r="A5" s="244"/>
      <c r="B5" s="10">
        <v>43617</v>
      </c>
      <c r="C5" s="10">
        <v>43647</v>
      </c>
      <c r="D5" s="10">
        <v>43678</v>
      </c>
      <c r="E5" s="10">
        <v>43709</v>
      </c>
      <c r="F5" s="10">
        <v>43739</v>
      </c>
      <c r="G5" s="10">
        <v>43770</v>
      </c>
      <c r="H5" s="10" t="s">
        <v>3</v>
      </c>
      <c r="I5" s="243"/>
      <c r="J5" s="243"/>
    </row>
    <row r="6" spans="1:20" s="240" customFormat="1" x14ac:dyDescent="0.2">
      <c r="A6" s="239"/>
      <c r="B6" s="241"/>
      <c r="C6" s="241"/>
      <c r="D6" s="241"/>
      <c r="E6" s="241"/>
      <c r="F6" s="241"/>
      <c r="G6" s="241"/>
      <c r="H6" s="241"/>
      <c r="I6" s="241"/>
    </row>
    <row r="7" spans="1:20" s="228" customFormat="1" x14ac:dyDescent="0.2">
      <c r="A7" s="239" t="s">
        <v>4</v>
      </c>
      <c r="B7" s="267">
        <f>'[8]Raw Data'!H161</f>
        <v>62.23</v>
      </c>
      <c r="C7" s="267">
        <f>'[8]Raw Data'!I161</f>
        <v>61.06</v>
      </c>
      <c r="D7" s="267">
        <f>'[8]Raw Data'!J161</f>
        <v>63.17</v>
      </c>
      <c r="E7" s="267">
        <f>'[8]Raw Data'!K161</f>
        <v>69.17</v>
      </c>
      <c r="F7" s="267">
        <f>'[8]Raw Data'!L161</f>
        <v>65.010000000000005</v>
      </c>
      <c r="G7" s="267">
        <f>'[8]Raw Data'!M161</f>
        <v>70.3</v>
      </c>
      <c r="H7" s="237">
        <f>SUM(B7:G7)</f>
        <v>390.94</v>
      </c>
      <c r="I7" s="237"/>
      <c r="J7" s="237"/>
    </row>
    <row r="8" spans="1:20" x14ac:dyDescent="0.2">
      <c r="A8" s="236" t="s">
        <v>26</v>
      </c>
      <c r="B8" s="266">
        <f>'[29]Commodity Credit 3-1-20'!B8</f>
        <v>-107.6056</v>
      </c>
      <c r="C8" s="266">
        <f>'[29]Commodity Credit 3-1-20'!C8</f>
        <v>-105.66560000000001</v>
      </c>
      <c r="D8" s="266">
        <f>'[29]Commodity Credit 3-1-20'!D8</f>
        <v>-105.90089999999999</v>
      </c>
      <c r="E8" s="266">
        <f>'[29]Commodity Credit 3-1-20'!E8</f>
        <v>-109.95339999999997</v>
      </c>
      <c r="F8" s="266">
        <f>'[29]Commodity Credit 3-1-20'!F8</f>
        <v>-111.92589999999998</v>
      </c>
      <c r="G8" s="266">
        <f>'[29]Commodity Credit 3-1-20'!G8</f>
        <v>-112.07739999999998</v>
      </c>
      <c r="H8" s="225"/>
    </row>
    <row r="9" spans="1:20" x14ac:dyDescent="0.2">
      <c r="A9" s="124"/>
      <c r="B9" s="206"/>
      <c r="C9" s="206"/>
      <c r="D9" s="206"/>
      <c r="E9" s="206"/>
      <c r="F9" s="206"/>
      <c r="G9" s="206"/>
      <c r="H9" s="206"/>
      <c r="I9" s="234"/>
      <c r="J9" s="233"/>
    </row>
    <row r="10" spans="1:20" s="228" customFormat="1" x14ac:dyDescent="0.2">
      <c r="A10" s="232" t="s">
        <v>25</v>
      </c>
      <c r="B10" s="265">
        <f t="shared" ref="B10:G10" si="0">B7*B8</f>
        <v>-6696.296487999999</v>
      </c>
      <c r="C10" s="265">
        <f t="shared" si="0"/>
        <v>-6451.9415360000012</v>
      </c>
      <c r="D10" s="265">
        <f t="shared" si="0"/>
        <v>-6689.7598529999996</v>
      </c>
      <c r="E10" s="265">
        <f t="shared" si="0"/>
        <v>-7605.4766779999982</v>
      </c>
      <c r="F10" s="265">
        <f t="shared" si="0"/>
        <v>-7276.3027589999992</v>
      </c>
      <c r="G10" s="265">
        <f t="shared" si="0"/>
        <v>-7879.0412199999982</v>
      </c>
      <c r="H10" s="265">
        <f>SUM(B10:G10)</f>
        <v>-42598.818533999998</v>
      </c>
      <c r="I10" s="216"/>
      <c r="J10" s="230"/>
      <c r="K10" s="229"/>
      <c r="L10" s="229"/>
      <c r="M10" s="229"/>
      <c r="N10" s="229"/>
      <c r="O10" s="229"/>
      <c r="P10" s="229"/>
      <c r="Q10" s="229"/>
      <c r="R10" s="229"/>
      <c r="S10" s="229"/>
      <c r="T10" s="229"/>
    </row>
    <row r="11" spans="1:20" x14ac:dyDescent="0.2">
      <c r="B11" s="206"/>
      <c r="C11" s="206"/>
      <c r="D11" s="206"/>
      <c r="E11" s="206"/>
      <c r="F11" s="206"/>
      <c r="G11" s="206"/>
      <c r="H11" s="206"/>
      <c r="I11" s="182"/>
      <c r="J11" s="225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s="205" customFormat="1" x14ac:dyDescent="0.2">
      <c r="A12" s="169" t="s">
        <v>6</v>
      </c>
      <c r="B12" s="170">
        <f>'[28]2180 (JBLM Housing) - Price Out'!AD92</f>
        <v>4906</v>
      </c>
      <c r="C12" s="170">
        <f>'[28]2180 (JBLM Housing) - Price Out'!AE92</f>
        <v>4906</v>
      </c>
      <c r="D12" s="170">
        <f>'[28]2180 (JBLM Housing) - Price Out'!AF92</f>
        <v>4910</v>
      </c>
      <c r="E12" s="170">
        <f>'[28]2180 (JBLM Housing) - Price Out'!AG92</f>
        <v>4900</v>
      </c>
      <c r="F12" s="170">
        <f>'[28]2180 (JBLM Housing) - Price Out'!AH92</f>
        <v>4905</v>
      </c>
      <c r="G12" s="170">
        <f>'[28]2180 (JBLM Housing) - Price Out'!AI92</f>
        <v>4906</v>
      </c>
      <c r="H12" s="226">
        <f>SUM(B12:G12)</f>
        <v>29433</v>
      </c>
      <c r="I12" s="224"/>
      <c r="J12" s="225"/>
      <c r="K12" s="206"/>
      <c r="L12" s="206"/>
      <c r="M12" s="206"/>
      <c r="N12" s="206"/>
      <c r="O12" s="206"/>
      <c r="P12" s="206"/>
      <c r="Q12" s="206"/>
      <c r="R12" s="206"/>
      <c r="S12" s="206"/>
      <c r="T12" s="206"/>
    </row>
    <row r="13" spans="1:20" s="205" customFormat="1" x14ac:dyDescent="0.2">
      <c r="A13" s="208"/>
      <c r="B13" s="204"/>
      <c r="C13" s="204"/>
      <c r="D13" s="204"/>
      <c r="E13" s="204"/>
      <c r="F13" s="204"/>
      <c r="G13" s="204"/>
      <c r="H13" s="204"/>
      <c r="I13" s="224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s="205" customFormat="1" x14ac:dyDescent="0.2">
      <c r="A14" s="252" t="s">
        <v>7</v>
      </c>
      <c r="B14" s="264">
        <f t="shared" ref="B14:G14" si="1">+IFERROR(B10/B12,0)</f>
        <v>-1.364919789645332</v>
      </c>
      <c r="C14" s="264">
        <f t="shared" si="1"/>
        <v>-1.3151124207093356</v>
      </c>
      <c r="D14" s="264">
        <f t="shared" si="1"/>
        <v>-1.362476548472505</v>
      </c>
      <c r="E14" s="264">
        <f t="shared" si="1"/>
        <v>-1.5521380975510199</v>
      </c>
      <c r="F14" s="264">
        <f t="shared" si="1"/>
        <v>-1.483446026299694</v>
      </c>
      <c r="G14" s="264">
        <f t="shared" si="1"/>
        <v>-1.6060010640032609</v>
      </c>
      <c r="H14" s="264"/>
      <c r="I14" s="261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s="205" customFormat="1" x14ac:dyDescent="0.2">
      <c r="A15" s="252" t="s">
        <v>8</v>
      </c>
      <c r="B15" s="263">
        <f>'JBLM CPA 9-1-19'!$G$15</f>
        <v>-1.0464232116902947</v>
      </c>
      <c r="C15" s="263">
        <f>'JBLM CPA 9-1-19'!$G$15</f>
        <v>-1.0464232116902947</v>
      </c>
      <c r="D15" s="263">
        <f>'JBLM CPA 9-1-19'!$G$15</f>
        <v>-1.0464232116902947</v>
      </c>
      <c r="E15" s="263">
        <f>-'JBLM CPA 9-1-19'!$H$21</f>
        <v>-1.4000051498618318</v>
      </c>
      <c r="F15" s="263">
        <f>-'JBLM CPA 9-1-19'!$H$21</f>
        <v>-1.4000051498618318</v>
      </c>
      <c r="G15" s="263">
        <f>-'JBLM CPA 9-1-19'!$H$21</f>
        <v>-1.4000051498618318</v>
      </c>
      <c r="H15" s="262"/>
      <c r="I15" s="261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s="205" customFormat="1" x14ac:dyDescent="0.2">
      <c r="A16" s="252" t="s">
        <v>9</v>
      </c>
      <c r="B16" s="260">
        <f t="shared" ref="B16:G16" si="2">+B15*B12</f>
        <v>-5133.7522765525855</v>
      </c>
      <c r="C16" s="260">
        <f t="shared" si="2"/>
        <v>-5133.7522765525855</v>
      </c>
      <c r="D16" s="260">
        <f t="shared" si="2"/>
        <v>-5137.9379693993469</v>
      </c>
      <c r="E16" s="260">
        <f t="shared" si="2"/>
        <v>-6860.0252343229758</v>
      </c>
      <c r="F16" s="260">
        <f t="shared" si="2"/>
        <v>-6867.0252600722852</v>
      </c>
      <c r="G16" s="260">
        <f t="shared" si="2"/>
        <v>-6868.4252652221467</v>
      </c>
      <c r="H16" s="260"/>
      <c r="I16" s="259"/>
      <c r="J16" s="206"/>
      <c r="K16" s="206"/>
      <c r="L16" s="206"/>
      <c r="M16" s="212"/>
      <c r="N16" s="206"/>
      <c r="O16" s="206"/>
      <c r="P16" s="206"/>
      <c r="Q16" s="206"/>
      <c r="R16" s="206"/>
      <c r="S16" s="206"/>
      <c r="T16" s="206"/>
    </row>
    <row r="17" spans="1:26" s="213" customFormat="1" ht="12.75" thickBot="1" x14ac:dyDescent="0.25">
      <c r="A17" s="258" t="s">
        <v>10</v>
      </c>
      <c r="B17" s="257">
        <f t="shared" ref="B17:G17" si="3">B10-B16</f>
        <v>-1562.5442114474135</v>
      </c>
      <c r="C17" s="257">
        <f t="shared" si="3"/>
        <v>-1318.1892594474157</v>
      </c>
      <c r="D17" s="257">
        <f t="shared" si="3"/>
        <v>-1551.8218836006527</v>
      </c>
      <c r="E17" s="257">
        <f t="shared" si="3"/>
        <v>-745.45144367702233</v>
      </c>
      <c r="F17" s="257">
        <f t="shared" si="3"/>
        <v>-409.27749892771408</v>
      </c>
      <c r="G17" s="257">
        <f t="shared" si="3"/>
        <v>-1010.6159547778516</v>
      </c>
      <c r="H17" s="257">
        <f>SUM(B17:G17)</f>
        <v>-6597.9002518780699</v>
      </c>
      <c r="I17" s="256"/>
      <c r="J17" s="215"/>
      <c r="K17" s="214"/>
      <c r="L17" s="214"/>
      <c r="M17" s="212"/>
      <c r="N17" s="214"/>
      <c r="O17" s="214"/>
      <c r="P17" s="214"/>
      <c r="Q17" s="214"/>
      <c r="R17" s="214"/>
      <c r="S17" s="214"/>
      <c r="T17" s="214"/>
    </row>
    <row r="18" spans="1:26" s="205" customFormat="1" x14ac:dyDescent="0.2">
      <c r="A18" s="252"/>
      <c r="B18" s="251"/>
      <c r="C18" s="251"/>
      <c r="D18" s="251"/>
      <c r="E18" s="251"/>
      <c r="F18" s="251"/>
      <c r="G18" s="251"/>
      <c r="H18" s="218"/>
      <c r="I18" s="255"/>
      <c r="J18" s="209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6" s="205" customFormat="1" ht="12.75" x14ac:dyDescent="0.2">
      <c r="A19" s="252"/>
      <c r="B19" s="251"/>
      <c r="C19" s="251"/>
      <c r="D19" s="251"/>
      <c r="E19" s="251"/>
      <c r="F19" s="251"/>
      <c r="G19" s="63" t="s">
        <v>11</v>
      </c>
      <c r="H19" s="64">
        <f>ROUND((H17/H12/2),2)</f>
        <v>-0.11</v>
      </c>
      <c r="I19" s="95"/>
      <c r="O19" s="207"/>
      <c r="P19" s="207"/>
      <c r="Q19" s="207"/>
      <c r="R19" s="207"/>
      <c r="S19" s="207"/>
      <c r="T19" s="207"/>
      <c r="U19" s="206"/>
      <c r="V19" s="206"/>
      <c r="W19" s="206"/>
      <c r="X19" s="206"/>
      <c r="Y19" s="206"/>
      <c r="Z19" s="206"/>
    </row>
    <row r="20" spans="1:26" ht="12.75" x14ac:dyDescent="0.2">
      <c r="A20" s="252"/>
      <c r="B20" s="251"/>
      <c r="C20" s="251"/>
      <c r="D20" s="251"/>
      <c r="E20" s="251"/>
      <c r="F20" s="251"/>
      <c r="G20" s="63" t="s">
        <v>12</v>
      </c>
      <c r="H20" s="64">
        <f>H10/H12</f>
        <v>-1.4473148688207114</v>
      </c>
      <c r="I20" s="65"/>
    </row>
    <row r="21" spans="1:26" ht="15" x14ac:dyDescent="0.25">
      <c r="A21" s="252"/>
      <c r="B21" s="251"/>
      <c r="C21" s="251"/>
      <c r="D21" s="251"/>
      <c r="E21" s="251"/>
      <c r="F21" s="251"/>
      <c r="G21" s="66" t="s">
        <v>18</v>
      </c>
      <c r="H21" s="148">
        <f>SUM(H19:H20)</f>
        <v>-1.5573148688207115</v>
      </c>
      <c r="I21" s="93"/>
    </row>
    <row r="22" spans="1:26" ht="15" x14ac:dyDescent="0.25">
      <c r="A22" s="252"/>
      <c r="B22" s="251"/>
      <c r="C22" s="251"/>
      <c r="D22" s="251"/>
      <c r="E22" s="251"/>
      <c r="F22" s="251"/>
      <c r="G22" s="63"/>
      <c r="H22" s="68"/>
      <c r="I22" s="93"/>
    </row>
    <row r="23" spans="1:26" ht="15" x14ac:dyDescent="0.25">
      <c r="A23" s="252"/>
      <c r="B23" s="251"/>
      <c r="C23" s="251"/>
      <c r="D23" s="251"/>
      <c r="E23" s="251"/>
      <c r="F23" s="251"/>
      <c r="G23" s="63" t="s">
        <v>13</v>
      </c>
      <c r="H23" s="254">
        <f>-'JBLM CPA 9-1-19'!H22</f>
        <v>-1.6800051498618318</v>
      </c>
      <c r="I23" s="93"/>
    </row>
    <row r="24" spans="1:26" ht="12.75" x14ac:dyDescent="0.2">
      <c r="A24" s="252"/>
      <c r="B24" s="251"/>
      <c r="C24" s="251"/>
      <c r="D24" s="251"/>
      <c r="E24" s="251"/>
      <c r="F24" s="251"/>
      <c r="G24" s="63" t="s">
        <v>14</v>
      </c>
      <c r="H24" s="253">
        <f>H21-H23</f>
        <v>0.12269028104112034</v>
      </c>
      <c r="I24" s="70">
        <f>H24/H23</f>
        <v>-7.3029705326326369E-2</v>
      </c>
    </row>
    <row r="25" spans="1:26" ht="15" x14ac:dyDescent="0.25">
      <c r="A25" s="252"/>
      <c r="B25" s="251"/>
      <c r="C25" s="251"/>
      <c r="D25" s="251"/>
      <c r="E25" s="251"/>
      <c r="F25" s="251"/>
      <c r="G25" s="63" t="s">
        <v>15</v>
      </c>
      <c r="H25" s="250">
        <f>-H24*H12*2</f>
        <v>-7222.2860837665903</v>
      </c>
      <c r="I25" s="93"/>
    </row>
    <row r="26" spans="1:26" ht="15" x14ac:dyDescent="0.25">
      <c r="F26" s="201"/>
      <c r="G26" s="63"/>
      <c r="H26" s="94"/>
      <c r="I26" s="93"/>
    </row>
  </sheetData>
  <pageMargins left="0.7" right="0.7" top="0.75" bottom="0.75" header="0.3" footer="0.3"/>
  <pageSetup scale="9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showGridLines="0" topLeftCell="A4" zoomScaleNormal="100" workbookViewId="0">
      <selection activeCell="D28" sqref="D28"/>
    </sheetView>
  </sheetViews>
  <sheetFormatPr defaultRowHeight="12" x14ac:dyDescent="0.2"/>
  <cols>
    <col min="1" max="1" width="33.42578125" style="200" bestFit="1" customWidth="1"/>
    <col min="2" max="8" width="12.85546875" style="199" customWidth="1"/>
    <col min="9" max="9" width="10.5703125" style="199" bestFit="1" customWidth="1"/>
    <col min="10" max="10" width="19.42578125" style="199" customWidth="1"/>
    <col min="11" max="11" width="10.5703125" style="199" bestFit="1" customWidth="1"/>
    <col min="12" max="12" width="10" style="199" bestFit="1" customWidth="1"/>
    <col min="13" max="13" width="9.85546875" style="199" customWidth="1"/>
    <col min="14" max="14" width="11.7109375" style="199" bestFit="1" customWidth="1"/>
    <col min="15" max="15" width="1.5703125" style="199" customWidth="1"/>
    <col min="16" max="16" width="11.85546875" style="199" bestFit="1" customWidth="1"/>
    <col min="17" max="17" width="10.140625" style="199" customWidth="1"/>
    <col min="18" max="16384" width="9.140625" style="199"/>
  </cols>
  <sheetData>
    <row r="1" spans="1:20" x14ac:dyDescent="0.2">
      <c r="A1" s="236" t="s">
        <v>0</v>
      </c>
      <c r="D1" s="204"/>
      <c r="E1" s="204"/>
      <c r="F1" s="204"/>
      <c r="G1" s="204"/>
      <c r="H1" s="204"/>
      <c r="I1" s="204"/>
      <c r="J1" s="204"/>
    </row>
    <row r="2" spans="1:20" x14ac:dyDescent="0.2">
      <c r="A2" s="236" t="s">
        <v>28</v>
      </c>
    </row>
    <row r="3" spans="1:20" s="245" customFormat="1" x14ac:dyDescent="0.2">
      <c r="A3" s="249" t="s">
        <v>22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N3" s="246"/>
      <c r="O3" s="246"/>
    </row>
    <row r="4" spans="1:20" s="245" customFormat="1" x14ac:dyDescent="0.2">
      <c r="A4" s="248"/>
      <c r="B4" s="247"/>
      <c r="C4" s="247"/>
      <c r="D4" s="247"/>
      <c r="E4" s="247"/>
      <c r="F4" s="247"/>
      <c r="G4" s="247"/>
      <c r="H4" s="247" t="s">
        <v>27</v>
      </c>
      <c r="I4" s="246"/>
      <c r="J4" s="246"/>
    </row>
    <row r="5" spans="1:20" s="242" customFormat="1" x14ac:dyDescent="0.2">
      <c r="A5" s="244"/>
      <c r="B5" s="10">
        <v>43435</v>
      </c>
      <c r="C5" s="10">
        <v>43466</v>
      </c>
      <c r="D5" s="10">
        <v>43497</v>
      </c>
      <c r="E5" s="10">
        <v>43525</v>
      </c>
      <c r="F5" s="10">
        <v>43556</v>
      </c>
      <c r="G5" s="10">
        <v>43586</v>
      </c>
      <c r="H5" s="10" t="s">
        <v>3</v>
      </c>
      <c r="I5" s="243"/>
      <c r="J5" s="243"/>
    </row>
    <row r="6" spans="1:20" s="240" customFormat="1" x14ac:dyDescent="0.2">
      <c r="A6" s="239"/>
      <c r="B6" s="241"/>
      <c r="C6" s="241"/>
      <c r="D6" s="241"/>
      <c r="E6" s="241"/>
      <c r="F6" s="241"/>
      <c r="G6" s="241"/>
      <c r="H6" s="241"/>
      <c r="I6" s="241"/>
    </row>
    <row r="7" spans="1:20" s="228" customFormat="1" x14ac:dyDescent="0.2">
      <c r="A7" s="239" t="s">
        <v>4</v>
      </c>
      <c r="B7" s="238">
        <f>SUM('[36]Raw Data'!$M$164:$M$178)</f>
        <v>68.710000000000008</v>
      </c>
      <c r="C7" s="238">
        <f>SUM('[8]Raw Data'!B$164:B$178)</f>
        <v>78.7</v>
      </c>
      <c r="D7" s="238">
        <f>SUM('[8]Raw Data'!C$164:C$178)</f>
        <v>58.199999999999989</v>
      </c>
      <c r="E7" s="238">
        <f>SUM('[8]Raw Data'!D$164:D$178)</f>
        <v>66.54000000000002</v>
      </c>
      <c r="F7" s="238">
        <f>SUM('[8]Raw Data'!E$164:E$178)</f>
        <v>69.33</v>
      </c>
      <c r="G7" s="238">
        <f>SUM('[8]Raw Data'!F$164:F$178)</f>
        <v>83.430000000000035</v>
      </c>
      <c r="H7" s="237">
        <f>SUM(B7:G7)</f>
        <v>424.91000000000008</v>
      </c>
      <c r="I7" s="237"/>
      <c r="J7" s="237"/>
    </row>
    <row r="8" spans="1:20" x14ac:dyDescent="0.2">
      <c r="A8" s="236" t="s">
        <v>26</v>
      </c>
      <c r="B8" s="235">
        <f>'[37]December 18'!$G$28</f>
        <v>-79.117449999999991</v>
      </c>
      <c r="C8" s="235">
        <f>'[37]January 19'!$G$28</f>
        <v>-87.291549999999987</v>
      </c>
      <c r="D8" s="235">
        <f>'[37]February 19'!$G$28</f>
        <v>-98.354199999999992</v>
      </c>
      <c r="E8" s="235">
        <f>'[37]March 19'!$G$28</f>
        <v>-100.63679999999999</v>
      </c>
      <c r="F8" s="235">
        <f>'[37]April 19'!$G$28</f>
        <v>-106.56739999999999</v>
      </c>
      <c r="G8" s="235">
        <f>'[37]May 19'!$G$28</f>
        <v>-108.9653</v>
      </c>
      <c r="H8" s="225"/>
    </row>
    <row r="9" spans="1:20" x14ac:dyDescent="0.2">
      <c r="A9" s="124"/>
      <c r="B9" s="206"/>
      <c r="C9" s="206"/>
      <c r="D9" s="206"/>
      <c r="E9" s="206"/>
      <c r="F9" s="206"/>
      <c r="G9" s="206"/>
      <c r="H9" s="206"/>
      <c r="I9" s="234"/>
      <c r="J9" s="233"/>
    </row>
    <row r="10" spans="1:20" s="228" customFormat="1" x14ac:dyDescent="0.2">
      <c r="A10" s="232" t="s">
        <v>25</v>
      </c>
      <c r="B10" s="231">
        <f t="shared" ref="B10:G10" si="0">B7*B8</f>
        <v>-5436.1599894999999</v>
      </c>
      <c r="C10" s="231">
        <f t="shared" si="0"/>
        <v>-6869.8449849999988</v>
      </c>
      <c r="D10" s="231">
        <f t="shared" si="0"/>
        <v>-5724.2144399999988</v>
      </c>
      <c r="E10" s="231">
        <f t="shared" si="0"/>
        <v>-6696.3726720000013</v>
      </c>
      <c r="F10" s="231">
        <f t="shared" si="0"/>
        <v>-7388.3178419999995</v>
      </c>
      <c r="G10" s="231">
        <f t="shared" si="0"/>
        <v>-9090.9749790000042</v>
      </c>
      <c r="H10" s="231">
        <f>SUM(B10:G10)</f>
        <v>-41205.884907500003</v>
      </c>
      <c r="I10" s="216"/>
      <c r="J10" s="230"/>
      <c r="K10" s="229"/>
      <c r="L10" s="229"/>
      <c r="M10" s="229"/>
      <c r="N10" s="229"/>
      <c r="O10" s="229"/>
      <c r="P10" s="229"/>
      <c r="Q10" s="229"/>
      <c r="R10" s="229"/>
      <c r="S10" s="229"/>
      <c r="T10" s="229"/>
    </row>
    <row r="11" spans="1:20" x14ac:dyDescent="0.2">
      <c r="B11" s="206"/>
      <c r="C11" s="206"/>
      <c r="D11" s="206"/>
      <c r="E11" s="206"/>
      <c r="F11" s="206"/>
      <c r="G11" s="206"/>
      <c r="H11" s="206"/>
      <c r="I11" s="182"/>
      <c r="J11" s="225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s="205" customFormat="1" x14ac:dyDescent="0.2">
      <c r="A12" s="169" t="s">
        <v>6</v>
      </c>
      <c r="B12" s="227">
        <f>'[38]2180 (EQR) - Price Out'!$AI$92</f>
        <v>4906</v>
      </c>
      <c r="C12" s="227">
        <f>'[39]2180 (EQR) - Price Out'!X$92</f>
        <v>4905</v>
      </c>
      <c r="D12" s="227">
        <f>'[39]2180 (EQR) - Price Out'!Y$92</f>
        <v>4905</v>
      </c>
      <c r="E12" s="227">
        <f>AVERAGE(B12:D12)</f>
        <v>4905.333333333333</v>
      </c>
      <c r="F12" s="227">
        <f>E12</f>
        <v>4905.333333333333</v>
      </c>
      <c r="G12" s="227">
        <f>'[39]2180 (EQR) - Price Out'!AB$92</f>
        <v>4906</v>
      </c>
      <c r="H12" s="226">
        <f>SUM(B12:G12)</f>
        <v>29432.666666666664</v>
      </c>
      <c r="I12" s="224"/>
      <c r="J12" s="225"/>
      <c r="K12" s="206"/>
      <c r="L12" s="206"/>
      <c r="M12" s="206"/>
      <c r="N12" s="206"/>
      <c r="O12" s="206"/>
      <c r="P12" s="206"/>
      <c r="Q12" s="206"/>
      <c r="R12" s="206"/>
      <c r="S12" s="206"/>
      <c r="T12" s="206"/>
    </row>
    <row r="13" spans="1:20" s="205" customFormat="1" x14ac:dyDescent="0.2">
      <c r="A13" s="208"/>
      <c r="B13" s="204"/>
      <c r="C13" s="204"/>
      <c r="D13" s="204"/>
      <c r="E13" s="204"/>
      <c r="F13" s="204"/>
      <c r="G13" s="204"/>
      <c r="H13" s="204"/>
      <c r="I13" s="224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s="205" customFormat="1" x14ac:dyDescent="0.2">
      <c r="A14" s="208" t="s">
        <v>7</v>
      </c>
      <c r="B14" s="223">
        <f t="shared" ref="B14:G14" si="1">+IFERROR(B10/B12,0)</f>
        <v>-1.1080635934569913</v>
      </c>
      <c r="C14" s="223">
        <f t="shared" si="1"/>
        <v>-1.4005800173292555</v>
      </c>
      <c r="D14" s="223">
        <f t="shared" si="1"/>
        <v>-1.1670161957186542</v>
      </c>
      <c r="E14" s="223">
        <f t="shared" si="1"/>
        <v>-1.3651208219624902</v>
      </c>
      <c r="F14" s="223">
        <f t="shared" si="1"/>
        <v>-1.5061805875237837</v>
      </c>
      <c r="G14" s="223">
        <f t="shared" si="1"/>
        <v>-1.8530319973501843</v>
      </c>
      <c r="H14" s="223"/>
      <c r="I14" s="222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s="205" customFormat="1" x14ac:dyDescent="0.2">
      <c r="A15" s="208" t="s">
        <v>21</v>
      </c>
      <c r="B15" s="221">
        <f>'[40]CPA 3-1-19'!$G$15</f>
        <v>-1.1992481812174811</v>
      </c>
      <c r="C15" s="221">
        <f>'[40]CPA 3-1-19'!$G$15</f>
        <v>-1.1992481812174811</v>
      </c>
      <c r="D15" s="221">
        <f>'[40]CPA 3-1-19'!$G$15</f>
        <v>-1.1992481812174811</v>
      </c>
      <c r="E15" s="221">
        <f>-'[40]CPA 3-1-19'!$H$21</f>
        <v>-1.0464232116902947</v>
      </c>
      <c r="F15" s="221">
        <f>-'[40]CPA 3-1-19'!$H$21</f>
        <v>-1.0464232116902947</v>
      </c>
      <c r="G15" s="221">
        <f>-'[40]CPA 3-1-19'!$H$21</f>
        <v>-1.0464232116902947</v>
      </c>
      <c r="H15" s="220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s="205" customFormat="1" x14ac:dyDescent="0.2">
      <c r="A16" s="208" t="s">
        <v>9</v>
      </c>
      <c r="B16" s="219">
        <f t="shared" ref="B16:G16" si="2">+B15*B12</f>
        <v>-5883.5115770529619</v>
      </c>
      <c r="C16" s="219">
        <f t="shared" si="2"/>
        <v>-5882.3123288717452</v>
      </c>
      <c r="D16" s="219">
        <f t="shared" si="2"/>
        <v>-5882.3123288717452</v>
      </c>
      <c r="E16" s="219">
        <f t="shared" si="2"/>
        <v>-5133.0546610781257</v>
      </c>
      <c r="F16" s="219">
        <f t="shared" si="2"/>
        <v>-5133.0546610781257</v>
      </c>
      <c r="G16" s="219">
        <f t="shared" si="2"/>
        <v>-5133.7522765525855</v>
      </c>
      <c r="H16" s="219">
        <f>SUM(B16:G16)</f>
        <v>-33047.997833505287</v>
      </c>
      <c r="I16" s="218"/>
      <c r="J16" s="206"/>
      <c r="K16" s="206"/>
      <c r="L16" s="206"/>
      <c r="M16" s="212"/>
      <c r="N16" s="206"/>
      <c r="O16" s="206"/>
      <c r="P16" s="206"/>
      <c r="Q16" s="206"/>
      <c r="R16" s="206"/>
      <c r="S16" s="206"/>
      <c r="T16" s="206"/>
    </row>
    <row r="17" spans="1:26" s="213" customFormat="1" ht="12.75" thickBot="1" x14ac:dyDescent="0.25">
      <c r="A17" s="155" t="s">
        <v>20</v>
      </c>
      <c r="B17" s="154">
        <f t="shared" ref="B17:G17" si="3">+ROUND(B16-B10,2)</f>
        <v>-447.35</v>
      </c>
      <c r="C17" s="154">
        <f t="shared" si="3"/>
        <v>987.53</v>
      </c>
      <c r="D17" s="154">
        <f t="shared" si="3"/>
        <v>-158.1</v>
      </c>
      <c r="E17" s="154">
        <f t="shared" si="3"/>
        <v>1563.32</v>
      </c>
      <c r="F17" s="154">
        <f t="shared" si="3"/>
        <v>2255.2600000000002</v>
      </c>
      <c r="G17" s="154">
        <f t="shared" si="3"/>
        <v>3957.22</v>
      </c>
      <c r="H17" s="217">
        <f>SUM(B17:G17)</f>
        <v>8157.8799999999992</v>
      </c>
      <c r="I17" s="216"/>
      <c r="J17" s="215"/>
      <c r="K17" s="214"/>
      <c r="L17" s="214"/>
      <c r="M17" s="212"/>
      <c r="N17" s="214"/>
      <c r="O17" s="214"/>
      <c r="P17" s="214"/>
      <c r="Q17" s="214"/>
      <c r="R17" s="214"/>
      <c r="S17" s="214"/>
      <c r="T17" s="214"/>
    </row>
    <row r="18" spans="1:26" s="205" customFormat="1" x14ac:dyDescent="0.2">
      <c r="A18" s="208"/>
      <c r="B18" s="212"/>
      <c r="C18" s="212"/>
      <c r="D18" s="212"/>
      <c r="E18" s="212"/>
      <c r="F18" s="206"/>
      <c r="G18" s="206"/>
      <c r="H18" s="211"/>
      <c r="I18" s="210"/>
      <c r="J18" s="209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6" s="205" customFormat="1" x14ac:dyDescent="0.2">
      <c r="A19" s="208"/>
      <c r="B19" s="206"/>
      <c r="C19" s="206"/>
      <c r="D19" s="206"/>
      <c r="E19" s="206"/>
      <c r="F19" s="206"/>
      <c r="G19" s="206"/>
      <c r="H19" s="206"/>
      <c r="O19" s="207"/>
      <c r="P19" s="207"/>
      <c r="Q19" s="207"/>
      <c r="R19" s="207"/>
      <c r="S19" s="207"/>
      <c r="T19" s="207"/>
      <c r="U19" s="206"/>
      <c r="V19" s="206"/>
      <c r="W19" s="206"/>
      <c r="X19" s="206"/>
      <c r="Y19" s="206"/>
      <c r="Z19" s="206"/>
    </row>
    <row r="20" spans="1:26" ht="12.75" x14ac:dyDescent="0.2">
      <c r="B20" s="204"/>
      <c r="C20" s="204"/>
      <c r="D20" s="204"/>
      <c r="E20" s="204"/>
      <c r="F20" s="201"/>
      <c r="G20" s="63" t="s">
        <v>11</v>
      </c>
      <c r="H20" s="64">
        <f>ROUND((H17/H12),2)</f>
        <v>0.28000000000000003</v>
      </c>
      <c r="I20" s="95"/>
    </row>
    <row r="21" spans="1:26" ht="12.75" x14ac:dyDescent="0.2">
      <c r="F21" s="201"/>
      <c r="G21" s="63" t="s">
        <v>19</v>
      </c>
      <c r="H21" s="64">
        <f>-SUM(B10:G10)/SUM(B12:G12)</f>
        <v>1.4000051498618318</v>
      </c>
      <c r="I21" s="65"/>
    </row>
    <row r="22" spans="1:26" ht="15" x14ac:dyDescent="0.25">
      <c r="E22" s="203"/>
      <c r="F22" s="202"/>
      <c r="G22" s="98" t="s">
        <v>18</v>
      </c>
      <c r="H22" s="97">
        <f>SUM(H20:H21)</f>
        <v>1.6800051498618318</v>
      </c>
      <c r="I22" s="93"/>
    </row>
    <row r="23" spans="1:26" ht="15" x14ac:dyDescent="0.25">
      <c r="F23" s="201"/>
      <c r="G23" s="63"/>
      <c r="H23" s="68"/>
      <c r="I23" s="93"/>
    </row>
    <row r="24" spans="1:26" ht="15" x14ac:dyDescent="0.25">
      <c r="F24" s="201"/>
      <c r="G24" s="63" t="s">
        <v>17</v>
      </c>
      <c r="H24" s="96">
        <f>'[40]CPA 3-1-19'!H23</f>
        <v>1.814756545023628</v>
      </c>
      <c r="I24" s="93"/>
    </row>
    <row r="25" spans="1:26" ht="12.75" x14ac:dyDescent="0.2">
      <c r="F25" s="201"/>
      <c r="G25" s="63" t="s">
        <v>14</v>
      </c>
      <c r="H25" s="95">
        <f>H22-H24</f>
        <v>-0.13475139516179624</v>
      </c>
      <c r="I25" s="70">
        <f>H25/H24</f>
        <v>-7.4253152871280467E-2</v>
      </c>
    </row>
    <row r="26" spans="1:26" ht="15" x14ac:dyDescent="0.25">
      <c r="F26" s="201"/>
      <c r="G26" s="63" t="s">
        <v>15</v>
      </c>
      <c r="H26" s="94">
        <f>H25*H12*6</f>
        <v>-23796.557379992566</v>
      </c>
      <c r="I26" s="93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6B387C154096C4F8C9DD319565631A4" ma:contentTypeVersion="28" ma:contentTypeDescription="" ma:contentTypeScope="" ma:versionID="fe4b17bda7fb296dc239b8e511e978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2022-01-14T08:00:00+00:00</OpenedDate>
    <SignificantOrder xmlns="dc463f71-b30c-4ab2-9473-d307f9d35888">false</SignificantOrder>
    <Date1 xmlns="dc463f71-b30c-4ab2-9473-d307f9d35888">2022-01-14T08:00:00+00:00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</CaseCompanyNames>
    <Nickname xmlns="http://schemas.microsoft.com/sharepoint/v3" xsi:nil="true"/>
    <DocketNumber xmlns="dc463f71-b30c-4ab2-9473-d307f9d35888">220041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F9785D-EAFA-4344-B337-DEA903802BF9}"/>
</file>

<file path=customXml/itemProps2.xml><?xml version="1.0" encoding="utf-8"?>
<ds:datastoreItem xmlns:ds="http://schemas.openxmlformats.org/officeDocument/2006/customXml" ds:itemID="{3DF6FACF-D5CB-43FE-B8FB-14CFAB527F6F}"/>
</file>

<file path=customXml/itemProps3.xml><?xml version="1.0" encoding="utf-8"?>
<ds:datastoreItem xmlns:ds="http://schemas.openxmlformats.org/officeDocument/2006/customXml" ds:itemID="{FBC14B43-227A-4D32-890F-D112E602460D}"/>
</file>

<file path=customXml/itemProps4.xml><?xml version="1.0" encoding="utf-8"?>
<ds:datastoreItem xmlns:ds="http://schemas.openxmlformats.org/officeDocument/2006/customXml" ds:itemID="{50931962-68C8-44D4-9C72-1B7FC3F3B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CPA 3-1-2022 PCR</vt:lpstr>
      <vt:lpstr>JBLM CPA 3-1-2022</vt:lpstr>
      <vt:lpstr>CPA 3-1-2021 PCR</vt:lpstr>
      <vt:lpstr>JBLM CPA 3-1-2021</vt:lpstr>
      <vt:lpstr>Commodity Credit 3-1-20</vt:lpstr>
      <vt:lpstr>Commodity Credit 9-1-19</vt:lpstr>
      <vt:lpstr>JBLM CPA 3-1-2020</vt:lpstr>
      <vt:lpstr>JBLM CPA 9-1-19</vt:lpstr>
      <vt:lpstr>'Commodity Credit 3-1-20'!Print_Area</vt:lpstr>
      <vt:lpstr>'Commodity Credit 9-1-19'!Print_Area</vt:lpstr>
      <vt:lpstr>'CPA 3-1-2021 PCR'!Print_Area</vt:lpstr>
      <vt:lpstr>'CPA 3-1-2022 PCR'!Print_Area</vt:lpstr>
      <vt:lpstr>'JBLM CPA 3-1-2020'!Print_Area</vt:lpstr>
      <vt:lpstr>'JBLM CPA 3-1-2021'!Print_Area</vt:lpstr>
      <vt:lpstr>'JBLM CPA 3-1-2022'!Print_Area</vt:lpstr>
      <vt:lpstr>'JBLM CPA 9-1-19'!Print_Area</vt:lpstr>
      <vt:lpstr>'Commodity Credit 3-1-20'!Print_Titles</vt:lpstr>
      <vt:lpstr>'Commodity Credit 9-1-19'!Print_Titles</vt:lpstr>
      <vt:lpstr>'CPA 3-1-2021 PCR'!Print_Titles</vt:lpstr>
      <vt:lpstr>'CPA 3-1-2022 PCR'!Print_Titles</vt:lpstr>
      <vt:lpstr>'JBLM CPA 3-1-2021'!Print_Titles</vt:lpstr>
      <vt:lpstr>'JBLM CPA 3-1-2022'!Print_Titles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2021-01-26T00:34:12Z</cp:lastPrinted>
  <dcterms:created xsi:type="dcterms:W3CDTF">2021-01-08T23:33:51Z</dcterms:created>
  <dcterms:modified xsi:type="dcterms:W3CDTF">2022-01-14T23:33:07Z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0x0101006E56B4D1795A2E4DB2F0B01679ED314A0056B387C154096C4F8C9DD319565631A4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