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WM Wenatchee\Commodity Rebate\2021\"/>
    </mc:Choice>
  </mc:AlternateContent>
  <xr:revisionPtr revIDLastSave="0" documentId="13_ncr:1_{62E4C4E0-8304-46E7-AFF2-FA10A3ECF3E3}" xr6:coauthVersionLast="46" xr6:coauthVersionMax="46" xr10:uidLastSave="{00000000-0000-0000-0000-000000000000}"/>
  <bookViews>
    <workbookView xWindow="31815" yWindow="1950" windowWidth="21600" windowHeight="11250" xr2:uid="{C067B418-F733-4553-9C1E-04EBF145E0B6}"/>
  </bookViews>
  <sheets>
    <sheet name="Rebate Calculation" sheetId="7" r:id="rId1"/>
    <sheet name="Recycling Revenue" sheetId="5" r:id="rId2"/>
    <sheet name="Customers" sheetId="6" r:id="rId3"/>
    <sheet name="Rebate Data" sheetId="4" r:id="rId4"/>
    <sheet name="SMaRT Tons Sold" sheetId="2" r:id="rId5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5" l="1"/>
  <c r="D18" i="6"/>
  <c r="C18" i="6"/>
  <c r="C19" i="2"/>
  <c r="B19" i="2"/>
  <c r="X16" i="4"/>
  <c r="D17" i="6" l="1"/>
  <c r="C17" i="6"/>
  <c r="C18" i="5"/>
  <c r="C18" i="2"/>
  <c r="C17" i="2"/>
  <c r="C16" i="2"/>
  <c r="C15" i="2"/>
  <c r="C14" i="2"/>
  <c r="C13" i="2"/>
  <c r="C12" i="2"/>
  <c r="C11" i="2"/>
  <c r="C10" i="2"/>
  <c r="C9" i="2"/>
  <c r="C8" i="2"/>
  <c r="B18" i="2"/>
  <c r="B17" i="2"/>
  <c r="B16" i="2"/>
  <c r="B15" i="2"/>
  <c r="B14" i="2"/>
  <c r="B13" i="2"/>
  <c r="B12" i="2"/>
  <c r="B11" i="2"/>
  <c r="B10" i="2"/>
  <c r="B9" i="2"/>
  <c r="B8" i="2"/>
  <c r="V16" i="4" l="1"/>
  <c r="T16" i="4" l="1"/>
  <c r="D16" i="6" l="1"/>
  <c r="C16" i="6"/>
  <c r="C17" i="5"/>
  <c r="T23" i="4"/>
  <c r="V23" i="4"/>
  <c r="X23" i="4" s="1"/>
  <c r="T27" i="4"/>
  <c r="V27" i="4"/>
  <c r="X27" i="4" s="1"/>
  <c r="T31" i="4"/>
  <c r="V31" i="4"/>
  <c r="X31" i="4" s="1"/>
  <c r="X7" i="4"/>
  <c r="X15" i="4"/>
  <c r="V7" i="4"/>
  <c r="V15" i="4"/>
  <c r="T7" i="4"/>
  <c r="T15" i="4"/>
  <c r="D15" i="6"/>
  <c r="C15" i="6"/>
  <c r="R16" i="4" l="1"/>
  <c r="D14" i="6" l="1"/>
  <c r="C14" i="6"/>
  <c r="P16" i="4" l="1"/>
  <c r="N16" i="4" l="1"/>
  <c r="L16" i="4" l="1"/>
  <c r="J16" i="4" l="1"/>
  <c r="H16" i="4" l="1"/>
  <c r="F16" i="4" l="1"/>
  <c r="D16" i="4" l="1"/>
  <c r="B16" i="4" l="1"/>
  <c r="D10" i="7" l="1"/>
  <c r="C11" i="7"/>
  <c r="C10" i="7"/>
  <c r="C12" i="7" l="1"/>
  <c r="E18" i="7" s="1"/>
  <c r="E10" i="7"/>
  <c r="E24" i="7" l="1"/>
  <c r="K10" i="7" l="1"/>
  <c r="I12" i="7" l="1"/>
  <c r="K18" i="7" s="1"/>
  <c r="K24" i="7" l="1"/>
  <c r="B53" i="4"/>
  <c r="D53" i="4"/>
  <c r="F53" i="4"/>
  <c r="H53" i="4"/>
  <c r="J53" i="4"/>
  <c r="L53" i="4"/>
  <c r="N53" i="4"/>
  <c r="P53" i="4"/>
  <c r="R53" i="4"/>
  <c r="T53" i="4"/>
  <c r="V53" i="4"/>
  <c r="X53" i="4"/>
  <c r="X45" i="4" l="1"/>
  <c r="X44" i="4"/>
  <c r="X43" i="4"/>
  <c r="X42" i="4"/>
  <c r="X41" i="4"/>
  <c r="X40" i="4"/>
  <c r="X39" i="4"/>
  <c r="X38" i="4"/>
  <c r="X37" i="4"/>
  <c r="X36" i="4"/>
  <c r="X46" i="4" l="1"/>
  <c r="X52" i="4"/>
  <c r="X54" i="4" s="1"/>
  <c r="V45" i="4"/>
  <c r="V44" i="4"/>
  <c r="V43" i="4"/>
  <c r="V42" i="4"/>
  <c r="V41" i="4"/>
  <c r="V40" i="4"/>
  <c r="V39" i="4"/>
  <c r="V38" i="4"/>
  <c r="V37" i="4"/>
  <c r="V36" i="4"/>
  <c r="V52" i="4" l="1"/>
  <c r="V54" i="4" s="1"/>
  <c r="V46" i="4"/>
  <c r="Q10" i="7" l="1"/>
  <c r="T45" i="4" l="1"/>
  <c r="T44" i="4"/>
  <c r="T43" i="4"/>
  <c r="T42" i="4"/>
  <c r="T41" i="4"/>
  <c r="T40" i="4"/>
  <c r="T39" i="4"/>
  <c r="T38" i="4"/>
  <c r="T37" i="4"/>
  <c r="T36" i="4"/>
  <c r="T46" i="4" l="1"/>
  <c r="T52" i="4"/>
  <c r="T54" i="4" s="1"/>
  <c r="D45" i="4"/>
  <c r="D44" i="4"/>
  <c r="D43" i="4"/>
  <c r="D42" i="4"/>
  <c r="D41" i="4"/>
  <c r="D40" i="4"/>
  <c r="D39" i="4"/>
  <c r="D38" i="4"/>
  <c r="D37" i="4"/>
  <c r="D36" i="4"/>
  <c r="B45" i="4"/>
  <c r="B44" i="4"/>
  <c r="B43" i="4"/>
  <c r="B42" i="4"/>
  <c r="B41" i="4"/>
  <c r="B40" i="4"/>
  <c r="B39" i="4"/>
  <c r="B38" i="4"/>
  <c r="B37" i="4"/>
  <c r="B36" i="4"/>
  <c r="D52" i="4" l="1"/>
  <c r="D54" i="4" s="1"/>
  <c r="B52" i="4"/>
  <c r="B46" i="4"/>
  <c r="D46" i="4"/>
  <c r="B54" i="4" l="1"/>
  <c r="D17" i="4"/>
  <c r="B17" i="4"/>
  <c r="C11" i="5"/>
  <c r="E17" i="4" l="1"/>
  <c r="D48" i="4"/>
  <c r="C17" i="4"/>
  <c r="B48" i="4"/>
  <c r="E7" i="4"/>
  <c r="E8" i="4"/>
  <c r="E11" i="4"/>
  <c r="E12" i="4"/>
  <c r="E13" i="4"/>
  <c r="E16" i="4"/>
  <c r="F9" i="5" s="1"/>
  <c r="G9" i="5" s="1"/>
  <c r="H9" i="5" s="1"/>
  <c r="C9" i="4"/>
  <c r="C11" i="4"/>
  <c r="C15" i="4"/>
  <c r="C16" i="4"/>
  <c r="F8" i="5" s="1"/>
  <c r="G8" i="5" s="1"/>
  <c r="H8" i="5" s="1"/>
  <c r="E9" i="4"/>
  <c r="E15" i="4"/>
  <c r="C7" i="4"/>
  <c r="C12" i="4"/>
  <c r="C8" i="4"/>
  <c r="C13" i="4"/>
  <c r="E6" i="4"/>
  <c r="E10" i="4"/>
  <c r="E14" i="4"/>
  <c r="C6" i="4"/>
  <c r="C10" i="4"/>
  <c r="C14" i="4"/>
  <c r="C16" i="5"/>
  <c r="D50" i="4" l="1"/>
  <c r="B50" i="4"/>
  <c r="R45" i="4"/>
  <c r="R44" i="4"/>
  <c r="R43" i="4"/>
  <c r="R42" i="4"/>
  <c r="R41" i="4"/>
  <c r="R40" i="4"/>
  <c r="R39" i="4"/>
  <c r="R38" i="4"/>
  <c r="R37" i="4"/>
  <c r="R36" i="4"/>
  <c r="X17" i="4"/>
  <c r="V17" i="4"/>
  <c r="T17" i="4"/>
  <c r="R17" i="4"/>
  <c r="S15" i="4" s="1"/>
  <c r="R52" i="4" l="1"/>
  <c r="R54" i="4" s="1"/>
  <c r="Y17" i="4"/>
  <c r="X48" i="4"/>
  <c r="W17" i="4"/>
  <c r="V48" i="4"/>
  <c r="U17" i="4"/>
  <c r="T48" i="4"/>
  <c r="Y10" i="4"/>
  <c r="Y8" i="4"/>
  <c r="Y6" i="4"/>
  <c r="Y12" i="4"/>
  <c r="Y7" i="4"/>
  <c r="Y13" i="4"/>
  <c r="Y9" i="4"/>
  <c r="Y15" i="4"/>
  <c r="Y11" i="4"/>
  <c r="W13" i="4"/>
  <c r="W9" i="4"/>
  <c r="W6" i="4"/>
  <c r="W7" i="4"/>
  <c r="W11" i="4"/>
  <c r="W16" i="4"/>
  <c r="F18" i="5" s="1"/>
  <c r="G18" i="5" s="1"/>
  <c r="H18" i="5" s="1"/>
  <c r="W8" i="4"/>
  <c r="W12" i="4"/>
  <c r="W10" i="4"/>
  <c r="W15" i="4"/>
  <c r="U6" i="4"/>
  <c r="U14" i="4"/>
  <c r="U10" i="4"/>
  <c r="U11" i="4"/>
  <c r="U12" i="4"/>
  <c r="U16" i="4"/>
  <c r="F17" i="5" s="1"/>
  <c r="G17" i="5" s="1"/>
  <c r="H17" i="5" s="1"/>
  <c r="U7" i="4"/>
  <c r="U15" i="4"/>
  <c r="U8" i="4"/>
  <c r="U9" i="4"/>
  <c r="U13" i="4"/>
  <c r="S7" i="4"/>
  <c r="S11" i="4"/>
  <c r="S8" i="4"/>
  <c r="S12" i="4"/>
  <c r="S9" i="4"/>
  <c r="S13" i="4"/>
  <c r="S6" i="4"/>
  <c r="S10" i="4"/>
  <c r="S14" i="4"/>
  <c r="S17" i="4"/>
  <c r="R48" i="4"/>
  <c r="R46" i="4"/>
  <c r="Y14" i="4"/>
  <c r="Y16" i="4"/>
  <c r="F19" i="5" s="1"/>
  <c r="G19" i="5" s="1"/>
  <c r="H19" i="5" s="1"/>
  <c r="W14" i="4"/>
  <c r="S16" i="4"/>
  <c r="F16" i="5" s="1"/>
  <c r="G16" i="5" s="1"/>
  <c r="X50" i="4" l="1"/>
  <c r="I19" i="5" s="1"/>
  <c r="J19" i="5" s="1"/>
  <c r="D18" i="2"/>
  <c r="I18" i="5" s="1"/>
  <c r="J18" i="5" s="1"/>
  <c r="V50" i="4"/>
  <c r="D17" i="2"/>
  <c r="I17" i="5" s="1"/>
  <c r="J17" i="5" s="1"/>
  <c r="T50" i="4"/>
  <c r="R50" i="4"/>
  <c r="D16" i="2"/>
  <c r="I16" i="5" s="1"/>
  <c r="H16" i="5"/>
  <c r="D9" i="2"/>
  <c r="I9" i="5" s="1"/>
  <c r="J9" i="5" s="1"/>
  <c r="P45" i="4"/>
  <c r="P44" i="4"/>
  <c r="P43" i="4"/>
  <c r="P42" i="4"/>
  <c r="P41" i="4"/>
  <c r="P40" i="4"/>
  <c r="P39" i="4"/>
  <c r="P38" i="4"/>
  <c r="P37" i="4"/>
  <c r="P36" i="4"/>
  <c r="P17" i="4"/>
  <c r="P48" i="4" s="1"/>
  <c r="D19" i="6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7" i="6"/>
  <c r="F7" i="6" s="1"/>
  <c r="C19" i="6"/>
  <c r="C12" i="5"/>
  <c r="C15" i="5"/>
  <c r="P52" i="4" l="1"/>
  <c r="P54" i="4" s="1"/>
  <c r="Q16" i="4"/>
  <c r="F15" i="5" s="1"/>
  <c r="G15" i="5" s="1"/>
  <c r="H15" i="5" s="1"/>
  <c r="Q17" i="4"/>
  <c r="J16" i="5"/>
  <c r="D8" i="2"/>
  <c r="I8" i="5" s="1"/>
  <c r="J8" i="5" s="1"/>
  <c r="E20" i="5"/>
  <c r="C14" i="5"/>
  <c r="C13" i="5"/>
  <c r="C9" i="5"/>
  <c r="E19" i="6"/>
  <c r="F19" i="6" s="1"/>
  <c r="P46" i="4"/>
  <c r="Q6" i="4"/>
  <c r="Q9" i="4"/>
  <c r="Q11" i="4"/>
  <c r="Q13" i="4"/>
  <c r="Q7" i="4"/>
  <c r="Q14" i="4"/>
  <c r="Q10" i="4"/>
  <c r="Q15" i="4"/>
  <c r="Q8" i="4"/>
  <c r="Q12" i="4"/>
  <c r="C8" i="5"/>
  <c r="C10" i="5"/>
  <c r="Q11" i="7" l="1"/>
  <c r="Q12" i="7" s="1"/>
  <c r="Q16" i="7" s="1"/>
  <c r="O12" i="7"/>
  <c r="P50" i="4"/>
  <c r="D15" i="2"/>
  <c r="I15" i="5" s="1"/>
  <c r="J15" i="5" s="1"/>
  <c r="N45" i="4"/>
  <c r="N44" i="4"/>
  <c r="N43" i="4"/>
  <c r="N42" i="4"/>
  <c r="N41" i="4"/>
  <c r="N40" i="4"/>
  <c r="N39" i="4"/>
  <c r="N38" i="4"/>
  <c r="N37" i="4"/>
  <c r="N36" i="4"/>
  <c r="L45" i="4"/>
  <c r="L44" i="4"/>
  <c r="L43" i="4"/>
  <c r="L42" i="4"/>
  <c r="L41" i="4"/>
  <c r="L40" i="4"/>
  <c r="L39" i="4"/>
  <c r="L38" i="4"/>
  <c r="L37" i="4"/>
  <c r="L36" i="4"/>
  <c r="J45" i="4"/>
  <c r="J44" i="4"/>
  <c r="J43" i="4"/>
  <c r="J42" i="4"/>
  <c r="J41" i="4"/>
  <c r="J40" i="4"/>
  <c r="J39" i="4"/>
  <c r="J38" i="4"/>
  <c r="J37" i="4"/>
  <c r="J36" i="4"/>
  <c r="H45" i="4"/>
  <c r="H44" i="4"/>
  <c r="H43" i="4"/>
  <c r="H42" i="4"/>
  <c r="H41" i="4"/>
  <c r="H40" i="4"/>
  <c r="H39" i="4"/>
  <c r="H38" i="4"/>
  <c r="H37" i="4"/>
  <c r="H36" i="4"/>
  <c r="F45" i="4"/>
  <c r="F37" i="4"/>
  <c r="F38" i="4"/>
  <c r="F39" i="4"/>
  <c r="F40" i="4"/>
  <c r="F41" i="4"/>
  <c r="F42" i="4"/>
  <c r="F43" i="4"/>
  <c r="F44" i="4"/>
  <c r="F36" i="4"/>
  <c r="N17" i="4"/>
  <c r="O15" i="4" s="1"/>
  <c r="L17" i="4"/>
  <c r="M15" i="4" s="1"/>
  <c r="J17" i="4"/>
  <c r="K15" i="4" s="1"/>
  <c r="H17" i="4"/>
  <c r="H48" i="4" s="1"/>
  <c r="F17" i="4"/>
  <c r="F48" i="4" s="1"/>
  <c r="L52" i="4" l="1"/>
  <c r="L54" i="4" s="1"/>
  <c r="H52" i="4"/>
  <c r="H54" i="4" s="1"/>
  <c r="N52" i="4"/>
  <c r="N54" i="4" s="1"/>
  <c r="J52" i="4"/>
  <c r="J54" i="4" s="1"/>
  <c r="G9" i="4"/>
  <c r="F52" i="4"/>
  <c r="F46" i="4"/>
  <c r="G14" i="4"/>
  <c r="Q18" i="7"/>
  <c r="R20" i="7" s="1"/>
  <c r="Q24" i="7"/>
  <c r="R25" i="7" s="1"/>
  <c r="J11" i="7" s="1"/>
  <c r="K11" i="7" s="1"/>
  <c r="K12" i="7" s="1"/>
  <c r="L46" i="4"/>
  <c r="I10" i="4"/>
  <c r="N46" i="4"/>
  <c r="H46" i="4"/>
  <c r="O7" i="4"/>
  <c r="J46" i="4"/>
  <c r="I7" i="4"/>
  <c r="M12" i="4"/>
  <c r="O10" i="4"/>
  <c r="M7" i="4"/>
  <c r="O12" i="4"/>
  <c r="G17" i="4"/>
  <c r="I12" i="4"/>
  <c r="M10" i="4"/>
  <c r="N48" i="4"/>
  <c r="K10" i="4"/>
  <c r="G16" i="4"/>
  <c r="F10" i="5" s="1"/>
  <c r="G10" i="5" s="1"/>
  <c r="G13" i="4"/>
  <c r="G8" i="4"/>
  <c r="I8" i="4"/>
  <c r="I13" i="4"/>
  <c r="I16" i="4"/>
  <c r="F11" i="5" s="1"/>
  <c r="G11" i="5" s="1"/>
  <c r="H11" i="5" s="1"/>
  <c r="K8" i="4"/>
  <c r="K13" i="4"/>
  <c r="K16" i="4"/>
  <c r="F12" i="5" s="1"/>
  <c r="G12" i="5" s="1"/>
  <c r="H12" i="5" s="1"/>
  <c r="M8" i="4"/>
  <c r="M13" i="4"/>
  <c r="M16" i="4"/>
  <c r="F13" i="5" s="1"/>
  <c r="G13" i="5" s="1"/>
  <c r="H13" i="5" s="1"/>
  <c r="O8" i="4"/>
  <c r="O13" i="4"/>
  <c r="O16" i="4"/>
  <c r="F14" i="5" s="1"/>
  <c r="G14" i="5" s="1"/>
  <c r="H14" i="5" s="1"/>
  <c r="L48" i="4"/>
  <c r="K7" i="4"/>
  <c r="G10" i="4"/>
  <c r="G12" i="4"/>
  <c r="G7" i="4"/>
  <c r="I9" i="4"/>
  <c r="I14" i="4"/>
  <c r="I17" i="4"/>
  <c r="K9" i="4"/>
  <c r="K14" i="4"/>
  <c r="K17" i="4"/>
  <c r="M9" i="4"/>
  <c r="M14" i="4"/>
  <c r="M17" i="4"/>
  <c r="O9" i="4"/>
  <c r="O14" i="4"/>
  <c r="O17" i="4"/>
  <c r="J48" i="4"/>
  <c r="K12" i="4"/>
  <c r="G6" i="4"/>
  <c r="G15" i="4"/>
  <c r="G11" i="4"/>
  <c r="I6" i="4"/>
  <c r="I11" i="4"/>
  <c r="I15" i="4"/>
  <c r="K6" i="4"/>
  <c r="K11" i="4"/>
  <c r="M6" i="4"/>
  <c r="M11" i="4"/>
  <c r="O6" i="4"/>
  <c r="O11" i="4"/>
  <c r="H10" i="5" l="1"/>
  <c r="H20" i="5" s="1"/>
  <c r="G20" i="5"/>
  <c r="F20" i="5" s="1"/>
  <c r="B20" i="2"/>
  <c r="D10" i="2"/>
  <c r="I10" i="5" s="1"/>
  <c r="J10" i="5" s="1"/>
  <c r="F50" i="4"/>
  <c r="F54" i="4"/>
  <c r="R27" i="7"/>
  <c r="H50" i="4"/>
  <c r="D11" i="2"/>
  <c r="I11" i="5" s="1"/>
  <c r="J11" i="5" s="1"/>
  <c r="L50" i="4"/>
  <c r="D13" i="2"/>
  <c r="I13" i="5" s="1"/>
  <c r="J13" i="5" s="1"/>
  <c r="N50" i="4"/>
  <c r="D14" i="2"/>
  <c r="I14" i="5" s="1"/>
  <c r="J14" i="5" s="1"/>
  <c r="J50" i="4"/>
  <c r="D12" i="2"/>
  <c r="I12" i="5" s="1"/>
  <c r="J12" i="5" s="1"/>
  <c r="D19" i="2"/>
  <c r="J20" i="5" l="1"/>
  <c r="E14" i="7" s="1"/>
  <c r="E23" i="7" s="1"/>
  <c r="F25" i="7" s="1"/>
  <c r="C20" i="2"/>
  <c r="D20" i="2" s="1"/>
  <c r="I20" i="5" l="1"/>
  <c r="K16" i="7" l="1"/>
  <c r="L20" i="7" s="1"/>
  <c r="K23" i="7"/>
  <c r="L25" i="7" s="1"/>
  <c r="D11" i="7" s="1"/>
  <c r="E11" i="7" s="1"/>
  <c r="E12" i="7" s="1"/>
  <c r="E16" i="7" s="1"/>
  <c r="F20" i="7" s="1"/>
  <c r="F27" i="7" s="1"/>
  <c r="L27" i="7" l="1"/>
  <c r="C20" i="5"/>
  <c r="D20" i="5"/>
</calcChain>
</file>

<file path=xl/sharedStrings.xml><?xml version="1.0" encoding="utf-8"?>
<sst xmlns="http://schemas.openxmlformats.org/spreadsheetml/2006/main" count="188" uniqueCount="77">
  <si>
    <t>Waste Management - Wenatchee</t>
  </si>
  <si>
    <t>SMaRT</t>
  </si>
  <si>
    <t>Tons</t>
  </si>
  <si>
    <t>Commodity</t>
  </si>
  <si>
    <t>Sold</t>
  </si>
  <si>
    <t>Revenue</t>
  </si>
  <si>
    <t>Rev./ton</t>
  </si>
  <si>
    <t>May</t>
  </si>
  <si>
    <t>Jun</t>
  </si>
  <si>
    <t>Jul</t>
  </si>
  <si>
    <t>Aug</t>
  </si>
  <si>
    <t>Sep</t>
  </si>
  <si>
    <t>Oct</t>
  </si>
  <si>
    <t>Nov</t>
  </si>
  <si>
    <t>Dec</t>
  </si>
  <si>
    <t>Total Customers</t>
  </si>
  <si>
    <t>Jan</t>
  </si>
  <si>
    <t>Feb</t>
  </si>
  <si>
    <t>Mar</t>
  </si>
  <si>
    <t>Apr</t>
  </si>
  <si>
    <t>OCC</t>
  </si>
  <si>
    <t>Glass</t>
  </si>
  <si>
    <t>PET</t>
  </si>
  <si>
    <t>Newspaper</t>
  </si>
  <si>
    <t>Mix Paper</t>
  </si>
  <si>
    <t>Aluminum</t>
  </si>
  <si>
    <t>HDPE Natl</t>
  </si>
  <si>
    <t>HDPE Col</t>
  </si>
  <si>
    <t>#3 - 7</t>
  </si>
  <si>
    <t>Tin Cans</t>
  </si>
  <si>
    <t>%</t>
  </si>
  <si>
    <t>Residue</t>
  </si>
  <si>
    <t>Commodities Sold</t>
  </si>
  <si>
    <t>Prices:</t>
  </si>
  <si>
    <t>Revenue:</t>
  </si>
  <si>
    <t>Revenue/ton</t>
  </si>
  <si>
    <t>SMaRT Processed Tons</t>
  </si>
  <si>
    <t>UTC</t>
  </si>
  <si>
    <t>Non-UTC</t>
  </si>
  <si>
    <t>Total</t>
  </si>
  <si>
    <t>Residual</t>
  </si>
  <si>
    <t>Tonnage</t>
  </si>
  <si>
    <t>Less:</t>
  </si>
  <si>
    <t>% Residual</t>
  </si>
  <si>
    <t>2019 - 2020 Rebate Calculation</t>
  </si>
  <si>
    <t>Residential</t>
  </si>
  <si>
    <t>Customers</t>
  </si>
  <si>
    <t>Credit</t>
  </si>
  <si>
    <t>Credits</t>
  </si>
  <si>
    <t xml:space="preserve">Actual Commodity Revenue </t>
  </si>
  <si>
    <t>Owe Customer (company)</t>
  </si>
  <si>
    <t>Adjust for Under/(Over) payment in 2018-2019</t>
  </si>
  <si>
    <t>Projected Value</t>
  </si>
  <si>
    <t>Residential Commodity Adjustment - as calculated</t>
  </si>
  <si>
    <t>WM Wenatchee</t>
  </si>
  <si>
    <t>Projected Revenue Nov. 2018- Oct. 2019</t>
  </si>
  <si>
    <t>Projected Rev. Nov 2019-Oct 2020 (based on most recent 6 mo. avg.)</t>
  </si>
  <si>
    <t>Nov - Dec projected value without adjustment factor</t>
  </si>
  <si>
    <t>Jan - Oct projected value without adjustment factor</t>
  </si>
  <si>
    <t>Average</t>
  </si>
  <si>
    <t>Rate/ton</t>
  </si>
  <si>
    <t>Total Customers (annualized)</t>
  </si>
  <si>
    <t>Initial</t>
  </si>
  <si>
    <t>Month</t>
  </si>
  <si>
    <t>Calculation of Recycling Revenue</t>
  </si>
  <si>
    <t>Adjust for Under/(Over) payment in 2019-2020</t>
  </si>
  <si>
    <t>Recycling Customers - per Enspire</t>
  </si>
  <si>
    <t xml:space="preserve">Projected Rev. Nov 2020-Oct 2021 </t>
  </si>
  <si>
    <t>2020 - 2021 Rebate Calculation</t>
  </si>
  <si>
    <t>Projected Revenue Nov. 2020- Oct. 2021</t>
  </si>
  <si>
    <t>2021 - 2022 Rebate Calculation</t>
  </si>
  <si>
    <t>Projected Revenue Nov. 2021- Oct. 2022</t>
  </si>
  <si>
    <t>Nov., 2020</t>
  </si>
  <si>
    <t>Jan., 2021</t>
  </si>
  <si>
    <t>Adjust for Under/(Over) payment in 2020-2021</t>
  </si>
  <si>
    <t xml:space="preserve">Projected Rev. Nov 2021-Oct 2022 </t>
  </si>
  <si>
    <t>Residential Single-Stream from WM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</si>
</sst>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_)"/>
    <numFmt numFmtId="166" formatCode="_(* #,##0_);_(* \(#,##0\);_(* &quot;-&quot;??_);_(@_)"/>
    <numFmt numFmtId="167" formatCode="0.0%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u val="double"/>
      <sz val="9"/>
      <name val="Arial"/>
      <family val="2"/>
    </font>
    <font>
      <u val="singleAccounting"/>
      <sz val="9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u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u val="singleAccounting"/>
      <sz val="12"/>
      <name val="Arial"/>
      <family val="2"/>
    </font>
    <font>
      <u val="doubleAccounting"/>
      <sz val="11"/>
      <color theme="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b/>
      <i/>
      <u/>
      <sz val="12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8" fillId="8" borderId="17" applyNumberFormat="0" applyAlignment="0" applyProtection="0"/>
    <xf numFmtId="0" fontId="39" fillId="9" borderId="18" applyNumberFormat="0" applyAlignment="0" applyProtection="0"/>
    <xf numFmtId="0" fontId="40" fillId="9" borderId="17" applyNumberFormat="0" applyAlignment="0" applyProtection="0"/>
    <xf numFmtId="0" fontId="41" fillId="0" borderId="19" applyNumberFormat="0" applyFill="0" applyAlignment="0" applyProtection="0"/>
    <xf numFmtId="0" fontId="42" fillId="10" borderId="20" applyNumberFormat="0" applyAlignment="0" applyProtection="0"/>
    <xf numFmtId="0" fontId="43" fillId="0" borderId="0" applyNumberFormat="0" applyFill="0" applyBorder="0" applyAlignment="0" applyProtection="0"/>
    <xf numFmtId="0" fontId="1" fillId="11" borderId="21" applyNumberFormat="0" applyFont="0" applyAlignment="0" applyProtection="0"/>
    <xf numFmtId="0" fontId="44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4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7" borderId="0" applyNumberFormat="0" applyBorder="0" applyAlignment="0" applyProtection="0"/>
    <xf numFmtId="0" fontId="45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5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8" fillId="37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38" fontId="50" fillId="0" borderId="0" applyNumberFormat="0" applyFont="0" applyFill="0" applyBorder="0">
      <alignment horizontal="left" indent="4"/>
      <protection locked="0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12">
      <alignment horizontal="center"/>
    </xf>
    <xf numFmtId="3" fontId="51" fillId="0" borderId="0" applyFont="0" applyFill="0" applyBorder="0" applyAlignment="0" applyProtection="0"/>
    <xf numFmtId="0" fontId="51" fillId="38" borderId="0" applyNumberFormat="0" applyFont="0" applyBorder="0" applyAlignment="0" applyProtection="0"/>
    <xf numFmtId="166" fontId="17" fillId="36" borderId="0" applyFont="0" applyFill="0" applyBorder="0" applyAlignment="0" applyProtection="0">
      <alignment wrapText="1"/>
    </xf>
    <xf numFmtId="0" fontId="53" fillId="0" borderId="0"/>
    <xf numFmtId="43" fontId="53" fillId="0" borderId="0" applyFont="0" applyFill="0" applyBorder="0" applyAlignment="0" applyProtection="0"/>
    <xf numFmtId="0" fontId="54" fillId="0" borderId="14" applyNumberFormat="0" applyFill="0" applyAlignment="0" applyProtection="0"/>
    <xf numFmtId="0" fontId="55" fillId="0" borderId="15" applyNumberFormat="0" applyFill="0" applyAlignment="0" applyProtection="0"/>
    <xf numFmtId="0" fontId="56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0" applyNumberFormat="0" applyBorder="0" applyAlignment="0" applyProtection="0"/>
    <xf numFmtId="0" fontId="58" fillId="6" borderId="0" applyNumberFormat="0" applyBorder="0" applyAlignment="0" applyProtection="0"/>
    <xf numFmtId="0" fontId="59" fillId="7" borderId="0" applyNumberFormat="0" applyBorder="0" applyAlignment="0" applyProtection="0"/>
    <xf numFmtId="0" fontId="60" fillId="8" borderId="17" applyNumberFormat="0" applyAlignment="0" applyProtection="0"/>
    <xf numFmtId="0" fontId="61" fillId="9" borderId="18" applyNumberFormat="0" applyAlignment="0" applyProtection="0"/>
    <xf numFmtId="0" fontId="62" fillId="9" borderId="17" applyNumberFormat="0" applyAlignment="0" applyProtection="0"/>
    <xf numFmtId="0" fontId="63" fillId="0" borderId="19" applyNumberFormat="0" applyFill="0" applyAlignment="0" applyProtection="0"/>
    <xf numFmtId="0" fontId="64" fillId="10" borderId="20" applyNumberFormat="0" applyAlignment="0" applyProtection="0"/>
    <xf numFmtId="0" fontId="65" fillId="0" borderId="0" applyNumberFormat="0" applyFill="0" applyBorder="0" applyAlignment="0" applyProtection="0"/>
    <xf numFmtId="0" fontId="53" fillId="11" borderId="21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22" applyNumberFormat="0" applyFill="0" applyAlignment="0" applyProtection="0"/>
    <xf numFmtId="0" fontId="68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68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</cellStyleXfs>
  <cellXfs count="112">
    <xf numFmtId="0" fontId="0" fillId="0" borderId="0" xfId="0"/>
    <xf numFmtId="0" fontId="3" fillId="0" borderId="1" xfId="0" quotePrefix="1" applyFont="1" applyFill="1" applyBorder="1" applyAlignment="1">
      <alignment horizontal="left"/>
    </xf>
    <xf numFmtId="43" fontId="0" fillId="0" borderId="0" xfId="1" applyFont="1"/>
    <xf numFmtId="164" fontId="0" fillId="0" borderId="0" xfId="2" applyNumberFormat="1" applyFont="1"/>
    <xf numFmtId="0" fontId="4" fillId="0" borderId="0" xfId="0" applyFont="1"/>
    <xf numFmtId="0" fontId="5" fillId="0" borderId="0" xfId="0" applyFont="1"/>
    <xf numFmtId="165" fontId="6" fillId="2" borderId="0" xfId="0" applyNumberFormat="1" applyFont="1" applyFill="1" applyBorder="1" applyProtection="1"/>
    <xf numFmtId="43" fontId="2" fillId="0" borderId="0" xfId="1" applyFont="1" applyAlignment="1">
      <alignment horizontal="center"/>
    </xf>
    <xf numFmtId="164" fontId="2" fillId="0" borderId="0" xfId="2" applyNumberFormat="1" applyFont="1"/>
    <xf numFmtId="43" fontId="7" fillId="0" borderId="0" xfId="1" applyFont="1" applyAlignment="1">
      <alignment horizontal="center"/>
    </xf>
    <xf numFmtId="164" fontId="7" fillId="0" borderId="0" xfId="2" applyNumberFormat="1" applyFont="1" applyAlignment="1">
      <alignment horizontal="center"/>
    </xf>
    <xf numFmtId="44" fontId="7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44" fontId="0" fillId="0" borderId="0" xfId="2" applyFont="1" applyFill="1"/>
    <xf numFmtId="0" fontId="0" fillId="0" borderId="0" xfId="0" applyFill="1"/>
    <xf numFmtId="0" fontId="11" fillId="0" borderId="0" xfId="0" applyFont="1" applyBorder="1"/>
    <xf numFmtId="0" fontId="10" fillId="0" borderId="0" xfId="0" applyFont="1" applyBorder="1"/>
    <xf numFmtId="10" fontId="12" fillId="0" borderId="0" xfId="3" applyNumberFormat="1" applyFont="1" applyBorder="1" applyAlignment="1">
      <alignment horizontal="right"/>
    </xf>
    <xf numFmtId="0" fontId="13" fillId="0" borderId="0" xfId="0" applyFont="1" applyFill="1"/>
    <xf numFmtId="0" fontId="11" fillId="0" borderId="0" xfId="0" applyFont="1"/>
    <xf numFmtId="0" fontId="10" fillId="0" borderId="2" xfId="0" applyFont="1" applyBorder="1" applyAlignment="1">
      <alignment horizontal="center"/>
    </xf>
    <xf numFmtId="43" fontId="12" fillId="0" borderId="0" xfId="1" applyFont="1" applyBorder="1" applyAlignment="1" applyProtection="1">
      <alignment horizontal="right"/>
      <protection locked="0"/>
    </xf>
    <xf numFmtId="43" fontId="12" fillId="0" borderId="0" xfId="1" applyFont="1" applyBorder="1" applyProtection="1">
      <protection locked="0"/>
    </xf>
    <xf numFmtId="0" fontId="13" fillId="0" borderId="0" xfId="0" applyFont="1" applyBorder="1"/>
    <xf numFmtId="10" fontId="14" fillId="0" borderId="0" xfId="3" applyNumberFormat="1" applyFont="1" applyBorder="1" applyAlignment="1">
      <alignment horizontal="right"/>
    </xf>
    <xf numFmtId="43" fontId="13" fillId="0" borderId="3" xfId="1" applyFont="1" applyBorder="1"/>
    <xf numFmtId="43" fontId="15" fillId="0" borderId="0" xfId="1" applyFont="1" applyBorder="1" applyAlignment="1" applyProtection="1">
      <alignment horizontal="right"/>
      <protection locked="0"/>
    </xf>
    <xf numFmtId="10" fontId="15" fillId="0" borderId="0" xfId="3" applyNumberFormat="1" applyFont="1" applyBorder="1" applyAlignment="1">
      <alignment horizontal="right"/>
    </xf>
    <xf numFmtId="43" fontId="15" fillId="0" borderId="0" xfId="1" applyFont="1" applyBorder="1" applyProtection="1">
      <protection locked="0"/>
    </xf>
    <xf numFmtId="43" fontId="9" fillId="0" borderId="0" xfId="0" applyNumberFormat="1" applyFont="1"/>
    <xf numFmtId="0" fontId="13" fillId="0" borderId="0" xfId="0" applyFont="1" applyFill="1" applyBorder="1"/>
    <xf numFmtId="0" fontId="7" fillId="0" borderId="0" xfId="0" applyFont="1"/>
    <xf numFmtId="164" fontId="0" fillId="0" borderId="0" xfId="0" applyNumberFormat="1"/>
    <xf numFmtId="164" fontId="8" fillId="0" borderId="0" xfId="0" applyNumberFormat="1" applyFont="1"/>
    <xf numFmtId="164" fontId="9" fillId="0" borderId="0" xfId="0" applyNumberFormat="1" applyFont="1"/>
    <xf numFmtId="44" fontId="9" fillId="0" borderId="0" xfId="2" applyFont="1"/>
    <xf numFmtId="167" fontId="0" fillId="0" borderId="0" xfId="3" applyNumberFormat="1" applyFont="1"/>
    <xf numFmtId="166" fontId="0" fillId="0" borderId="0" xfId="1" applyNumberFormat="1" applyFont="1"/>
    <xf numFmtId="44" fontId="0" fillId="0" borderId="0" xfId="2" applyFont="1"/>
    <xf numFmtId="43" fontId="0" fillId="0" borderId="0" xfId="0" applyNumberFormat="1"/>
    <xf numFmtId="44" fontId="7" fillId="0" borderId="0" xfId="2" applyFont="1"/>
    <xf numFmtId="44" fontId="11" fillId="0" borderId="0" xfId="2" applyFont="1" applyBorder="1"/>
    <xf numFmtId="10" fontId="0" fillId="0" borderId="0" xfId="1" applyNumberFormat="1" applyFont="1"/>
    <xf numFmtId="166" fontId="16" fillId="0" borderId="0" xfId="1" applyNumberFormat="1" applyFont="1"/>
    <xf numFmtId="0" fontId="3" fillId="4" borderId="4" xfId="0" applyFont="1" applyFill="1" applyBorder="1"/>
    <xf numFmtId="0" fontId="17" fillId="4" borderId="5" xfId="0" applyFont="1" applyFill="1" applyBorder="1"/>
    <xf numFmtId="0" fontId="18" fillId="4" borderId="5" xfId="0" applyFont="1" applyFill="1" applyBorder="1"/>
    <xf numFmtId="0" fontId="18" fillId="4" borderId="6" xfId="0" applyFont="1" applyFill="1" applyBorder="1"/>
    <xf numFmtId="0" fontId="19" fillId="4" borderId="7" xfId="0" applyFont="1" applyFill="1" applyBorder="1"/>
    <xf numFmtId="0" fontId="19" fillId="4" borderId="0" xfId="0" applyFont="1" applyFill="1" applyBorder="1"/>
    <xf numFmtId="0" fontId="20" fillId="4" borderId="0" xfId="0" applyFont="1" applyFill="1" applyBorder="1"/>
    <xf numFmtId="0" fontId="18" fillId="4" borderId="0" xfId="0" applyFont="1" applyFill="1" applyBorder="1"/>
    <xf numFmtId="0" fontId="18" fillId="4" borderId="8" xfId="0" applyFont="1" applyFill="1" applyBorder="1"/>
    <xf numFmtId="15" fontId="19" fillId="4" borderId="7" xfId="0" applyNumberFormat="1" applyFont="1" applyFill="1" applyBorder="1"/>
    <xf numFmtId="15" fontId="19" fillId="4" borderId="0" xfId="0" applyNumberFormat="1" applyFont="1" applyFill="1" applyBorder="1"/>
    <xf numFmtId="0" fontId="18" fillId="4" borderId="7" xfId="0" applyFont="1" applyFill="1" applyBorder="1"/>
    <xf numFmtId="0" fontId="19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19" fillId="4" borderId="9" xfId="0" applyFont="1" applyFill="1" applyBorder="1"/>
    <xf numFmtId="0" fontId="18" fillId="4" borderId="0" xfId="0" applyFont="1" applyFill="1" applyBorder="1" applyAlignment="1">
      <alignment horizontal="center"/>
    </xf>
    <xf numFmtId="41" fontId="18" fillId="4" borderId="0" xfId="0" applyNumberFormat="1" applyFont="1" applyFill="1" applyBorder="1"/>
    <xf numFmtId="44" fontId="24" fillId="4" borderId="0" xfId="4" applyFont="1" applyFill="1" applyBorder="1"/>
    <xf numFmtId="0" fontId="17" fillId="4" borderId="7" xfId="0" applyFont="1" applyFill="1" applyBorder="1"/>
    <xf numFmtId="0" fontId="17" fillId="4" borderId="0" xfId="0" applyFont="1" applyFill="1" applyBorder="1"/>
    <xf numFmtId="41" fontId="25" fillId="4" borderId="0" xfId="0" applyNumberFormat="1" applyFont="1" applyFill="1" applyBorder="1"/>
    <xf numFmtId="44" fontId="17" fillId="4" borderId="8" xfId="4" applyNumberFormat="1" applyFont="1" applyFill="1" applyBorder="1"/>
    <xf numFmtId="44" fontId="17" fillId="4" borderId="8" xfId="4" applyFont="1" applyFill="1" applyBorder="1"/>
    <xf numFmtId="164" fontId="17" fillId="4" borderId="0" xfId="4" applyNumberFormat="1" applyFont="1" applyFill="1" applyBorder="1"/>
    <xf numFmtId="44" fontId="25" fillId="4" borderId="8" xfId="4" applyNumberFormat="1" applyFont="1" applyFill="1" applyBorder="1"/>
    <xf numFmtId="44" fontId="19" fillId="4" borderId="10" xfId="4" applyNumberFormat="1" applyFont="1" applyFill="1" applyBorder="1"/>
    <xf numFmtId="44" fontId="19" fillId="4" borderId="8" xfId="4" applyNumberFormat="1" applyFont="1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166" fontId="8" fillId="0" borderId="0" xfId="1" applyNumberFormat="1" applyFont="1"/>
    <xf numFmtId="167" fontId="8" fillId="0" borderId="0" xfId="3" applyNumberFormat="1" applyFont="1"/>
    <xf numFmtId="166" fontId="9" fillId="0" borderId="0" xfId="1" applyNumberFormat="1" applyFont="1"/>
    <xf numFmtId="167" fontId="9" fillId="0" borderId="0" xfId="3" applyNumberFormat="1" applyFont="1"/>
    <xf numFmtId="43" fontId="9" fillId="0" borderId="0" xfId="0" applyNumberFormat="1" applyFont="1" applyFill="1"/>
    <xf numFmtId="164" fontId="9" fillId="0" borderId="0" xfId="2" applyNumberFormat="1" applyFont="1" applyFill="1"/>
    <xf numFmtId="44" fontId="9" fillId="0" borderId="0" xfId="2" applyFont="1" applyFill="1"/>
    <xf numFmtId="0" fontId="2" fillId="0" borderId="0" xfId="0" applyFont="1" applyAlignment="1">
      <alignment horizontal="center"/>
    </xf>
    <xf numFmtId="44" fontId="0" fillId="0" borderId="0" xfId="0" applyNumberFormat="1"/>
    <xf numFmtId="43" fontId="8" fillId="0" borderId="0" xfId="0" applyNumberFormat="1" applyFont="1"/>
    <xf numFmtId="164" fontId="8" fillId="0" borderId="0" xfId="2" applyNumberFormat="1" applyFont="1"/>
    <xf numFmtId="43" fontId="9" fillId="0" borderId="0" xfId="1" applyFont="1"/>
    <xf numFmtId="0" fontId="26" fillId="0" borderId="0" xfId="0" applyFont="1"/>
    <xf numFmtId="164" fontId="9" fillId="0" borderId="0" xfId="2" applyNumberFormat="1" applyFont="1"/>
    <xf numFmtId="10" fontId="16" fillId="0" borderId="0" xfId="1" applyNumberFormat="1" applyFont="1"/>
    <xf numFmtId="44" fontId="27" fillId="0" borderId="0" xfId="0" applyNumberFormat="1" applyFont="1"/>
    <xf numFmtId="10" fontId="27" fillId="0" borderId="0" xfId="1" applyNumberFormat="1" applyFont="1"/>
    <xf numFmtId="0" fontId="28" fillId="4" borderId="0" xfId="0" applyFont="1" applyFill="1" applyBorder="1" applyAlignment="1">
      <alignment horizontal="center"/>
    </xf>
    <xf numFmtId="10" fontId="9" fillId="0" borderId="0" xfId="3" applyNumberFormat="1" applyFont="1"/>
    <xf numFmtId="0" fontId="29" fillId="0" borderId="0" xfId="0" applyFont="1"/>
    <xf numFmtId="0" fontId="30" fillId="0" borderId="0" xfId="0" applyFont="1" applyFill="1"/>
    <xf numFmtId="43" fontId="12" fillId="0" borderId="0" xfId="1" applyFont="1" applyBorder="1" applyAlignment="1">
      <alignment horizontal="right"/>
    </xf>
    <xf numFmtId="44" fontId="12" fillId="0" borderId="0" xfId="2" applyFont="1" applyFill="1" applyBorder="1" applyProtection="1">
      <protection locked="0"/>
    </xf>
    <xf numFmtId="0" fontId="16" fillId="0" borderId="0" xfId="0" applyFont="1"/>
    <xf numFmtId="44" fontId="16" fillId="0" borderId="0" xfId="2" applyFont="1" applyFill="1"/>
    <xf numFmtId="44" fontId="70" fillId="0" borderId="0" xfId="2" applyFont="1" applyFill="1"/>
    <xf numFmtId="44" fontId="43" fillId="0" borderId="0" xfId="2" applyFont="1"/>
    <xf numFmtId="44" fontId="16" fillId="0" borderId="0" xfId="2" applyFont="1"/>
    <xf numFmtId="0" fontId="21" fillId="4" borderId="7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69" fillId="0" borderId="0" xfId="0" applyFont="1" applyAlignment="1">
      <alignment horizontal="center"/>
    </xf>
    <xf numFmtId="17" fontId="10" fillId="3" borderId="0" xfId="0" applyNumberFormat="1" applyFont="1" applyFill="1" applyBorder="1" applyAlignment="1">
      <alignment horizontal="center"/>
    </xf>
    <xf numFmtId="43" fontId="70" fillId="0" borderId="0" xfId="0" applyNumberFormat="1" applyFont="1" applyFill="1"/>
    <xf numFmtId="164" fontId="70" fillId="0" borderId="0" xfId="2" applyNumberFormat="1" applyFont="1" applyFill="1"/>
    <xf numFmtId="166" fontId="27" fillId="0" borderId="0" xfId="1" applyNumberFormat="1" applyFont="1"/>
    <xf numFmtId="43" fontId="8" fillId="0" borderId="0" xfId="1" applyFont="1"/>
  </cellXfs>
  <cellStyles count="132">
    <cellStyle name="20% - Accent1" xfId="21" builtinId="30" customBuiltin="1"/>
    <cellStyle name="20% - Accent1 2" xfId="101" xr:uid="{A7308BCC-A86F-4BB5-BDAF-6C431F42249E}"/>
    <cellStyle name="20% - Accent2" xfId="24" builtinId="34" customBuiltin="1"/>
    <cellStyle name="20% - Accent2 2" xfId="105" xr:uid="{2A50BA10-636B-41C1-B2F3-6E3C789DC8AB}"/>
    <cellStyle name="20% - Accent3" xfId="27" builtinId="38" customBuiltin="1"/>
    <cellStyle name="20% - Accent3 2" xfId="109" xr:uid="{DAEBEFE7-06BD-4BD4-8D2E-DB4B9CABD863}"/>
    <cellStyle name="20% - Accent4" xfId="30" builtinId="42" customBuiltin="1"/>
    <cellStyle name="20% - Accent4 2" xfId="113" xr:uid="{71A57D59-64DE-4ADC-8054-681FD331C96D}"/>
    <cellStyle name="20% - Accent5" xfId="33" builtinId="46" customBuiltin="1"/>
    <cellStyle name="20% - Accent5 2" xfId="117" xr:uid="{4AE8975C-0394-442F-A1FF-2AA7670A5578}"/>
    <cellStyle name="20% - Accent6" xfId="36" builtinId="50" customBuiltin="1"/>
    <cellStyle name="20% - Accent6 2" xfId="121" xr:uid="{B8156916-7E29-4A00-942A-B8B0B2FB4413}"/>
    <cellStyle name="40% - Accent1" xfId="22" builtinId="31" customBuiltin="1"/>
    <cellStyle name="40% - Accent1 2" xfId="102" xr:uid="{52989DFC-B143-407B-886C-D44B7FBE2973}"/>
    <cellStyle name="40% - Accent2" xfId="25" builtinId="35" customBuiltin="1"/>
    <cellStyle name="40% - Accent2 2" xfId="106" xr:uid="{AAE1A59E-A87B-474B-A5B2-E9EB2D57A5A0}"/>
    <cellStyle name="40% - Accent3" xfId="28" builtinId="39" customBuiltin="1"/>
    <cellStyle name="40% - Accent3 2" xfId="110" xr:uid="{16D1E5D0-D056-4E07-9A48-0294545AF7EC}"/>
    <cellStyle name="40% - Accent4" xfId="31" builtinId="43" customBuiltin="1"/>
    <cellStyle name="40% - Accent4 2" xfId="114" xr:uid="{D6CDCB17-A557-4CD7-93BE-3E0A11E5C455}"/>
    <cellStyle name="40% - Accent5" xfId="34" builtinId="47" customBuiltin="1"/>
    <cellStyle name="40% - Accent5 2" xfId="118" xr:uid="{DFBA9A87-357C-4CAF-A303-BF848B33E2BB}"/>
    <cellStyle name="40% - Accent6" xfId="37" builtinId="51" customBuiltin="1"/>
    <cellStyle name="40% - Accent6 2" xfId="122" xr:uid="{98E378EA-C08D-4439-895A-387B63F26938}"/>
    <cellStyle name="60% - Accent1 2" xfId="103" xr:uid="{B158B34C-D723-4A60-B73C-68DC59874D78}"/>
    <cellStyle name="60% - Accent1 3" xfId="126" xr:uid="{5FC7D6A9-3CF2-48AA-B61E-7BAA0A594BFD}"/>
    <cellStyle name="60% - Accent1 4" xfId="40" xr:uid="{A73B4AC2-A6EF-4E49-ADC9-B55E899AC26B}"/>
    <cellStyle name="60% - Accent2 2" xfId="107" xr:uid="{6F707AF6-5DD9-4558-81EF-34F7A1BCB4C6}"/>
    <cellStyle name="60% - Accent2 3" xfId="127" xr:uid="{5688EAF5-D32F-453E-BD79-65494FCFE41E}"/>
    <cellStyle name="60% - Accent2 4" xfId="41" xr:uid="{74791420-0E3B-4AA9-BF7A-665649F337B6}"/>
    <cellStyle name="60% - Accent3 2" xfId="111" xr:uid="{86B686F4-0B0A-40F5-9C58-DDDAB1937A4F}"/>
    <cellStyle name="60% - Accent3 3" xfId="128" xr:uid="{3269D2D8-97B3-4641-A7CD-3479C84E6293}"/>
    <cellStyle name="60% - Accent3 4" xfId="42" xr:uid="{83CC273C-1B58-4360-92DD-FE7334BB6C76}"/>
    <cellStyle name="60% - Accent4 2" xfId="115" xr:uid="{5C79374A-32A6-4B55-8B09-2364F80F5471}"/>
    <cellStyle name="60% - Accent4 3" xfId="129" xr:uid="{901883FC-7CC3-4E7B-AEFA-E3AC40EE1AEE}"/>
    <cellStyle name="60% - Accent4 4" xfId="43" xr:uid="{3CAAB61A-BE3A-4FFC-A64E-A52F2C129AC3}"/>
    <cellStyle name="60% - Accent5 2" xfId="119" xr:uid="{86736EBA-9854-4F02-94A2-963B0AE3FE5E}"/>
    <cellStyle name="60% - Accent5 3" xfId="130" xr:uid="{E44B206E-B47F-460C-AEFA-03632396F7F4}"/>
    <cellStyle name="60% - Accent5 4" xfId="44" xr:uid="{558B842D-6D04-44C0-B8B4-26B6CDD1EB03}"/>
    <cellStyle name="60% - Accent6 2" xfId="123" xr:uid="{5A77059F-10C1-4115-9CA7-E37BD8183B92}"/>
    <cellStyle name="60% - Accent6 3" xfId="131" xr:uid="{57ABD572-5E7C-409F-8B7A-A2BE07346BAE}"/>
    <cellStyle name="60% - Accent6 4" xfId="45" xr:uid="{92464F6F-1B05-4C8B-87F2-EA3FEE9F7348}"/>
    <cellStyle name="Accent1" xfId="20" builtinId="29" customBuiltin="1"/>
    <cellStyle name="Accent1 2" xfId="100" xr:uid="{33B7577B-332E-4F5A-980A-FDD424516C4C}"/>
    <cellStyle name="Accent2" xfId="23" builtinId="33" customBuiltin="1"/>
    <cellStyle name="Accent2 2" xfId="104" xr:uid="{47E5533C-622F-4BB6-AED0-F976FD425244}"/>
    <cellStyle name="Accent3" xfId="26" builtinId="37" customBuiltin="1"/>
    <cellStyle name="Accent3 2" xfId="108" xr:uid="{F474B526-C1D5-4D7C-8675-B9109B788F08}"/>
    <cellStyle name="Accent4" xfId="29" builtinId="41" customBuiltin="1"/>
    <cellStyle name="Accent4 2" xfId="112" xr:uid="{4A5EB185-3A69-4B65-B06B-927D032E29B7}"/>
    <cellStyle name="Accent5" xfId="32" builtinId="45" customBuiltin="1"/>
    <cellStyle name="Accent5 2" xfId="116" xr:uid="{D9ADA78E-F27C-4782-8C4A-EA276709DC0D}"/>
    <cellStyle name="Accent6" xfId="35" builtinId="49" customBuiltin="1"/>
    <cellStyle name="Accent6 2" xfId="120" xr:uid="{B743C08A-0EC5-48EF-8FD9-F9C1C2B5F95C}"/>
    <cellStyle name="Bad" xfId="10" builtinId="27" customBuiltin="1"/>
    <cellStyle name="Bad 2" xfId="89" xr:uid="{154A9896-EDAA-4F3C-8BB3-E00C59CEE54D}"/>
    <cellStyle name="Calculation" xfId="13" builtinId="22" customBuiltin="1"/>
    <cellStyle name="Calculation 2" xfId="93" xr:uid="{14FA5736-7020-4A06-8A8F-CD21F87E81E3}"/>
    <cellStyle name="Check Cell" xfId="15" builtinId="23" customBuiltin="1"/>
    <cellStyle name="Check Cell 2" xfId="95" xr:uid="{DC73242D-EC3F-4DA6-9362-BA8974878676}"/>
    <cellStyle name="Comma" xfId="1" builtinId="3"/>
    <cellStyle name="Comma 2" xfId="51" xr:uid="{51C60B58-E62E-43D6-BDEB-FC5448490095}"/>
    <cellStyle name="Comma 2 2" xfId="57" xr:uid="{5CC4A9FC-8833-4A92-A53C-1D1547DD07C7}"/>
    <cellStyle name="Comma 3" xfId="48" xr:uid="{F884D44F-9C45-4960-ADB0-11569FAF96B7}"/>
    <cellStyle name="Comma 4" xfId="58" xr:uid="{A6E707C8-DA74-4250-AECB-C62C6538D427}"/>
    <cellStyle name="Comma 5" xfId="83" xr:uid="{8EF79FD1-A2B1-4D48-8717-BBC93D540C80}"/>
    <cellStyle name="Currency" xfId="2" builtinId="4"/>
    <cellStyle name="Currency 2" xfId="4" xr:uid="{D61A5A84-EAEF-435A-8928-3680D3EE44AF}"/>
    <cellStyle name="Currency 2 2" xfId="59" xr:uid="{91A12834-27AB-40DE-860E-7E9F5343ADD8}"/>
    <cellStyle name="Currency 3" xfId="60" xr:uid="{50E8C035-A4DC-4F6A-9F94-6B41ECA33C70}"/>
    <cellStyle name="Currency 4" xfId="61" xr:uid="{2EC64388-0B21-4725-9FA1-B05A51696A8B}"/>
    <cellStyle name="Currency 5" xfId="56" xr:uid="{2DA7073E-CC68-4D4A-88BA-F5C6E683317C}"/>
    <cellStyle name="Currency 6" xfId="62" xr:uid="{AC1B6868-A831-43EC-A260-40F35C77F4F9}"/>
    <cellStyle name="Explanatory Text" xfId="18" builtinId="53" customBuiltin="1"/>
    <cellStyle name="Explanatory Text 2" xfId="98" xr:uid="{A300748C-C891-403A-BDC9-2250E8A9AFC4}"/>
    <cellStyle name="Good" xfId="9" builtinId="26" customBuiltin="1"/>
    <cellStyle name="Good 2" xfId="88" xr:uid="{21CE4C8D-8AB4-4B87-960A-DBA0358826B6}"/>
    <cellStyle name="Heading 1" xfId="5" builtinId="16" customBuiltin="1"/>
    <cellStyle name="Heading 1 2" xfId="84" xr:uid="{9F32C357-5FE4-4DAF-956E-96095D4548A2}"/>
    <cellStyle name="Heading 2" xfId="6" builtinId="17" customBuiltin="1"/>
    <cellStyle name="Heading 2 2" xfId="85" xr:uid="{F1816ED9-2DC3-4BB8-B7FD-CDCB98D6C327}"/>
    <cellStyle name="Heading 3" xfId="7" builtinId="18" customBuiltin="1"/>
    <cellStyle name="Heading 3 2" xfId="86" xr:uid="{5428FE80-C0B3-4338-800E-3E5C856A93AE}"/>
    <cellStyle name="Heading 4" xfId="8" builtinId="19" customBuiltin="1"/>
    <cellStyle name="Heading 4 2" xfId="87" xr:uid="{20A4D9A4-0259-4691-A7B1-C7A34DCC256F}"/>
    <cellStyle name="Input" xfId="11" builtinId="20" customBuiltin="1"/>
    <cellStyle name="Input 2" xfId="91" xr:uid="{F3F7C9A0-DE53-42F8-A485-AB32243A59D7}"/>
    <cellStyle name="Lines" xfId="63" xr:uid="{6B068CEB-A5DD-4AF4-AE0D-335E212A085B}"/>
    <cellStyle name="Linked Cell" xfId="14" builtinId="24" customBuiltin="1"/>
    <cellStyle name="Linked Cell 2" xfId="94" xr:uid="{E9A9BB98-F17C-4384-B93F-C23D6AF5B922}"/>
    <cellStyle name="Neutral 2" xfId="90" xr:uid="{76122077-4FE4-4ECD-8AE1-8E49E8DE9B29}"/>
    <cellStyle name="Neutral 3" xfId="125" xr:uid="{D96521E8-5983-48D7-A7CA-91F042F958FE}"/>
    <cellStyle name="Neutral 4" xfId="39" xr:uid="{D8D60256-60D4-4FA1-88D7-40296927DFAD}"/>
    <cellStyle name="Normal" xfId="0" builtinId="0"/>
    <cellStyle name="Normal 2" xfId="46" xr:uid="{6973B987-B5C2-4C5D-AE7C-8FB249393546}"/>
    <cellStyle name="Normal 2 2" xfId="52" xr:uid="{EBF8DFC9-E9EE-423F-90BD-3782523F6DBB}"/>
    <cellStyle name="Normal 2 3" xfId="64" xr:uid="{1228E15D-9095-49D0-9529-512D056D3BC4}"/>
    <cellStyle name="Normal 3" xfId="49" xr:uid="{1E8A89B4-26CF-421D-A7A3-C64C07EB13DA}"/>
    <cellStyle name="Normal 3 2" xfId="65" xr:uid="{38F15C41-018B-4433-ACF4-7DEA4C03630D}"/>
    <cellStyle name="Normal 4" xfId="50" xr:uid="{16AA435F-AA90-48FF-9FAE-5AA6FABDC3AE}"/>
    <cellStyle name="Normal 4 2" xfId="66" xr:uid="{539881DB-D41F-4963-8207-19859D6B535D}"/>
    <cellStyle name="Normal 5" xfId="67" xr:uid="{561C372D-0923-4773-B981-FFB644CC2E10}"/>
    <cellStyle name="Normal 6" xfId="68" xr:uid="{62EFCE47-94B1-4009-A8A1-43C185385F87}"/>
    <cellStyle name="Normal 7" xfId="54" xr:uid="{53ECAF9A-004A-46BB-A3EE-9188174FF686}"/>
    <cellStyle name="Normal 8" xfId="69" xr:uid="{750A7B18-6433-4198-B302-480A2E81F533}"/>
    <cellStyle name="Normal 9" xfId="82" xr:uid="{3CE5E7C8-7B69-44CF-B624-C4DBD8BCE6FA}"/>
    <cellStyle name="Note" xfId="17" builtinId="10" customBuiltin="1"/>
    <cellStyle name="Note 2" xfId="97" xr:uid="{4F01346B-9F45-47D5-A2C6-7BB233581D67}"/>
    <cellStyle name="Output" xfId="12" builtinId="21" customBuiltin="1"/>
    <cellStyle name="Output 2" xfId="92" xr:uid="{7E7936CE-30E1-4C66-A7FA-68F4E0E0204C}"/>
    <cellStyle name="Percent" xfId="3" builtinId="5"/>
    <cellStyle name="Percent 2" xfId="47" xr:uid="{D1893EBA-3AA1-429E-8932-6ED4FF9D65C6}"/>
    <cellStyle name="Percent 2 2" xfId="70" xr:uid="{E4A3BA15-3D48-46BF-AA96-71B45F1C6234}"/>
    <cellStyle name="Percent 3" xfId="71" xr:uid="{75B26D66-D421-4E1B-B598-5D7A25E80263}"/>
    <cellStyle name="Percent 4" xfId="53" xr:uid="{0865CAD7-93E2-4604-8097-D0327BFCF866}"/>
    <cellStyle name="Percent 4 2" xfId="72" xr:uid="{FEC2F3E1-A0D9-4AED-BB0A-60CFB10D04B3}"/>
    <cellStyle name="Percent 5" xfId="55" xr:uid="{BA8B4AD0-6B8C-4469-8837-4F2A752AECA3}"/>
    <cellStyle name="Percent 6" xfId="73" xr:uid="{BC86196B-35B1-42E5-BC52-CAE0F3E7F1C4}"/>
    <cellStyle name="PS_Comma" xfId="74" xr:uid="{484B4459-84F5-4785-A75F-D23FA0288EE1}"/>
    <cellStyle name="PSChar" xfId="75" xr:uid="{D5989D88-C76C-4B4A-90BE-69BC2B20CDD7}"/>
    <cellStyle name="PSDate" xfId="76" xr:uid="{B2214066-571A-4431-857C-D6E4E9550506}"/>
    <cellStyle name="PSDec" xfId="77" xr:uid="{A134F99B-C1D4-4AAD-9DFC-FEEA1DF807C8}"/>
    <cellStyle name="PSHeading" xfId="78" xr:uid="{437478DF-F22B-4201-8EFF-3DE9968E8B25}"/>
    <cellStyle name="PSInt" xfId="79" xr:uid="{A2FC8760-41C1-4C33-84C6-DF250F44D9E2}"/>
    <cellStyle name="PSSpacer" xfId="80" xr:uid="{BA8CCA49-EC35-468C-A09A-800FECF2149C}"/>
    <cellStyle name="Title 2" xfId="124" xr:uid="{B7DA0CA4-EA4B-4BED-8D65-15CAA1ED6318}"/>
    <cellStyle name="Title 3" xfId="38" xr:uid="{27E756C7-AE2D-450D-AECA-5681431D2569}"/>
    <cellStyle name="Total" xfId="19" builtinId="25" customBuiltin="1"/>
    <cellStyle name="Total 2" xfId="99" xr:uid="{39CFAD6E-5941-4BE5-A7B1-F9263DAE1069}"/>
    <cellStyle name="Warning Text" xfId="16" builtinId="11" customBuiltin="1"/>
    <cellStyle name="Warning Text 2" xfId="96" xr:uid="{6F00FECA-AA49-4146-A801-1299856CC1D3}"/>
    <cellStyle name="WM_STANDARD" xfId="81" xr:uid="{4975EA3F-0C55-4FB4-816E-4BAF379DB2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37503-A949-4211-8C37-BDF8A02BFC08}">
  <dimension ref="A1:R29"/>
  <sheetViews>
    <sheetView tabSelected="1" workbookViewId="0">
      <selection activeCell="A19" sqref="A19"/>
    </sheetView>
  </sheetViews>
  <sheetFormatPr defaultRowHeight="15" x14ac:dyDescent="0.25"/>
  <cols>
    <col min="1" max="1" width="57.28515625" bestFit="1" customWidth="1"/>
    <col min="3" max="3" width="13.42578125" bestFit="1" customWidth="1"/>
    <col min="4" max="4" width="14" bestFit="1" customWidth="1"/>
    <col min="5" max="5" width="12.28515625" bestFit="1" customWidth="1"/>
    <col min="6" max="6" width="9.140625" bestFit="1" customWidth="1"/>
    <col min="7" max="7" width="61.28515625" customWidth="1"/>
    <col min="9" max="9" width="13.42578125" bestFit="1" customWidth="1"/>
    <col min="10" max="10" width="14" bestFit="1" customWidth="1"/>
    <col min="11" max="11" width="10.7109375" customWidth="1"/>
    <col min="12" max="12" width="11.5703125" customWidth="1"/>
    <col min="13" max="13" width="66.28515625" customWidth="1"/>
    <col min="14" max="14" width="5.7109375" customWidth="1"/>
    <col min="15" max="15" width="13.42578125" bestFit="1" customWidth="1"/>
    <col min="16" max="16" width="14" bestFit="1" customWidth="1"/>
    <col min="17" max="17" width="11" bestFit="1" customWidth="1"/>
    <col min="18" max="18" width="9.140625" bestFit="1" customWidth="1"/>
  </cols>
  <sheetData>
    <row r="1" spans="1:18" ht="23.25" x14ac:dyDescent="0.35">
      <c r="A1" s="45" t="s">
        <v>54</v>
      </c>
      <c r="B1" s="46"/>
      <c r="C1" s="47"/>
      <c r="D1" s="47"/>
      <c r="E1" s="47"/>
      <c r="F1" s="48"/>
      <c r="G1" s="45" t="s">
        <v>54</v>
      </c>
      <c r="H1" s="46"/>
      <c r="I1" s="47"/>
      <c r="J1" s="47"/>
      <c r="K1" s="47"/>
      <c r="L1" s="48"/>
      <c r="M1" s="45" t="s">
        <v>54</v>
      </c>
      <c r="N1" s="46"/>
      <c r="O1" s="47"/>
      <c r="P1" s="47"/>
      <c r="Q1" s="47"/>
      <c r="R1" s="48"/>
    </row>
    <row r="2" spans="1:18" ht="15.75" x14ac:dyDescent="0.25">
      <c r="A2" s="49" t="s">
        <v>70</v>
      </c>
      <c r="B2" s="50"/>
      <c r="C2" s="51"/>
      <c r="D2" s="52"/>
      <c r="E2" s="52"/>
      <c r="F2" s="53"/>
      <c r="G2" s="49" t="s">
        <v>68</v>
      </c>
      <c r="H2" s="50"/>
      <c r="I2" s="51"/>
      <c r="J2" s="52"/>
      <c r="K2" s="52"/>
      <c r="L2" s="53"/>
      <c r="M2" s="49" t="s">
        <v>44</v>
      </c>
      <c r="N2" s="50"/>
      <c r="O2" s="51"/>
      <c r="P2" s="52"/>
      <c r="Q2" s="52"/>
      <c r="R2" s="53"/>
    </row>
    <row r="3" spans="1:18" ht="15.75" x14ac:dyDescent="0.25">
      <c r="A3" s="54"/>
      <c r="B3" s="55"/>
      <c r="C3" s="52"/>
      <c r="D3" s="52"/>
      <c r="E3" s="52"/>
      <c r="F3" s="53"/>
      <c r="G3" s="54"/>
      <c r="H3" s="55"/>
      <c r="I3" s="52"/>
      <c r="J3" s="52"/>
      <c r="K3" s="52"/>
      <c r="L3" s="53"/>
      <c r="M3" s="54"/>
      <c r="N3" s="55"/>
      <c r="O3" s="52"/>
      <c r="P3" s="52"/>
      <c r="Q3" s="52"/>
      <c r="R3" s="53"/>
    </row>
    <row r="4" spans="1:18" ht="15.75" x14ac:dyDescent="0.25">
      <c r="A4" s="56"/>
      <c r="B4" s="52"/>
      <c r="C4" s="52"/>
      <c r="D4" s="52"/>
      <c r="E4" s="52"/>
      <c r="F4" s="53"/>
      <c r="G4" s="56"/>
      <c r="H4" s="52"/>
      <c r="I4" s="52"/>
      <c r="J4" s="52"/>
      <c r="K4" s="52"/>
      <c r="L4" s="53"/>
      <c r="M4" s="56"/>
      <c r="N4" s="52"/>
      <c r="O4" s="52"/>
      <c r="P4" s="52"/>
      <c r="Q4" s="52"/>
      <c r="R4" s="53"/>
    </row>
    <row r="5" spans="1:18" ht="15.75" x14ac:dyDescent="0.25">
      <c r="A5" s="103" t="s">
        <v>45</v>
      </c>
      <c r="B5" s="104"/>
      <c r="C5" s="104"/>
      <c r="D5" s="104"/>
      <c r="E5" s="104"/>
      <c r="F5" s="105"/>
      <c r="G5" s="103" t="s">
        <v>45</v>
      </c>
      <c r="H5" s="104"/>
      <c r="I5" s="104"/>
      <c r="J5" s="104"/>
      <c r="K5" s="104"/>
      <c r="L5" s="105"/>
      <c r="M5" s="103" t="s">
        <v>45</v>
      </c>
      <c r="N5" s="104"/>
      <c r="O5" s="104"/>
      <c r="P5" s="104"/>
      <c r="Q5" s="104"/>
      <c r="R5" s="105"/>
    </row>
    <row r="6" spans="1:18" ht="15.75" x14ac:dyDescent="0.25">
      <c r="A6" s="56"/>
      <c r="B6" s="52"/>
      <c r="C6" s="52"/>
      <c r="D6" s="92"/>
      <c r="E6" s="52"/>
      <c r="F6" s="53"/>
      <c r="G6" s="56"/>
      <c r="H6" s="52"/>
      <c r="I6" s="52"/>
      <c r="J6" s="92" t="s">
        <v>62</v>
      </c>
      <c r="K6" s="52"/>
      <c r="L6" s="53"/>
      <c r="M6" s="56"/>
      <c r="N6" s="52"/>
      <c r="O6" s="52"/>
      <c r="P6" s="92" t="s">
        <v>62</v>
      </c>
      <c r="Q6" s="52"/>
      <c r="R6" s="53"/>
    </row>
    <row r="7" spans="1:18" ht="15.75" x14ac:dyDescent="0.25">
      <c r="A7" s="56"/>
      <c r="B7" s="52"/>
      <c r="C7" s="57"/>
      <c r="D7" s="57" t="s">
        <v>3</v>
      </c>
      <c r="E7" s="57" t="s">
        <v>39</v>
      </c>
      <c r="F7" s="53"/>
      <c r="G7" s="56"/>
      <c r="H7" s="52"/>
      <c r="I7" s="57"/>
      <c r="J7" s="57" t="s">
        <v>3</v>
      </c>
      <c r="K7" s="57" t="s">
        <v>39</v>
      </c>
      <c r="L7" s="53"/>
      <c r="M7" s="56"/>
      <c r="N7" s="52"/>
      <c r="O7" s="57"/>
      <c r="P7" s="57" t="s">
        <v>3</v>
      </c>
      <c r="Q7" s="57" t="s">
        <v>39</v>
      </c>
      <c r="R7" s="53"/>
    </row>
    <row r="8" spans="1:18" ht="15.75" x14ac:dyDescent="0.25">
      <c r="A8" s="56"/>
      <c r="B8" s="52"/>
      <c r="C8" s="58" t="s">
        <v>46</v>
      </c>
      <c r="D8" s="58" t="s">
        <v>47</v>
      </c>
      <c r="E8" s="58" t="s">
        <v>48</v>
      </c>
      <c r="F8" s="53"/>
      <c r="G8" s="56"/>
      <c r="H8" s="52"/>
      <c r="I8" s="58" t="s">
        <v>46</v>
      </c>
      <c r="J8" s="58" t="s">
        <v>47</v>
      </c>
      <c r="K8" s="58" t="s">
        <v>48</v>
      </c>
      <c r="L8" s="53"/>
      <c r="M8" s="56"/>
      <c r="N8" s="52"/>
      <c r="O8" s="58" t="s">
        <v>46</v>
      </c>
      <c r="P8" s="58" t="s">
        <v>47</v>
      </c>
      <c r="Q8" s="58" t="s">
        <v>48</v>
      </c>
      <c r="R8" s="53"/>
    </row>
    <row r="9" spans="1:18" ht="15.75" x14ac:dyDescent="0.25">
      <c r="A9" s="59" t="s">
        <v>71</v>
      </c>
      <c r="B9" s="50"/>
      <c r="C9" s="60"/>
      <c r="D9" s="60"/>
      <c r="E9" s="60"/>
      <c r="F9" s="53"/>
      <c r="G9" s="59" t="s">
        <v>69</v>
      </c>
      <c r="H9" s="50"/>
      <c r="I9" s="60"/>
      <c r="J9" s="60"/>
      <c r="K9" s="60"/>
      <c r="L9" s="53"/>
      <c r="M9" s="59" t="s">
        <v>55</v>
      </c>
      <c r="N9" s="50"/>
      <c r="O9" s="60"/>
      <c r="P9" s="60"/>
      <c r="Q9" s="60"/>
      <c r="R9" s="53"/>
    </row>
    <row r="10" spans="1:18" ht="15.75" x14ac:dyDescent="0.25">
      <c r="A10" s="56" t="s">
        <v>57</v>
      </c>
      <c r="B10" s="52"/>
      <c r="C10" s="61">
        <f>+Customers!C7+Customers!C8</f>
        <v>11776</v>
      </c>
      <c r="D10" s="62">
        <f>+J11</f>
        <v>0.76</v>
      </c>
      <c r="E10" s="61">
        <f>C10*D10</f>
        <v>8949.76</v>
      </c>
      <c r="F10" s="53"/>
      <c r="G10" s="56" t="s">
        <v>57</v>
      </c>
      <c r="H10" s="52"/>
      <c r="I10" s="61">
        <v>11001</v>
      </c>
      <c r="J10" s="62">
        <v>1.5</v>
      </c>
      <c r="K10" s="61">
        <f>I10*J10</f>
        <v>16501.5</v>
      </c>
      <c r="L10" s="53"/>
      <c r="M10" s="56" t="s">
        <v>57</v>
      </c>
      <c r="N10" s="52"/>
      <c r="O10" s="61">
        <v>10580</v>
      </c>
      <c r="P10" s="62">
        <v>1.5</v>
      </c>
      <c r="Q10" s="61">
        <f>O10*P10</f>
        <v>15870</v>
      </c>
      <c r="R10" s="53"/>
    </row>
    <row r="11" spans="1:18" ht="17.25" x14ac:dyDescent="0.35">
      <c r="A11" s="63" t="s">
        <v>58</v>
      </c>
      <c r="B11" s="64"/>
      <c r="C11" s="65">
        <f>SUM(Customers!C9:C18)</f>
        <v>61519</v>
      </c>
      <c r="D11" s="62">
        <f>+L25</f>
        <v>0.72</v>
      </c>
      <c r="E11" s="65">
        <f>C11*D11</f>
        <v>44293.68</v>
      </c>
      <c r="F11" s="53"/>
      <c r="G11" s="63" t="s">
        <v>58</v>
      </c>
      <c r="H11" s="64"/>
      <c r="I11" s="65">
        <v>56377</v>
      </c>
      <c r="J11" s="62">
        <f>+R25</f>
        <v>0.76</v>
      </c>
      <c r="K11" s="65">
        <f>I11*J11</f>
        <v>42846.520000000004</v>
      </c>
      <c r="L11" s="53"/>
      <c r="M11" s="63" t="s">
        <v>58</v>
      </c>
      <c r="N11" s="64"/>
      <c r="O11" s="65">
        <v>54602</v>
      </c>
      <c r="P11" s="62">
        <v>1.5</v>
      </c>
      <c r="Q11" s="65">
        <f>O11*P11</f>
        <v>81903</v>
      </c>
      <c r="R11" s="53"/>
    </row>
    <row r="12" spans="1:18" ht="15.75" x14ac:dyDescent="0.25">
      <c r="A12" s="56" t="s">
        <v>39</v>
      </c>
      <c r="B12" s="52"/>
      <c r="C12" s="61">
        <f>SUM(C10:C11)</f>
        <v>73295</v>
      </c>
      <c r="D12" s="52"/>
      <c r="E12" s="61">
        <f>SUM(E10:E11)</f>
        <v>53243.44</v>
      </c>
      <c r="F12" s="53"/>
      <c r="G12" s="56" t="s">
        <v>39</v>
      </c>
      <c r="H12" s="52"/>
      <c r="I12" s="61">
        <f>SUM(I10:I11)</f>
        <v>67378</v>
      </c>
      <c r="J12" s="52"/>
      <c r="K12" s="61">
        <f>SUM(K10:K11)</f>
        <v>59348.020000000004</v>
      </c>
      <c r="L12" s="53"/>
      <c r="M12" s="56" t="s">
        <v>39</v>
      </c>
      <c r="N12" s="52"/>
      <c r="O12" s="61">
        <f>SUM(O10:O11)</f>
        <v>65182</v>
      </c>
      <c r="P12" s="52"/>
      <c r="Q12" s="61">
        <f>SUM(Q10:Q11)</f>
        <v>97773</v>
      </c>
      <c r="R12" s="53"/>
    </row>
    <row r="13" spans="1:18" ht="15.75" x14ac:dyDescent="0.25">
      <c r="A13" s="56"/>
      <c r="B13" s="52"/>
      <c r="C13" s="52"/>
      <c r="D13" s="52"/>
      <c r="E13" s="52"/>
      <c r="F13" s="53"/>
      <c r="G13" s="56"/>
      <c r="H13" s="52"/>
      <c r="I13" s="52"/>
      <c r="J13" s="52"/>
      <c r="K13" s="52"/>
      <c r="L13" s="53"/>
      <c r="M13" s="56"/>
      <c r="N13" s="52"/>
      <c r="O13" s="52"/>
      <c r="P13" s="52"/>
      <c r="Q13" s="52"/>
      <c r="R13" s="53"/>
    </row>
    <row r="14" spans="1:18" ht="15.75" x14ac:dyDescent="0.25">
      <c r="A14" s="49" t="s">
        <v>49</v>
      </c>
      <c r="B14" s="52"/>
      <c r="C14" s="52"/>
      <c r="D14" s="52"/>
      <c r="E14" s="61">
        <f>+'Recycling Revenue'!J20</f>
        <v>121330.12474071181</v>
      </c>
      <c r="F14" s="53"/>
      <c r="G14" s="49" t="s">
        <v>49</v>
      </c>
      <c r="H14" s="52"/>
      <c r="I14" s="52"/>
      <c r="J14" s="52"/>
      <c r="K14" s="61">
        <v>48360.050162964129</v>
      </c>
      <c r="L14" s="53"/>
      <c r="M14" s="49" t="s">
        <v>49</v>
      </c>
      <c r="N14" s="52"/>
      <c r="O14" s="52"/>
      <c r="P14" s="52"/>
      <c r="Q14" s="61">
        <v>60789</v>
      </c>
      <c r="R14" s="53"/>
    </row>
    <row r="15" spans="1:18" ht="15.75" x14ac:dyDescent="0.25">
      <c r="A15" s="56"/>
      <c r="B15" s="52"/>
      <c r="C15" s="52"/>
      <c r="D15" s="52"/>
      <c r="E15" s="52"/>
      <c r="F15" s="53"/>
      <c r="G15" s="56"/>
      <c r="H15" s="52"/>
      <c r="I15" s="52"/>
      <c r="J15" s="52"/>
      <c r="K15" s="52"/>
      <c r="L15" s="53"/>
      <c r="M15" s="56"/>
      <c r="N15" s="52"/>
      <c r="O15" s="52"/>
      <c r="P15" s="52"/>
      <c r="Q15" s="52"/>
      <c r="R15" s="53"/>
    </row>
    <row r="16" spans="1:18" ht="15.75" x14ac:dyDescent="0.25">
      <c r="A16" s="56" t="s">
        <v>50</v>
      </c>
      <c r="B16" s="52"/>
      <c r="C16" s="52"/>
      <c r="D16" s="52"/>
      <c r="E16" s="61">
        <f>E14-E12</f>
        <v>68086.684740711804</v>
      </c>
      <c r="F16" s="53"/>
      <c r="G16" s="56" t="s">
        <v>50</v>
      </c>
      <c r="H16" s="52"/>
      <c r="I16" s="52"/>
      <c r="J16" s="52"/>
      <c r="K16" s="61">
        <f>K14-K12</f>
        <v>-10987.969837035875</v>
      </c>
      <c r="L16" s="53"/>
      <c r="M16" s="56" t="s">
        <v>50</v>
      </c>
      <c r="N16" s="52"/>
      <c r="O16" s="52"/>
      <c r="P16" s="52"/>
      <c r="Q16" s="61">
        <f>Q14-Q12</f>
        <v>-36984</v>
      </c>
      <c r="R16" s="53"/>
    </row>
    <row r="17" spans="1:18" ht="15.75" x14ac:dyDescent="0.25">
      <c r="A17" s="56"/>
      <c r="B17" s="52"/>
      <c r="C17" s="52"/>
      <c r="D17" s="52"/>
      <c r="E17" s="52"/>
      <c r="F17" s="53"/>
      <c r="G17" s="56"/>
      <c r="H17" s="52"/>
      <c r="I17" s="52"/>
      <c r="J17" s="52"/>
      <c r="K17" s="52"/>
      <c r="L17" s="53"/>
      <c r="M17" s="56"/>
      <c r="N17" s="52"/>
      <c r="O17" s="52"/>
      <c r="P17" s="52"/>
      <c r="Q17" s="52"/>
      <c r="R17" s="53"/>
    </row>
    <row r="18" spans="1:18" ht="15.75" x14ac:dyDescent="0.25">
      <c r="A18" s="56" t="s">
        <v>15</v>
      </c>
      <c r="B18" s="52"/>
      <c r="C18" s="52"/>
      <c r="D18" s="52"/>
      <c r="E18" s="61">
        <f>+C12</f>
        <v>73295</v>
      </c>
      <c r="F18" s="53"/>
      <c r="G18" s="56" t="s">
        <v>15</v>
      </c>
      <c r="H18" s="52"/>
      <c r="I18" s="52"/>
      <c r="J18" s="52"/>
      <c r="K18" s="61">
        <f>+I12</f>
        <v>67378</v>
      </c>
      <c r="L18" s="53"/>
      <c r="M18" s="56" t="s">
        <v>15</v>
      </c>
      <c r="N18" s="52"/>
      <c r="O18" s="52"/>
      <c r="P18" s="52"/>
      <c r="Q18" s="61">
        <f>+O12</f>
        <v>65182</v>
      </c>
      <c r="R18" s="53"/>
    </row>
    <row r="19" spans="1:18" ht="15.75" x14ac:dyDescent="0.25">
      <c r="A19" s="56"/>
      <c r="B19" s="52"/>
      <c r="C19" s="52"/>
      <c r="D19" s="52"/>
      <c r="E19" s="52"/>
      <c r="F19" s="53"/>
      <c r="G19" s="56"/>
      <c r="H19" s="52"/>
      <c r="I19" s="52"/>
      <c r="J19" s="52"/>
      <c r="K19" s="52"/>
      <c r="L19" s="53"/>
      <c r="M19" s="56"/>
      <c r="N19" s="52"/>
      <c r="O19" s="52"/>
      <c r="P19" s="52"/>
      <c r="Q19" s="52"/>
      <c r="R19" s="53"/>
    </row>
    <row r="20" spans="1:18" ht="15.75" x14ac:dyDescent="0.25">
      <c r="A20" s="56" t="s">
        <v>74</v>
      </c>
      <c r="B20" s="52"/>
      <c r="C20" s="52"/>
      <c r="D20" s="52"/>
      <c r="E20" s="52"/>
      <c r="F20" s="66">
        <f>+E16/E18</f>
        <v>0.92894037438722699</v>
      </c>
      <c r="G20" s="56" t="s">
        <v>65</v>
      </c>
      <c r="H20" s="52"/>
      <c r="I20" s="52"/>
      <c r="J20" s="52"/>
      <c r="K20" s="52"/>
      <c r="L20" s="66">
        <f>+K16/K18</f>
        <v>-0.1630794894036017</v>
      </c>
      <c r="M20" s="56" t="s">
        <v>51</v>
      </c>
      <c r="N20" s="52"/>
      <c r="O20" s="52"/>
      <c r="P20" s="52"/>
      <c r="Q20" s="52"/>
      <c r="R20" s="66">
        <f>+Q16/Q18</f>
        <v>-0.56739590684544816</v>
      </c>
    </row>
    <row r="21" spans="1:18" ht="15.75" x14ac:dyDescent="0.25">
      <c r="A21" s="56"/>
      <c r="B21" s="52"/>
      <c r="C21" s="52"/>
      <c r="D21" s="52"/>
      <c r="E21" s="52"/>
      <c r="F21" s="67"/>
      <c r="G21" s="56"/>
      <c r="H21" s="52"/>
      <c r="I21" s="52"/>
      <c r="J21" s="52"/>
      <c r="K21" s="52"/>
      <c r="L21" s="67"/>
      <c r="M21" s="56"/>
      <c r="N21" s="52"/>
      <c r="O21" s="52"/>
      <c r="P21" s="52"/>
      <c r="Q21" s="52"/>
      <c r="R21" s="67"/>
    </row>
    <row r="22" spans="1:18" ht="15.75" x14ac:dyDescent="0.25">
      <c r="A22" s="56"/>
      <c r="B22" s="52"/>
      <c r="C22" s="52"/>
      <c r="D22" s="52"/>
      <c r="E22" s="52"/>
      <c r="F22" s="67"/>
      <c r="G22" s="56"/>
      <c r="H22" s="52"/>
      <c r="I22" s="52"/>
      <c r="J22" s="52"/>
      <c r="K22" s="52"/>
      <c r="L22" s="67"/>
      <c r="M22" s="56"/>
      <c r="N22" s="52"/>
      <c r="O22" s="52"/>
      <c r="P22" s="52"/>
      <c r="Q22" s="52"/>
      <c r="R22" s="67"/>
    </row>
    <row r="23" spans="1:18" ht="15.75" x14ac:dyDescent="0.25">
      <c r="A23" s="59" t="s">
        <v>75</v>
      </c>
      <c r="B23" s="50"/>
      <c r="C23" s="52"/>
      <c r="D23" s="52"/>
      <c r="E23" s="68">
        <f>+E14</f>
        <v>121330.12474071181</v>
      </c>
      <c r="F23" s="67"/>
      <c r="G23" s="59" t="s">
        <v>67</v>
      </c>
      <c r="H23" s="50"/>
      <c r="I23" s="52"/>
      <c r="J23" s="52"/>
      <c r="K23" s="68">
        <f>+K14</f>
        <v>48360.050162964129</v>
      </c>
      <c r="L23" s="67"/>
      <c r="M23" s="59" t="s">
        <v>56</v>
      </c>
      <c r="N23" s="50"/>
      <c r="O23" s="52"/>
      <c r="P23" s="52"/>
      <c r="Q23" s="68">
        <v>49281</v>
      </c>
      <c r="R23" s="67"/>
    </row>
    <row r="24" spans="1:18" ht="15.75" x14ac:dyDescent="0.25">
      <c r="A24" s="56" t="s">
        <v>61</v>
      </c>
      <c r="B24" s="52"/>
      <c r="C24" s="52"/>
      <c r="D24" s="52"/>
      <c r="E24" s="61">
        <f>+C12</f>
        <v>73295</v>
      </c>
      <c r="F24" s="67"/>
      <c r="G24" s="56" t="s">
        <v>61</v>
      </c>
      <c r="H24" s="52"/>
      <c r="I24" s="52"/>
      <c r="J24" s="52"/>
      <c r="K24" s="61">
        <f>+I12</f>
        <v>67378</v>
      </c>
      <c r="L24" s="67"/>
      <c r="M24" s="56" t="s">
        <v>61</v>
      </c>
      <c r="N24" s="52"/>
      <c r="O24" s="52"/>
      <c r="P24" s="52"/>
      <c r="Q24" s="61">
        <f>+O12</f>
        <v>65182</v>
      </c>
      <c r="R24" s="67"/>
    </row>
    <row r="25" spans="1:18" ht="17.25" x14ac:dyDescent="0.35">
      <c r="A25" s="56" t="s">
        <v>52</v>
      </c>
      <c r="B25" s="52"/>
      <c r="C25" s="52"/>
      <c r="D25" s="52"/>
      <c r="E25" s="52"/>
      <c r="F25" s="69">
        <f>ROUND(+E23/E24,2)</f>
        <v>1.66</v>
      </c>
      <c r="G25" s="56" t="s">
        <v>52</v>
      </c>
      <c r="H25" s="52"/>
      <c r="I25" s="52"/>
      <c r="J25" s="52"/>
      <c r="K25" s="52"/>
      <c r="L25" s="69">
        <f>ROUND(+K23/K24,2)</f>
        <v>0.72</v>
      </c>
      <c r="M25" s="56" t="s">
        <v>52</v>
      </c>
      <c r="N25" s="52"/>
      <c r="O25" s="52"/>
      <c r="P25" s="52"/>
      <c r="Q25" s="52"/>
      <c r="R25" s="69">
        <f>ROUND(+Q23/Q24,2)</f>
        <v>0.76</v>
      </c>
    </row>
    <row r="26" spans="1:18" ht="15.75" x14ac:dyDescent="0.25">
      <c r="A26" s="56"/>
      <c r="B26" s="52"/>
      <c r="C26" s="52"/>
      <c r="D26" s="52"/>
      <c r="E26" s="52"/>
      <c r="F26" s="67"/>
      <c r="G26" s="56"/>
      <c r="H26" s="52"/>
      <c r="I26" s="52"/>
      <c r="J26" s="52"/>
      <c r="K26" s="52"/>
      <c r="L26" s="67"/>
      <c r="M26" s="56"/>
      <c r="N26" s="52"/>
      <c r="O26" s="52"/>
      <c r="P26" s="52"/>
      <c r="Q26" s="52"/>
      <c r="R26" s="67"/>
    </row>
    <row r="27" spans="1:18" ht="16.5" thickBot="1" x14ac:dyDescent="0.3">
      <c r="A27" s="49" t="s">
        <v>53</v>
      </c>
      <c r="B27" s="50"/>
      <c r="C27" s="52"/>
      <c r="D27" s="52"/>
      <c r="E27" s="52"/>
      <c r="F27" s="70">
        <f>SUM(F20:F25)</f>
        <v>2.588940374387227</v>
      </c>
      <c r="G27" s="49" t="s">
        <v>53</v>
      </c>
      <c r="H27" s="50"/>
      <c r="I27" s="52"/>
      <c r="J27" s="52"/>
      <c r="K27" s="52"/>
      <c r="L27" s="70">
        <f>SUM(L20:L25)</f>
        <v>0.55692051059639824</v>
      </c>
      <c r="M27" s="49" t="s">
        <v>53</v>
      </c>
      <c r="N27" s="50"/>
      <c r="O27" s="52"/>
      <c r="P27" s="52"/>
      <c r="Q27" s="52"/>
      <c r="R27" s="70">
        <f>SUM(R20:R25)</f>
        <v>0.19260409315455185</v>
      </c>
    </row>
    <row r="28" spans="1:18" ht="16.5" thickTop="1" x14ac:dyDescent="0.25">
      <c r="A28" s="49"/>
      <c r="B28" s="50"/>
      <c r="C28" s="52"/>
      <c r="D28" s="52"/>
      <c r="E28" s="52"/>
      <c r="F28" s="71"/>
      <c r="G28" s="49"/>
      <c r="H28" s="50"/>
      <c r="I28" s="52"/>
      <c r="J28" s="52"/>
      <c r="K28" s="52"/>
      <c r="L28" s="71"/>
      <c r="M28" s="49"/>
      <c r="N28" s="50"/>
      <c r="O28" s="52"/>
      <c r="P28" s="52"/>
      <c r="Q28" s="52"/>
      <c r="R28" s="71"/>
    </row>
    <row r="29" spans="1:18" ht="15.75" thickBot="1" x14ac:dyDescent="0.3">
      <c r="A29" s="72"/>
      <c r="B29" s="73"/>
      <c r="C29" s="73"/>
      <c r="D29" s="73"/>
      <c r="E29" s="73"/>
      <c r="F29" s="74"/>
      <c r="G29" s="72"/>
      <c r="H29" s="73"/>
      <c r="I29" s="73"/>
      <c r="J29" s="73"/>
      <c r="K29" s="73"/>
      <c r="L29" s="74"/>
      <c r="M29" s="72"/>
      <c r="N29" s="73"/>
      <c r="O29" s="73"/>
      <c r="P29" s="73"/>
      <c r="Q29" s="73"/>
      <c r="R29" s="74"/>
    </row>
  </sheetData>
  <mergeCells count="3">
    <mergeCell ref="M5:R5"/>
    <mergeCell ref="G5:L5"/>
    <mergeCell ref="A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88A78-3E21-4368-9B4C-96C8B1ABB500}">
  <dimension ref="A1:K35"/>
  <sheetViews>
    <sheetView topLeftCell="A6" workbookViewId="0">
      <selection activeCell="D19" sqref="D19"/>
    </sheetView>
  </sheetViews>
  <sheetFormatPr defaultRowHeight="15" x14ac:dyDescent="0.25"/>
  <cols>
    <col min="1" max="1" width="11.42578125" customWidth="1"/>
    <col min="3" max="5" width="9.5703125" bestFit="1" customWidth="1"/>
    <col min="6" max="6" width="9.5703125" customWidth="1"/>
    <col min="8" max="8" width="9.5703125" bestFit="1" customWidth="1"/>
    <col min="10" max="10" width="11.5703125" bestFit="1" customWidth="1"/>
  </cols>
  <sheetData>
    <row r="1" spans="1:10" ht="23.25" x14ac:dyDescent="0.35">
      <c r="A1" s="1" t="s">
        <v>0</v>
      </c>
    </row>
    <row r="2" spans="1:10" ht="21" x14ac:dyDescent="0.35">
      <c r="A2" s="94" t="s">
        <v>64</v>
      </c>
    </row>
    <row r="3" spans="1:10" ht="18.75" x14ac:dyDescent="0.3">
      <c r="A3" s="5"/>
    </row>
    <row r="5" spans="1:10" ht="15.75" x14ac:dyDescent="0.25">
      <c r="C5" s="106" t="s">
        <v>41</v>
      </c>
      <c r="D5" s="106"/>
      <c r="E5" s="106"/>
    </row>
    <row r="6" spans="1:10" x14ac:dyDescent="0.25">
      <c r="F6" s="13" t="s">
        <v>42</v>
      </c>
      <c r="G6" s="13" t="s">
        <v>40</v>
      </c>
      <c r="H6" s="13" t="s">
        <v>41</v>
      </c>
      <c r="I6" s="82" t="s">
        <v>59</v>
      </c>
      <c r="J6" s="82" t="s">
        <v>3</v>
      </c>
    </row>
    <row r="7" spans="1:10" x14ac:dyDescent="0.25">
      <c r="A7" s="32" t="s">
        <v>63</v>
      </c>
      <c r="C7" s="12" t="s">
        <v>39</v>
      </c>
      <c r="D7" s="12" t="s">
        <v>38</v>
      </c>
      <c r="E7" s="12" t="s">
        <v>37</v>
      </c>
      <c r="F7" s="12" t="s">
        <v>43</v>
      </c>
      <c r="G7" s="12" t="s">
        <v>41</v>
      </c>
      <c r="H7" s="12" t="s">
        <v>4</v>
      </c>
      <c r="I7" s="12" t="s">
        <v>60</v>
      </c>
      <c r="J7" s="12" t="s">
        <v>5</v>
      </c>
    </row>
    <row r="8" spans="1:10" x14ac:dyDescent="0.25">
      <c r="A8" t="s">
        <v>72</v>
      </c>
      <c r="C8" s="2">
        <f t="shared" ref="C8:C19" si="0">+D8+E8</f>
        <v>379.07</v>
      </c>
      <c r="D8" s="2">
        <v>298.8</v>
      </c>
      <c r="E8" s="2">
        <v>80.27</v>
      </c>
      <c r="F8" s="43">
        <f>+'Rebate Data'!C$16</f>
        <v>0.14629942585981129</v>
      </c>
      <c r="G8" s="40">
        <f>-F8*E8</f>
        <v>-11.743454913767051</v>
      </c>
      <c r="H8" s="40">
        <f>+G8+E8</f>
        <v>68.526545086232943</v>
      </c>
      <c r="I8" s="83">
        <f>+'SMaRT Tons Sold'!D8</f>
        <v>87.249444932419138</v>
      </c>
      <c r="J8" s="3">
        <f>+I8*H8</f>
        <v>5978.9030219102187</v>
      </c>
    </row>
    <row r="9" spans="1:10" x14ac:dyDescent="0.25">
      <c r="A9" t="s">
        <v>14</v>
      </c>
      <c r="C9" s="2">
        <f t="shared" si="0"/>
        <v>388.01</v>
      </c>
      <c r="D9" s="2">
        <v>294.33999999999997</v>
      </c>
      <c r="E9" s="2">
        <v>93.67</v>
      </c>
      <c r="F9" s="43">
        <f>+'Rebate Data'!E$16</f>
        <v>0.14860139860139859</v>
      </c>
      <c r="G9" s="40">
        <f t="shared" ref="G9:G19" si="1">-F9*E9</f>
        <v>-13.919493006993006</v>
      </c>
      <c r="H9" s="40">
        <f t="shared" ref="H9:H19" si="2">+G9+E9</f>
        <v>79.750506993006994</v>
      </c>
      <c r="I9" s="83">
        <f>+'SMaRT Tons Sold'!D9</f>
        <v>93.007224246596451</v>
      </c>
      <c r="J9" s="3">
        <f t="shared" ref="J9:J19" si="3">+I9*H9</f>
        <v>7417.3732876783597</v>
      </c>
    </row>
    <row r="10" spans="1:10" x14ac:dyDescent="0.25">
      <c r="A10" t="s">
        <v>73</v>
      </c>
      <c r="C10" s="2">
        <f t="shared" si="0"/>
        <v>331.05</v>
      </c>
      <c r="D10" s="2">
        <v>250.77</v>
      </c>
      <c r="E10" s="2">
        <v>80.28</v>
      </c>
      <c r="F10" s="43">
        <f>+'Rebate Data'!G$16</f>
        <v>0.16871857296208981</v>
      </c>
      <c r="G10" s="40">
        <f t="shared" si="1"/>
        <v>-13.544727037396569</v>
      </c>
      <c r="H10" s="40">
        <f t="shared" si="2"/>
        <v>66.735272962603432</v>
      </c>
      <c r="I10" s="83">
        <f>+'SMaRT Tons Sold'!D10</f>
        <v>102.63102515940881</v>
      </c>
      <c r="J10" s="3">
        <f t="shared" si="3"/>
        <v>6849.109478444967</v>
      </c>
    </row>
    <row r="11" spans="1:10" x14ac:dyDescent="0.25">
      <c r="A11" t="s">
        <v>17</v>
      </c>
      <c r="C11" s="2">
        <f t="shared" si="0"/>
        <v>251.27</v>
      </c>
      <c r="D11" s="2">
        <v>188.93</v>
      </c>
      <c r="E11" s="2">
        <v>62.34</v>
      </c>
      <c r="F11" s="43">
        <f>+'Rebate Data'!I$16</f>
        <v>0.15438264050636241</v>
      </c>
      <c r="G11" s="40">
        <f t="shared" si="1"/>
        <v>-9.6242138091666334</v>
      </c>
      <c r="H11" s="40">
        <f t="shared" si="2"/>
        <v>52.71578619083337</v>
      </c>
      <c r="I11" s="83">
        <f>+'SMaRT Tons Sold'!D11</f>
        <v>85.7389116260251</v>
      </c>
      <c r="J11" s="3">
        <f t="shared" si="3"/>
        <v>4519.7941335122969</v>
      </c>
    </row>
    <row r="12" spans="1:10" x14ac:dyDescent="0.25">
      <c r="A12" t="s">
        <v>18</v>
      </c>
      <c r="C12" s="2">
        <f t="shared" si="0"/>
        <v>316.95</v>
      </c>
      <c r="D12" s="2">
        <v>239.65</v>
      </c>
      <c r="E12" s="2">
        <v>77.3</v>
      </c>
      <c r="F12" s="43">
        <f>+'Rebate Data'!K$16</f>
        <v>0.13969721025175777</v>
      </c>
      <c r="G12" s="40">
        <f t="shared" si="1"/>
        <v>-10.798594352460876</v>
      </c>
      <c r="H12" s="40">
        <f t="shared" si="2"/>
        <v>66.501405647539116</v>
      </c>
      <c r="I12" s="83">
        <f>+'SMaRT Tons Sold'!D12</f>
        <v>102.58364506370164</v>
      </c>
      <c r="J12" s="3">
        <f t="shared" si="3"/>
        <v>6821.9565931843963</v>
      </c>
    </row>
    <row r="13" spans="1:10" x14ac:dyDescent="0.25">
      <c r="A13" t="s">
        <v>19</v>
      </c>
      <c r="C13" s="2">
        <f t="shared" si="0"/>
        <v>336.16999999999996</v>
      </c>
      <c r="D13" s="2">
        <v>246.14</v>
      </c>
      <c r="E13" s="2">
        <v>90.03</v>
      </c>
      <c r="F13" s="43">
        <f>+'Rebate Data'!M$16</f>
        <v>0.15500538836807767</v>
      </c>
      <c r="G13" s="40">
        <f t="shared" si="1"/>
        <v>-13.955135114778033</v>
      </c>
      <c r="H13" s="40">
        <f t="shared" si="2"/>
        <v>76.07486488522197</v>
      </c>
      <c r="I13" s="83">
        <f>+'SMaRT Tons Sold'!D13</f>
        <v>114.41549502540437</v>
      </c>
      <c r="J13" s="3">
        <f t="shared" si="3"/>
        <v>8704.1433248334233</v>
      </c>
    </row>
    <row r="14" spans="1:10" x14ac:dyDescent="0.25">
      <c r="A14" t="s">
        <v>7</v>
      </c>
      <c r="C14" s="2">
        <f t="shared" si="0"/>
        <v>337.2</v>
      </c>
      <c r="D14" s="2">
        <v>249.21</v>
      </c>
      <c r="E14" s="2">
        <v>87.99</v>
      </c>
      <c r="F14" s="43">
        <f>+'Rebate Data'!O$16</f>
        <v>0.15928640099832553</v>
      </c>
      <c r="G14" s="40">
        <f t="shared" si="1"/>
        <v>-14.015610423842663</v>
      </c>
      <c r="H14" s="40">
        <f t="shared" si="2"/>
        <v>73.974389576157336</v>
      </c>
      <c r="I14" s="83">
        <f>+'SMaRT Tons Sold'!D14</f>
        <v>129.24506289522515</v>
      </c>
      <c r="J14" s="3">
        <f t="shared" si="3"/>
        <v>9560.8246334063424</v>
      </c>
    </row>
    <row r="15" spans="1:10" x14ac:dyDescent="0.25">
      <c r="A15" t="s">
        <v>8</v>
      </c>
      <c r="C15" s="2">
        <f t="shared" si="0"/>
        <v>393.19</v>
      </c>
      <c r="D15" s="2">
        <v>296.5</v>
      </c>
      <c r="E15" s="2">
        <v>96.69</v>
      </c>
      <c r="F15" s="43">
        <f>+'Rebate Data'!Q$16</f>
        <v>0.14908358924831527</v>
      </c>
      <c r="G15" s="40">
        <f t="shared" si="1"/>
        <v>-14.414892244419603</v>
      </c>
      <c r="H15" s="40">
        <f t="shared" si="2"/>
        <v>82.275107755580393</v>
      </c>
      <c r="I15" s="83">
        <f>+'SMaRT Tons Sold'!D15</f>
        <v>156.01674996333585</v>
      </c>
      <c r="J15" s="3">
        <f t="shared" si="3"/>
        <v>12836.2949149089</v>
      </c>
    </row>
    <row r="16" spans="1:10" x14ac:dyDescent="0.25">
      <c r="A16" t="s">
        <v>9</v>
      </c>
      <c r="C16" s="2">
        <f t="shared" si="0"/>
        <v>394.52</v>
      </c>
      <c r="D16" s="2">
        <v>300.49</v>
      </c>
      <c r="E16" s="2">
        <v>94.03</v>
      </c>
      <c r="F16" s="43">
        <f>+'Rebate Data'!S$16</f>
        <v>0.14010185739964048</v>
      </c>
      <c r="G16" s="40">
        <f t="shared" si="1"/>
        <v>-13.173777651288194</v>
      </c>
      <c r="H16" s="40">
        <f t="shared" si="2"/>
        <v>80.85622234871181</v>
      </c>
      <c r="I16" s="83">
        <f>+'SMaRT Tons Sold'!D16</f>
        <v>171.87170307350348</v>
      </c>
      <c r="J16" s="3">
        <f t="shared" si="3"/>
        <v>13896.896639162973</v>
      </c>
    </row>
    <row r="17" spans="1:11" x14ac:dyDescent="0.25">
      <c r="A17" t="s">
        <v>10</v>
      </c>
      <c r="C17" s="2">
        <f t="shared" si="0"/>
        <v>394.91</v>
      </c>
      <c r="D17" s="2">
        <v>297.67</v>
      </c>
      <c r="E17" s="2">
        <v>97.240000000000009</v>
      </c>
      <c r="F17" s="43">
        <f>+'Rebate Data'!U$16</f>
        <v>0.14400154425248529</v>
      </c>
      <c r="G17" s="40">
        <f t="shared" si="1"/>
        <v>-14.00271016311167</v>
      </c>
      <c r="H17" s="40">
        <f t="shared" si="2"/>
        <v>83.237289836888337</v>
      </c>
      <c r="I17" s="83">
        <f>+'SMaRT Tons Sold'!D17</f>
        <v>189.94348009922194</v>
      </c>
      <c r="J17" s="3">
        <f t="shared" si="3"/>
        <v>15810.380505646168</v>
      </c>
    </row>
    <row r="18" spans="1:11" x14ac:dyDescent="0.25">
      <c r="A18" t="s">
        <v>11</v>
      </c>
      <c r="C18" s="2">
        <f t="shared" si="0"/>
        <v>359.95</v>
      </c>
      <c r="D18" s="2">
        <v>269.02</v>
      </c>
      <c r="E18" s="2">
        <v>90.93</v>
      </c>
      <c r="F18" s="89">
        <f>+'Rebate Data'!W16</f>
        <v>0.14026829415674666</v>
      </c>
      <c r="G18" s="40">
        <f t="shared" si="1"/>
        <v>-12.754595987672975</v>
      </c>
      <c r="H18" s="40">
        <f t="shared" si="2"/>
        <v>78.175404012327036</v>
      </c>
      <c r="I18" s="83">
        <f>+'SMaRT Tons Sold'!D18</f>
        <v>194.04773217034381</v>
      </c>
      <c r="J18" s="3">
        <f t="shared" si="3"/>
        <v>15169.759860092458</v>
      </c>
    </row>
    <row r="19" spans="1:11" ht="17.25" x14ac:dyDescent="0.4">
      <c r="A19" t="s">
        <v>12</v>
      </c>
      <c r="C19" s="111">
        <f t="shared" si="0"/>
        <v>342.07</v>
      </c>
      <c r="D19" s="111">
        <v>255.94</v>
      </c>
      <c r="E19" s="111">
        <v>86.13</v>
      </c>
      <c r="F19" s="91">
        <f>+'Rebate Data'!Y16</f>
        <v>0.14828868578632209</v>
      </c>
      <c r="G19" s="84">
        <f t="shared" si="1"/>
        <v>-12.772104506775921</v>
      </c>
      <c r="H19" s="84">
        <f t="shared" si="2"/>
        <v>73.357895493224078</v>
      </c>
      <c r="I19" s="90">
        <f>+'Rebate Data'!X50</f>
        <v>187.63744863976794</v>
      </c>
      <c r="J19" s="85">
        <f t="shared" si="3"/>
        <v>13764.688347931296</v>
      </c>
    </row>
    <row r="20" spans="1:11" ht="17.25" x14ac:dyDescent="0.4">
      <c r="C20" s="86">
        <f>SUM(C8:C19)</f>
        <v>4224.3599999999997</v>
      </c>
      <c r="D20" s="86">
        <f>SUM(D8:D19)</f>
        <v>3187.46</v>
      </c>
      <c r="E20" s="86">
        <f>SUM(E8:E19)</f>
        <v>1036.9000000000001</v>
      </c>
      <c r="F20" s="93">
        <f>-G20/E20</f>
        <v>0.14921333707365531</v>
      </c>
      <c r="G20" s="86">
        <f t="shared" ref="G20:J20" si="4">SUM(G8:G19)</f>
        <v>-154.71930921167319</v>
      </c>
      <c r="H20" s="86">
        <f t="shared" si="4"/>
        <v>882.18069078832684</v>
      </c>
      <c r="I20" s="36">
        <f>+J20/H20</f>
        <v>137.53432375887735</v>
      </c>
      <c r="J20" s="88">
        <f t="shared" si="4"/>
        <v>121330.12474071181</v>
      </c>
      <c r="K20" s="87"/>
    </row>
    <row r="21" spans="1:11" x14ac:dyDescent="0.25">
      <c r="C21" s="2"/>
      <c r="D21" s="2"/>
      <c r="E21" s="2"/>
      <c r="F21" s="2"/>
    </row>
    <row r="22" spans="1:11" x14ac:dyDescent="0.25">
      <c r="C22" s="2"/>
      <c r="D22" s="2"/>
      <c r="E22" s="2"/>
      <c r="F22" s="2"/>
      <c r="G22" s="2"/>
    </row>
    <row r="23" spans="1:11" x14ac:dyDescent="0.25">
      <c r="C23" s="2"/>
      <c r="D23" s="2"/>
      <c r="E23" s="2"/>
      <c r="F23" s="2"/>
    </row>
    <row r="24" spans="1:11" x14ac:dyDescent="0.25">
      <c r="C24" s="37"/>
      <c r="D24" s="37"/>
      <c r="E24" s="37"/>
      <c r="F24" s="2"/>
    </row>
    <row r="25" spans="1:11" x14ac:dyDescent="0.25">
      <c r="C25" s="2"/>
      <c r="D25" s="2"/>
      <c r="E25" s="2"/>
      <c r="F25" s="2"/>
    </row>
    <row r="26" spans="1:11" x14ac:dyDescent="0.25">
      <c r="C26" s="2"/>
      <c r="D26" s="2"/>
      <c r="E26" s="2"/>
      <c r="F26" s="2"/>
    </row>
    <row r="27" spans="1:11" x14ac:dyDescent="0.25">
      <c r="C27" s="2"/>
      <c r="D27" s="2"/>
      <c r="E27" s="2"/>
      <c r="F27" s="2"/>
    </row>
    <row r="28" spans="1:11" x14ac:dyDescent="0.25">
      <c r="C28" s="2"/>
      <c r="D28" s="2"/>
      <c r="E28" s="2"/>
      <c r="F28" s="2"/>
    </row>
    <row r="29" spans="1:11" x14ac:dyDescent="0.25">
      <c r="C29" s="2"/>
      <c r="D29" s="2"/>
      <c r="E29" s="2"/>
      <c r="F29" s="2"/>
    </row>
    <row r="30" spans="1:11" x14ac:dyDescent="0.25">
      <c r="C30" s="2"/>
      <c r="D30" s="2"/>
      <c r="E30" s="2"/>
      <c r="F30" s="2"/>
    </row>
    <row r="31" spans="1:11" x14ac:dyDescent="0.25">
      <c r="C31" s="2"/>
      <c r="D31" s="2"/>
      <c r="E31" s="2"/>
      <c r="F31" s="2"/>
    </row>
    <row r="32" spans="1:11" x14ac:dyDescent="0.25">
      <c r="C32" s="2"/>
      <c r="D32" s="2"/>
      <c r="E32" s="2"/>
      <c r="F32" s="2"/>
    </row>
    <row r="33" spans="3:6" x14ac:dyDescent="0.25">
      <c r="C33" s="2"/>
      <c r="D33" s="2"/>
      <c r="E33" s="2"/>
      <c r="F33" s="2"/>
    </row>
    <row r="34" spans="3:6" x14ac:dyDescent="0.25">
      <c r="C34" s="2"/>
      <c r="D34" s="2"/>
      <c r="E34" s="2"/>
      <c r="F34" s="2"/>
    </row>
    <row r="35" spans="3:6" x14ac:dyDescent="0.25">
      <c r="C35" s="2"/>
      <c r="D35" s="2"/>
      <c r="E35" s="2"/>
      <c r="F35" s="2"/>
    </row>
  </sheetData>
  <mergeCells count="1">
    <mergeCell ref="C5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31FB0-8054-43D1-A839-AFBEE53C2BF1}">
  <dimension ref="A1:I33"/>
  <sheetViews>
    <sheetView topLeftCell="A4" workbookViewId="0">
      <selection activeCell="E7" sqref="E7"/>
    </sheetView>
  </sheetViews>
  <sheetFormatPr defaultRowHeight="15" x14ac:dyDescent="0.25"/>
  <cols>
    <col min="3" max="3" width="9.5703125" bestFit="1" customWidth="1"/>
    <col min="4" max="4" width="9" bestFit="1" customWidth="1"/>
    <col min="8" max="9" width="10.5703125" bestFit="1" customWidth="1"/>
  </cols>
  <sheetData>
    <row r="1" spans="1:9" ht="23.25" x14ac:dyDescent="0.35">
      <c r="A1" s="1" t="s">
        <v>0</v>
      </c>
    </row>
    <row r="2" spans="1:9" ht="21" x14ac:dyDescent="0.35">
      <c r="A2" s="94" t="s">
        <v>66</v>
      </c>
    </row>
    <row r="6" spans="1:9" x14ac:dyDescent="0.25">
      <c r="C6" s="12" t="s">
        <v>37</v>
      </c>
      <c r="D6" s="12" t="s">
        <v>38</v>
      </c>
      <c r="E6" s="12" t="s">
        <v>39</v>
      </c>
      <c r="F6" s="12" t="s">
        <v>30</v>
      </c>
    </row>
    <row r="7" spans="1:9" x14ac:dyDescent="0.25">
      <c r="A7" t="s">
        <v>72</v>
      </c>
      <c r="C7" s="44">
        <v>5877</v>
      </c>
      <c r="D7" s="44">
        <v>14402</v>
      </c>
      <c r="E7" s="38">
        <f t="shared" ref="E7:E18" si="0">+D7+C7</f>
        <v>20279</v>
      </c>
      <c r="F7" s="37">
        <f>+C7/E7</f>
        <v>0.28980718970363428</v>
      </c>
      <c r="H7" s="2"/>
      <c r="I7" s="40"/>
    </row>
    <row r="8" spans="1:9" x14ac:dyDescent="0.25">
      <c r="A8" t="s">
        <v>14</v>
      </c>
      <c r="C8" s="44">
        <v>5899</v>
      </c>
      <c r="D8" s="44">
        <v>14435</v>
      </c>
      <c r="E8" s="38">
        <f t="shared" si="0"/>
        <v>20334</v>
      </c>
      <c r="F8" s="37">
        <f t="shared" ref="F8:F18" si="1">+C8/E8</f>
        <v>0.29010524245106717</v>
      </c>
      <c r="H8" s="2"/>
      <c r="I8" s="40"/>
    </row>
    <row r="9" spans="1:9" x14ac:dyDescent="0.25">
      <c r="A9" t="s">
        <v>73</v>
      </c>
      <c r="C9" s="44">
        <v>5908</v>
      </c>
      <c r="D9" s="44">
        <v>14464</v>
      </c>
      <c r="E9" s="38">
        <f t="shared" si="0"/>
        <v>20372</v>
      </c>
      <c r="F9" s="37">
        <f t="shared" si="1"/>
        <v>0.29000589043785591</v>
      </c>
      <c r="H9" s="2"/>
      <c r="I9" s="40"/>
    </row>
    <row r="10" spans="1:9" x14ac:dyDescent="0.25">
      <c r="A10" t="s">
        <v>17</v>
      </c>
      <c r="C10" s="44">
        <v>5921</v>
      </c>
      <c r="D10" s="44">
        <v>14399</v>
      </c>
      <c r="E10" s="38">
        <f t="shared" si="0"/>
        <v>20320</v>
      </c>
      <c r="F10" s="37">
        <f t="shared" si="1"/>
        <v>0.29138779527559056</v>
      </c>
      <c r="H10" s="2"/>
      <c r="I10" s="40"/>
    </row>
    <row r="11" spans="1:9" x14ac:dyDescent="0.25">
      <c r="A11" t="s">
        <v>18</v>
      </c>
      <c r="C11" s="44">
        <v>5958</v>
      </c>
      <c r="D11" s="44">
        <v>14520</v>
      </c>
      <c r="E11" s="38">
        <f t="shared" si="0"/>
        <v>20478</v>
      </c>
      <c r="F11" s="37">
        <f t="shared" si="1"/>
        <v>0.29094638148256663</v>
      </c>
      <c r="H11" s="2"/>
      <c r="I11" s="40"/>
    </row>
    <row r="12" spans="1:9" x14ac:dyDescent="0.25">
      <c r="A12" t="s">
        <v>19</v>
      </c>
      <c r="C12" s="38">
        <v>6084</v>
      </c>
      <c r="D12" s="38">
        <v>14590</v>
      </c>
      <c r="E12" s="38">
        <f t="shared" si="0"/>
        <v>20674</v>
      </c>
      <c r="F12" s="37">
        <f t="shared" si="1"/>
        <v>0.29428267388991003</v>
      </c>
      <c r="H12" s="2"/>
      <c r="I12" s="40"/>
    </row>
    <row r="13" spans="1:9" x14ac:dyDescent="0.25">
      <c r="A13" t="s">
        <v>7</v>
      </c>
      <c r="C13" s="38">
        <v>6111</v>
      </c>
      <c r="D13" s="38">
        <v>14563</v>
      </c>
      <c r="E13" s="38">
        <f t="shared" si="0"/>
        <v>20674</v>
      </c>
      <c r="F13" s="37">
        <f t="shared" si="1"/>
        <v>0.29558866208764634</v>
      </c>
      <c r="H13" s="2"/>
      <c r="I13" s="40"/>
    </row>
    <row r="14" spans="1:9" x14ac:dyDescent="0.25">
      <c r="A14" t="s">
        <v>8</v>
      </c>
      <c r="C14" s="38">
        <f>3668+2540</f>
        <v>6208</v>
      </c>
      <c r="D14" s="38">
        <f>20821-6208</f>
        <v>14613</v>
      </c>
      <c r="E14" s="38">
        <f t="shared" si="0"/>
        <v>20821</v>
      </c>
      <c r="F14" s="37">
        <f t="shared" si="1"/>
        <v>0.29816051102252533</v>
      </c>
      <c r="H14" s="2"/>
      <c r="I14" s="40"/>
    </row>
    <row r="15" spans="1:9" x14ac:dyDescent="0.25">
      <c r="A15" t="s">
        <v>9</v>
      </c>
      <c r="C15" s="38">
        <f>3699+2573</f>
        <v>6272</v>
      </c>
      <c r="D15" s="38">
        <f>20906-C15</f>
        <v>14634</v>
      </c>
      <c r="E15" s="38">
        <f t="shared" si="0"/>
        <v>20906</v>
      </c>
      <c r="F15" s="37">
        <f t="shared" si="1"/>
        <v>0.30000956663158901</v>
      </c>
      <c r="H15" s="2"/>
      <c r="I15" s="40"/>
    </row>
    <row r="16" spans="1:9" x14ac:dyDescent="0.25">
      <c r="A16" t="s">
        <v>10</v>
      </c>
      <c r="C16" s="44">
        <f>3874+2584</f>
        <v>6458</v>
      </c>
      <c r="D16" s="44">
        <f>20847-C16</f>
        <v>14389</v>
      </c>
      <c r="E16" s="38">
        <f t="shared" si="0"/>
        <v>20847</v>
      </c>
      <c r="F16" s="37">
        <f t="shared" si="1"/>
        <v>0.30978078380582336</v>
      </c>
      <c r="H16" s="2"/>
      <c r="I16" s="40"/>
    </row>
    <row r="17" spans="1:9" x14ac:dyDescent="0.25">
      <c r="A17" t="s">
        <v>11</v>
      </c>
      <c r="C17" s="44">
        <f>3741+2582</f>
        <v>6323</v>
      </c>
      <c r="D17" s="44">
        <f>20922-6323</f>
        <v>14599</v>
      </c>
      <c r="E17" s="38">
        <f t="shared" si="0"/>
        <v>20922</v>
      </c>
      <c r="F17" s="37">
        <f t="shared" si="1"/>
        <v>0.30221776120829746</v>
      </c>
      <c r="H17" s="2"/>
      <c r="I17" s="40"/>
    </row>
    <row r="18" spans="1:9" ht="17.25" x14ac:dyDescent="0.4">
      <c r="A18" t="s">
        <v>12</v>
      </c>
      <c r="C18" s="110">
        <f>3709+2567</f>
        <v>6276</v>
      </c>
      <c r="D18" s="110">
        <f>20860-C18</f>
        <v>14584</v>
      </c>
      <c r="E18" s="75">
        <f t="shared" si="0"/>
        <v>20860</v>
      </c>
      <c r="F18" s="76">
        <f t="shared" si="1"/>
        <v>0.30086289549376799</v>
      </c>
      <c r="H18" s="2"/>
      <c r="I18" s="40"/>
    </row>
    <row r="19" spans="1:9" ht="17.25" x14ac:dyDescent="0.4">
      <c r="C19" s="77">
        <f>SUM(C7:C18)</f>
        <v>73295</v>
      </c>
      <c r="D19" s="77">
        <f t="shared" ref="D19:E19" si="2">SUM(D7:D18)</f>
        <v>174192</v>
      </c>
      <c r="E19" s="77">
        <f t="shared" si="2"/>
        <v>247487</v>
      </c>
      <c r="F19" s="78">
        <f>+C19/E19</f>
        <v>0.29615696986104323</v>
      </c>
      <c r="I19" s="40"/>
    </row>
    <row r="20" spans="1:9" x14ac:dyDescent="0.25">
      <c r="C20" s="38"/>
      <c r="D20" s="38"/>
      <c r="E20" s="38"/>
    </row>
    <row r="21" spans="1:9" x14ac:dyDescent="0.25">
      <c r="C21" s="38"/>
      <c r="D21" s="38"/>
      <c r="E21" s="38"/>
    </row>
    <row r="22" spans="1:9" x14ac:dyDescent="0.25">
      <c r="C22" s="38"/>
      <c r="D22" s="38"/>
      <c r="E22" s="38"/>
    </row>
    <row r="23" spans="1:9" x14ac:dyDescent="0.25">
      <c r="C23" s="38"/>
      <c r="D23" s="38"/>
      <c r="E23" s="38"/>
    </row>
    <row r="24" spans="1:9" x14ac:dyDescent="0.25">
      <c r="C24" s="38"/>
      <c r="D24" s="38"/>
      <c r="E24" s="38"/>
    </row>
    <row r="25" spans="1:9" x14ac:dyDescent="0.25">
      <c r="C25" s="38"/>
      <c r="D25" s="38"/>
      <c r="E25" s="38"/>
    </row>
    <row r="26" spans="1:9" x14ac:dyDescent="0.25">
      <c r="C26" s="38"/>
      <c r="D26" s="38"/>
      <c r="E26" s="38"/>
    </row>
    <row r="27" spans="1:9" x14ac:dyDescent="0.25">
      <c r="C27" s="38"/>
      <c r="D27" s="38"/>
      <c r="E27" s="38"/>
    </row>
    <row r="28" spans="1:9" x14ac:dyDescent="0.25">
      <c r="C28" s="38"/>
      <c r="D28" s="38"/>
      <c r="E28" s="38"/>
    </row>
    <row r="29" spans="1:9" x14ac:dyDescent="0.25">
      <c r="C29" s="38"/>
      <c r="D29" s="38"/>
      <c r="E29" s="38"/>
    </row>
    <row r="30" spans="1:9" x14ac:dyDescent="0.25">
      <c r="C30" s="38"/>
      <c r="D30" s="38"/>
      <c r="E30" s="38"/>
    </row>
    <row r="31" spans="1:9" x14ac:dyDescent="0.25">
      <c r="C31" s="38"/>
      <c r="D31" s="38"/>
      <c r="E31" s="38"/>
    </row>
    <row r="32" spans="1:9" x14ac:dyDescent="0.25">
      <c r="C32" s="38"/>
      <c r="D32" s="38"/>
      <c r="E32" s="38"/>
    </row>
    <row r="33" spans="3:5" x14ac:dyDescent="0.25">
      <c r="C33" s="38"/>
      <c r="D33" s="38"/>
      <c r="E33" s="3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113D8-2B56-46F9-A458-C066B34B8EDE}">
  <dimension ref="A1:Z54"/>
  <sheetViews>
    <sheetView topLeftCell="F1" workbookViewId="0">
      <selection activeCell="Z43" sqref="Z43"/>
    </sheetView>
  </sheetViews>
  <sheetFormatPr defaultRowHeight="15" x14ac:dyDescent="0.25"/>
  <cols>
    <col min="1" max="1" width="19" customWidth="1"/>
    <col min="2" max="2" width="10" bestFit="1" customWidth="1"/>
    <col min="3" max="3" width="7.7109375" bestFit="1" customWidth="1"/>
    <col min="4" max="4" width="10" bestFit="1" customWidth="1"/>
    <col min="5" max="5" width="10.5703125" bestFit="1" customWidth="1"/>
    <col min="6" max="6" width="9.7109375" bestFit="1" customWidth="1"/>
    <col min="7" max="7" width="7.7109375" bestFit="1" customWidth="1"/>
    <col min="8" max="8" width="10" bestFit="1" customWidth="1"/>
    <col min="9" max="9" width="7.7109375" bestFit="1" customWidth="1"/>
    <col min="10" max="10" width="10" bestFit="1" customWidth="1"/>
    <col min="11" max="11" width="9.140625" bestFit="1" customWidth="1"/>
    <col min="12" max="12" width="10" bestFit="1" customWidth="1"/>
    <col min="13" max="13" width="7.7109375" bestFit="1" customWidth="1"/>
    <col min="14" max="14" width="9.7109375" bestFit="1" customWidth="1"/>
    <col min="15" max="15" width="7.7109375" bestFit="1" customWidth="1"/>
    <col min="16" max="16" width="9.7109375" bestFit="1" customWidth="1"/>
    <col min="17" max="17" width="7.7109375" bestFit="1" customWidth="1"/>
    <col min="18" max="18" width="10.5703125" bestFit="1" customWidth="1"/>
    <col min="19" max="19" width="7.7109375" bestFit="1" customWidth="1"/>
    <col min="20" max="20" width="10.5703125" bestFit="1" customWidth="1"/>
    <col min="21" max="21" width="7.7109375" bestFit="1" customWidth="1"/>
    <col min="22" max="22" width="13.42578125" customWidth="1"/>
    <col min="23" max="23" width="7.7109375" bestFit="1" customWidth="1"/>
    <col min="24" max="24" width="12" customWidth="1"/>
    <col min="25" max="25" width="7.7109375" bestFit="1" customWidth="1"/>
    <col min="26" max="26" width="5" bestFit="1" customWidth="1"/>
  </cols>
  <sheetData>
    <row r="1" spans="1:26" ht="20.25" x14ac:dyDescent="0.3">
      <c r="A1" s="95" t="s">
        <v>36</v>
      </c>
      <c r="B1" s="19"/>
      <c r="C1" s="19"/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5">
      <c r="A2" s="24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5">
      <c r="A3" s="17"/>
      <c r="B3" s="17"/>
      <c r="C3" s="17"/>
      <c r="D3" s="17"/>
      <c r="E3" s="17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5">
      <c r="A4" s="16"/>
      <c r="B4" s="107">
        <v>44136</v>
      </c>
      <c r="C4" s="107"/>
      <c r="D4" s="107">
        <v>44166</v>
      </c>
      <c r="E4" s="107"/>
      <c r="F4" s="107">
        <v>44197</v>
      </c>
      <c r="G4" s="107"/>
      <c r="H4" s="107">
        <v>44228</v>
      </c>
      <c r="I4" s="107"/>
      <c r="J4" s="107">
        <v>44256</v>
      </c>
      <c r="K4" s="107"/>
      <c r="L4" s="107">
        <v>44287</v>
      </c>
      <c r="M4" s="107"/>
      <c r="N4" s="107">
        <v>44317</v>
      </c>
      <c r="O4" s="107"/>
      <c r="P4" s="107">
        <v>44348</v>
      </c>
      <c r="Q4" s="107"/>
      <c r="R4" s="107">
        <v>44378</v>
      </c>
      <c r="S4" s="107"/>
      <c r="T4" s="107">
        <v>44409</v>
      </c>
      <c r="U4" s="107"/>
      <c r="V4" s="107">
        <v>44440</v>
      </c>
      <c r="W4" s="107"/>
      <c r="X4" s="107">
        <v>44470</v>
      </c>
      <c r="Y4" s="107"/>
      <c r="Z4" s="16"/>
    </row>
    <row r="5" spans="1:26" x14ac:dyDescent="0.25">
      <c r="A5" s="16"/>
      <c r="B5" s="21" t="s">
        <v>2</v>
      </c>
      <c r="C5" s="21" t="s">
        <v>30</v>
      </c>
      <c r="D5" s="21" t="s">
        <v>2</v>
      </c>
      <c r="E5" s="21" t="s">
        <v>30</v>
      </c>
      <c r="F5" s="21" t="s">
        <v>2</v>
      </c>
      <c r="G5" s="21" t="s">
        <v>30</v>
      </c>
      <c r="H5" s="21" t="s">
        <v>2</v>
      </c>
      <c r="I5" s="21" t="s">
        <v>30</v>
      </c>
      <c r="J5" s="21" t="s">
        <v>2</v>
      </c>
      <c r="K5" s="21" t="s">
        <v>30</v>
      </c>
      <c r="L5" s="21" t="s">
        <v>2</v>
      </c>
      <c r="M5" s="21" t="s">
        <v>30</v>
      </c>
      <c r="N5" s="21" t="s">
        <v>2</v>
      </c>
      <c r="O5" s="21" t="s">
        <v>30</v>
      </c>
      <c r="P5" s="21" t="s">
        <v>2</v>
      </c>
      <c r="Q5" s="21" t="s">
        <v>30</v>
      </c>
      <c r="R5" s="21" t="s">
        <v>2</v>
      </c>
      <c r="S5" s="21" t="s">
        <v>30</v>
      </c>
      <c r="T5" s="21" t="s">
        <v>2</v>
      </c>
      <c r="U5" s="21" t="s">
        <v>30</v>
      </c>
      <c r="V5" s="21" t="s">
        <v>2</v>
      </c>
      <c r="W5" s="21" t="s">
        <v>30</v>
      </c>
      <c r="X5" s="21" t="s">
        <v>2</v>
      </c>
      <c r="Y5" s="21" t="s">
        <v>30</v>
      </c>
      <c r="Z5" s="16"/>
    </row>
    <row r="6" spans="1:26" x14ac:dyDescent="0.25">
      <c r="A6" s="16" t="s">
        <v>23</v>
      </c>
      <c r="B6" s="96">
        <v>388.14</v>
      </c>
      <c r="C6" s="18">
        <f t="shared" ref="C6:C17" si="0">+B6/B$17</f>
        <v>0.21719958366442454</v>
      </c>
      <c r="D6" s="22">
        <v>416.8</v>
      </c>
      <c r="E6" s="18">
        <f t="shared" ref="E6:E17" si="1">+D6/D$17</f>
        <v>0.21059864990500826</v>
      </c>
      <c r="F6" s="22">
        <v>326.54000000000002</v>
      </c>
      <c r="G6" s="18">
        <f t="shared" ref="G6:G17" si="2">+F6/F$17</f>
        <v>0.16771701669774061</v>
      </c>
      <c r="H6" s="22">
        <v>286.45999999999998</v>
      </c>
      <c r="I6" s="18">
        <f t="shared" ref="I6:I17" si="3">+H6/H$17</f>
        <v>0.18847788612109007</v>
      </c>
      <c r="J6" s="22">
        <v>368.95</v>
      </c>
      <c r="K6" s="18">
        <f t="shared" ref="K6:K15" si="4">+J6/J$17</f>
        <v>0.20920276706736221</v>
      </c>
      <c r="L6" s="22">
        <v>295.64999999999998</v>
      </c>
      <c r="M6" s="18">
        <f t="shared" ref="M6:M15" si="5">+L6/L$17</f>
        <v>0.17129795937286349</v>
      </c>
      <c r="N6" s="22">
        <v>242.95</v>
      </c>
      <c r="O6" s="18">
        <f t="shared" ref="O6:Y15" si="6">+N6/N$17</f>
        <v>0.15468315262028612</v>
      </c>
      <c r="P6" s="22">
        <v>325.08</v>
      </c>
      <c r="Q6" s="18">
        <f t="shared" si="6"/>
        <v>0.17638058446279553</v>
      </c>
      <c r="R6" s="22">
        <v>298.08</v>
      </c>
      <c r="S6" s="18">
        <f t="shared" si="6"/>
        <v>0.17859796285200719</v>
      </c>
      <c r="T6" s="22">
        <v>277.18</v>
      </c>
      <c r="U6" s="18">
        <f t="shared" si="6"/>
        <v>0.16720152494932919</v>
      </c>
      <c r="V6" s="22">
        <v>292.2</v>
      </c>
      <c r="W6" s="18">
        <f t="shared" si="6"/>
        <v>0.1765665599129857</v>
      </c>
      <c r="X6" s="22">
        <v>268.25</v>
      </c>
      <c r="Y6" s="18">
        <f t="shared" si="6"/>
        <v>0.16908288685786321</v>
      </c>
      <c r="Z6" s="16"/>
    </row>
    <row r="7" spans="1:26" x14ac:dyDescent="0.25">
      <c r="A7" s="16" t="s">
        <v>24</v>
      </c>
      <c r="B7" s="96">
        <v>0</v>
      </c>
      <c r="C7" s="18">
        <f t="shared" si="0"/>
        <v>0</v>
      </c>
      <c r="D7" s="22">
        <v>0</v>
      </c>
      <c r="E7" s="18">
        <f t="shared" si="1"/>
        <v>0</v>
      </c>
      <c r="F7" s="22">
        <v>0</v>
      </c>
      <c r="G7" s="18">
        <f t="shared" si="2"/>
        <v>0</v>
      </c>
      <c r="H7" s="22">
        <v>0</v>
      </c>
      <c r="I7" s="18">
        <f t="shared" si="3"/>
        <v>0</v>
      </c>
      <c r="J7" s="22">
        <v>0</v>
      </c>
      <c r="K7" s="18">
        <f t="shared" si="4"/>
        <v>0</v>
      </c>
      <c r="L7" s="22">
        <v>0</v>
      </c>
      <c r="M7" s="18">
        <f t="shared" si="5"/>
        <v>0</v>
      </c>
      <c r="N7" s="22">
        <v>0</v>
      </c>
      <c r="O7" s="18">
        <f t="shared" si="6"/>
        <v>0</v>
      </c>
      <c r="P7" s="22">
        <v>0</v>
      </c>
      <c r="Q7" s="18">
        <f t="shared" si="6"/>
        <v>0</v>
      </c>
      <c r="R7" s="22">
        <v>0</v>
      </c>
      <c r="S7" s="18">
        <f t="shared" si="6"/>
        <v>0</v>
      </c>
      <c r="T7" s="22">
        <f t="shared" ref="T7:T15" si="7">+R7</f>
        <v>0</v>
      </c>
      <c r="U7" s="18">
        <f t="shared" si="6"/>
        <v>0</v>
      </c>
      <c r="V7" s="22">
        <f t="shared" ref="V7:V15" si="8">+T7</f>
        <v>0</v>
      </c>
      <c r="W7" s="18">
        <f t="shared" si="6"/>
        <v>0</v>
      </c>
      <c r="X7" s="22">
        <f t="shared" ref="X7:X16" si="9">+V7</f>
        <v>0</v>
      </c>
      <c r="Y7" s="18">
        <f t="shared" si="6"/>
        <v>0</v>
      </c>
      <c r="Z7" s="16"/>
    </row>
    <row r="8" spans="1:26" x14ac:dyDescent="0.25">
      <c r="A8" s="16" t="s">
        <v>20</v>
      </c>
      <c r="B8" s="96">
        <v>707.84</v>
      </c>
      <c r="C8" s="18">
        <f t="shared" si="0"/>
        <v>0.39610077111615982</v>
      </c>
      <c r="D8" s="22">
        <v>793.82</v>
      </c>
      <c r="E8" s="18">
        <f t="shared" si="1"/>
        <v>0.40109745745583891</v>
      </c>
      <c r="F8" s="22">
        <v>878.56</v>
      </c>
      <c r="G8" s="18">
        <f t="shared" si="2"/>
        <v>0.45124475467007708</v>
      </c>
      <c r="H8" s="22">
        <v>618.37</v>
      </c>
      <c r="I8" s="18">
        <f t="shared" si="3"/>
        <v>0.40685984235390099</v>
      </c>
      <c r="J8" s="22">
        <v>711.44</v>
      </c>
      <c r="K8" s="18">
        <f t="shared" si="4"/>
        <v>0.40340213200272174</v>
      </c>
      <c r="L8" s="22">
        <v>736.29</v>
      </c>
      <c r="M8" s="18">
        <f t="shared" si="5"/>
        <v>0.42660231526009018</v>
      </c>
      <c r="N8" s="22">
        <v>663.68</v>
      </c>
      <c r="O8" s="18">
        <f t="shared" si="6"/>
        <v>0.42255655373958223</v>
      </c>
      <c r="P8" s="22">
        <v>803.13</v>
      </c>
      <c r="Q8" s="18">
        <f t="shared" si="6"/>
        <v>0.43575900947337576</v>
      </c>
      <c r="R8" s="22">
        <v>722.34</v>
      </c>
      <c r="S8" s="18">
        <f t="shared" si="6"/>
        <v>0.43279808268424208</v>
      </c>
      <c r="T8" s="22">
        <v>718.31</v>
      </c>
      <c r="U8" s="18">
        <f t="shared" si="6"/>
        <v>0.43330156355564126</v>
      </c>
      <c r="V8" s="22">
        <v>757.3</v>
      </c>
      <c r="W8" s="18">
        <f t="shared" si="6"/>
        <v>0.45761073176626987</v>
      </c>
      <c r="X8" s="22">
        <v>727.17</v>
      </c>
      <c r="Y8" s="18">
        <f t="shared" si="6"/>
        <v>0.45834856602584301</v>
      </c>
      <c r="Z8" s="22"/>
    </row>
    <row r="9" spans="1:26" x14ac:dyDescent="0.25">
      <c r="A9" s="16" t="s">
        <v>25</v>
      </c>
      <c r="B9" s="96">
        <v>29.13</v>
      </c>
      <c r="C9" s="18">
        <f t="shared" si="0"/>
        <v>1.6300880795961991E-2</v>
      </c>
      <c r="D9" s="22">
        <v>34.04</v>
      </c>
      <c r="E9" s="18">
        <f t="shared" si="1"/>
        <v>1.7199563442338004E-2</v>
      </c>
      <c r="F9" s="22">
        <v>29.4</v>
      </c>
      <c r="G9" s="18">
        <f t="shared" si="2"/>
        <v>1.5100386754803618E-2</v>
      </c>
      <c r="H9" s="23">
        <v>22.95</v>
      </c>
      <c r="I9" s="18">
        <f t="shared" si="3"/>
        <v>1.5100075006908529E-2</v>
      </c>
      <c r="J9" s="23">
        <v>30.86</v>
      </c>
      <c r="K9" s="18">
        <f t="shared" si="4"/>
        <v>1.7498298933998641E-2</v>
      </c>
      <c r="L9" s="22">
        <v>30.89</v>
      </c>
      <c r="M9" s="18">
        <f t="shared" si="5"/>
        <v>1.7897493539752254E-2</v>
      </c>
      <c r="N9" s="22">
        <v>28.74</v>
      </c>
      <c r="O9" s="18">
        <f t="shared" si="6"/>
        <v>1.8298389818098469E-2</v>
      </c>
      <c r="P9" s="22">
        <v>36.67</v>
      </c>
      <c r="Q9" s="18">
        <f t="shared" si="6"/>
        <v>1.9896259481514435E-2</v>
      </c>
      <c r="R9" s="22">
        <v>35.22</v>
      </c>
      <c r="S9" s="18">
        <f t="shared" si="6"/>
        <v>2.1102456560814858E-2</v>
      </c>
      <c r="T9" s="22">
        <v>36.64</v>
      </c>
      <c r="U9" s="18">
        <f t="shared" si="6"/>
        <v>2.2102113695589225E-2</v>
      </c>
      <c r="V9" s="22">
        <v>32.1</v>
      </c>
      <c r="W9" s="18">
        <f t="shared" si="6"/>
        <v>1.9396942413438881E-2</v>
      </c>
      <c r="X9" s="22">
        <v>29.03</v>
      </c>
      <c r="Y9" s="18">
        <f t="shared" si="6"/>
        <v>1.8298140560983299E-2</v>
      </c>
      <c r="Z9" s="22"/>
    </row>
    <row r="10" spans="1:26" x14ac:dyDescent="0.25">
      <c r="A10" s="16" t="s">
        <v>29</v>
      </c>
      <c r="B10" s="96">
        <v>42.53</v>
      </c>
      <c r="C10" s="18">
        <f t="shared" si="0"/>
        <v>2.3799397880269944E-2</v>
      </c>
      <c r="D10" s="22">
        <v>44.73</v>
      </c>
      <c r="E10" s="18">
        <f t="shared" si="1"/>
        <v>2.2600953959335458E-2</v>
      </c>
      <c r="F10" s="22">
        <v>41.09</v>
      </c>
      <c r="G10" s="18">
        <f t="shared" si="2"/>
        <v>2.1104588154927915E-2</v>
      </c>
      <c r="H10" s="23">
        <v>32.07</v>
      </c>
      <c r="I10" s="18">
        <f t="shared" si="3"/>
        <v>2.1100627689392443E-2</v>
      </c>
      <c r="J10" s="23">
        <v>39.5</v>
      </c>
      <c r="K10" s="18">
        <f t="shared" si="4"/>
        <v>2.2397369017917897E-2</v>
      </c>
      <c r="L10" s="22">
        <v>36.07</v>
      </c>
      <c r="M10" s="18">
        <f t="shared" si="5"/>
        <v>2.0898756619581217E-2</v>
      </c>
      <c r="N10" s="22">
        <v>36.28</v>
      </c>
      <c r="O10" s="18">
        <f t="shared" si="6"/>
        <v>2.3099011224795147E-2</v>
      </c>
      <c r="P10" s="22">
        <v>37.229999999999997</v>
      </c>
      <c r="Q10" s="18">
        <f t="shared" si="6"/>
        <v>2.0200102004275494E-2</v>
      </c>
      <c r="R10" s="22">
        <v>28.37</v>
      </c>
      <c r="S10" s="18">
        <f t="shared" si="6"/>
        <v>1.6998202516476935E-2</v>
      </c>
      <c r="T10" s="22">
        <v>29.34</v>
      </c>
      <c r="U10" s="18">
        <f t="shared" si="6"/>
        <v>1.7698581218029145E-2</v>
      </c>
      <c r="V10" s="22">
        <v>29.62</v>
      </c>
      <c r="W10" s="18">
        <f t="shared" si="6"/>
        <v>1.7898362438818059E-2</v>
      </c>
      <c r="X10" s="22">
        <v>32.04</v>
      </c>
      <c r="Y10" s="18">
        <f t="shared" si="6"/>
        <v>2.0195398676331546E-2</v>
      </c>
      <c r="Z10" s="22"/>
    </row>
    <row r="11" spans="1:26" x14ac:dyDescent="0.25">
      <c r="A11" s="16" t="s">
        <v>21</v>
      </c>
      <c r="B11" s="96">
        <v>273.42</v>
      </c>
      <c r="C11" s="18">
        <f t="shared" si="0"/>
        <v>0.15300332396951349</v>
      </c>
      <c r="D11" s="22">
        <v>310.92</v>
      </c>
      <c r="E11" s="18">
        <f t="shared" si="1"/>
        <v>0.15710012530821776</v>
      </c>
      <c r="F11" s="22">
        <v>259.95</v>
      </c>
      <c r="G11" s="18">
        <f t="shared" si="2"/>
        <v>0.13351515431670749</v>
      </c>
      <c r="H11" s="23">
        <v>255.46</v>
      </c>
      <c r="I11" s="18">
        <f t="shared" si="3"/>
        <v>0.16808127064334871</v>
      </c>
      <c r="J11" s="23">
        <v>277.06</v>
      </c>
      <c r="K11" s="18">
        <f t="shared" si="4"/>
        <v>0.15709911544567931</v>
      </c>
      <c r="L11" s="22">
        <v>278.39</v>
      </c>
      <c r="M11" s="18">
        <f t="shared" si="5"/>
        <v>0.16129761173621332</v>
      </c>
      <c r="N11" s="22">
        <v>263.68</v>
      </c>
      <c r="O11" s="18">
        <f t="shared" si="6"/>
        <v>0.16788167805275592</v>
      </c>
      <c r="P11" s="22">
        <v>250.45</v>
      </c>
      <c r="Q11" s="18">
        <f t="shared" si="6"/>
        <v>0.13588814254554923</v>
      </c>
      <c r="R11" s="22">
        <v>251.69</v>
      </c>
      <c r="S11" s="18">
        <f t="shared" si="6"/>
        <v>0.1508028759736369</v>
      </c>
      <c r="T11" s="22">
        <v>251.48</v>
      </c>
      <c r="U11" s="18">
        <f t="shared" si="6"/>
        <v>0.15169867773380946</v>
      </c>
      <c r="V11" s="22">
        <v>223.37</v>
      </c>
      <c r="W11" s="18">
        <f t="shared" si="6"/>
        <v>0.13497492295606986</v>
      </c>
      <c r="X11" s="22">
        <v>206.86</v>
      </c>
      <c r="Y11" s="18">
        <f t="shared" si="6"/>
        <v>0.13038764576110937</v>
      </c>
      <c r="Z11" s="22"/>
    </row>
    <row r="12" spans="1:26" x14ac:dyDescent="0.25">
      <c r="A12" s="16" t="s">
        <v>22</v>
      </c>
      <c r="B12" s="96">
        <v>57.54</v>
      </c>
      <c r="C12" s="18">
        <f t="shared" si="0"/>
        <v>3.2198856196349226E-2</v>
      </c>
      <c r="D12" s="22">
        <v>57.59</v>
      </c>
      <c r="E12" s="18">
        <f t="shared" si="1"/>
        <v>2.9098791382028373E-2</v>
      </c>
      <c r="F12" s="22">
        <v>59.19</v>
      </c>
      <c r="G12" s="18">
        <f t="shared" si="2"/>
        <v>3.040108476247708E-2</v>
      </c>
      <c r="H12" s="23">
        <v>46.96</v>
      </c>
      <c r="I12" s="18">
        <f t="shared" si="3"/>
        <v>3.0897582672088218E-2</v>
      </c>
      <c r="J12" s="23">
        <v>62.08</v>
      </c>
      <c r="K12" s="18">
        <f t="shared" si="4"/>
        <v>3.5200725788160581E-2</v>
      </c>
      <c r="L12" s="22">
        <v>58.16</v>
      </c>
      <c r="M12" s="18">
        <f t="shared" si="5"/>
        <v>3.3697579290125963E-2</v>
      </c>
      <c r="N12" s="22">
        <v>62.51</v>
      </c>
      <c r="O12" s="18">
        <f t="shared" si="6"/>
        <v>3.9799316197958783E-2</v>
      </c>
      <c r="P12" s="22">
        <v>88.27</v>
      </c>
      <c r="Q12" s="18">
        <f t="shared" si="6"/>
        <v>4.7893177650212143E-2</v>
      </c>
      <c r="R12" s="22">
        <v>75.94</v>
      </c>
      <c r="S12" s="18">
        <f t="shared" si="6"/>
        <v>4.5500299580587177E-2</v>
      </c>
      <c r="T12" s="22">
        <v>78.739999999999995</v>
      </c>
      <c r="U12" s="18">
        <f t="shared" si="6"/>
        <v>4.7497828394942564E-2</v>
      </c>
      <c r="V12" s="22">
        <v>64.69</v>
      </c>
      <c r="W12" s="18">
        <f t="shared" si="6"/>
        <v>3.9089975225089134E-2</v>
      </c>
      <c r="X12" s="22">
        <v>62.98</v>
      </c>
      <c r="Y12" s="18">
        <f t="shared" si="6"/>
        <v>3.9697447210841473E-2</v>
      </c>
      <c r="Z12" s="22"/>
    </row>
    <row r="13" spans="1:26" x14ac:dyDescent="0.25">
      <c r="A13" s="16" t="s">
        <v>26</v>
      </c>
      <c r="B13" s="96">
        <v>16.079999999999998</v>
      </c>
      <c r="C13" s="18">
        <f t="shared" si="0"/>
        <v>8.9982205011695428E-3</v>
      </c>
      <c r="D13" s="22">
        <v>15.44</v>
      </c>
      <c r="E13" s="18">
        <f t="shared" si="1"/>
        <v>7.801447107805488E-3</v>
      </c>
      <c r="F13" s="22">
        <v>14.6</v>
      </c>
      <c r="G13" s="18">
        <f t="shared" si="2"/>
        <v>7.4988315176915919E-3</v>
      </c>
      <c r="H13" s="23">
        <v>8.66</v>
      </c>
      <c r="I13" s="18">
        <f t="shared" si="3"/>
        <v>5.6978932270077502E-3</v>
      </c>
      <c r="J13" s="23">
        <v>17.11</v>
      </c>
      <c r="K13" s="18">
        <f t="shared" si="4"/>
        <v>9.7017464277613982E-3</v>
      </c>
      <c r="L13" s="22">
        <v>13.12</v>
      </c>
      <c r="M13" s="18">
        <f t="shared" si="5"/>
        <v>7.6016547504548252E-3</v>
      </c>
      <c r="N13" s="22">
        <v>13.03</v>
      </c>
      <c r="O13" s="18">
        <f t="shared" si="6"/>
        <v>8.296034075498367E-3</v>
      </c>
      <c r="P13" s="22">
        <v>15.48</v>
      </c>
      <c r="Q13" s="18">
        <f t="shared" si="6"/>
        <v>8.3990754506093127E-3</v>
      </c>
      <c r="R13" s="22">
        <v>13.02</v>
      </c>
      <c r="S13" s="18">
        <f t="shared" si="6"/>
        <v>7.8010784901138405E-3</v>
      </c>
      <c r="T13" s="22">
        <v>16.41</v>
      </c>
      <c r="U13" s="18">
        <f t="shared" si="6"/>
        <v>9.8988997201042359E-3</v>
      </c>
      <c r="V13" s="22">
        <v>13.07</v>
      </c>
      <c r="W13" s="18">
        <f t="shared" si="6"/>
        <v>7.8977581726992572E-3</v>
      </c>
      <c r="X13" s="22">
        <v>14.44</v>
      </c>
      <c r="Y13" s="18">
        <f t="shared" si="6"/>
        <v>9.1017964071856278E-3</v>
      </c>
      <c r="Z13" s="22"/>
    </row>
    <row r="14" spans="1:26" x14ac:dyDescent="0.25">
      <c r="A14" s="16" t="s">
        <v>27</v>
      </c>
      <c r="B14" s="96">
        <v>10.9</v>
      </c>
      <c r="C14" s="18">
        <f t="shared" si="0"/>
        <v>6.0995400163400514E-3</v>
      </c>
      <c r="D14" s="22">
        <v>11.68</v>
      </c>
      <c r="E14" s="18">
        <f t="shared" si="1"/>
        <v>5.9016128380290217E-3</v>
      </c>
      <c r="F14" s="22">
        <v>9.15</v>
      </c>
      <c r="G14" s="18">
        <f t="shared" si="2"/>
        <v>4.6996101634847994E-3</v>
      </c>
      <c r="H14" s="23">
        <v>14.29</v>
      </c>
      <c r="I14" s="18">
        <f t="shared" si="3"/>
        <v>9.4021817799007784E-3</v>
      </c>
      <c r="J14" s="23">
        <v>10.23</v>
      </c>
      <c r="K14" s="18">
        <f t="shared" si="4"/>
        <v>5.8006350646405084E-3</v>
      </c>
      <c r="L14" s="22">
        <v>9.84</v>
      </c>
      <c r="M14" s="18">
        <f t="shared" si="5"/>
        <v>5.7012410628411187E-3</v>
      </c>
      <c r="N14" s="22">
        <v>9.58</v>
      </c>
      <c r="O14" s="18">
        <f t="shared" si="6"/>
        <v>6.0994632726994909E-3</v>
      </c>
      <c r="P14" s="22">
        <v>11.98</v>
      </c>
      <c r="Q14" s="18">
        <f t="shared" si="6"/>
        <v>6.5000596833526851E-3</v>
      </c>
      <c r="R14" s="22">
        <v>10.51</v>
      </c>
      <c r="S14" s="18">
        <f t="shared" si="6"/>
        <v>6.2971839424805272E-3</v>
      </c>
      <c r="T14" s="22">
        <v>10.94</v>
      </c>
      <c r="U14" s="18">
        <f t="shared" si="6"/>
        <v>6.5992664800694906E-3</v>
      </c>
      <c r="V14" s="22">
        <v>10.42</v>
      </c>
      <c r="W14" s="18">
        <f t="shared" si="6"/>
        <v>6.2964529578826518E-3</v>
      </c>
      <c r="X14" s="22">
        <v>10.47</v>
      </c>
      <c r="Y14" s="18">
        <f t="shared" si="6"/>
        <v>6.5994327135203285E-3</v>
      </c>
      <c r="Z14" s="22"/>
    </row>
    <row r="15" spans="1:26" x14ac:dyDescent="0.25">
      <c r="A15" s="16" t="s">
        <v>28</v>
      </c>
      <c r="B15" s="96">
        <v>0</v>
      </c>
      <c r="C15" s="18">
        <f t="shared" si="0"/>
        <v>0</v>
      </c>
      <c r="D15" s="22">
        <v>0</v>
      </c>
      <c r="E15" s="18">
        <f t="shared" si="1"/>
        <v>0</v>
      </c>
      <c r="F15" s="22">
        <v>0</v>
      </c>
      <c r="G15" s="18">
        <f t="shared" si="2"/>
        <v>0</v>
      </c>
      <c r="H15" s="23">
        <v>0</v>
      </c>
      <c r="I15" s="18">
        <f t="shared" si="3"/>
        <v>0</v>
      </c>
      <c r="J15" s="23">
        <v>0</v>
      </c>
      <c r="K15" s="18">
        <f t="shared" si="4"/>
        <v>0</v>
      </c>
      <c r="L15" s="22">
        <v>0</v>
      </c>
      <c r="M15" s="18">
        <f t="shared" si="5"/>
        <v>0</v>
      </c>
      <c r="N15" s="22">
        <v>0</v>
      </c>
      <c r="O15" s="18">
        <f t="shared" si="6"/>
        <v>0</v>
      </c>
      <c r="P15" s="22">
        <v>0</v>
      </c>
      <c r="Q15" s="18">
        <f t="shared" si="6"/>
        <v>0</v>
      </c>
      <c r="R15" s="22">
        <v>0</v>
      </c>
      <c r="S15" s="18">
        <f t="shared" si="6"/>
        <v>0</v>
      </c>
      <c r="T15" s="22">
        <f t="shared" si="7"/>
        <v>0</v>
      </c>
      <c r="U15" s="18">
        <f t="shared" si="6"/>
        <v>0</v>
      </c>
      <c r="V15" s="22">
        <f t="shared" si="8"/>
        <v>0</v>
      </c>
      <c r="W15" s="18">
        <f t="shared" si="6"/>
        <v>0</v>
      </c>
      <c r="X15" s="22">
        <f t="shared" si="9"/>
        <v>0</v>
      </c>
      <c r="Y15" s="18">
        <f t="shared" si="6"/>
        <v>0</v>
      </c>
      <c r="Z15" s="22"/>
    </row>
    <row r="16" spans="1:26" ht="16.5" x14ac:dyDescent="0.35">
      <c r="A16" s="16" t="s">
        <v>31</v>
      </c>
      <c r="B16" s="27">
        <f>2.32+6.08+13.22+239.82</f>
        <v>261.44</v>
      </c>
      <c r="C16" s="28">
        <f t="shared" si="0"/>
        <v>0.14629942585981129</v>
      </c>
      <c r="D16" s="27">
        <f>2.18+4.35+12.47+275.1</f>
        <v>294.10000000000002</v>
      </c>
      <c r="E16" s="28">
        <f t="shared" si="1"/>
        <v>0.14860139860139859</v>
      </c>
      <c r="F16" s="27">
        <f>0.58+2.73+11.49+313.69</f>
        <v>328.49</v>
      </c>
      <c r="G16" s="28">
        <f t="shared" si="2"/>
        <v>0.16871857296208981</v>
      </c>
      <c r="H16" s="29">
        <f>2.43+10.33+221.88</f>
        <v>234.64</v>
      </c>
      <c r="I16" s="28">
        <f t="shared" si="3"/>
        <v>0.15438264050636241</v>
      </c>
      <c r="J16" s="29">
        <f>4.41+11.99+229.97</f>
        <v>246.37</v>
      </c>
      <c r="K16" s="28">
        <f t="shared" ref="K16" si="10">+J16/J$17</f>
        <v>0.13969721025175777</v>
      </c>
      <c r="L16" s="27">
        <f>5.7+13.29+248.54</f>
        <v>267.52999999999997</v>
      </c>
      <c r="M16" s="28">
        <f t="shared" ref="M16" si="11">+L16/L$17</f>
        <v>0.15500538836807767</v>
      </c>
      <c r="N16" s="27">
        <f>5.81+13.51+230.86</f>
        <v>250.18</v>
      </c>
      <c r="O16" s="28">
        <f t="shared" ref="O16:Y17" si="12">+N16/N$17</f>
        <v>0.15928640099832553</v>
      </c>
      <c r="P16" s="27">
        <f>5.71+13.27+255.79</f>
        <v>274.77</v>
      </c>
      <c r="Q16" s="28">
        <f t="shared" si="12"/>
        <v>0.14908358924831527</v>
      </c>
      <c r="R16" s="27">
        <f>5.17+12.02+216.64</f>
        <v>233.82999999999998</v>
      </c>
      <c r="S16" s="28">
        <f t="shared" si="12"/>
        <v>0.14010185739964048</v>
      </c>
      <c r="T16" s="27">
        <f>221.81+11.11+5.8</f>
        <v>238.72000000000003</v>
      </c>
      <c r="U16" s="28">
        <f t="shared" si="12"/>
        <v>0.14400154425248529</v>
      </c>
      <c r="V16" s="27">
        <f>5.13+10.42+216.58</f>
        <v>232.13000000000002</v>
      </c>
      <c r="W16" s="28">
        <f t="shared" si="12"/>
        <v>0.14026829415674666</v>
      </c>
      <c r="X16" s="27">
        <f>221.93+9.36+3.97</f>
        <v>235.26000000000002</v>
      </c>
      <c r="Y16" s="28">
        <f t="shared" si="12"/>
        <v>0.14828868578632209</v>
      </c>
      <c r="Z16" s="22"/>
    </row>
    <row r="17" spans="1:26" s="13" customFormat="1" ht="15.75" thickBot="1" x14ac:dyDescent="0.3">
      <c r="A17" s="24"/>
      <c r="B17" s="26">
        <f>SUM(B6:B16)</f>
        <v>1787.0200000000002</v>
      </c>
      <c r="C17" s="25">
        <f t="shared" si="0"/>
        <v>1</v>
      </c>
      <c r="D17" s="26">
        <f>SUM(D6:D16)</f>
        <v>1979.1200000000003</v>
      </c>
      <c r="E17" s="25">
        <f t="shared" si="1"/>
        <v>1</v>
      </c>
      <c r="F17" s="26">
        <f>SUM(F6:F16)</f>
        <v>1946.97</v>
      </c>
      <c r="G17" s="25">
        <f t="shared" si="2"/>
        <v>1</v>
      </c>
      <c r="H17" s="26">
        <f>SUM(H6:H16)</f>
        <v>1519.8600000000001</v>
      </c>
      <c r="I17" s="25">
        <f t="shared" si="3"/>
        <v>1</v>
      </c>
      <c r="J17" s="26">
        <f>SUM(J6:J16)</f>
        <v>1763.6</v>
      </c>
      <c r="K17" s="25">
        <f t="shared" ref="K17" si="13">+J17/J$17</f>
        <v>1</v>
      </c>
      <c r="L17" s="26">
        <f>SUM(L6:L16)</f>
        <v>1725.9399999999998</v>
      </c>
      <c r="M17" s="25">
        <f t="shared" ref="M17" si="14">+L17/L$17</f>
        <v>1</v>
      </c>
      <c r="N17" s="26">
        <f>SUM(N6:N16)</f>
        <v>1570.6299999999999</v>
      </c>
      <c r="O17" s="25">
        <f t="shared" ref="O17:S17" si="15">+N17/N$17</f>
        <v>1</v>
      </c>
      <c r="P17" s="26">
        <f>SUM(P6:P16)</f>
        <v>1843.0600000000002</v>
      </c>
      <c r="Q17" s="25">
        <f t="shared" si="15"/>
        <v>1</v>
      </c>
      <c r="R17" s="26">
        <f>SUM(R6:R16)</f>
        <v>1669</v>
      </c>
      <c r="S17" s="25">
        <f t="shared" si="15"/>
        <v>1</v>
      </c>
      <c r="T17" s="26">
        <f>SUM(T6:T16)</f>
        <v>1657.7600000000002</v>
      </c>
      <c r="U17" s="25">
        <f t="shared" si="12"/>
        <v>1</v>
      </c>
      <c r="V17" s="26">
        <f>SUM(V6:V16)</f>
        <v>1654.8999999999999</v>
      </c>
      <c r="W17" s="25">
        <f t="shared" si="12"/>
        <v>1</v>
      </c>
      <c r="X17" s="26">
        <f>SUM(X6:X16)</f>
        <v>1586.5</v>
      </c>
      <c r="Y17" s="25">
        <f t="shared" si="12"/>
        <v>1</v>
      </c>
      <c r="Z17" s="22"/>
    </row>
    <row r="18" spans="1:26" ht="15.75" thickTop="1" x14ac:dyDescent="0.25">
      <c r="Z18" s="22"/>
    </row>
    <row r="19" spans="1:26" x14ac:dyDescent="0.25">
      <c r="Z19" s="22"/>
    </row>
    <row r="20" spans="1:26" x14ac:dyDescent="0.25">
      <c r="E20" s="39"/>
    </row>
    <row r="21" spans="1:26" x14ac:dyDescent="0.25">
      <c r="A21" s="32" t="s">
        <v>33</v>
      </c>
      <c r="B21" s="32"/>
      <c r="C21" s="32"/>
      <c r="D21" s="41"/>
      <c r="E21" s="41"/>
    </row>
    <row r="22" spans="1:26" x14ac:dyDescent="0.25">
      <c r="A22" s="16" t="s">
        <v>23</v>
      </c>
      <c r="B22" s="97">
        <v>54.24</v>
      </c>
      <c r="C22" s="16"/>
      <c r="D22" s="97">
        <v>57.77</v>
      </c>
      <c r="E22" s="42"/>
      <c r="F22" s="97">
        <v>59.43</v>
      </c>
      <c r="H22" s="97">
        <v>54.85</v>
      </c>
      <c r="J22" s="97">
        <v>61.4</v>
      </c>
      <c r="L22" s="97">
        <v>73.27</v>
      </c>
      <c r="N22" s="97">
        <v>76.39</v>
      </c>
      <c r="P22" s="97">
        <v>93.35</v>
      </c>
      <c r="Q22" s="39"/>
      <c r="R22" s="39">
        <v>109.26</v>
      </c>
      <c r="S22" s="39"/>
      <c r="T22" s="102">
        <v>116.07</v>
      </c>
      <c r="U22" s="102"/>
      <c r="V22" s="102">
        <v>122.39</v>
      </c>
      <c r="W22" s="101"/>
      <c r="X22" s="102">
        <v>117.57</v>
      </c>
      <c r="Y22" s="39"/>
      <c r="Z22" s="39"/>
    </row>
    <row r="23" spans="1:26" x14ac:dyDescent="0.25">
      <c r="A23" s="16" t="s">
        <v>24</v>
      </c>
      <c r="B23" s="97">
        <v>-55.5</v>
      </c>
      <c r="C23" s="16"/>
      <c r="D23" s="97">
        <v>-55</v>
      </c>
      <c r="E23" s="42"/>
      <c r="F23" s="97">
        <v>0</v>
      </c>
      <c r="H23" s="97">
        <v>0</v>
      </c>
      <c r="J23" s="97">
        <v>0</v>
      </c>
      <c r="L23" s="97">
        <v>0</v>
      </c>
      <c r="N23" s="97">
        <v>0</v>
      </c>
      <c r="P23" s="97">
        <v>0</v>
      </c>
      <c r="Q23" s="39"/>
      <c r="R23" s="39">
        <v>0</v>
      </c>
      <c r="S23" s="39"/>
      <c r="T23" s="102">
        <f t="shared" ref="T23:T31" si="16">+R23</f>
        <v>0</v>
      </c>
      <c r="U23" s="102"/>
      <c r="V23" s="102">
        <f t="shared" ref="V23:V31" si="17">+T23</f>
        <v>0</v>
      </c>
      <c r="W23" s="101"/>
      <c r="X23" s="102">
        <f t="shared" ref="X23:X31" si="18">+V23</f>
        <v>0</v>
      </c>
      <c r="Y23" s="39"/>
      <c r="Z23" s="39"/>
    </row>
    <row r="24" spans="1:26" x14ac:dyDescent="0.25">
      <c r="A24" s="16" t="s">
        <v>20</v>
      </c>
      <c r="B24" s="97">
        <v>101.46</v>
      </c>
      <c r="C24" s="16"/>
      <c r="D24" s="97">
        <v>109.54</v>
      </c>
      <c r="E24" s="42"/>
      <c r="F24" s="97">
        <v>113.84</v>
      </c>
      <c r="H24" s="97">
        <v>102.04</v>
      </c>
      <c r="J24" s="97">
        <v>103.48</v>
      </c>
      <c r="L24" s="97">
        <v>112.96</v>
      </c>
      <c r="N24" s="97">
        <v>122.77</v>
      </c>
      <c r="P24" s="97">
        <v>131.6</v>
      </c>
      <c r="Q24" s="39"/>
      <c r="R24" s="39">
        <v>152.5</v>
      </c>
      <c r="S24" s="39"/>
      <c r="T24" s="102">
        <v>162.5</v>
      </c>
      <c r="U24" s="102"/>
      <c r="V24" s="102">
        <v>172.5</v>
      </c>
      <c r="W24" s="101"/>
      <c r="X24" s="102">
        <v>167.5</v>
      </c>
      <c r="Y24" s="39"/>
      <c r="Z24" s="39"/>
    </row>
    <row r="25" spans="1:26" x14ac:dyDescent="0.25">
      <c r="A25" s="16" t="s">
        <v>25</v>
      </c>
      <c r="B25" s="97">
        <v>975.86</v>
      </c>
      <c r="C25" s="16"/>
      <c r="D25" s="97">
        <v>1032.32</v>
      </c>
      <c r="E25" s="42"/>
      <c r="F25" s="97">
        <v>1054.52</v>
      </c>
      <c r="H25" s="97">
        <v>1049.67</v>
      </c>
      <c r="J25" s="97">
        <v>1209.6600000000001</v>
      </c>
      <c r="L25" s="97">
        <v>1305.82</v>
      </c>
      <c r="N25" s="97">
        <v>1396</v>
      </c>
      <c r="P25" s="97">
        <v>1433.21</v>
      </c>
      <c r="Q25" s="39"/>
      <c r="R25" s="39">
        <v>1480.11</v>
      </c>
      <c r="S25" s="39"/>
      <c r="T25" s="102">
        <v>1597.6</v>
      </c>
      <c r="U25" s="102"/>
      <c r="V25" s="102">
        <v>1783.88</v>
      </c>
      <c r="W25" s="101"/>
      <c r="X25" s="102">
        <v>1759.22</v>
      </c>
      <c r="Y25" s="39"/>
      <c r="Z25" s="39"/>
    </row>
    <row r="26" spans="1:26" x14ac:dyDescent="0.25">
      <c r="A26" s="16" t="s">
        <v>29</v>
      </c>
      <c r="B26" s="97">
        <v>110.74</v>
      </c>
      <c r="C26" s="16"/>
      <c r="D26" s="97">
        <v>137.81</v>
      </c>
      <c r="E26" s="42"/>
      <c r="F26" s="97">
        <v>208.4</v>
      </c>
      <c r="H26" s="97">
        <v>160.31</v>
      </c>
      <c r="J26" s="97">
        <v>199.71</v>
      </c>
      <c r="L26" s="97">
        <v>179.62</v>
      </c>
      <c r="N26" s="97">
        <v>199.64</v>
      </c>
      <c r="P26" s="97">
        <v>191.77</v>
      </c>
      <c r="Q26" s="39"/>
      <c r="R26" s="39">
        <v>241.83</v>
      </c>
      <c r="S26" s="39"/>
      <c r="T26" s="102">
        <v>226.93</v>
      </c>
      <c r="U26" s="102"/>
      <c r="V26" s="102">
        <v>214.73</v>
      </c>
      <c r="W26" s="101"/>
      <c r="X26" s="102">
        <v>231.3</v>
      </c>
      <c r="Y26" s="39"/>
      <c r="Z26" s="39"/>
    </row>
    <row r="27" spans="1:26" x14ac:dyDescent="0.25">
      <c r="A27" s="16" t="s">
        <v>21</v>
      </c>
      <c r="B27" s="97">
        <v>-63.5</v>
      </c>
      <c r="C27" s="97"/>
      <c r="D27" s="97">
        <v>-63.5</v>
      </c>
      <c r="E27" s="97"/>
      <c r="F27" s="97">
        <v>-63.5</v>
      </c>
      <c r="G27" s="97"/>
      <c r="H27" s="97">
        <v>-63.5</v>
      </c>
      <c r="I27" s="97"/>
      <c r="J27" s="97">
        <v>-63.5</v>
      </c>
      <c r="K27" s="97"/>
      <c r="L27" s="97">
        <v>-63.5</v>
      </c>
      <c r="M27" s="97"/>
      <c r="N27" s="97">
        <v>-63.5</v>
      </c>
      <c r="O27" s="97"/>
      <c r="P27" s="97">
        <v>-63.5</v>
      </c>
      <c r="Q27" s="97"/>
      <c r="R27" s="97">
        <v>-63.5</v>
      </c>
      <c r="S27" s="97"/>
      <c r="T27" s="102">
        <f t="shared" si="16"/>
        <v>-63.5</v>
      </c>
      <c r="U27" s="102"/>
      <c r="V27" s="102">
        <f t="shared" si="17"/>
        <v>-63.5</v>
      </c>
      <c r="W27" s="101"/>
      <c r="X27" s="102">
        <f t="shared" si="18"/>
        <v>-63.5</v>
      </c>
      <c r="Y27" s="39"/>
      <c r="Z27" s="39"/>
    </row>
    <row r="28" spans="1:26" x14ac:dyDescent="0.25">
      <c r="A28" s="16" t="s">
        <v>22</v>
      </c>
      <c r="B28" s="97">
        <v>36.729999999999997</v>
      </c>
      <c r="C28" s="16"/>
      <c r="D28" s="97">
        <v>40.39</v>
      </c>
      <c r="E28" s="42"/>
      <c r="F28" s="97">
        <v>50</v>
      </c>
      <c r="H28" s="97">
        <v>70</v>
      </c>
      <c r="J28" s="97">
        <v>70</v>
      </c>
      <c r="L28" s="97">
        <v>155</v>
      </c>
      <c r="N28" s="97">
        <v>200</v>
      </c>
      <c r="P28" s="97">
        <v>305</v>
      </c>
      <c r="Q28" s="39"/>
      <c r="R28" s="39">
        <v>317.25</v>
      </c>
      <c r="S28" s="39"/>
      <c r="T28" s="102">
        <v>335.93</v>
      </c>
      <c r="U28" s="102"/>
      <c r="V28" s="102">
        <v>350.07</v>
      </c>
      <c r="W28" s="101"/>
      <c r="X28" s="102">
        <v>240</v>
      </c>
      <c r="Y28" s="39"/>
      <c r="Z28" s="39"/>
    </row>
    <row r="29" spans="1:26" x14ac:dyDescent="0.25">
      <c r="A29" s="16" t="s">
        <v>26</v>
      </c>
      <c r="B29" s="97">
        <v>1200</v>
      </c>
      <c r="C29" s="16"/>
      <c r="D29" s="97">
        <v>1200</v>
      </c>
      <c r="E29" s="42"/>
      <c r="F29" s="97">
        <v>1240</v>
      </c>
      <c r="H29" s="97">
        <v>1280</v>
      </c>
      <c r="J29" s="97">
        <v>1410</v>
      </c>
      <c r="L29" s="97">
        <v>1520</v>
      </c>
      <c r="N29" s="97">
        <v>1640</v>
      </c>
      <c r="P29" s="97">
        <v>1800</v>
      </c>
      <c r="Q29" s="39"/>
      <c r="R29" s="39">
        <v>1990</v>
      </c>
      <c r="S29" s="39"/>
      <c r="T29" s="102">
        <v>2040</v>
      </c>
      <c r="U29" s="102"/>
      <c r="V29" s="102">
        <v>2040</v>
      </c>
      <c r="W29" s="101"/>
      <c r="X29" s="102">
        <v>2020</v>
      </c>
      <c r="Y29" s="39"/>
      <c r="Z29" s="39"/>
    </row>
    <row r="30" spans="1:26" x14ac:dyDescent="0.25">
      <c r="A30" s="16" t="s">
        <v>27</v>
      </c>
      <c r="B30" s="97">
        <v>280</v>
      </c>
      <c r="C30" s="16"/>
      <c r="D30" s="97">
        <v>280</v>
      </c>
      <c r="E30" s="42"/>
      <c r="F30" s="97">
        <v>280</v>
      </c>
      <c r="H30" s="97">
        <v>280</v>
      </c>
      <c r="J30" s="97">
        <v>320</v>
      </c>
      <c r="L30" s="97">
        <v>400</v>
      </c>
      <c r="N30" s="97">
        <v>640</v>
      </c>
      <c r="P30" s="97">
        <v>840</v>
      </c>
      <c r="Q30" s="39"/>
      <c r="R30" s="39">
        <v>1040</v>
      </c>
      <c r="S30" s="39"/>
      <c r="T30" s="102">
        <v>1050</v>
      </c>
      <c r="U30" s="102"/>
      <c r="V30" s="102">
        <v>1050</v>
      </c>
      <c r="W30" s="101"/>
      <c r="X30" s="102">
        <v>1010</v>
      </c>
      <c r="Y30" s="39"/>
      <c r="Z30" s="39"/>
    </row>
    <row r="31" spans="1:26" x14ac:dyDescent="0.25">
      <c r="A31" s="16" t="s">
        <v>28</v>
      </c>
      <c r="B31" s="97">
        <v>-197.5</v>
      </c>
      <c r="C31" s="16"/>
      <c r="D31" s="97">
        <v>-197.5</v>
      </c>
      <c r="E31" s="42"/>
      <c r="F31" s="97">
        <v>-197.5</v>
      </c>
      <c r="H31" s="97">
        <v>-197.5</v>
      </c>
      <c r="J31" s="97">
        <v>-197.5</v>
      </c>
      <c r="K31" s="97"/>
      <c r="L31" s="97">
        <v>-197.5</v>
      </c>
      <c r="N31" s="97">
        <v>-197.5</v>
      </c>
      <c r="P31" s="97">
        <v>-197.5</v>
      </c>
      <c r="Q31" s="39"/>
      <c r="R31" s="39">
        <v>-197.5</v>
      </c>
      <c r="S31" s="39"/>
      <c r="T31" s="102">
        <f t="shared" si="16"/>
        <v>-197.5</v>
      </c>
      <c r="U31" s="102"/>
      <c r="V31" s="102">
        <f t="shared" si="17"/>
        <v>-197.5</v>
      </c>
      <c r="W31" s="101"/>
      <c r="X31" s="102">
        <f t="shared" si="18"/>
        <v>-197.5</v>
      </c>
      <c r="Y31" s="39"/>
      <c r="Z31" s="39"/>
    </row>
    <row r="32" spans="1:26" x14ac:dyDescent="0.25">
      <c r="E32" s="39"/>
      <c r="V32" s="98"/>
    </row>
    <row r="35" spans="1:24" x14ac:dyDescent="0.25">
      <c r="A35" s="32" t="s">
        <v>34</v>
      </c>
      <c r="B35" s="32"/>
      <c r="C35" s="32"/>
      <c r="D35" s="32"/>
      <c r="E35" s="32"/>
    </row>
    <row r="36" spans="1:24" x14ac:dyDescent="0.25">
      <c r="A36" s="16" t="s">
        <v>23</v>
      </c>
      <c r="B36" s="33">
        <f>+B6*B22</f>
        <v>21052.713599999999</v>
      </c>
      <c r="C36" s="16"/>
      <c r="D36" s="33">
        <f>+D6*D22</f>
        <v>24078.536000000004</v>
      </c>
      <c r="E36" s="16"/>
      <c r="F36" s="33">
        <f>+F6*F22</f>
        <v>19406.272199999999</v>
      </c>
      <c r="H36" s="33">
        <f>+H6*H22</f>
        <v>15712.331</v>
      </c>
      <c r="J36" s="33">
        <f>+J6*J22</f>
        <v>22653.53</v>
      </c>
      <c r="L36" s="33">
        <f>+L6*L22</f>
        <v>21662.275499999996</v>
      </c>
      <c r="N36" s="33">
        <f>+N6*N22</f>
        <v>18558.950499999999</v>
      </c>
      <c r="P36" s="33">
        <f>+P6*P22</f>
        <v>30346.217999999997</v>
      </c>
      <c r="R36" s="33">
        <f>+R6*R22</f>
        <v>32568.220799999999</v>
      </c>
      <c r="T36" s="33">
        <f>+T6*T22</f>
        <v>32172.282599999999</v>
      </c>
      <c r="V36" s="33">
        <f>+V6*V22</f>
        <v>35762.358</v>
      </c>
      <c r="X36" s="33">
        <f>+X6*X22</f>
        <v>31538.152499999997</v>
      </c>
    </row>
    <row r="37" spans="1:24" x14ac:dyDescent="0.25">
      <c r="A37" s="16" t="s">
        <v>24</v>
      </c>
      <c r="B37" s="33">
        <f t="shared" ref="B37:D37" si="19">+B7*B23</f>
        <v>0</v>
      </c>
      <c r="C37" s="16"/>
      <c r="D37" s="33">
        <f t="shared" si="19"/>
        <v>0</v>
      </c>
      <c r="E37" s="16"/>
      <c r="F37" s="33">
        <f t="shared" ref="F37:H45" si="20">+F7*F23</f>
        <v>0</v>
      </c>
      <c r="H37" s="33">
        <f t="shared" si="20"/>
        <v>0</v>
      </c>
      <c r="J37" s="33">
        <f t="shared" ref="J37" si="21">+J7*J23</f>
        <v>0</v>
      </c>
      <c r="L37" s="33">
        <f t="shared" ref="L37" si="22">+L7*L23</f>
        <v>0</v>
      </c>
      <c r="N37" s="33">
        <f t="shared" ref="N37:P37" si="23">+N7*N23</f>
        <v>0</v>
      </c>
      <c r="P37" s="33">
        <f t="shared" si="23"/>
        <v>0</v>
      </c>
      <c r="R37" s="33">
        <f t="shared" ref="R37:T37" si="24">+R7*R23</f>
        <v>0</v>
      </c>
      <c r="T37" s="33">
        <f t="shared" si="24"/>
        <v>0</v>
      </c>
      <c r="V37" s="33">
        <f t="shared" ref="V37:X37" si="25">+V7*V23</f>
        <v>0</v>
      </c>
      <c r="X37" s="33">
        <f t="shared" si="25"/>
        <v>0</v>
      </c>
    </row>
    <row r="38" spans="1:24" x14ac:dyDescent="0.25">
      <c r="A38" s="16" t="s">
        <v>20</v>
      </c>
      <c r="B38" s="33">
        <f t="shared" ref="B38:D38" si="26">+B8*B24</f>
        <v>71817.446400000001</v>
      </c>
      <c r="C38" s="16"/>
      <c r="D38" s="33">
        <f t="shared" si="26"/>
        <v>86955.04280000001</v>
      </c>
      <c r="E38" s="16"/>
      <c r="F38" s="33">
        <f t="shared" si="20"/>
        <v>100015.27039999999</v>
      </c>
      <c r="H38" s="33">
        <f t="shared" si="20"/>
        <v>63098.474800000004</v>
      </c>
      <c r="J38" s="33">
        <f t="shared" ref="J38" si="27">+J8*J24</f>
        <v>73619.811200000011</v>
      </c>
      <c r="L38" s="33">
        <f t="shared" ref="L38" si="28">+L8*L24</f>
        <v>83171.318399999989</v>
      </c>
      <c r="N38" s="33">
        <f t="shared" ref="N38:P38" si="29">+N8*N24</f>
        <v>81479.993599999987</v>
      </c>
      <c r="P38" s="33">
        <f t="shared" si="29"/>
        <v>105691.908</v>
      </c>
      <c r="R38" s="33">
        <f t="shared" ref="R38:T38" si="30">+R8*R24</f>
        <v>110156.85</v>
      </c>
      <c r="T38" s="33">
        <f t="shared" si="30"/>
        <v>116725.37499999999</v>
      </c>
      <c r="V38" s="33">
        <f t="shared" ref="V38:X38" si="31">+V8*V24</f>
        <v>130634.24999999999</v>
      </c>
      <c r="X38" s="33">
        <f t="shared" si="31"/>
        <v>121800.97499999999</v>
      </c>
    </row>
    <row r="39" spans="1:24" x14ac:dyDescent="0.25">
      <c r="A39" s="16" t="s">
        <v>25</v>
      </c>
      <c r="B39" s="33">
        <f t="shared" ref="B39:D39" si="32">+B9*B25</f>
        <v>28426.801800000001</v>
      </c>
      <c r="C39" s="16"/>
      <c r="D39" s="33">
        <f t="shared" si="32"/>
        <v>35140.1728</v>
      </c>
      <c r="E39" s="16"/>
      <c r="F39" s="33">
        <f t="shared" si="20"/>
        <v>31002.887999999999</v>
      </c>
      <c r="H39" s="33">
        <f t="shared" si="20"/>
        <v>24089.926500000001</v>
      </c>
      <c r="J39" s="33">
        <f t="shared" ref="J39" si="33">+J9*J25</f>
        <v>37330.107600000003</v>
      </c>
      <c r="L39" s="33">
        <f t="shared" ref="L39" si="34">+L9*L25</f>
        <v>40336.779799999997</v>
      </c>
      <c r="N39" s="33">
        <f t="shared" ref="N39:P39" si="35">+N9*N25</f>
        <v>40121.040000000001</v>
      </c>
      <c r="P39" s="33">
        <f t="shared" si="35"/>
        <v>52555.810700000002</v>
      </c>
      <c r="R39" s="33">
        <f t="shared" ref="R39:T39" si="36">+R9*R25</f>
        <v>52129.474199999997</v>
      </c>
      <c r="T39" s="33">
        <f t="shared" si="36"/>
        <v>58536.063999999998</v>
      </c>
      <c r="V39" s="33">
        <f t="shared" ref="V39:X39" si="37">+V9*V25</f>
        <v>57262.548000000003</v>
      </c>
      <c r="X39" s="33">
        <f t="shared" si="37"/>
        <v>51070.156600000002</v>
      </c>
    </row>
    <row r="40" spans="1:24" x14ac:dyDescent="0.25">
      <c r="A40" s="16" t="s">
        <v>29</v>
      </c>
      <c r="B40" s="33">
        <f t="shared" ref="B40:D40" si="38">+B10*B26</f>
        <v>4709.7722000000003</v>
      </c>
      <c r="C40" s="16"/>
      <c r="D40" s="33">
        <f t="shared" si="38"/>
        <v>6164.2412999999997</v>
      </c>
      <c r="E40" s="16"/>
      <c r="F40" s="33">
        <f t="shared" si="20"/>
        <v>8563.1560000000009</v>
      </c>
      <c r="H40" s="33">
        <f t="shared" si="20"/>
        <v>5141.1417000000001</v>
      </c>
      <c r="J40" s="33">
        <f t="shared" ref="J40" si="39">+J10*J26</f>
        <v>7888.5450000000001</v>
      </c>
      <c r="L40" s="33">
        <f t="shared" ref="L40" si="40">+L10*L26</f>
        <v>6478.8933999999999</v>
      </c>
      <c r="N40" s="33">
        <f t="shared" ref="N40:P40" si="41">+N10*N26</f>
        <v>7242.9391999999998</v>
      </c>
      <c r="P40" s="33">
        <f t="shared" si="41"/>
        <v>7139.5971</v>
      </c>
      <c r="R40" s="33">
        <f t="shared" ref="R40:T40" si="42">+R10*R26</f>
        <v>6860.7171000000008</v>
      </c>
      <c r="T40" s="33">
        <f t="shared" si="42"/>
        <v>6658.1262000000006</v>
      </c>
      <c r="V40" s="33">
        <f t="shared" ref="V40:X40" si="43">+V10*V26</f>
        <v>6360.3026</v>
      </c>
      <c r="X40" s="33">
        <f t="shared" si="43"/>
        <v>7410.8519999999999</v>
      </c>
    </row>
    <row r="41" spans="1:24" x14ac:dyDescent="0.25">
      <c r="A41" s="16" t="s">
        <v>21</v>
      </c>
      <c r="B41" s="33">
        <f t="shared" ref="B41:D41" si="44">+B11*B27</f>
        <v>-17362.170000000002</v>
      </c>
      <c r="C41" s="16"/>
      <c r="D41" s="33">
        <f t="shared" si="44"/>
        <v>-19743.420000000002</v>
      </c>
      <c r="E41" s="16"/>
      <c r="F41" s="33">
        <f t="shared" si="20"/>
        <v>-16506.825000000001</v>
      </c>
      <c r="H41" s="33">
        <f t="shared" si="20"/>
        <v>-16221.710000000001</v>
      </c>
      <c r="J41" s="33">
        <f t="shared" ref="J41" si="45">+J11*J27</f>
        <v>-17593.310000000001</v>
      </c>
      <c r="L41" s="33">
        <f t="shared" ref="L41" si="46">+L11*L27</f>
        <v>-17677.764999999999</v>
      </c>
      <c r="N41" s="33">
        <f t="shared" ref="N41:P41" si="47">+N11*N27</f>
        <v>-16743.68</v>
      </c>
      <c r="P41" s="33">
        <f t="shared" si="47"/>
        <v>-15903.574999999999</v>
      </c>
      <c r="R41" s="33">
        <f t="shared" ref="R41:T41" si="48">+R11*R27</f>
        <v>-15982.315000000001</v>
      </c>
      <c r="T41" s="33">
        <f t="shared" si="48"/>
        <v>-15968.98</v>
      </c>
      <c r="V41" s="33">
        <f t="shared" ref="V41:X41" si="49">+V11*V27</f>
        <v>-14183.995000000001</v>
      </c>
      <c r="X41" s="33">
        <f t="shared" si="49"/>
        <v>-13135.61</v>
      </c>
    </row>
    <row r="42" spans="1:24" x14ac:dyDescent="0.25">
      <c r="A42" s="16" t="s">
        <v>22</v>
      </c>
      <c r="B42" s="33">
        <f t="shared" ref="B42:D42" si="50">+B12*B28</f>
        <v>2113.4441999999999</v>
      </c>
      <c r="C42" s="16"/>
      <c r="D42" s="33">
        <f t="shared" si="50"/>
        <v>2326.0601000000001</v>
      </c>
      <c r="E42" s="16"/>
      <c r="F42" s="33">
        <f t="shared" si="20"/>
        <v>2959.5</v>
      </c>
      <c r="H42" s="33">
        <f t="shared" si="20"/>
        <v>3287.2000000000003</v>
      </c>
      <c r="J42" s="33">
        <f t="shared" ref="J42" si="51">+J12*J28</f>
        <v>4345.5999999999995</v>
      </c>
      <c r="L42" s="33">
        <f t="shared" ref="L42" si="52">+L12*L28</f>
        <v>9014.7999999999993</v>
      </c>
      <c r="N42" s="33">
        <f t="shared" ref="N42:P42" si="53">+N12*N28</f>
        <v>12502</v>
      </c>
      <c r="P42" s="33">
        <f t="shared" si="53"/>
        <v>26922.35</v>
      </c>
      <c r="R42" s="33">
        <f t="shared" ref="R42:T42" si="54">+R12*R28</f>
        <v>24091.965</v>
      </c>
      <c r="T42" s="33">
        <f t="shared" si="54"/>
        <v>26451.128199999999</v>
      </c>
      <c r="V42" s="33">
        <f t="shared" ref="V42:X42" si="55">+V12*V28</f>
        <v>22646.028299999998</v>
      </c>
      <c r="X42" s="33">
        <f t="shared" si="55"/>
        <v>15115.199999999999</v>
      </c>
    </row>
    <row r="43" spans="1:24" x14ac:dyDescent="0.25">
      <c r="A43" s="16" t="s">
        <v>26</v>
      </c>
      <c r="B43" s="33">
        <f t="shared" ref="B43:D43" si="56">+B13*B29</f>
        <v>19295.999999999996</v>
      </c>
      <c r="C43" s="16"/>
      <c r="D43" s="33">
        <f t="shared" si="56"/>
        <v>18528</v>
      </c>
      <c r="E43" s="16"/>
      <c r="F43" s="33">
        <f t="shared" si="20"/>
        <v>18104</v>
      </c>
      <c r="H43" s="33">
        <f t="shared" si="20"/>
        <v>11084.8</v>
      </c>
      <c r="J43" s="33">
        <f t="shared" ref="J43" si="57">+J13*J29</f>
        <v>24125.1</v>
      </c>
      <c r="L43" s="33">
        <f t="shared" ref="L43" si="58">+L13*L29</f>
        <v>19942.399999999998</v>
      </c>
      <c r="N43" s="33">
        <f t="shared" ref="N43:P43" si="59">+N13*N29</f>
        <v>21369.200000000001</v>
      </c>
      <c r="P43" s="33">
        <f t="shared" si="59"/>
        <v>27864</v>
      </c>
      <c r="R43" s="33">
        <f t="shared" ref="R43:T43" si="60">+R13*R29</f>
        <v>25909.8</v>
      </c>
      <c r="T43" s="33">
        <f t="shared" si="60"/>
        <v>33476.400000000001</v>
      </c>
      <c r="V43" s="33">
        <f t="shared" ref="V43:X43" si="61">+V13*V29</f>
        <v>26662.799999999999</v>
      </c>
      <c r="X43" s="33">
        <f t="shared" si="61"/>
        <v>29168.799999999999</v>
      </c>
    </row>
    <row r="44" spans="1:24" x14ac:dyDescent="0.25">
      <c r="A44" s="16" t="s">
        <v>27</v>
      </c>
      <c r="B44" s="33">
        <f t="shared" ref="B44:D44" si="62">+B14*B30</f>
        <v>3052</v>
      </c>
      <c r="C44" s="16"/>
      <c r="D44" s="33">
        <f t="shared" si="62"/>
        <v>3270.4</v>
      </c>
      <c r="E44" s="16"/>
      <c r="F44" s="33">
        <f t="shared" si="20"/>
        <v>2562</v>
      </c>
      <c r="H44" s="33">
        <f t="shared" si="20"/>
        <v>4001.2</v>
      </c>
      <c r="J44" s="33">
        <f t="shared" ref="J44" si="63">+J14*J30</f>
        <v>3273.6000000000004</v>
      </c>
      <c r="L44" s="33">
        <f t="shared" ref="L44" si="64">+L14*L30</f>
        <v>3936</v>
      </c>
      <c r="N44" s="33">
        <f t="shared" ref="N44:P44" si="65">+N14*N30</f>
        <v>6131.2</v>
      </c>
      <c r="P44" s="33">
        <f t="shared" si="65"/>
        <v>10063.200000000001</v>
      </c>
      <c r="R44" s="33">
        <f t="shared" ref="R44:T44" si="66">+R14*R30</f>
        <v>10930.4</v>
      </c>
      <c r="T44" s="33">
        <f t="shared" si="66"/>
        <v>11487</v>
      </c>
      <c r="V44" s="33">
        <f t="shared" ref="V44:X44" si="67">+V14*V30</f>
        <v>10941</v>
      </c>
      <c r="X44" s="33">
        <f t="shared" si="67"/>
        <v>10574.7</v>
      </c>
    </row>
    <row r="45" spans="1:24" ht="17.25" x14ac:dyDescent="0.4">
      <c r="A45" s="16" t="s">
        <v>28</v>
      </c>
      <c r="B45" s="34">
        <f t="shared" ref="B45:D45" si="68">+B15*B31</f>
        <v>0</v>
      </c>
      <c r="C45" s="16"/>
      <c r="D45" s="34">
        <f t="shared" si="68"/>
        <v>0</v>
      </c>
      <c r="E45" s="16"/>
      <c r="F45" s="34">
        <f t="shared" si="20"/>
        <v>0</v>
      </c>
      <c r="H45" s="34">
        <f t="shared" si="20"/>
        <v>0</v>
      </c>
      <c r="J45" s="34">
        <f t="shared" ref="J45" si="69">+J15*J31</f>
        <v>0</v>
      </c>
      <c r="L45" s="34">
        <f t="shared" ref="L45" si="70">+L15*L31</f>
        <v>0</v>
      </c>
      <c r="N45" s="34">
        <f t="shared" ref="N45:P45" si="71">+N15*N31</f>
        <v>0</v>
      </c>
      <c r="P45" s="34">
        <f t="shared" si="71"/>
        <v>0</v>
      </c>
      <c r="R45" s="34">
        <f t="shared" ref="R45:T45" si="72">+R15*R31</f>
        <v>0</v>
      </c>
      <c r="T45" s="34">
        <f t="shared" si="72"/>
        <v>0</v>
      </c>
      <c r="V45" s="34">
        <f t="shared" ref="V45:X45" si="73">+V15*V31</f>
        <v>0</v>
      </c>
      <c r="X45" s="34">
        <f t="shared" si="73"/>
        <v>0</v>
      </c>
    </row>
    <row r="46" spans="1:24" ht="17.25" x14ac:dyDescent="0.4">
      <c r="B46" s="35">
        <f>SUM(B36:B45)</f>
        <v>133106.00820000001</v>
      </c>
      <c r="D46" s="35">
        <f>SUM(D36:D45)</f>
        <v>156719.033</v>
      </c>
      <c r="F46" s="35">
        <f>SUM(F36:F45)</f>
        <v>166106.26159999997</v>
      </c>
      <c r="H46" s="35">
        <f>SUM(H36:H45)</f>
        <v>110193.364</v>
      </c>
      <c r="J46" s="35">
        <f>SUM(J36:J45)</f>
        <v>155642.98380000005</v>
      </c>
      <c r="L46" s="35">
        <f>SUM(L36:L45)</f>
        <v>166864.70209999997</v>
      </c>
      <c r="N46" s="35">
        <f>SUM(N36:N45)</f>
        <v>170661.64330000003</v>
      </c>
      <c r="P46" s="35">
        <f>SUM(P36:P45)</f>
        <v>244679.50880000001</v>
      </c>
      <c r="R46" s="35">
        <f>SUM(R36:R45)</f>
        <v>246665.1121</v>
      </c>
      <c r="T46" s="35">
        <f>SUM(T36:T45)</f>
        <v>269537.39599999995</v>
      </c>
      <c r="V46" s="35">
        <f>SUM(V36:V45)</f>
        <v>276085.29190000001</v>
      </c>
      <c r="X46" s="35">
        <f>SUM(X36:X45)</f>
        <v>253543.22610000003</v>
      </c>
    </row>
    <row r="48" spans="1:24" ht="17.25" x14ac:dyDescent="0.4">
      <c r="A48" s="31" t="s">
        <v>32</v>
      </c>
      <c r="B48" s="30">
        <f>+B17-B16</f>
        <v>1525.5800000000002</v>
      </c>
      <c r="C48" s="31"/>
      <c r="D48" s="30">
        <f>+D17-D16</f>
        <v>1685.0200000000004</v>
      </c>
      <c r="E48" s="31"/>
      <c r="F48" s="30">
        <f>+F17-F16</f>
        <v>1618.48</v>
      </c>
      <c r="G48" s="30"/>
      <c r="H48" s="30">
        <f>+H17-H16</f>
        <v>1285.2200000000003</v>
      </c>
      <c r="I48" s="30"/>
      <c r="J48" s="30">
        <f>+J17-J16</f>
        <v>1517.23</v>
      </c>
      <c r="K48" s="30"/>
      <c r="L48" s="30">
        <f>+L17-L16</f>
        <v>1458.4099999999999</v>
      </c>
      <c r="M48" s="30"/>
      <c r="N48" s="30">
        <f>+N17-N16</f>
        <v>1320.4499999999998</v>
      </c>
      <c r="O48" s="30"/>
      <c r="P48" s="30">
        <f>+P17-P16</f>
        <v>1568.2900000000002</v>
      </c>
      <c r="R48" s="30">
        <f>+R17-R16</f>
        <v>1435.17</v>
      </c>
      <c r="T48" s="30">
        <f>+T17-T16</f>
        <v>1419.0400000000002</v>
      </c>
      <c r="V48" s="30">
        <f>+V17-V16</f>
        <v>1422.7699999999998</v>
      </c>
      <c r="X48" s="30">
        <f>+X17-X16</f>
        <v>1351.24</v>
      </c>
    </row>
    <row r="50" spans="1:24" ht="17.25" x14ac:dyDescent="0.4">
      <c r="A50" s="13" t="s">
        <v>35</v>
      </c>
      <c r="B50" s="36">
        <f>+B46/B48</f>
        <v>87.249444932419138</v>
      </c>
      <c r="C50" s="13"/>
      <c r="D50" s="36">
        <f>+D46/D48</f>
        <v>93.007224246596451</v>
      </c>
      <c r="E50" s="13"/>
      <c r="F50" s="36">
        <f>+F46/F48</f>
        <v>102.63102515940881</v>
      </c>
      <c r="G50" s="36"/>
      <c r="H50" s="36">
        <f t="shared" ref="H50:N50" si="74">+H46/H48</f>
        <v>85.7389116260251</v>
      </c>
      <c r="I50" s="36"/>
      <c r="J50" s="36">
        <f t="shared" si="74"/>
        <v>102.58364506370164</v>
      </c>
      <c r="K50" s="36"/>
      <c r="L50" s="36">
        <f t="shared" si="74"/>
        <v>114.41549502540437</v>
      </c>
      <c r="M50" s="36"/>
      <c r="N50" s="36">
        <f t="shared" si="74"/>
        <v>129.24506289522515</v>
      </c>
      <c r="P50" s="36">
        <f t="shared" ref="P50:R50" si="75">+P46/P48</f>
        <v>156.01674996333585</v>
      </c>
      <c r="R50" s="36">
        <f t="shared" si="75"/>
        <v>171.87170307350348</v>
      </c>
      <c r="T50" s="36">
        <f t="shared" ref="T50:V50" si="76">+T46/T48</f>
        <v>189.94348009922194</v>
      </c>
      <c r="V50" s="36">
        <f t="shared" si="76"/>
        <v>194.04773217034381</v>
      </c>
      <c r="X50" s="36">
        <f t="shared" ref="X50" si="77">+X46/X48</f>
        <v>187.63744863976794</v>
      </c>
    </row>
    <row r="52" spans="1:24" x14ac:dyDescent="0.25">
      <c r="B52" s="33">
        <f t="shared" ref="B52:V52" si="78">SUM(B42:B45)</f>
        <v>24461.444199999998</v>
      </c>
      <c r="C52" s="33"/>
      <c r="D52" s="33">
        <f t="shared" si="78"/>
        <v>24124.4601</v>
      </c>
      <c r="E52" s="33"/>
      <c r="F52" s="33">
        <f t="shared" si="78"/>
        <v>23625.5</v>
      </c>
      <c r="G52" s="33"/>
      <c r="H52" s="33">
        <f t="shared" si="78"/>
        <v>18373.2</v>
      </c>
      <c r="I52" s="33"/>
      <c r="J52" s="33">
        <f t="shared" si="78"/>
        <v>31744.299999999996</v>
      </c>
      <c r="K52" s="33"/>
      <c r="L52" s="33">
        <f t="shared" si="78"/>
        <v>32893.199999999997</v>
      </c>
      <c r="M52" s="33"/>
      <c r="N52" s="33">
        <f t="shared" si="78"/>
        <v>40002.399999999994</v>
      </c>
      <c r="O52" s="33"/>
      <c r="P52" s="33">
        <f t="shared" si="78"/>
        <v>64849.55</v>
      </c>
      <c r="Q52" s="33"/>
      <c r="R52" s="33">
        <f t="shared" si="78"/>
        <v>60932.165000000001</v>
      </c>
      <c r="S52" s="33"/>
      <c r="T52" s="33">
        <f t="shared" si="78"/>
        <v>71414.528200000001</v>
      </c>
      <c r="U52" s="33"/>
      <c r="V52" s="33">
        <f t="shared" si="78"/>
        <v>60249.828299999994</v>
      </c>
      <c r="W52" s="33"/>
      <c r="X52" s="33">
        <f>SUM(X42:X45)</f>
        <v>54858.7</v>
      </c>
    </row>
    <row r="53" spans="1:24" x14ac:dyDescent="0.25">
      <c r="B53" s="40">
        <f t="shared" ref="B53:V53" si="79">SUM(B12:B15)</f>
        <v>84.52000000000001</v>
      </c>
      <c r="C53" s="40"/>
      <c r="D53" s="40">
        <f t="shared" si="79"/>
        <v>84.710000000000008</v>
      </c>
      <c r="E53" s="40"/>
      <c r="F53" s="40">
        <f t="shared" si="79"/>
        <v>82.94</v>
      </c>
      <c r="G53" s="40"/>
      <c r="H53" s="40">
        <f t="shared" si="79"/>
        <v>69.91</v>
      </c>
      <c r="I53" s="40"/>
      <c r="J53" s="40">
        <f t="shared" si="79"/>
        <v>89.42</v>
      </c>
      <c r="K53" s="40"/>
      <c r="L53" s="40">
        <f t="shared" si="79"/>
        <v>81.12</v>
      </c>
      <c r="M53" s="40"/>
      <c r="N53" s="40">
        <f t="shared" si="79"/>
        <v>85.11999999999999</v>
      </c>
      <c r="O53" s="40"/>
      <c r="P53" s="40">
        <f t="shared" si="79"/>
        <v>115.73</v>
      </c>
      <c r="Q53" s="40"/>
      <c r="R53" s="40">
        <f t="shared" si="79"/>
        <v>99.47</v>
      </c>
      <c r="S53" s="40"/>
      <c r="T53" s="40">
        <f t="shared" si="79"/>
        <v>106.08999999999999</v>
      </c>
      <c r="U53" s="40"/>
      <c r="V53" s="40">
        <f t="shared" si="79"/>
        <v>88.179999999999993</v>
      </c>
      <c r="W53" s="40"/>
      <c r="X53" s="40">
        <f>SUM(X12:X15)</f>
        <v>87.89</v>
      </c>
    </row>
    <row r="54" spans="1:24" x14ac:dyDescent="0.25">
      <c r="B54" s="39">
        <f t="shared" ref="B54:V54" si="80">+B52/B53</f>
        <v>289.4160459062943</v>
      </c>
      <c r="C54" s="39"/>
      <c r="D54" s="39">
        <f t="shared" si="80"/>
        <v>284.78881005784439</v>
      </c>
      <c r="E54" s="39"/>
      <c r="F54" s="39">
        <f t="shared" si="80"/>
        <v>284.85049433325298</v>
      </c>
      <c r="G54" s="39"/>
      <c r="H54" s="39">
        <f t="shared" si="80"/>
        <v>262.81218709769706</v>
      </c>
      <c r="I54" s="39"/>
      <c r="J54" s="39">
        <f t="shared" si="80"/>
        <v>355.00223663609927</v>
      </c>
      <c r="K54" s="39"/>
      <c r="L54" s="39">
        <f t="shared" si="80"/>
        <v>405.48816568047329</v>
      </c>
      <c r="M54" s="39"/>
      <c r="N54" s="39">
        <f t="shared" si="80"/>
        <v>469.95300751879699</v>
      </c>
      <c r="O54" s="39"/>
      <c r="P54" s="39">
        <f t="shared" si="80"/>
        <v>560.35211267605632</v>
      </c>
      <c r="Q54" s="39"/>
      <c r="R54" s="39">
        <f t="shared" si="80"/>
        <v>612.5682617874736</v>
      </c>
      <c r="S54" s="39"/>
      <c r="T54" s="39">
        <f t="shared" si="80"/>
        <v>673.15042134037151</v>
      </c>
      <c r="U54" s="39"/>
      <c r="V54" s="39">
        <f t="shared" si="80"/>
        <v>683.25956339305969</v>
      </c>
      <c r="W54" s="39"/>
      <c r="X54" s="39">
        <f>+X52/X53</f>
        <v>624.17453635225843</v>
      </c>
    </row>
  </sheetData>
  <mergeCells count="12">
    <mergeCell ref="V4:W4"/>
    <mergeCell ref="X4:Y4"/>
    <mergeCell ref="L4:M4"/>
    <mergeCell ref="N4:O4"/>
    <mergeCell ref="P4:Q4"/>
    <mergeCell ref="R4:S4"/>
    <mergeCell ref="T4:U4"/>
    <mergeCell ref="B4:C4"/>
    <mergeCell ref="D4:E4"/>
    <mergeCell ref="F4:G4"/>
    <mergeCell ref="H4:I4"/>
    <mergeCell ref="J4:K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7FE27-8D16-4F91-8BD7-634524FB6E4C}">
  <dimension ref="A1:E21"/>
  <sheetViews>
    <sheetView topLeftCell="A8" workbookViewId="0">
      <selection activeCell="B18" sqref="B18"/>
    </sheetView>
  </sheetViews>
  <sheetFormatPr defaultRowHeight="15" x14ac:dyDescent="0.25"/>
  <cols>
    <col min="2" max="2" width="10.5703125" bestFit="1" customWidth="1"/>
    <col min="3" max="3" width="12.5703125" bestFit="1" customWidth="1"/>
    <col min="4" max="4" width="9.5703125" bestFit="1" customWidth="1"/>
  </cols>
  <sheetData>
    <row r="1" spans="1:5" ht="23.25" x14ac:dyDescent="0.35">
      <c r="A1" s="4" t="s">
        <v>1</v>
      </c>
      <c r="B1" s="2"/>
      <c r="C1" s="3"/>
    </row>
    <row r="2" spans="1:5" ht="18.75" x14ac:dyDescent="0.3">
      <c r="A2" s="5" t="s">
        <v>76</v>
      </c>
      <c r="B2" s="2"/>
      <c r="C2" s="3"/>
    </row>
    <row r="3" spans="1:5" x14ac:dyDescent="0.25">
      <c r="A3" s="6"/>
      <c r="B3" s="2"/>
      <c r="C3" s="3"/>
    </row>
    <row r="4" spans="1:5" x14ac:dyDescent="0.25">
      <c r="B4" s="7" t="s">
        <v>2</v>
      </c>
      <c r="C4" s="8" t="s">
        <v>3</v>
      </c>
    </row>
    <row r="5" spans="1:5" x14ac:dyDescent="0.25">
      <c r="B5" s="9" t="s">
        <v>4</v>
      </c>
      <c r="C5" s="10" t="s">
        <v>5</v>
      </c>
      <c r="D5" s="11" t="s">
        <v>6</v>
      </c>
    </row>
    <row r="6" spans="1:5" x14ac:dyDescent="0.25">
      <c r="B6" s="2"/>
      <c r="C6" s="3"/>
    </row>
    <row r="7" spans="1:5" x14ac:dyDescent="0.25">
      <c r="B7" s="2"/>
      <c r="C7" s="3"/>
    </row>
    <row r="8" spans="1:5" x14ac:dyDescent="0.25">
      <c r="A8" t="s">
        <v>13</v>
      </c>
      <c r="B8" s="2">
        <f>+'Rebate Data'!$B$48</f>
        <v>1525.5800000000002</v>
      </c>
      <c r="C8" s="3">
        <f>+'Rebate Data'!$B$46</f>
        <v>133106.00820000001</v>
      </c>
      <c r="D8" s="14">
        <f t="shared" ref="D8:D19" si="0">+C8/B8</f>
        <v>87.249444932419138</v>
      </c>
    </row>
    <row r="9" spans="1:5" x14ac:dyDescent="0.25">
      <c r="A9" t="s">
        <v>14</v>
      </c>
      <c r="B9" s="2">
        <f>+'Rebate Data'!$D$48</f>
        <v>1685.0200000000004</v>
      </c>
      <c r="C9" s="3">
        <f>+'Rebate Data'!$D$46</f>
        <v>156719.033</v>
      </c>
      <c r="D9" s="14">
        <f t="shared" si="0"/>
        <v>93.007224246596451</v>
      </c>
    </row>
    <row r="10" spans="1:5" x14ac:dyDescent="0.25">
      <c r="A10" t="s">
        <v>16</v>
      </c>
      <c r="B10" s="2">
        <f>+'Rebate Data'!$F$48</f>
        <v>1618.48</v>
      </c>
      <c r="C10" s="3">
        <f>+'Rebate Data'!$F$46</f>
        <v>166106.26159999997</v>
      </c>
      <c r="D10" s="14">
        <f t="shared" si="0"/>
        <v>102.63102515940881</v>
      </c>
      <c r="E10" s="15"/>
    </row>
    <row r="11" spans="1:5" x14ac:dyDescent="0.25">
      <c r="A11" t="s">
        <v>17</v>
      </c>
      <c r="B11" s="2">
        <f>+'Rebate Data'!$H$48</f>
        <v>1285.2200000000003</v>
      </c>
      <c r="C11" s="3">
        <f>+'Rebate Data'!$H$46</f>
        <v>110193.364</v>
      </c>
      <c r="D11" s="14">
        <f t="shared" si="0"/>
        <v>85.7389116260251</v>
      </c>
      <c r="E11" s="14"/>
    </row>
    <row r="12" spans="1:5" x14ac:dyDescent="0.25">
      <c r="A12" t="s">
        <v>18</v>
      </c>
      <c r="B12" s="2">
        <f>+'Rebate Data'!$J$48</f>
        <v>1517.23</v>
      </c>
      <c r="C12" s="3">
        <f>+'Rebate Data'!$J$46</f>
        <v>155642.98380000005</v>
      </c>
      <c r="D12" s="14">
        <f t="shared" si="0"/>
        <v>102.58364506370164</v>
      </c>
      <c r="E12" s="15"/>
    </row>
    <row r="13" spans="1:5" x14ac:dyDescent="0.25">
      <c r="A13" t="s">
        <v>19</v>
      </c>
      <c r="B13" s="2">
        <f>+'Rebate Data'!$L$48</f>
        <v>1458.4099999999999</v>
      </c>
      <c r="C13" s="3">
        <f>+'Rebate Data'!$L$46</f>
        <v>166864.70209999997</v>
      </c>
      <c r="D13" s="14">
        <f t="shared" si="0"/>
        <v>114.41549502540437</v>
      </c>
      <c r="E13" s="15"/>
    </row>
    <row r="14" spans="1:5" x14ac:dyDescent="0.25">
      <c r="A14" t="s">
        <v>7</v>
      </c>
      <c r="B14" s="2">
        <f>+'Rebate Data'!$N$48</f>
        <v>1320.4499999999998</v>
      </c>
      <c r="C14" s="3">
        <f>+'Rebate Data'!$N$46</f>
        <v>170661.64330000003</v>
      </c>
      <c r="D14" s="14">
        <f t="shared" si="0"/>
        <v>129.24506289522515</v>
      </c>
      <c r="E14" s="14"/>
    </row>
    <row r="15" spans="1:5" x14ac:dyDescent="0.25">
      <c r="A15" t="s">
        <v>8</v>
      </c>
      <c r="B15" s="2">
        <f>+'Rebate Data'!$P$48</f>
        <v>1568.2900000000002</v>
      </c>
      <c r="C15" s="3">
        <f>+'Rebate Data'!$P$46</f>
        <v>244679.50880000001</v>
      </c>
      <c r="D15" s="14">
        <f t="shared" si="0"/>
        <v>156.01674996333585</v>
      </c>
      <c r="E15" s="14"/>
    </row>
    <row r="16" spans="1:5" x14ac:dyDescent="0.25">
      <c r="A16" t="s">
        <v>9</v>
      </c>
      <c r="B16" s="2">
        <f>+'Rebate Data'!$R$48</f>
        <v>1435.17</v>
      </c>
      <c r="C16" s="3">
        <f>+'Rebate Data'!$R$46</f>
        <v>246665.1121</v>
      </c>
      <c r="D16" s="14">
        <f t="shared" si="0"/>
        <v>171.87170307350348</v>
      </c>
      <c r="E16" s="14"/>
    </row>
    <row r="17" spans="1:5" x14ac:dyDescent="0.25">
      <c r="A17" t="s">
        <v>10</v>
      </c>
      <c r="B17" s="2">
        <f>+'Rebate Data'!$T$48</f>
        <v>1419.0400000000002</v>
      </c>
      <c r="C17" s="3">
        <f>+'Rebate Data'!$T$46</f>
        <v>269537.39599999995</v>
      </c>
      <c r="D17" s="14">
        <f t="shared" si="0"/>
        <v>189.94348009922194</v>
      </c>
      <c r="E17" s="14"/>
    </row>
    <row r="18" spans="1:5" x14ac:dyDescent="0.25">
      <c r="A18" t="s">
        <v>11</v>
      </c>
      <c r="B18" s="2">
        <f>+'Rebate Data'!$V$48</f>
        <v>1422.7699999999998</v>
      </c>
      <c r="C18" s="3">
        <f>+'Rebate Data'!$V$46</f>
        <v>276085.29190000001</v>
      </c>
      <c r="D18" s="99">
        <f t="shared" si="0"/>
        <v>194.04773217034381</v>
      </c>
      <c r="E18" s="15"/>
    </row>
    <row r="19" spans="1:5" x14ac:dyDescent="0.25">
      <c r="A19" t="s">
        <v>12</v>
      </c>
      <c r="B19" s="108">
        <f>+'Rebate Data'!X48</f>
        <v>1351.24</v>
      </c>
      <c r="C19" s="109">
        <f>+'Rebate Data'!X46</f>
        <v>253543.22610000003</v>
      </c>
      <c r="D19" s="100">
        <f t="shared" si="0"/>
        <v>187.63744863976794</v>
      </c>
      <c r="E19" s="15"/>
    </row>
    <row r="20" spans="1:5" ht="17.25" x14ac:dyDescent="0.4">
      <c r="B20" s="79">
        <f>SUM(B8:B19)</f>
        <v>17606.900000000001</v>
      </c>
      <c r="C20" s="80">
        <f t="shared" ref="C20" si="1">SUM(C8:C19)</f>
        <v>2349804.5309000001</v>
      </c>
      <c r="D20" s="81">
        <f>+C20/B20</f>
        <v>133.45929896233864</v>
      </c>
      <c r="E20" s="15"/>
    </row>
    <row r="21" spans="1:5" x14ac:dyDescent="0.25">
      <c r="D21" s="1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5EEC08EDCA93F469B11034312E1C56E" ma:contentTypeVersion="36" ma:contentTypeDescription="" ma:contentTypeScope="" ma:versionID="aebdc9e995f12e976cff3132a61f75e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2021-11-16T08:00:00+00:00</OpenedDate>
    <SignificantOrder xmlns="dc463f71-b30c-4ab2-9473-d307f9d35888">false</SignificantOrder>
    <Date1 xmlns="dc463f71-b30c-4ab2-9473-d307f9d35888">2021-11-16T08:00:00+00:00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Nickname xmlns="http://schemas.microsoft.com/sharepoint/v3" xsi:nil="true"/>
    <DocketNumber xmlns="dc463f71-b30c-4ab2-9473-d307f9d35888">210913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02E5147-A982-4090-8E94-8581926DDBF0}"/>
</file>

<file path=customXml/itemProps2.xml><?xml version="1.0" encoding="utf-8"?>
<ds:datastoreItem xmlns:ds="http://schemas.openxmlformats.org/officeDocument/2006/customXml" ds:itemID="{4156926C-2D77-4751-AC1E-89FF67C7DAF0}"/>
</file>

<file path=customXml/itemProps3.xml><?xml version="1.0" encoding="utf-8"?>
<ds:datastoreItem xmlns:ds="http://schemas.openxmlformats.org/officeDocument/2006/customXml" ds:itemID="{2B3AA2A2-4216-4CD9-9968-F2E3E133E801}"/>
</file>

<file path=customXml/itemProps4.xml><?xml version="1.0" encoding="utf-8"?>
<ds:datastoreItem xmlns:ds="http://schemas.openxmlformats.org/officeDocument/2006/customXml" ds:itemID="{BB405228-00B1-471A-BDAA-E0090A93D3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Rebate Calculation</vt:lpstr>
      <vt:lpstr>Recycling Revenue</vt:lpstr>
      <vt:lpstr>Customers</vt:lpstr>
      <vt:lpstr>Rebate Data</vt:lpstr>
      <vt:lpstr>SMaRT Tons Sold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Weinstein, Mike</dc:creator>
  <cp:lastModifiedBy>Weinstein, Mike</cp:lastModifiedBy>
  <dcterms:created xsi:type="dcterms:W3CDTF">2019-06-10T22:23:41Z</dcterms:created>
  <dcterms:modified xsi:type="dcterms:W3CDTF">2021-11-16T17:45:40Z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0x0101006E56B4D1795A2E4DB2F0B01679ED314A0045EEC08EDCA93F469B11034312E1C56E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