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6.bin" ContentType="application/vnd.openxmlformats-officedocument.spreadsheetml.customProperty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externalLinks/externalLink14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0.bin" ContentType="application/vnd.openxmlformats-officedocument.spreadsheetml.customProperty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customProperty11.bin" ContentType="application/vnd.openxmlformats-officedocument.spreadsheetml.customProperty"/>
  <Override PartName="/xl/externalLinks/externalLink16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Rate Filings\Sch 194 BPA\2021 Filing Eff 11-1-21\Filed 09-30-2021\"/>
    </mc:Choice>
  </mc:AlternateContent>
  <bookViews>
    <workbookView xWindow="195" yWindow="390" windowWidth="21525" windowHeight="9300" tabRatio="944"/>
  </bookViews>
  <sheets>
    <sheet name="Sch 194 Summary" sheetId="1" r:id="rId1"/>
    <sheet name="Rate Impact" sheetId="34" r:id="rId2"/>
    <sheet name="Typical Residential Bill " sheetId="32" r:id="rId3"/>
    <sheet name="Sch 194" sheetId="37" r:id="rId4"/>
    <sheet name="Workpapers -&gt; " sheetId="35" r:id="rId5"/>
    <sheet name="186 - 253 Balance" sheetId="2" r:id="rId6"/>
    <sheet name="F2019 Res Exch Load" sheetId="20" r:id="rId7"/>
    <sheet name="F2021 Electric Delivered Sales" sheetId="27" r:id="rId8"/>
    <sheet name="Utility Spec PFx RAM 2022" sheetId="36" r:id="rId9"/>
    <sheet name="2019 GRC Conversion Factor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94_98_B.O." localSheetId="2">#REF!</definedName>
    <definedName name="_94_98_B.O.">#REF!</definedName>
    <definedName name="_95_B.O." localSheetId="2">#REF!</definedName>
    <definedName name="_95_B.O.">#REF!</definedName>
    <definedName name="_Key1" localSheetId="2" hidden="1">#REF!</definedName>
    <definedName name="_Key1" hidden="1">#REF!</definedName>
    <definedName name="_Order1" hidden="1">255</definedName>
    <definedName name="_Order2" hidden="1">255</definedName>
    <definedName name="_Regression_Int">1</definedName>
    <definedName name="_Sort" localSheetId="2" hidden="1">#REF!</definedName>
    <definedName name="_Sort" hidden="1">#REF!</definedName>
    <definedName name="AccessDatabase" hidden="1">"I:\COMTREL\FINICLE\TradeSummary.mdb"</definedName>
    <definedName name="AdjustableCRAC" localSheetId="2">'[1]TK Main'!#REF!</definedName>
    <definedName name="AdjustableCRAC">'[1]TK Main'!#REF!</definedName>
    <definedName name="AS2DocOpenMode">"AS2DocumentEdit"</definedName>
    <definedName name="ASD" localSheetId="2">#REF!</definedName>
    <definedName name="ASD">#REF!</definedName>
    <definedName name="Aurora_Prices">"Monthly Price Summary'!$C$4:$H$63"</definedName>
    <definedName name="Average" localSheetId="2">#REF!</definedName>
    <definedName name="Average">#REF!</definedName>
    <definedName name="b" localSheetId="5" hidden="1">{#N/A,#N/A,FALSE,"Coversheet";#N/A,#N/A,FALSE,"QA"}</definedName>
    <definedName name="b" localSheetId="9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aseCodes" localSheetId="2">#REF!</definedName>
    <definedName name="BaseCodes">#REF!</definedName>
    <definedName name="baseyear" localSheetId="2">[2]INPUTS!#REF!</definedName>
    <definedName name="baseyear">[2]INPUTS!#REF!</definedName>
    <definedName name="BlankOutputCell" localSheetId="2">[3]MiscResources!#REF!</definedName>
    <definedName name="BlankOutputCell">[3]MiscResources!#REF!</definedName>
    <definedName name="Button_1">"TradeSummary_Ken_Finicle_List"</definedName>
    <definedName name="cap">'[4](106) NR Data'!$L$4</definedName>
    <definedName name="CBWorkbookPriority">-2060790043</definedName>
    <definedName name="ConsAmortYears" localSheetId="2">#REF!</definedName>
    <definedName name="ConsAmortYears">#REF!</definedName>
    <definedName name="ConsExpRate" localSheetId="2">#REF!</definedName>
    <definedName name="ConsExpRate">#REF!</definedName>
    <definedName name="ConsResourcesRow" localSheetId="2">#REF!</definedName>
    <definedName name="ConsResourcesRow">#REF!</definedName>
    <definedName name="ConsYearsRow" localSheetId="2">#REF!</definedName>
    <definedName name="ConsYearsRow">#REF!</definedName>
    <definedName name="Credit" localSheetId="2">[5]Data!#REF!</definedName>
    <definedName name="Credit">[5]Data!#REF!</definedName>
    <definedName name="cumdeftp2" localSheetId="2">'[6]PBL Income &amp; Reserves'!#REF!</definedName>
    <definedName name="cumdeftp2">'[6]PBL Income &amp; Reserves'!#REF!</definedName>
    <definedName name="Data" localSheetId="2">#REF!</definedName>
    <definedName name="Data">#REF!</definedName>
    <definedName name="defertp2" localSheetId="2">'[6]PBL Income &amp; Reserves'!#REF!</definedName>
    <definedName name="defertp2">'[6]PBL Income &amp; Reserves'!#REF!</definedName>
    <definedName name="DELETE01" localSheetId="5" hidden="1">{#N/A,#N/A,FALSE,"Coversheet";#N/A,#N/A,FALSE,"QA"}</definedName>
    <definedName name="DELETE01" localSheetId="9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9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localSheetId="9" hidden="1">{#N/A,#N/A,FALSE,"Coversheet";#N/A,#N/A,FALSE,"QA"}</definedName>
    <definedName name="Delete06" localSheetId="0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localSheetId="9" hidden="1">{#N/A,#N/A,FALSE,"Coversheet";#N/A,#N/A,FALSE,"QA"}</definedName>
    <definedName name="Delete09" localSheetId="0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9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localSheetId="9" hidden="1">{#N/A,#N/A,FALSE,"Schedule F";#N/A,#N/A,FALSE,"Schedule G"}</definedName>
    <definedName name="Delete10" localSheetId="0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localSheetId="9" hidden="1">{#N/A,#N/A,FALSE,"Coversheet";#N/A,#N/A,FALSE,"QA"}</definedName>
    <definedName name="Delete21" localSheetId="0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DFOP" localSheetId="2">#REF!</definedName>
    <definedName name="DFOP">#REF!</definedName>
    <definedName name="Dry" localSheetId="2">#REF!</definedName>
    <definedName name="Dry">#REF!</definedName>
    <definedName name="dsa" localSheetId="2">'[7]FY02 Costs'!#REF!</definedName>
    <definedName name="dsa">'[7]FY02 Costs'!#REF!</definedName>
    <definedName name="ee" hidden="1">{#N/A,#N/A,FALSE,"Month ";#N/A,#N/A,FALSE,"YTD";#N/A,#N/A,FALSE,"12 mo ended"}</definedName>
    <definedName name="endres2" localSheetId="2">'[6]PBL Income &amp; Reserves'!#REF!</definedName>
    <definedName name="endres2">'[6]PBL Income &amp; Reserves'!#REF!</definedName>
    <definedName name="entry" localSheetId="2">[8]Data!$A$3:$M$20089,[8]Data!#REF!,[8]Data!#REF!,[8]Data!#REF!,[8]Data!#REF!,[8]Data!#REF!</definedName>
    <definedName name="entry">[8]Data!$A$3:$M$20089,[8]Data!#REF!,[8]Data!#REF!,[8]Data!#REF!,[8]Data!#REF!,[8]Data!#REF!</definedName>
    <definedName name="EntryFields" localSheetId="2">[8]Data!$A$3:$M$20089,[8]Data!#REF!,[8]Data!#REF!,[8]Data!#REF!,[8]Data!#REF!,[8]Data!#REF!</definedName>
    <definedName name="EntryFields">[8]Data!$A$3:$M$20089,[8]Data!#REF!,[8]Data!#REF!,[8]Data!#REF!,[8]Data!#REF!,[8]Data!#REF!</definedName>
    <definedName name="exchangeloads" localSheetId="2">#REF!</definedName>
    <definedName name="exchangeloads">#REF!</definedName>
    <definedName name="exchyr1" localSheetId="2">#REF!</definedName>
    <definedName name="exchyr1">#REF!</definedName>
    <definedName name="exchyr10" localSheetId="2">#REF!</definedName>
    <definedName name="exchyr10">#REF!</definedName>
    <definedName name="exchyr2" localSheetId="2">#REF!</definedName>
    <definedName name="exchyr2">#REF!</definedName>
    <definedName name="exchyr3" localSheetId="2">#REF!</definedName>
    <definedName name="exchyr3">#REF!</definedName>
    <definedName name="exchyr4" localSheetId="2">#REF!</definedName>
    <definedName name="exchyr4">#REF!</definedName>
    <definedName name="exchyr5" localSheetId="2">#REF!</definedName>
    <definedName name="exchyr5">#REF!</definedName>
    <definedName name="exchyr6" localSheetId="2">#REF!</definedName>
    <definedName name="exchyr6">#REF!</definedName>
    <definedName name="exchyr7" localSheetId="2">#REF!</definedName>
    <definedName name="exchyr7">#REF!</definedName>
    <definedName name="exchyr8" localSheetId="2">#REF!</definedName>
    <definedName name="exchyr8">#REF!</definedName>
    <definedName name="exchyr9" localSheetId="2">#REF!</definedName>
    <definedName name="exchyr9">#REF!</definedName>
    <definedName name="ExpenseCodes" localSheetId="2">#REF!</definedName>
    <definedName name="ExpenseCode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orm" localSheetId="2">[8]Data!#REF!</definedName>
    <definedName name="form">[8]Data!#REF!</definedName>
    <definedName name="fourh10c2" localSheetId="2">#REF!</definedName>
    <definedName name="fourh10c2">#REF!</definedName>
    <definedName name="FY" localSheetId="2">#REF!</definedName>
    <definedName name="FY">#REF!</definedName>
    <definedName name="GDPDeflators" localSheetId="2">#REF!</definedName>
    <definedName name="GDPDeflators">#REF!</definedName>
    <definedName name="Header" localSheetId="2">[8]Data!#REF!</definedName>
    <definedName name="Header">[8]Data!#REF!</definedName>
    <definedName name="High" localSheetId="2">#REF!</definedName>
    <definedName name="High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ydroAdj" localSheetId="2">'[9]CALIF MODEL'!#REF!</definedName>
    <definedName name="HydroAdj">'[9]CALIF MODEL'!#REF!</definedName>
    <definedName name="IncrementalAugmentation" localSheetId="2">'[1]TK Main'!#REF!</definedName>
    <definedName name="IncrementalAugmentation">'[1]TK Main'!#REF!</definedName>
    <definedName name="inlieu">[2]INPUTS!$C$7</definedName>
    <definedName name="IOU_FinSetPrice" localSheetId="2">'[1]TK Main'!#REF!</definedName>
    <definedName name="IOU_FinSetPrice">'[1]TK Main'!#REF!</definedName>
    <definedName name="IPPFMargin" localSheetId="2">#REF!</definedName>
    <definedName name="IPPFMargin">#REF!</definedName>
    <definedName name="iter" localSheetId="2">[10]summary!#REF!</definedName>
    <definedName name="iter">[10]summary!#REF!</definedName>
    <definedName name="iteration" localSheetId="2">[10]summary!#REF!</definedName>
    <definedName name="iteration">[10]summary!#REF!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FITrate">'[11]KJB-3,11 Def'!$L$20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adDataSource" localSheetId="2">#REF!</definedName>
    <definedName name="LoadDataSource">#REF!</definedName>
    <definedName name="loadstart">[12]Init!$B$17</definedName>
    <definedName name="Logo">"Picture 6"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w" localSheetId="2">#REF!</definedName>
    <definedName name="Low">#REF!</definedName>
    <definedName name="mapping">[13]map!$A$2:$C$47</definedName>
    <definedName name="market">[2]INPUTS!$B$54:$C$63</definedName>
    <definedName name="Medium" localSheetId="2">#REF!</definedName>
    <definedName name="Medium">#REF!</definedName>
    <definedName name="Multiplier">[14]Unadjusted!$D$65</definedName>
    <definedName name="NetInterestCodes" localSheetId="2">#REF!</definedName>
    <definedName name="NetInterestCodes">#REF!</definedName>
    <definedName name="NetRevenueCode" localSheetId="2">#REF!</definedName>
    <definedName name="NetRevenueCode">#REF!</definedName>
    <definedName name="NvsASD">"V2002-09-30"</definedName>
    <definedName name="NvsAutoDrillOk">"VY"</definedName>
    <definedName name="NvsElapsedTime">0.000717592592991423</definedName>
    <definedName name="NvsEndTime">37592.3305208333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"V2002-10-01"</definedName>
    <definedName name="NvsPanelSetid">"VFCRPS"</definedName>
    <definedName name="NvsReqBU">"VPOWER"</definedName>
    <definedName name="NvsReqBUOnly">"VN"</definedName>
    <definedName name="NvsTransLed">"VN"</definedName>
    <definedName name="NvsTreeASD">"V2002-10-01"</definedName>
    <definedName name="NvsValTbl.ACCOUNT">"GL_ACCOUNT_TBL"</definedName>
    <definedName name="NvsValTbl.BUSINESS_UNIT">"BUS_UNIT_TBL_GL"</definedName>
    <definedName name="NvsValTbl.PROJECT_ID">"PROJECT_VW"</definedName>
    <definedName name="NvsValTbl.SCENARIO">"BD_SCENARIO_TBL"</definedName>
    <definedName name="OpsData" localSheetId="2">#REF!</definedName>
    <definedName name="OpsData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blnr2" localSheetId="2">#REF!</definedName>
    <definedName name="pblnr2">#REF!</definedName>
    <definedName name="PED" localSheetId="2">#REF!</definedName>
    <definedName name="PED">#REF!</definedName>
    <definedName name="_xlnm.Print_Area" localSheetId="5">'186 - 253 Balance'!$A$1:$I$48</definedName>
    <definedName name="_xlnm.Print_Area" localSheetId="9">'2019 GRC Conversion Factor'!$A$1:$E$19</definedName>
    <definedName name="_xlnm.Print_Area" localSheetId="6">'F2019 Res Exch Load'!$A$1:$N$34</definedName>
    <definedName name="_xlnm.Print_Area" localSheetId="7">'F2021 Electric Delivered Sales'!#REF!</definedName>
    <definedName name="_xlnm.Print_Area" localSheetId="1">'Rate Impact'!$A$1:$AA$40</definedName>
    <definedName name="_xlnm.Print_Area" localSheetId="3">'Sch 194'!$A$1:$H$38</definedName>
    <definedName name="_xlnm.Print_Area" localSheetId="0">'Sch 194 Summary'!$A$1:$D$27</definedName>
    <definedName name="_xlnm.Print_Area" localSheetId="2">'Typical Residential Bill '!#REF!</definedName>
    <definedName name="_xlnm.Print_Titles" localSheetId="7">'F2021 Electric Delivered Sales'!#REF!</definedName>
    <definedName name="_xlnm.Print_Titles">#REF!</definedName>
    <definedName name="PseudoCRAC" localSheetId="2">'[1]TK Main'!#REF!</definedName>
    <definedName name="PseudoCRAC">'[1]TK Main'!#REF!</definedName>
    <definedName name="purchases2" localSheetId="2">#REF!</definedName>
    <definedName name="purchases2">#REF!</definedName>
    <definedName name="RID" localSheetId="2">#REF!</definedName>
    <definedName name="RID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0</definedName>
    <definedName name="RiskStatFunctionsUpdateFreq">100</definedName>
    <definedName name="RiskUpdateDisplay">FALSE</definedName>
    <definedName name="RiskUpdateStatFunctions">TRUE</definedName>
    <definedName name="RiskUseDifferentSeedForEachSim">FALSE</definedName>
    <definedName name="RiskUseFixedSeed">TRUE</definedName>
    <definedName name="SAPBEXhrIndnt">"Wide"</definedName>
    <definedName name="SAPsysID">"708C5W7SBKP804JT78WJ0JNKI"</definedName>
    <definedName name="SAPwbID">"ARS"</definedName>
    <definedName name="secrev2" localSheetId="2">#REF!</definedName>
    <definedName name="secrev2">#REF!</definedName>
    <definedName name="SliceFractionOfLoad" localSheetId="2">'[1]TK Main'!#REF!</definedName>
    <definedName name="SliceFractionOfLoad">'[1]TK Main'!#REF!</definedName>
    <definedName name="SliceFractionOfSystem" localSheetId="2">'[1]TK Main'!#REF!</definedName>
    <definedName name="SliceFractionOfSystem">'[1]TK Main'!#REF!</definedName>
    <definedName name="SliceLoad" localSheetId="2">'[1]TK Main'!#REF!</definedName>
    <definedName name="SliceLoad">'[1]TK Main'!#REF!</definedName>
    <definedName name="solver_eval">0</definedName>
    <definedName name="solver_ntri">1000</definedName>
    <definedName name="solver_rsmp">1</definedName>
    <definedName name="solver_seed">0</definedName>
    <definedName name="StartYear" localSheetId="2">#REF!</definedName>
    <definedName name="StartYear">#REF!</definedName>
    <definedName name="Startyr">[15]hours!$B$6</definedName>
    <definedName name="Summary" localSheetId="2">#REF!</definedName>
    <definedName name="Summary">#REF!</definedName>
    <definedName name="surplus" localSheetId="2">[10]summary!#REF!</definedName>
    <definedName name="surplus">[10]summary!#REF!</definedName>
    <definedName name="Switch">[16]Invoice!$I$1</definedName>
    <definedName name="Titles" localSheetId="2">#REF!</definedName>
    <definedName name="Titles">#REF!</definedName>
    <definedName name="transmission">[2]INPUTS!$C$6</definedName>
    <definedName name="TxLossPct" localSheetId="2">#REF!</definedName>
    <definedName name="TxLossPct">#REF!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e" hidden="1">{#N/A,#N/A,FALSE,"Pg 6b CustCount_Gas";#N/A,#N/A,FALSE,"QA";#N/A,#N/A,FALSE,"Report";#N/A,#N/A,FALSE,"forecast"}</definedName>
    <definedName name="Wet" localSheetId="2">#REF!</definedName>
    <definedName name="Wet">#REF!</definedName>
    <definedName name="wrn.7b2." hidden="1">{"pfexch7b2",#N/A,FALSE,"7(b)(2)";"PFPREF7b2",#N/A,FALSE,"7(b)(2)"}</definedName>
    <definedName name="wrn.COSTS." hidden="1">{"costs97",#N/A,FALSE,"COSA";"costs98",#N/A,FALSE,"COSA";"costs99",#N/A,FALSE,"COSA";"costs00",#N/A,FALSE,"COSA";"costs01",#N/A,FALSE,"COSA";"costsTP",#N/A,FALSE,"COSA"}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5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5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rates." hidden="1">{"dsino7b2",#N/A,FALSE,"RATES";"nrno7b2",#N/A,FALSE,"RATES";"pfno7b2",#N/A,FALSE,"RATES"}</definedName>
    <definedName name="wrn.Small._.Tools._.Overhead." localSheetId="9" hidden="1">{#N/A,#N/A,FALSE,"2002 Small Tool OH";#N/A,#N/A,FALSE,"QA"}</definedName>
    <definedName name="wrn.Small._.Tools._.Overhead." hidden="1">{#N/A,#N/A,FALSE,"2002 Small Tool OH";#N/A,#N/A,FALSE,"QA"}</definedName>
    <definedName name="wrn.WPRDSAll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Landscape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Portrait.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">[2]INPUTS!$B$54:$B$63</definedName>
  </definedNames>
  <calcPr calcId="162913"/>
</workbook>
</file>

<file path=xl/calcChain.xml><?xml version="1.0" encoding="utf-8"?>
<calcChain xmlns="http://schemas.openxmlformats.org/spreadsheetml/2006/main">
  <c r="M34" i="20" l="1"/>
  <c r="D8" i="1" s="1"/>
  <c r="N33" i="20"/>
  <c r="N32" i="20"/>
  <c r="A34" i="20"/>
  <c r="E47" i="32" l="1"/>
  <c r="E46" i="32"/>
  <c r="E45" i="32"/>
  <c r="E44" i="32"/>
  <c r="E43" i="32"/>
  <c r="E42" i="32"/>
  <c r="E41" i="32"/>
  <c r="AM93" i="27" l="1"/>
  <c r="AJ93" i="27"/>
  <c r="T93" i="27"/>
  <c r="Q93" i="27"/>
  <c r="F93" i="27"/>
  <c r="G93" i="27"/>
  <c r="H93" i="27"/>
  <c r="I93" i="27"/>
  <c r="J93" i="27"/>
  <c r="E93" i="27"/>
  <c r="A8" i="20"/>
  <c r="E94" i="27"/>
  <c r="B94" i="27" l="1"/>
  <c r="B93" i="27"/>
  <c r="AM94" i="27"/>
  <c r="AJ94" i="27"/>
  <c r="T94" i="27"/>
  <c r="Q94" i="27"/>
  <c r="F94" i="27"/>
  <c r="G94" i="27"/>
  <c r="H94" i="27"/>
  <c r="I94" i="27"/>
  <c r="J94" i="27"/>
  <c r="D10" i="1"/>
  <c r="C12" i="2" l="1"/>
  <c r="C14" i="2" s="1"/>
  <c r="A12" i="2"/>
  <c r="A13" i="2"/>
  <c r="A14" i="2" s="1"/>
  <c r="A11" i="2"/>
  <c r="F7" i="37" l="1"/>
  <c r="U36" i="34"/>
  <c r="U32" i="34"/>
  <c r="U31" i="34"/>
  <c r="U27" i="34"/>
  <c r="U26" i="34"/>
  <c r="U23" i="34"/>
  <c r="U21" i="34"/>
  <c r="U16" i="34"/>
  <c r="U14" i="34"/>
  <c r="U11" i="34"/>
  <c r="H36" i="37"/>
  <c r="V36" i="34" s="1"/>
  <c r="H35" i="37"/>
  <c r="V32" i="34" s="1"/>
  <c r="H34" i="37"/>
  <c r="V31" i="34" s="1"/>
  <c r="D32" i="37"/>
  <c r="H27" i="37"/>
  <c r="V27" i="34" s="1"/>
  <c r="H26" i="37"/>
  <c r="V26" i="34" s="1"/>
  <c r="H23" i="37"/>
  <c r="V23" i="34" s="1"/>
  <c r="F23" i="37"/>
  <c r="H21" i="37"/>
  <c r="V21" i="34" s="1"/>
  <c r="D24" i="37"/>
  <c r="H16" i="37"/>
  <c r="V16" i="34" s="1"/>
  <c r="F15" i="37"/>
  <c r="H14" i="37"/>
  <c r="V14" i="34" s="1"/>
  <c r="F14" i="37"/>
  <c r="H12" i="37"/>
  <c r="V11" i="34" s="1"/>
  <c r="D18" i="37"/>
  <c r="A9" i="37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8" i="37"/>
  <c r="D9" i="37"/>
  <c r="F31" i="37" l="1"/>
  <c r="F22" i="37"/>
  <c r="F11" i="37"/>
  <c r="F20" i="37"/>
  <c r="F24" i="37" s="1"/>
  <c r="F13" i="37"/>
  <c r="H28" i="37"/>
  <c r="D28" i="37"/>
  <c r="D38" i="37" s="1"/>
  <c r="F8" i="37"/>
  <c r="F9" i="37" s="1"/>
  <c r="F12" i="37"/>
  <c r="F16" i="37"/>
  <c r="F26" i="37"/>
  <c r="F27" i="37"/>
  <c r="F34" i="37"/>
  <c r="F35" i="37"/>
  <c r="F36" i="37"/>
  <c r="F17" i="37"/>
  <c r="F21" i="37"/>
  <c r="F30" i="37"/>
  <c r="F32" i="37" s="1"/>
  <c r="H30" i="37"/>
  <c r="F18" i="37" l="1"/>
  <c r="F28" i="37"/>
  <c r="F38" i="37" l="1"/>
  <c r="F31" i="32" l="1"/>
  <c r="F32" i="32"/>
  <c r="F33" i="32"/>
  <c r="F34" i="32"/>
  <c r="F44" i="32" s="1"/>
  <c r="U6" i="34"/>
  <c r="A26" i="34"/>
  <c r="A27" i="34"/>
  <c r="A28" i="34"/>
  <c r="A29" i="34"/>
  <c r="A30" i="34" s="1"/>
  <c r="A31" i="34" s="1"/>
  <c r="A32" i="34" s="1"/>
  <c r="A33" i="34" s="1"/>
  <c r="A34" i="34" s="1"/>
  <c r="A35" i="34" s="1"/>
  <c r="A36" i="34" s="1"/>
  <c r="A37" i="34" s="1"/>
  <c r="A38" i="34" s="1"/>
  <c r="E80" i="32"/>
  <c r="B18" i="32" s="1"/>
  <c r="E79" i="32"/>
  <c r="B17" i="32" s="1"/>
  <c r="E78" i="32"/>
  <c r="B16" i="32" s="1"/>
  <c r="E77" i="32"/>
  <c r="E76" i="32"/>
  <c r="B14" i="32" s="1"/>
  <c r="E75" i="32"/>
  <c r="B13" i="32" s="1"/>
  <c r="E74" i="32"/>
  <c r="B12" i="32" s="1"/>
  <c r="E73" i="32"/>
  <c r="B11" i="32" s="1"/>
  <c r="E72" i="32"/>
  <c r="B10" i="32" s="1"/>
  <c r="E71" i="32"/>
  <c r="B9" i="32" s="1"/>
  <c r="E70" i="32"/>
  <c r="B8" i="32" s="1"/>
  <c r="D81" i="32"/>
  <c r="E69" i="32"/>
  <c r="F57" i="32"/>
  <c r="F56" i="32"/>
  <c r="F55" i="32"/>
  <c r="F54" i="32"/>
  <c r="E58" i="32"/>
  <c r="F40" i="32"/>
  <c r="F36" i="32"/>
  <c r="F46" i="32" s="1"/>
  <c r="F42" i="32"/>
  <c r="F41" i="32"/>
  <c r="E38" i="32"/>
  <c r="F30" i="32"/>
  <c r="E28" i="32"/>
  <c r="F27" i="32"/>
  <c r="F28" i="32" s="1"/>
  <c r="C23" i="32"/>
  <c r="C22" i="32"/>
  <c r="C18" i="32"/>
  <c r="C17" i="32"/>
  <c r="C16" i="32"/>
  <c r="C15" i="32"/>
  <c r="B15" i="32"/>
  <c r="C14" i="32"/>
  <c r="C13" i="32"/>
  <c r="C12" i="32"/>
  <c r="C11" i="32"/>
  <c r="C10" i="32"/>
  <c r="C9" i="32"/>
  <c r="C8" i="32"/>
  <c r="C7" i="32"/>
  <c r="H11" i="32" l="1"/>
  <c r="H8" i="32"/>
  <c r="E60" i="32"/>
  <c r="D23" i="32" s="1"/>
  <c r="H7" i="32"/>
  <c r="H12" i="32"/>
  <c r="H15" i="32"/>
  <c r="C20" i="32"/>
  <c r="H16" i="32"/>
  <c r="H22" i="32"/>
  <c r="E83" i="32"/>
  <c r="E81" i="32"/>
  <c r="B7" i="32"/>
  <c r="F53" i="32"/>
  <c r="F58" i="32" s="1"/>
  <c r="C81" i="32"/>
  <c r="H10" i="32"/>
  <c r="H14" i="32"/>
  <c r="H18" i="32"/>
  <c r="H23" i="32"/>
  <c r="F43" i="32"/>
  <c r="F35" i="32"/>
  <c r="F45" i="32" s="1"/>
  <c r="F37" i="32"/>
  <c r="F47" i="32" s="1"/>
  <c r="E48" i="32"/>
  <c r="E61" i="32" s="1"/>
  <c r="E15" i="32" s="1"/>
  <c r="H9" i="32"/>
  <c r="H13" i="32"/>
  <c r="H17" i="32"/>
  <c r="D17" i="32" l="1"/>
  <c r="D10" i="32"/>
  <c r="D15" i="32"/>
  <c r="F15" i="32" s="1"/>
  <c r="D16" i="32"/>
  <c r="D13" i="32"/>
  <c r="D8" i="32"/>
  <c r="D14" i="32"/>
  <c r="D12" i="32"/>
  <c r="D9" i="32"/>
  <c r="D18" i="32"/>
  <c r="D11" i="32"/>
  <c r="F48" i="32"/>
  <c r="E12" i="32"/>
  <c r="E8" i="32"/>
  <c r="F8" i="32" s="1"/>
  <c r="E17" i="32"/>
  <c r="F17" i="32" s="1"/>
  <c r="E16" i="32"/>
  <c r="F16" i="32" s="1"/>
  <c r="E13" i="32"/>
  <c r="F13" i="32" s="1"/>
  <c r="E11" i="32"/>
  <c r="F38" i="32"/>
  <c r="E9" i="32"/>
  <c r="E23" i="32"/>
  <c r="F23" i="32" s="1"/>
  <c r="E14" i="32"/>
  <c r="E18" i="32"/>
  <c r="F18" i="32" s="1"/>
  <c r="E10" i="32"/>
  <c r="F10" i="32" s="1"/>
  <c r="B22" i="32"/>
  <c r="E7" i="32"/>
  <c r="D7" i="32"/>
  <c r="B20" i="32"/>
  <c r="H20" i="32"/>
  <c r="F14" i="32" l="1"/>
  <c r="F12" i="32"/>
  <c r="F9" i="32"/>
  <c r="F11" i="32"/>
  <c r="E20" i="32"/>
  <c r="D20" i="32"/>
  <c r="F7" i="32"/>
  <c r="E22" i="32"/>
  <c r="D22" i="32"/>
  <c r="F20" i="32" l="1"/>
  <c r="F22" i="32"/>
  <c r="D23" i="1" s="1"/>
  <c r="R32" i="34" l="1"/>
  <c r="R31" i="34" l="1"/>
  <c r="R27" i="34" l="1"/>
  <c r="U20" i="34"/>
  <c r="U10" i="34"/>
  <c r="R15" i="34" l="1"/>
  <c r="U15" i="34"/>
  <c r="R30" i="34"/>
  <c r="U30" i="34"/>
  <c r="R12" i="34"/>
  <c r="U12" i="34"/>
  <c r="R10" i="34"/>
  <c r="R20" i="34"/>
  <c r="Q28" i="34" l="1"/>
  <c r="R26" i="34"/>
  <c r="U13" i="34" l="1"/>
  <c r="R36" i="34"/>
  <c r="U7" i="34"/>
  <c r="R23" i="34"/>
  <c r="U22" i="34"/>
  <c r="R17" i="34" l="1"/>
  <c r="U17" i="34"/>
  <c r="Q8" i="34"/>
  <c r="R7" i="34"/>
  <c r="Q24" i="34"/>
  <c r="R22" i="34"/>
  <c r="R13" i="34"/>
  <c r="R21" i="34"/>
  <c r="R16" i="34" l="1"/>
  <c r="R14" i="34" l="1"/>
  <c r="Q18" i="34" l="1"/>
  <c r="Q34" i="34" s="1"/>
  <c r="Q38" i="34" s="1"/>
  <c r="R11" i="34"/>
  <c r="L30" i="20" l="1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A20" i="27"/>
  <c r="E14" i="17" l="1"/>
  <c r="E16" i="17" s="1"/>
  <c r="D15" i="1" s="1"/>
  <c r="A32" i="27"/>
  <c r="E17" i="17" l="1"/>
  <c r="E18" i="17" s="1"/>
  <c r="A44" i="27"/>
  <c r="A56" i="27" l="1"/>
  <c r="A68" i="27" l="1"/>
  <c r="A80" i="27" l="1"/>
  <c r="A2" i="20" l="1"/>
  <c r="A2" i="36" l="1"/>
  <c r="A4" i="36"/>
  <c r="A1" i="36"/>
  <c r="A8" i="34" l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S32" i="34" l="1"/>
  <c r="Y32" i="34" s="1"/>
  <c r="W32" i="34" l="1"/>
  <c r="AA32" i="34" s="1"/>
  <c r="X32" i="34" l="1"/>
  <c r="Z32" i="34" s="1"/>
  <c r="M28" i="34"/>
  <c r="L28" i="34" l="1"/>
  <c r="N28" i="34" l="1"/>
  <c r="C8" i="34" l="1"/>
  <c r="C24" i="34" l="1"/>
  <c r="O28" i="34" l="1"/>
  <c r="C28" i="34"/>
  <c r="C18" i="34"/>
  <c r="C34" i="34" s="1"/>
  <c r="O8" i="34"/>
  <c r="I28" i="34"/>
  <c r="G8" i="34"/>
  <c r="I8" i="34"/>
  <c r="I24" i="34"/>
  <c r="K8" i="34"/>
  <c r="D8" i="34"/>
  <c r="N8" i="34"/>
  <c r="O24" i="34"/>
  <c r="L8" i="34"/>
  <c r="M8" i="34"/>
  <c r="M24" i="34" l="1"/>
  <c r="C38" i="34"/>
  <c r="N24" i="34"/>
  <c r="G18" i="34"/>
  <c r="L18" i="34"/>
  <c r="N18" i="34"/>
  <c r="I18" i="34"/>
  <c r="I34" i="34" s="1"/>
  <c r="E28" i="34"/>
  <c r="P28" i="34"/>
  <c r="L24" i="34"/>
  <c r="L34" i="34" s="1"/>
  <c r="E8" i="34"/>
  <c r="D28" i="34"/>
  <c r="D24" i="34"/>
  <c r="D18" i="34"/>
  <c r="O18" i="34"/>
  <c r="M18" i="34"/>
  <c r="M34" i="34" s="1"/>
  <c r="D34" i="34" l="1"/>
  <c r="N34" i="34"/>
  <c r="N38" i="34" s="1"/>
  <c r="O34" i="34"/>
  <c r="O38" i="34" s="1"/>
  <c r="D38" i="34"/>
  <c r="U28" i="34"/>
  <c r="L38" i="34"/>
  <c r="M38" i="34"/>
  <c r="I38" i="34"/>
  <c r="K28" i="34" l="1"/>
  <c r="K18" i="34" l="1"/>
  <c r="K24" i="34"/>
  <c r="K34" i="34" l="1"/>
  <c r="K38" i="34" s="1"/>
  <c r="G28" i="34"/>
  <c r="G24" i="34" l="1"/>
  <c r="G34" i="34" l="1"/>
  <c r="G38" i="34" s="1"/>
  <c r="P24" i="34" l="1"/>
  <c r="P18" i="34"/>
  <c r="P8" i="34"/>
  <c r="P34" i="34" l="1"/>
  <c r="P38" i="34" s="1"/>
  <c r="U24" i="34"/>
  <c r="U18" i="34"/>
  <c r="U8" i="34"/>
  <c r="U34" i="34" l="1"/>
  <c r="E18" i="34"/>
  <c r="E24" i="34"/>
  <c r="E34" i="34" l="1"/>
  <c r="E38" i="34" s="1"/>
  <c r="S36" i="34" l="1"/>
  <c r="Y36" i="34" s="1"/>
  <c r="W36" i="34" l="1"/>
  <c r="U38" i="34"/>
  <c r="U40" i="34" s="1"/>
  <c r="AA36" i="34" l="1"/>
  <c r="X36" i="34"/>
  <c r="Z36" i="34" s="1"/>
  <c r="F28" i="34" l="1"/>
  <c r="J28" i="34"/>
  <c r="J8" i="34" l="1"/>
  <c r="F8" i="34" l="1"/>
  <c r="J24" i="34" l="1"/>
  <c r="F24" i="34" l="1"/>
  <c r="J18" i="34" l="1"/>
  <c r="J34" i="34" l="1"/>
  <c r="J38" i="34" s="1"/>
  <c r="F18" i="34"/>
  <c r="F34" i="34" l="1"/>
  <c r="F38" i="34" s="1"/>
  <c r="S23" i="34"/>
  <c r="Y23" i="34" s="1"/>
  <c r="S27" i="34" l="1"/>
  <c r="Y27" i="34" s="1"/>
  <c r="S30" i="34"/>
  <c r="Y30" i="34" s="1"/>
  <c r="S22" i="34"/>
  <c r="Y22" i="34" s="1"/>
  <c r="W31" i="34"/>
  <c r="S31" i="34"/>
  <c r="Y31" i="34" s="1"/>
  <c r="S17" i="34"/>
  <c r="Y17" i="34" s="1"/>
  <c r="H28" i="34"/>
  <c r="S26" i="34"/>
  <c r="Y26" i="34" s="1"/>
  <c r="S16" i="34"/>
  <c r="Y16" i="34" s="1"/>
  <c r="W23" i="34"/>
  <c r="AA23" i="34" s="1"/>
  <c r="AA31" i="34" l="1"/>
  <c r="W27" i="34"/>
  <c r="AA27" i="34" s="1"/>
  <c r="X31" i="34"/>
  <c r="Z31" i="34" s="1"/>
  <c r="X23" i="34"/>
  <c r="Z23" i="34" s="1"/>
  <c r="S28" i="34"/>
  <c r="Y28" i="34" s="1"/>
  <c r="S13" i="34"/>
  <c r="Y13" i="34" s="1"/>
  <c r="S11" i="34"/>
  <c r="Y11" i="34" s="1"/>
  <c r="S15" i="34"/>
  <c r="Y15" i="34" s="1"/>
  <c r="S21" i="34"/>
  <c r="Y21" i="34" s="1"/>
  <c r="R28" i="34"/>
  <c r="H18" i="34"/>
  <c r="H24" i="34"/>
  <c r="S20" i="34"/>
  <c r="Y20" i="34" s="1"/>
  <c r="W16" i="34"/>
  <c r="AA16" i="34" s="1"/>
  <c r="H8" i="34"/>
  <c r="H34" i="34" l="1"/>
  <c r="X27" i="34"/>
  <c r="Z27" i="34" s="1"/>
  <c r="X16" i="34"/>
  <c r="Z16" i="34" s="1"/>
  <c r="W11" i="34"/>
  <c r="AA11" i="34" s="1"/>
  <c r="R8" i="34"/>
  <c r="S7" i="34"/>
  <c r="Y7" i="34" s="1"/>
  <c r="S14" i="34"/>
  <c r="Y14" i="34" s="1"/>
  <c r="S12" i="34"/>
  <c r="Y12" i="34" s="1"/>
  <c r="W21" i="34"/>
  <c r="AA21" i="34" s="1"/>
  <c r="S10" i="34"/>
  <c r="Y10" i="34" s="1"/>
  <c r="S24" i="34"/>
  <c r="Y24" i="34" s="1"/>
  <c r="H38" i="34"/>
  <c r="R24" i="34"/>
  <c r="V28" i="34"/>
  <c r="W26" i="34"/>
  <c r="R18" i="34"/>
  <c r="R34" i="34" l="1"/>
  <c r="R38" i="34" s="1"/>
  <c r="X11" i="34"/>
  <c r="Z11" i="34" s="1"/>
  <c r="X21" i="34"/>
  <c r="Z21" i="34" s="1"/>
  <c r="S8" i="34"/>
  <c r="AA26" i="34"/>
  <c r="X26" i="34"/>
  <c r="W14" i="34"/>
  <c r="AA14" i="34" s="1"/>
  <c r="S18" i="34"/>
  <c r="Y18" i="34" s="1"/>
  <c r="W28" i="34"/>
  <c r="AA28" i="34" s="1"/>
  <c r="Y8" i="34" l="1"/>
  <c r="S34" i="34"/>
  <c r="X28" i="34"/>
  <c r="Z28" i="34" s="1"/>
  <c r="Z26" i="34"/>
  <c r="X14" i="34"/>
  <c r="Z14" i="34" s="1"/>
  <c r="S38" i="34" l="1"/>
  <c r="Y34" i="34"/>
  <c r="A1" i="20"/>
  <c r="A2" i="2"/>
  <c r="A1" i="2"/>
  <c r="A4" i="34"/>
  <c r="A3" i="34"/>
  <c r="A1" i="34"/>
  <c r="Y38" i="34" l="1"/>
  <c r="V6" i="34"/>
  <c r="M30" i="20" l="1"/>
  <c r="M29" i="20"/>
  <c r="M26" i="20" l="1"/>
  <c r="M27" i="20"/>
  <c r="M23" i="20"/>
  <c r="M19" i="20"/>
  <c r="M28" i="20"/>
  <c r="M24" i="20"/>
  <c r="M20" i="20"/>
  <c r="M22" i="20"/>
  <c r="M25" i="20"/>
  <c r="M21" i="20"/>
  <c r="M33" i="20" l="1"/>
  <c r="M18" i="20"/>
  <c r="M17" i="20"/>
  <c r="M16" i="20"/>
  <c r="M15" i="20"/>
  <c r="M14" i="20"/>
  <c r="M13" i="20"/>
  <c r="M12" i="20"/>
  <c r="M11" i="20"/>
  <c r="M10" i="20"/>
  <c r="M9" i="20"/>
  <c r="M8" i="20"/>
  <c r="M32" i="20" s="1"/>
  <c r="A9" i="20" l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B25" i="1" s="1"/>
  <c r="A25" i="1"/>
  <c r="A26" i="1"/>
  <c r="B26" i="1" l="1"/>
  <c r="B18" i="1"/>
  <c r="B13" i="1"/>
  <c r="B16" i="1"/>
  <c r="D12" i="1" l="1"/>
  <c r="D13" i="1" l="1"/>
  <c r="D16" i="1" s="1"/>
  <c r="D18" i="1" s="1"/>
  <c r="G17" i="37" l="1"/>
  <c r="H17" i="37" s="1"/>
  <c r="V17" i="34" s="1"/>
  <c r="G8" i="37"/>
  <c r="H8" i="37" s="1"/>
  <c r="V13" i="34" s="1"/>
  <c r="G11" i="37"/>
  <c r="H11" i="37" s="1"/>
  <c r="G31" i="37"/>
  <c r="H31" i="37" s="1"/>
  <c r="H32" i="37" s="1"/>
  <c r="G15" i="37"/>
  <c r="H15" i="37" s="1"/>
  <c r="V15" i="34" s="1"/>
  <c r="G7" i="37"/>
  <c r="H7" i="37" s="1"/>
  <c r="G20" i="37"/>
  <c r="H20" i="37" s="1"/>
  <c r="G22" i="37"/>
  <c r="H22" i="37" s="1"/>
  <c r="V22" i="34" s="1"/>
  <c r="G13" i="37"/>
  <c r="H13" i="37" s="1"/>
  <c r="V12" i="34" s="1"/>
  <c r="F50" i="32"/>
  <c r="H24" i="37" l="1"/>
  <c r="V20" i="34"/>
  <c r="H18" i="37"/>
  <c r="V10" i="34"/>
  <c r="V30" i="34"/>
  <c r="F61" i="32"/>
  <c r="F60" i="32"/>
  <c r="H9" i="37"/>
  <c r="V7" i="34"/>
  <c r="W30" i="34"/>
  <c r="H38" i="37" l="1"/>
  <c r="I7" i="32"/>
  <c r="I17" i="32"/>
  <c r="I16" i="32"/>
  <c r="I10" i="32"/>
  <c r="I22" i="32"/>
  <c r="I8" i="32"/>
  <c r="I14" i="32"/>
  <c r="I13" i="32"/>
  <c r="I23" i="32"/>
  <c r="I11" i="32"/>
  <c r="I18" i="32"/>
  <c r="I9" i="32"/>
  <c r="I12" i="32"/>
  <c r="I15" i="32"/>
  <c r="J9" i="32"/>
  <c r="J10" i="32"/>
  <c r="J12" i="32"/>
  <c r="J23" i="32"/>
  <c r="J15" i="32"/>
  <c r="J13" i="32"/>
  <c r="J14" i="32"/>
  <c r="J8" i="32"/>
  <c r="J16" i="32"/>
  <c r="J18" i="32"/>
  <c r="J11" i="32"/>
  <c r="J17" i="32"/>
  <c r="J7" i="32"/>
  <c r="J22" i="32"/>
  <c r="X30" i="34"/>
  <c r="Z30" i="34" s="1"/>
  <c r="AA30" i="34"/>
  <c r="K9" i="32" l="1"/>
  <c r="L9" i="32" s="1"/>
  <c r="M9" i="32" s="1"/>
  <c r="K14" i="32"/>
  <c r="L14" i="32" s="1"/>
  <c r="M14" i="32" s="1"/>
  <c r="K10" i="32"/>
  <c r="L10" i="32" s="1"/>
  <c r="M10" i="32" s="1"/>
  <c r="K18" i="32"/>
  <c r="L18" i="32" s="1"/>
  <c r="M18" i="32" s="1"/>
  <c r="K16" i="32"/>
  <c r="L16" i="32" s="1"/>
  <c r="M16" i="32" s="1"/>
  <c r="K15" i="32"/>
  <c r="L15" i="32" s="1"/>
  <c r="M15" i="32" s="1"/>
  <c r="K11" i="32"/>
  <c r="L11" i="32" s="1"/>
  <c r="M11" i="32" s="1"/>
  <c r="K8" i="32"/>
  <c r="L8" i="32" s="1"/>
  <c r="M8" i="32" s="1"/>
  <c r="K17" i="32"/>
  <c r="L17" i="32" s="1"/>
  <c r="M17" i="32" s="1"/>
  <c r="K13" i="32"/>
  <c r="L13" i="32" s="1"/>
  <c r="M13" i="32" s="1"/>
  <c r="J20" i="32"/>
  <c r="K12" i="32"/>
  <c r="L12" i="32" s="1"/>
  <c r="M12" i="32" s="1"/>
  <c r="K23" i="32"/>
  <c r="L23" i="32" s="1"/>
  <c r="M23" i="32" s="1"/>
  <c r="K22" i="32"/>
  <c r="K7" i="32"/>
  <c r="I20" i="32"/>
  <c r="W15" i="34"/>
  <c r="D24" i="1" l="1"/>
  <c r="L22" i="32"/>
  <c r="M22" i="32" s="1"/>
  <c r="K20" i="32"/>
  <c r="L20" i="32" s="1"/>
  <c r="M20" i="32" s="1"/>
  <c r="L7" i="32"/>
  <c r="M7" i="32" s="1"/>
  <c r="AA15" i="34"/>
  <c r="X15" i="34"/>
  <c r="Z15" i="34" s="1"/>
  <c r="W12" i="34"/>
  <c r="D25" i="1" l="1"/>
  <c r="D26" i="1" s="1"/>
  <c r="W20" i="34"/>
  <c r="AA12" i="34"/>
  <c r="X12" i="34"/>
  <c r="Z12" i="34" s="1"/>
  <c r="W10" i="34" l="1"/>
  <c r="X20" i="34"/>
  <c r="AA20" i="34"/>
  <c r="W17" i="34"/>
  <c r="Z20" i="34" l="1"/>
  <c r="X17" i="34"/>
  <c r="Z17" i="34" s="1"/>
  <c r="AA17" i="34"/>
  <c r="X10" i="34"/>
  <c r="AA10" i="34"/>
  <c r="Z10" i="34" l="1"/>
  <c r="W22" i="34"/>
  <c r="V24" i="34"/>
  <c r="W13" i="34"/>
  <c r="V18" i="34"/>
  <c r="AA13" i="34" l="1"/>
  <c r="X13" i="34"/>
  <c r="W18" i="34"/>
  <c r="AA18" i="34" s="1"/>
  <c r="W24" i="34"/>
  <c r="AA24" i="34" s="1"/>
  <c r="X22" i="34"/>
  <c r="AA22" i="34"/>
  <c r="V8" i="34"/>
  <c r="V34" i="34" s="1"/>
  <c r="W7" i="34"/>
  <c r="X7" i="34" l="1"/>
  <c r="W8" i="34"/>
  <c r="AA7" i="34"/>
  <c r="Z13" i="34"/>
  <c r="X18" i="34"/>
  <c r="Z18" i="34" s="1"/>
  <c r="V38" i="34"/>
  <c r="V40" i="34" s="1"/>
  <c r="Z22" i="34"/>
  <c r="X24" i="34"/>
  <c r="Z24" i="34" s="1"/>
  <c r="AA8" i="34" l="1"/>
  <c r="W34" i="34"/>
  <c r="AA34" i="34" s="1"/>
  <c r="Z7" i="34"/>
  <c r="X8" i="34"/>
  <c r="X34" i="34" s="1"/>
  <c r="W38" i="34" l="1"/>
  <c r="AA38" i="34" s="1"/>
  <c r="Z8" i="34"/>
  <c r="X38" i="34" l="1"/>
  <c r="Z38" i="34" s="1"/>
  <c r="Z34" i="34"/>
</calcChain>
</file>

<file path=xl/sharedStrings.xml><?xml version="1.0" encoding="utf-8"?>
<sst xmlns="http://schemas.openxmlformats.org/spreadsheetml/2006/main" count="466" uniqueCount="347">
  <si>
    <t>Puget Sound Energy</t>
  </si>
  <si>
    <t>Proposed Schedule 194</t>
  </si>
  <si>
    <t>BPA Residential and Farm Energy Exchange Benefits</t>
  </si>
  <si>
    <t>Line No.</t>
  </si>
  <si>
    <t>Description</t>
  </si>
  <si>
    <t>Calculation</t>
  </si>
  <si>
    <t>Total amount to be credited before revenue related expense conversion</t>
  </si>
  <si>
    <t>Revenue Related Expense Conversion Factor</t>
  </si>
  <si>
    <t>Grossed up Total to be Credited</t>
  </si>
  <si>
    <t>Bill Impacts:</t>
  </si>
  <si>
    <t>Month</t>
  </si>
  <si>
    <t>Balance</t>
  </si>
  <si>
    <t>(A)</t>
  </si>
  <si>
    <t>(B)</t>
  </si>
  <si>
    <t>Total</t>
  </si>
  <si>
    <t>Residential Customer Impacts</t>
  </si>
  <si>
    <t>kWh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</si>
  <si>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</si>
  <si>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</si>
  <si>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</si>
  <si>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</si>
  <si>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</si>
  <si>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</si>
  <si>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</si>
  <si>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</si>
  <si>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</si>
  <si>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</si>
  <si>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</si>
  <si>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</si>
  <si>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</si>
  <si>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</si>
  <si>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</si>
  <si>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Customer Monthly Charge:</t>
  </si>
  <si>
    <t>per Month</t>
  </si>
  <si>
    <t>Energy Charge:</t>
  </si>
  <si>
    <t>Schedule 7 first 600 kWh</t>
  </si>
  <si>
    <t>Schedule 7 over 600 kWh</t>
  </si>
  <si>
    <t>Schedule 95 - Power Cost Adjustment Clause</t>
  </si>
  <si>
    <t>Schedule 95A - Wind Power Production Credit</t>
  </si>
  <si>
    <t>Schedule 120 - Conservation Rider</t>
  </si>
  <si>
    <t>Schedule 129 - Low Income</t>
  </si>
  <si>
    <t>Schedule 194 - BPA Exchange Credit</t>
  </si>
  <si>
    <t>Increase (Decrease) to average monthly bill</t>
  </si>
  <si>
    <t>Percentage Increase (Decrease) to average bill</t>
  </si>
  <si>
    <t>PUGET SOUND ENERGY-ELECTRIC</t>
  </si>
  <si>
    <t>LINE</t>
  </si>
  <si>
    <t>NO.</t>
  </si>
  <si>
    <t>DESCRIPTION</t>
  </si>
  <si>
    <t>RATE</t>
  </si>
  <si>
    <t>SUM OF TAXES OTHER</t>
  </si>
  <si>
    <t>(C)
= (I + N)</t>
  </si>
  <si>
    <t>Res Exch Sch</t>
  </si>
  <si>
    <t>Schedule 7</t>
  </si>
  <si>
    <t>Schedule 8</t>
  </si>
  <si>
    <t>Schedule 10</t>
  </si>
  <si>
    <t>Schedule 11</t>
  </si>
  <si>
    <t>Schedule 12</t>
  </si>
  <si>
    <t>Schedule 29</t>
  </si>
  <si>
    <t>Schedule 35</t>
  </si>
  <si>
    <t>Schedule 56</t>
  </si>
  <si>
    <t>Schedule 59</t>
  </si>
  <si>
    <t>Schedule 137 - Renewable Energy Credit</t>
  </si>
  <si>
    <t>Average</t>
  </si>
  <si>
    <t>Schedule 140 - Property Tax Rider</t>
  </si>
  <si>
    <t>Schedule 142 - Decoupling Rider</t>
  </si>
  <si>
    <t>ANNUAL FILING FEE</t>
  </si>
  <si>
    <t>(After DSM Program Impacts)</t>
  </si>
  <si>
    <t>Year</t>
  </si>
  <si>
    <t>RC 05</t>
  </si>
  <si>
    <t>RC 07</t>
  </si>
  <si>
    <t>RC 7A</t>
  </si>
  <si>
    <t>RC 08</t>
  </si>
  <si>
    <t>RC 10</t>
  </si>
  <si>
    <t>RC 11</t>
  </si>
  <si>
    <t>RC 12</t>
  </si>
  <si>
    <t>RC 24C</t>
  </si>
  <si>
    <t>RC 24I</t>
  </si>
  <si>
    <t>RC 25C</t>
  </si>
  <si>
    <t>RC 25I</t>
  </si>
  <si>
    <t>RC 26C</t>
  </si>
  <si>
    <t>RC 26I</t>
  </si>
  <si>
    <t>RC 29</t>
  </si>
  <si>
    <t>RC 31C</t>
  </si>
  <si>
    <t>RC 31I</t>
  </si>
  <si>
    <t>RC 35</t>
  </si>
  <si>
    <t>RC 43</t>
  </si>
  <si>
    <t>RC 46C</t>
  </si>
  <si>
    <t>RC 46I</t>
  </si>
  <si>
    <t>RC 49C</t>
  </si>
  <si>
    <t>RC 49I</t>
  </si>
  <si>
    <t>RC 24L</t>
  </si>
  <si>
    <t>RC 25L</t>
  </si>
  <si>
    <t>Schedule 7A</t>
  </si>
  <si>
    <t>Subtotal Base Monthly Charge</t>
  </si>
  <si>
    <t>$ / kWh</t>
  </si>
  <si>
    <t>Subtotal Base First 600 kWh Charge</t>
  </si>
  <si>
    <t>Subtotal Base Over 600 kWh Charge</t>
  </si>
  <si>
    <t>RC 03</t>
  </si>
  <si>
    <t>RC 50</t>
  </si>
  <si>
    <t>RC 51</t>
  </si>
  <si>
    <t>RC 52</t>
  </si>
  <si>
    <t>RC 53</t>
  </si>
  <si>
    <t>RC 54</t>
  </si>
  <si>
    <t>RC 55</t>
  </si>
  <si>
    <t>RC 56</t>
  </si>
  <si>
    <t>RC 57</t>
  </si>
  <si>
    <t>RC 58</t>
  </si>
  <si>
    <t>RC 59</t>
  </si>
  <si>
    <t xml:space="preserve">Typical Residential 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</si>
  <si>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</si>
  <si>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</si>
  <si>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</si>
  <si>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</si>
  <si>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</si>
  <si>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</si>
  <si>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</si>
  <si>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</si>
  <si>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</si>
  <si>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Divide by 2 (number of years to recover in rates)</t>
  </si>
  <si>
    <t>Data 
(Delivered MWH)</t>
  </si>
  <si>
    <t>Remove:</t>
  </si>
  <si>
    <t>Add:</t>
  </si>
  <si>
    <t>Tariff</t>
  </si>
  <si>
    <t>Revenue Change</t>
  </si>
  <si>
    <t>% Change</t>
  </si>
  <si>
    <t>Residential</t>
  </si>
  <si>
    <t>7A</t>
  </si>
  <si>
    <t>RC 40C</t>
  </si>
  <si>
    <t>RC 40I</t>
  </si>
  <si>
    <t>Sales Total</t>
  </si>
  <si>
    <t>RC 449PV</t>
  </si>
  <si>
    <t>RC449HV</t>
  </si>
  <si>
    <t>RC 459HV</t>
  </si>
  <si>
    <t>Sales+Transport</t>
  </si>
  <si>
    <t>BAD DEBTS</t>
  </si>
  <si>
    <t>CONVERSION FACTOR</t>
  </si>
  <si>
    <t>Rate Impact (All Schedules)</t>
  </si>
  <si>
    <t>Schedule 141Y - Tax Over Collection Rider</t>
  </si>
  <si>
    <t>Total Secondary</t>
  </si>
  <si>
    <t>Total Primary</t>
  </si>
  <si>
    <t>Total High Voltage</t>
  </si>
  <si>
    <t>50-59</t>
  </si>
  <si>
    <t>Transportation 449-459</t>
  </si>
  <si>
    <t>Special Contract</t>
  </si>
  <si>
    <t>Retail Sales</t>
  </si>
  <si>
    <t>Total Sales</t>
  </si>
  <si>
    <t>(including Schedules 95, 95a, 120, 129, 132, 133, 137, 140, 141, 141x, 141y, 142 and 194)</t>
  </si>
  <si>
    <t>Account 18600321/(25300541)</t>
  </si>
  <si>
    <t>Avista Corporation</t>
  </si>
  <si>
    <t>Idaho Power Company</t>
  </si>
  <si>
    <t>NorthWestern Energy, LLC</t>
  </si>
  <si>
    <t>PacifiCorp</t>
  </si>
  <si>
    <t>Portland General Electric Company</t>
  </si>
  <si>
    <t>Puget Sound Energy, Inc.</t>
  </si>
  <si>
    <t>Clark Public Utilities</t>
  </si>
  <si>
    <t>Franklin</t>
  </si>
  <si>
    <t>Snohomish PUD</t>
  </si>
  <si>
    <t>Refund Amt</t>
  </si>
  <si>
    <r>
      <t>Average monthly bill for Residential customer consuming</t>
    </r>
    <r>
      <rPr>
        <b/>
        <sz val="8"/>
        <rFont val="Arial"/>
        <family val="2"/>
      </rPr>
      <t xml:space="preserve"> 900 kWh per month</t>
    </r>
  </si>
  <si>
    <t xml:space="preserve">Forecast Account 18600321 (25300541) Balance </t>
  </si>
  <si>
    <t>Current  Average 
Rates per KWHs</t>
  </si>
  <si>
    <t>Proposed Average 
Rates per KWHs</t>
  </si>
  <si>
    <t>FOR THE TWELVE MONTHS ENDED DECEMBER 31, 2018</t>
  </si>
  <si>
    <t>2019 GENERAL RATE CASE</t>
  </si>
  <si>
    <t>STATE UTILITY TAX - NET OF BAD DEBTS ( 3.8734% - ( LINE 1 * 3.8734%) )</t>
  </si>
  <si>
    <t>CONVERSION FACTOR EXCLUDING FEDERAL INCOME TAX ( 1 - LINE 5)</t>
  </si>
  <si>
    <t>FEDERAL INCOME TAX</t>
  </si>
  <si>
    <t xml:space="preserve">CONVERSION FACTOR INCL FEDERAL INCOME TAX ( LINE 5 + LINE 8 ) </t>
  </si>
  <si>
    <r>
      <rPr>
        <b/>
        <sz val="8"/>
        <color rgb="FF0000FF"/>
        <rFont val="Arial"/>
        <family val="2"/>
      </rPr>
      <t>F2021</t>
    </r>
    <r>
      <rPr>
        <b/>
        <sz val="8"/>
        <rFont val="Arial"/>
        <family val="2"/>
      </rPr>
      <t xml:space="preserve"> Monthly Load Forecast</t>
    </r>
  </si>
  <si>
    <r>
      <t xml:space="preserve">Sum of </t>
    </r>
    <r>
      <rPr>
        <sz val="8"/>
        <color rgb="FF0000FF"/>
        <rFont val="Arial"/>
        <family val="2"/>
      </rPr>
      <t>Nov 2021</t>
    </r>
  </si>
  <si>
    <r>
      <t xml:space="preserve">Sum of </t>
    </r>
    <r>
      <rPr>
        <sz val="8"/>
        <color rgb="FF0000FF"/>
        <rFont val="Arial"/>
        <family val="2"/>
      </rPr>
      <t>Dec 2021</t>
    </r>
  </si>
  <si>
    <r>
      <t xml:space="preserve">Sum of </t>
    </r>
    <r>
      <rPr>
        <sz val="8"/>
        <color rgb="FF0000FF"/>
        <rFont val="Arial"/>
        <family val="2"/>
      </rPr>
      <t>Jan 2022</t>
    </r>
  </si>
  <si>
    <r>
      <t xml:space="preserve">Sum of </t>
    </r>
    <r>
      <rPr>
        <sz val="8"/>
        <color rgb="FF0000FF"/>
        <rFont val="Arial"/>
        <family val="2"/>
      </rPr>
      <t>Feb 2022</t>
    </r>
  </si>
  <si>
    <r>
      <t xml:space="preserve">Sum of </t>
    </r>
    <r>
      <rPr>
        <sz val="8"/>
        <color rgb="FF0000FF"/>
        <rFont val="Arial"/>
        <family val="2"/>
      </rPr>
      <t>Mar 2022</t>
    </r>
  </si>
  <si>
    <r>
      <t xml:space="preserve">Sum of </t>
    </r>
    <r>
      <rPr>
        <sz val="8"/>
        <color rgb="FF0000FF"/>
        <rFont val="Arial"/>
        <family val="2"/>
      </rPr>
      <t>Apr 2022</t>
    </r>
  </si>
  <si>
    <r>
      <t xml:space="preserve">Sum of </t>
    </r>
    <r>
      <rPr>
        <sz val="8"/>
        <color rgb="FF0000FF"/>
        <rFont val="Arial"/>
        <family val="2"/>
      </rPr>
      <t>May 2022</t>
    </r>
  </si>
  <si>
    <r>
      <t xml:space="preserve">Sum of </t>
    </r>
    <r>
      <rPr>
        <sz val="8"/>
        <color rgb="FF0000FF"/>
        <rFont val="Arial"/>
        <family val="2"/>
      </rPr>
      <t>Jun 2022</t>
    </r>
  </si>
  <si>
    <r>
      <t xml:space="preserve">Sum of </t>
    </r>
    <r>
      <rPr>
        <sz val="8"/>
        <color rgb="FF0000FF"/>
        <rFont val="Arial"/>
        <family val="2"/>
      </rPr>
      <t>Jul 2022</t>
    </r>
  </si>
  <si>
    <r>
      <t xml:space="preserve">Sum of </t>
    </r>
    <r>
      <rPr>
        <sz val="8"/>
        <color rgb="FF0000FF"/>
        <rFont val="Arial"/>
        <family val="2"/>
      </rPr>
      <t>Aug 2022</t>
    </r>
  </si>
  <si>
    <r>
      <t xml:space="preserve">Sum of </t>
    </r>
    <r>
      <rPr>
        <sz val="8"/>
        <color rgb="FF0000FF"/>
        <rFont val="Arial"/>
        <family val="2"/>
      </rPr>
      <t>Sep 2022</t>
    </r>
  </si>
  <si>
    <r>
      <t xml:space="preserve">Sum of </t>
    </r>
    <r>
      <rPr>
        <sz val="8"/>
        <color rgb="FF0000FF"/>
        <rFont val="Arial"/>
        <family val="2"/>
      </rPr>
      <t>Oct 2022</t>
    </r>
  </si>
  <si>
    <r>
      <t xml:space="preserve">Sum of </t>
    </r>
    <r>
      <rPr>
        <sz val="8"/>
        <color rgb="FF0000FF"/>
        <rFont val="Arial"/>
        <family val="2"/>
      </rPr>
      <t>Nov 2022</t>
    </r>
  </si>
  <si>
    <r>
      <t xml:space="preserve">Sum of </t>
    </r>
    <r>
      <rPr>
        <sz val="8"/>
        <color rgb="FF0000FF"/>
        <rFont val="Arial"/>
        <family val="2"/>
      </rPr>
      <t>Dec 2022</t>
    </r>
  </si>
  <si>
    <r>
      <t xml:space="preserve">Sum of </t>
    </r>
    <r>
      <rPr>
        <sz val="8"/>
        <color rgb="FF0000FF"/>
        <rFont val="Arial"/>
        <family val="2"/>
      </rPr>
      <t>Jan 2023</t>
    </r>
  </si>
  <si>
    <r>
      <t xml:space="preserve">Sum of </t>
    </r>
    <r>
      <rPr>
        <sz val="8"/>
        <color rgb="FF0000FF"/>
        <rFont val="Arial"/>
        <family val="2"/>
      </rPr>
      <t>Feb 2023</t>
    </r>
  </si>
  <si>
    <r>
      <t xml:space="preserve">Sum of </t>
    </r>
    <r>
      <rPr>
        <sz val="8"/>
        <color rgb="FF0000FF"/>
        <rFont val="Arial"/>
        <family val="2"/>
      </rPr>
      <t>Mar 2023</t>
    </r>
  </si>
  <si>
    <r>
      <t xml:space="preserve">Sum of </t>
    </r>
    <r>
      <rPr>
        <sz val="8"/>
        <color rgb="FF0000FF"/>
        <rFont val="Arial"/>
        <family val="2"/>
      </rPr>
      <t>Apr 2023</t>
    </r>
  </si>
  <si>
    <r>
      <t xml:space="preserve">Sum of </t>
    </r>
    <r>
      <rPr>
        <sz val="8"/>
        <color rgb="FF0000FF"/>
        <rFont val="Arial"/>
        <family val="2"/>
      </rPr>
      <t>May 2023</t>
    </r>
  </si>
  <si>
    <r>
      <t xml:space="preserve">Sum of </t>
    </r>
    <r>
      <rPr>
        <sz val="8"/>
        <color rgb="FF0000FF"/>
        <rFont val="Arial"/>
        <family val="2"/>
      </rPr>
      <t>Jun 2023</t>
    </r>
  </si>
  <si>
    <r>
      <t xml:space="preserve">Sum of </t>
    </r>
    <r>
      <rPr>
        <sz val="8"/>
        <color rgb="FF0000FF"/>
        <rFont val="Arial"/>
        <family val="2"/>
      </rPr>
      <t>Jul 2023</t>
    </r>
  </si>
  <si>
    <r>
      <t>Sum of</t>
    </r>
    <r>
      <rPr>
        <sz val="8"/>
        <color rgb="FF0000FF"/>
        <rFont val="Arial"/>
        <family val="2"/>
      </rPr>
      <t xml:space="preserve"> Aug 2023</t>
    </r>
  </si>
  <si>
    <r>
      <t xml:space="preserve">Sum of </t>
    </r>
    <r>
      <rPr>
        <sz val="8"/>
        <color rgb="FF0000FF"/>
        <rFont val="Arial"/>
        <family val="2"/>
      </rPr>
      <t>Sep 2023</t>
    </r>
  </si>
  <si>
    <r>
      <t xml:space="preserve">12 Month kWH Load, </t>
    </r>
    <r>
      <rPr>
        <b/>
        <i/>
        <sz val="8"/>
        <color rgb="FF0000FF"/>
        <rFont val="Arial"/>
        <family val="2"/>
      </rPr>
      <t>October 2022 to September 2023</t>
    </r>
  </si>
  <si>
    <r>
      <rPr>
        <b/>
        <sz val="8"/>
        <color rgb="FF0000FF"/>
        <rFont val="Arial"/>
        <family val="2"/>
      </rPr>
      <t>FY2021</t>
    </r>
    <r>
      <rPr>
        <b/>
        <sz val="8"/>
        <rFont val="Arial"/>
        <family val="2"/>
      </rPr>
      <t xml:space="preserve"> Delivered kWh Grand Total</t>
    </r>
  </si>
  <si>
    <t>cross check</t>
  </si>
  <si>
    <t>Delivered Monthly Sales &amp; Transportation by Rate Schedule</t>
  </si>
  <si>
    <t xml:space="preserve">Reconciled to LFG's F21 Final Forecast as of July 22nd, 2021; </t>
  </si>
  <si>
    <t>Monthly kWh Sales Projections, 2021 - 2027</t>
  </si>
  <si>
    <t>SC</t>
  </si>
  <si>
    <t>Current Customer Bill in Notice</t>
  </si>
  <si>
    <t>Proposed Customer Bill in Notice</t>
  </si>
  <si>
    <t>Basic Charge</t>
  </si>
  <si>
    <t>First 600 kWh</t>
  </si>
  <si>
    <t>Over 600 kWh</t>
  </si>
  <si>
    <t>Bill</t>
  </si>
  <si>
    <t>Schedule 141X EDIT Rider - First 600 kWh</t>
  </si>
  <si>
    <t>Schedule 141Z - EDIT Rider</t>
  </si>
  <si>
    <t>Schedule 142 - Decoupling Rider - Supplemental</t>
  </si>
  <si>
    <t>Schedule 141X EDIT Rider - Over 600 kWh</t>
  </si>
  <si>
    <t>Schedule 95 - Power Cost Adjustment Clause-Supplemental</t>
  </si>
  <si>
    <t>Month No.</t>
  </si>
  <si>
    <r>
      <t>BPA FY</t>
    </r>
    <r>
      <rPr>
        <b/>
        <sz val="8"/>
        <color rgb="FF0000FF"/>
        <rFont val="Arial"/>
        <family val="2"/>
      </rPr>
      <t xml:space="preserve"> 2022</t>
    </r>
  </si>
  <si>
    <t>Schedule 194 - BPA Residential Credit</t>
  </si>
  <si>
    <t>Test Year ended September 2021</t>
  </si>
  <si>
    <t>`</t>
  </si>
  <si>
    <t>Current
Schedule 194
BPA
Residential &amp;
Farm Credit</t>
  </si>
  <si>
    <t>Proposed Schedule 194
BPA
Residential &amp;
Farm Credit</t>
  </si>
  <si>
    <t>7A (Note 1)</t>
  </si>
  <si>
    <t>26 &amp; 26P</t>
  </si>
  <si>
    <t>Total Secondary Voltage</t>
  </si>
  <si>
    <t>Total Primary Voltage</t>
  </si>
  <si>
    <t>50-55, 57-58</t>
  </si>
  <si>
    <t>56-59</t>
  </si>
  <si>
    <t>Total Lighting</t>
  </si>
  <si>
    <t>449-459</t>
  </si>
  <si>
    <t>Transportation</t>
  </si>
  <si>
    <t>Firm Resale</t>
  </si>
  <si>
    <t>BPA Report - RAM Module - REP 2022</t>
  </si>
  <si>
    <t xml:space="preserve">Account 18600321 Balance </t>
  </si>
  <si>
    <t xml:space="preserve">Account 25300541 Balance </t>
  </si>
  <si>
    <r>
      <t>TOTAL Balance @</t>
    </r>
    <r>
      <rPr>
        <b/>
        <sz val="8"/>
        <color rgb="FF0000FF"/>
        <rFont val="Arial"/>
        <family val="2"/>
      </rPr>
      <t xml:space="preserve"> 8-31-21</t>
    </r>
  </si>
  <si>
    <t>Calculation of Settlement Utility Specific PF Exchange Rates</t>
  </si>
  <si>
    <t>TOC</t>
  </si>
  <si>
    <t>RAM2022_Errata.xls</t>
  </si>
  <si>
    <t>é</t>
  </si>
  <si>
    <t>Initial Allocations</t>
  </si>
  <si>
    <t>Interim</t>
  </si>
  <si>
    <t>Refund</t>
  </si>
  <si>
    <t>Base</t>
  </si>
  <si>
    <t>Exchange</t>
  </si>
  <si>
    <t xml:space="preserve">Unconstrained </t>
  </si>
  <si>
    <t>Scheduled</t>
  </si>
  <si>
    <t>Protection</t>
  </si>
  <si>
    <t>Cost</t>
  </si>
  <si>
    <t>7(b)(3)</t>
  </si>
  <si>
    <t>Utility</t>
  </si>
  <si>
    <t>REP</t>
  </si>
  <si>
    <t>ASC</t>
  </si>
  <si>
    <t>PFx</t>
  </si>
  <si>
    <t>Load</t>
  </si>
  <si>
    <t>Benefits</t>
  </si>
  <si>
    <t>Amount</t>
  </si>
  <si>
    <t>Allocation</t>
  </si>
  <si>
    <t>Surcharge</t>
  </si>
  <si>
    <t>a</t>
  </si>
  <si>
    <t>b</t>
  </si>
  <si>
    <t>c</t>
  </si>
  <si>
    <t>d</t>
  </si>
  <si>
    <t>e=avg(c,d)</t>
  </si>
  <si>
    <t>f=(a-b)*e</t>
  </si>
  <si>
    <t>g=contract</t>
  </si>
  <si>
    <t>h=contract</t>
  </si>
  <si>
    <t>Σi=Σf - Σh</t>
  </si>
  <si>
    <t>Σj=h</t>
  </si>
  <si>
    <t>k=(i+j)/e</t>
  </si>
  <si>
    <t>l=b+k</t>
  </si>
  <si>
    <t>m=(a-l)*e</t>
  </si>
  <si>
    <t>rounding to</t>
  </si>
  <si>
    <t xml:space="preserve">places = </t>
  </si>
  <si>
    <t>IOU Σ(g)</t>
  </si>
  <si>
    <t>IOU Σ(j)</t>
  </si>
  <si>
    <t>IOU REP</t>
  </si>
  <si>
    <t>COU Σ(g)</t>
  </si>
  <si>
    <t>COU Σ(j)</t>
  </si>
  <si>
    <t>COU REP</t>
  </si>
  <si>
    <t>IOU Reallocations</t>
  </si>
  <si>
    <t>Final</t>
  </si>
  <si>
    <t>Annual</t>
  </si>
  <si>
    <t>Reallocation</t>
  </si>
  <si>
    <t>Reallocated</t>
  </si>
  <si>
    <t>Adjustment</t>
  </si>
  <si>
    <t>n=m</t>
  </si>
  <si>
    <t>o=contract</t>
  </si>
  <si>
    <t>p=below</t>
  </si>
  <si>
    <t>q=n-o+p</t>
  </si>
  <si>
    <t>r=f-q</t>
  </si>
  <si>
    <t>s=r/e</t>
  </si>
  <si>
    <t>t=b+s</t>
  </si>
  <si>
    <t>u=(a-t)*e</t>
  </si>
  <si>
    <t>v=(a-t)*c</t>
  </si>
  <si>
    <t>w=(a-t)*d</t>
  </si>
  <si>
    <t>Avista</t>
  </si>
  <si>
    <t>Idaho Power</t>
  </si>
  <si>
    <t>NorthWestern</t>
  </si>
  <si>
    <t>Portland</t>
  </si>
  <si>
    <t>Puget Sound</t>
  </si>
  <si>
    <t>Clark</t>
  </si>
  <si>
    <t>IOU Reallocation Adjustments</t>
  </si>
  <si>
    <t>Snohomish</t>
  </si>
  <si>
    <t>Total REP</t>
  </si>
  <si>
    <t>p1=o1*(f/Σf)</t>
  </si>
  <si>
    <t>p2=o2*(f/Σf)</t>
  </si>
  <si>
    <t>p3=o3*(f/Σf)</t>
  </si>
  <si>
    <t>p4=o4*(f/Σf)</t>
  </si>
  <si>
    <t>p5=o5*(f/Σf)</t>
  </si>
  <si>
    <t>p6=o6*(f/Σf)</t>
  </si>
  <si>
    <t>p=Σ(p1…p6)</t>
  </si>
  <si>
    <t>REP Cost</t>
  </si>
  <si>
    <t>Determine Rounding Decimal Place</t>
  </si>
  <si>
    <t>Idaho</t>
  </si>
  <si>
    <t>November 1, 2021 through September 30, 2022</t>
  </si>
  <si>
    <r>
      <t xml:space="preserve">Residential Exchange Balance </t>
    </r>
    <r>
      <rPr>
        <b/>
        <sz val="8"/>
        <color rgb="FF0000FF"/>
        <rFont val="Arial"/>
        <family val="2"/>
      </rPr>
      <t xml:space="preserve">8-31-21 </t>
    </r>
    <r>
      <rPr>
        <sz val="8"/>
        <rFont val="Arial"/>
        <family val="2"/>
      </rPr>
      <t>to recover over 2 years</t>
    </r>
  </si>
  <si>
    <r>
      <t xml:space="preserve">Proposed Residential and Farm Exchange Benefit Rate Effective </t>
    </r>
    <r>
      <rPr>
        <b/>
        <sz val="8"/>
        <color rgb="FF0000FF"/>
        <rFont val="Arial"/>
        <family val="2"/>
      </rPr>
      <t>11-1-21</t>
    </r>
    <r>
      <rPr>
        <b/>
        <sz val="8"/>
        <rFont val="Arial"/>
        <family val="2"/>
      </rPr>
      <t xml:space="preserve"> ($ / kWh)</t>
    </r>
  </si>
  <si>
    <r>
      <t xml:space="preserve">After proposed change in credit (Based on rates effective </t>
    </r>
    <r>
      <rPr>
        <b/>
        <sz val="8"/>
        <color rgb="FF0000FF"/>
        <rFont val="Arial"/>
        <family val="2"/>
      </rPr>
      <t>11-1-21</t>
    </r>
    <r>
      <rPr>
        <sz val="8"/>
        <rFont val="Arial"/>
        <family val="2"/>
      </rPr>
      <t>)</t>
    </r>
  </si>
  <si>
    <t>RAM Module uploaded from: https://www.bpa.gov/Finance/RateCases/BP-22-Rate-Case/Pages/Models-and-Datasets.aspx</t>
  </si>
  <si>
    <t>November 1, 2021 through September 2023</t>
  </si>
  <si>
    <r>
      <t xml:space="preserve">11 Month kWH Load, </t>
    </r>
    <r>
      <rPr>
        <b/>
        <i/>
        <sz val="8"/>
        <color rgb="FF0000FF"/>
        <rFont val="Arial"/>
        <family val="2"/>
      </rPr>
      <t>November 2021 to September 2022</t>
    </r>
  </si>
  <si>
    <t>Total BPA FY 2022</t>
  </si>
  <si>
    <t>Total BPA FY 2023</t>
  </si>
  <si>
    <r>
      <t xml:space="preserve">Proposed Rates
Eff. </t>
    </r>
    <r>
      <rPr>
        <b/>
        <sz val="8"/>
        <color rgb="FF0000FF"/>
        <rFont val="Arial"/>
        <family val="2"/>
      </rPr>
      <t>11-01-21</t>
    </r>
  </si>
  <si>
    <r>
      <t xml:space="preserve">Current Rates
Eff. </t>
    </r>
    <r>
      <rPr>
        <b/>
        <sz val="8"/>
        <color rgb="FF0000FF"/>
        <rFont val="Arial"/>
        <family val="2"/>
      </rPr>
      <t>10-12-20</t>
    </r>
  </si>
  <si>
    <r>
      <t xml:space="preserve">Present Rates Effective </t>
    </r>
    <r>
      <rPr>
        <b/>
        <sz val="8"/>
        <color rgb="FF0000FF"/>
        <rFont val="Arial"/>
        <family val="2"/>
      </rPr>
      <t>10/30/2021</t>
    </r>
  </si>
  <si>
    <t xml:space="preserve">Forecast Net REP Benefits to be paid by BPA </t>
  </si>
  <si>
    <r>
      <t xml:space="preserve">Before proposed change in credit (Based on rates effective </t>
    </r>
    <r>
      <rPr>
        <b/>
        <sz val="8"/>
        <color rgb="FF0000FF"/>
        <rFont val="Arial"/>
        <family val="2"/>
      </rPr>
      <t>10-30-21</t>
    </r>
    <r>
      <rPr>
        <sz val="8"/>
        <rFont val="Arial"/>
        <family val="2"/>
      </rPr>
      <t>)</t>
    </r>
  </si>
  <si>
    <t xml:space="preserve">12 Month Average kWH Load </t>
  </si>
  <si>
    <t>Forecast Exchange Delivered Sales (MWh)</t>
  </si>
  <si>
    <r>
      <t xml:space="preserve">Proposed Rates Effective </t>
    </r>
    <r>
      <rPr>
        <b/>
        <sz val="8"/>
        <color rgb="FF0000FF"/>
        <rFont val="Arial"/>
        <family val="2"/>
      </rPr>
      <t>11/01/2021</t>
    </r>
  </si>
  <si>
    <r>
      <t>Annual Estimated Revenue @ Rates Effective</t>
    </r>
    <r>
      <rPr>
        <b/>
        <sz val="8"/>
        <color rgb="FF0033CC"/>
        <rFont val="Arial"/>
        <family val="2"/>
      </rPr>
      <t xml:space="preserve"> 11-1-2021</t>
    </r>
  </si>
  <si>
    <t>Annual kWh Delivered Sales  11/01/21 to 10/31/22 (F2021)</t>
  </si>
  <si>
    <t>Estimated Annual
Base Revenue
Rates Effective
10/15/20</t>
  </si>
  <si>
    <t>Schedule 95
PCA</t>
  </si>
  <si>
    <t>Schedule 95
PCORC</t>
  </si>
  <si>
    <t>Schedule 95A
Federal Incentive Credit</t>
  </si>
  <si>
    <t>Schedule 120
Conservation</t>
  </si>
  <si>
    <t>Schedule 129
Low Income</t>
  </si>
  <si>
    <t>Schedule 137 REC's</t>
  </si>
  <si>
    <t>Schedule 140
Property Tax</t>
  </si>
  <si>
    <t>Schedule 141X (Pass-back)
ERF</t>
  </si>
  <si>
    <t>Schedule 
141Y Tax Over Collection</t>
  </si>
  <si>
    <t>Schedule 141Z (Unprotected)
EDIT</t>
  </si>
  <si>
    <t>Schedule 142
 Deferral</t>
  </si>
  <si>
    <t>Schedule 142
Supplemental</t>
  </si>
  <si>
    <t>Schedule 194
BPA Res &amp; Farm Credit</t>
  </si>
  <si>
    <t>Subtotal
Rider
Rates</t>
  </si>
  <si>
    <t>Annual Estimated Revenue @ Rates Effective 10/01/21</t>
  </si>
  <si>
    <t>Test Year Ended October 31, 2022</t>
  </si>
  <si>
    <t>Average Residential Usage Test Year Ended October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</si>
</sst>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0_);_(* \(#,##0.0000000\);_(* &quot;-&quot;??_);_(@_)"/>
    <numFmt numFmtId="168" formatCode="_(&quot;$&quot;* #,##0.000000_);_(&quot;$&quot;* \(#,##0.000000\);_(&quot;$&quot;* &quot;-&quot;??_);_(@_)"/>
    <numFmt numFmtId="169" formatCode="0.000000"/>
    <numFmt numFmtId="170" formatCode="0.00_)"/>
    <numFmt numFmtId="171" formatCode="_(* #,##0.0_);_(* \(#,##0.0\);_(* &quot;-&quot;_);_(@_)"/>
    <numFmt numFmtId="172" formatCode="_(* ###0_);_(* \(###0\);_(* &quot;-&quot;_);_(@_)"/>
    <numFmt numFmtId="173" formatCode="d\.mmm\.yy"/>
    <numFmt numFmtId="174" formatCode="0.0000000"/>
    <numFmt numFmtId="175" formatCode="[$-409]mmmm\ d\,\ yyyy;@"/>
    <numFmt numFmtId="176" formatCode="#,##0_);[Red]\(#,##0\);&quot; &quot;"/>
    <numFmt numFmtId="177" formatCode="&quot;$&quot;#,##0.00"/>
    <numFmt numFmtId="178" formatCode="#."/>
    <numFmt numFmtId="179" formatCode="&quot;$&quot;#,##0;\-&quot;$&quot;#,##0"/>
    <numFmt numFmtId="180" formatCode="_(&quot;$&quot;* #,##0.0000_);_(&quot;$&quot;* \(#,##0.0000\);_(&quot;$&quot;* &quot;-&quot;????_);_(@_)"/>
    <numFmt numFmtId="181" formatCode="0.0000%"/>
    <numFmt numFmtId="182" formatCode="&quot;FY&quot;\ ###"/>
    <numFmt numFmtId="183" formatCode="_(&quot;$&quot;* #,##0.000000_);_(&quot;$&quot;* \(#,##0.000000\);_(&quot;$&quot;* &quot;-&quot;??????_);_(@_)"/>
    <numFmt numFmtId="184" formatCode="&quot;$&quot;#,##0"/>
    <numFmt numFmtId="185" formatCode="0.00000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b/>
      <sz val="8"/>
      <color indexed="8"/>
      <name val="Helv"/>
    </font>
    <font>
      <b/>
      <sz val="10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u/>
      <sz val="7.5"/>
      <color indexed="12"/>
      <name val="Arial"/>
      <family val="2"/>
    </font>
    <font>
      <sz val="8"/>
      <color theme="1"/>
      <name val="Arial"/>
      <family val="2"/>
    </font>
    <font>
      <b/>
      <i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8"/>
      <color rgb="FF008080"/>
      <name val="Arial"/>
      <family val="2"/>
    </font>
    <font>
      <sz val="8"/>
      <color rgb="FF0000FF"/>
      <name val="Arial"/>
      <family val="2"/>
    </font>
    <font>
      <sz val="8"/>
      <color rgb="FF008080"/>
      <name val="Arial"/>
      <family val="2"/>
    </font>
    <font>
      <b/>
      <sz val="8"/>
      <color rgb="FF0033CC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b/>
      <sz val="8"/>
      <color rgb="FF009999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10"/>
      <color theme="1"/>
      <name val="Times New Roman"/>
      <family val="1"/>
    </font>
    <font>
      <b/>
      <i/>
      <sz val="8"/>
      <color rgb="FF00808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u/>
      <sz val="8"/>
      <color theme="1"/>
      <name val="Arial"/>
      <family val="2"/>
    </font>
    <font>
      <sz val="8"/>
      <color rgb="FF0070C0"/>
      <name val="Arial"/>
      <family val="2"/>
    </font>
    <font>
      <u/>
      <sz val="8"/>
      <name val="Arial"/>
      <family val="2"/>
    </font>
    <font>
      <sz val="8"/>
      <color rgb="FFFFFFFF"/>
      <name val="Arial"/>
      <family val="2"/>
    </font>
    <font>
      <b/>
      <sz val="8"/>
      <color rgb="FF3366FF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8">
    <xf numFmtId="0" fontId="0" fillId="0" borderId="0"/>
    <xf numFmtId="169" fontId="3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4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4" fontId="20" fillId="0" borderId="0">
      <alignment horizontal="left" wrapText="1"/>
    </xf>
    <xf numFmtId="174" fontId="20" fillId="0" borderId="0">
      <alignment horizontal="left" wrapText="1"/>
    </xf>
    <xf numFmtId="174" fontId="20" fillId="0" borderId="0">
      <alignment horizontal="left" wrapText="1"/>
    </xf>
    <xf numFmtId="174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9" fontId="3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6" fontId="3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9" fontId="3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166" fontId="20" fillId="0" borderId="0">
      <alignment horizontal="left" wrapText="1"/>
    </xf>
    <xf numFmtId="169" fontId="3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4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3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9" fontId="3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6" fontId="3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173" fontId="4" fillId="0" borderId="0" applyFill="0" applyBorder="0" applyAlignment="0"/>
    <xf numFmtId="41" fontId="3" fillId="20" borderId="0"/>
    <xf numFmtId="0" fontId="25" fillId="21" borderId="1" applyNumberFormat="0" applyAlignment="0" applyProtection="0"/>
    <xf numFmtId="41" fontId="20" fillId="22" borderId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6" fillId="0" borderId="0"/>
    <xf numFmtId="0" fontId="6" fillId="0" borderId="0"/>
    <xf numFmtId="0" fontId="26" fillId="0" borderId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78" fontId="28" fillId="0" borderId="0">
      <protection locked="0"/>
    </xf>
    <xf numFmtId="0" fontId="26" fillId="0" borderId="0"/>
    <xf numFmtId="0" fontId="7" fillId="0" borderId="0" applyNumberFormat="0" applyAlignment="0">
      <alignment horizontal="left"/>
    </xf>
    <xf numFmtId="0" fontId="8" fillId="0" borderId="0" applyNumberFormat="0" applyAlignment="0"/>
    <xf numFmtId="0" fontId="6" fillId="0" borderId="0"/>
    <xf numFmtId="0" fontId="26" fillId="0" borderId="0"/>
    <xf numFmtId="0" fontId="6" fillId="0" borderId="0"/>
    <xf numFmtId="0" fontId="26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69" fontId="3" fillId="0" borderId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6" fillId="0" borderId="0"/>
    <xf numFmtId="0" fontId="31" fillId="4" borderId="0" applyNumberFormat="0" applyBorder="0" applyAlignment="0" applyProtection="0"/>
    <xf numFmtId="38" fontId="9" fillId="22" borderId="0" applyNumberFormat="0" applyBorder="0" applyAlignment="0" applyProtection="0"/>
    <xf numFmtId="38" fontId="32" fillId="22" borderId="0" applyNumberFormat="0" applyBorder="0" applyAlignment="0" applyProtection="0"/>
    <xf numFmtId="38" fontId="32" fillId="22" borderId="0" applyNumberFormat="0" applyBorder="0" applyAlignment="0" applyProtection="0"/>
    <xf numFmtId="38" fontId="32" fillId="22" borderId="0" applyNumberFormat="0" applyBorder="0" applyAlignment="0" applyProtection="0"/>
    <xf numFmtId="38" fontId="32" fillId="22" borderId="0" applyNumberFormat="0" applyBorder="0" applyAlignment="0" applyProtection="0"/>
    <xf numFmtId="0" fontId="10" fillId="0" borderId="2" applyNumberFormat="0" applyAlignment="0" applyProtection="0">
      <alignment horizontal="left"/>
    </xf>
    <xf numFmtId="0" fontId="10" fillId="0" borderId="3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38" fontId="11" fillId="0" borderId="0"/>
    <xf numFmtId="40" fontId="11" fillId="0" borderId="0"/>
    <xf numFmtId="0" fontId="35" fillId="7" borderId="5" applyNumberFormat="0" applyAlignment="0" applyProtection="0"/>
    <xf numFmtId="10" fontId="9" fillId="20" borderId="6" applyNumberFormat="0" applyBorder="0" applyAlignment="0" applyProtection="0"/>
    <xf numFmtId="10" fontId="32" fillId="20" borderId="6" applyNumberFormat="0" applyBorder="0" applyAlignment="0" applyProtection="0"/>
    <xf numFmtId="10" fontId="32" fillId="20" borderId="6" applyNumberFormat="0" applyBorder="0" applyAlignment="0" applyProtection="0"/>
    <xf numFmtId="10" fontId="32" fillId="20" borderId="6" applyNumberFormat="0" applyBorder="0" applyAlignment="0" applyProtection="0"/>
    <xf numFmtId="10" fontId="32" fillId="20" borderId="6" applyNumberFormat="0" applyBorder="0" applyAlignment="0" applyProtection="0"/>
    <xf numFmtId="41" fontId="12" fillId="23" borderId="7">
      <alignment horizontal="left"/>
      <protection locked="0"/>
    </xf>
    <xf numFmtId="10" fontId="12" fillId="23" borderId="7">
      <alignment horizontal="right"/>
      <protection locked="0"/>
    </xf>
    <xf numFmtId="0" fontId="32" fillId="22" borderId="0"/>
    <xf numFmtId="3" fontId="36" fillId="0" borderId="0" applyFill="0" applyBorder="0" applyAlignment="0" applyProtection="0"/>
    <xf numFmtId="0" fontId="37" fillId="0" borderId="8" applyNumberFormat="0" applyFill="0" applyAlignment="0" applyProtection="0"/>
    <xf numFmtId="44" fontId="13" fillId="0" borderId="9" applyNumberFormat="0" applyFont="0" applyAlignment="0">
      <alignment horizontal="center"/>
    </xf>
    <xf numFmtId="44" fontId="18" fillId="0" borderId="9" applyNumberFormat="0" applyFont="0" applyAlignment="0">
      <alignment horizontal="center"/>
    </xf>
    <xf numFmtId="44" fontId="18" fillId="0" borderId="9" applyNumberFormat="0" applyFont="0" applyAlignment="0">
      <alignment horizontal="center"/>
    </xf>
    <xf numFmtId="44" fontId="18" fillId="0" borderId="9" applyNumberFormat="0" applyFont="0" applyAlignment="0">
      <alignment horizontal="center"/>
    </xf>
    <xf numFmtId="44" fontId="13" fillId="0" borderId="10" applyNumberFormat="0" applyFont="0" applyAlignment="0">
      <alignment horizontal="center"/>
    </xf>
    <xf numFmtId="44" fontId="18" fillId="0" borderId="10" applyNumberFormat="0" applyFont="0" applyAlignment="0">
      <alignment horizontal="center"/>
    </xf>
    <xf numFmtId="44" fontId="18" fillId="0" borderId="10" applyNumberFormat="0" applyFont="0" applyAlignment="0">
      <alignment horizontal="center"/>
    </xf>
    <xf numFmtId="44" fontId="18" fillId="0" borderId="10" applyNumberFormat="0" applyFont="0" applyAlignment="0">
      <alignment horizontal="center"/>
    </xf>
    <xf numFmtId="0" fontId="38" fillId="24" borderId="0" applyNumberFormat="0" applyBorder="0" applyAlignment="0" applyProtection="0"/>
    <xf numFmtId="37" fontId="14" fillId="0" borderId="0"/>
    <xf numFmtId="170" fontId="15" fillId="0" borderId="0"/>
    <xf numFmtId="179" fontId="20" fillId="0" borderId="0"/>
    <xf numFmtId="179" fontId="20" fillId="0" borderId="0"/>
    <xf numFmtId="179" fontId="20" fillId="0" borderId="0"/>
    <xf numFmtId="179" fontId="20" fillId="0" borderId="0"/>
    <xf numFmtId="169" fontId="20" fillId="0" borderId="0">
      <alignment horizontal="left" wrapText="1"/>
    </xf>
    <xf numFmtId="0" fontId="20" fillId="0" borderId="0"/>
    <xf numFmtId="0" fontId="20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40" fillId="26" borderId="12" applyNumberFormat="0" applyAlignment="0" applyProtection="0"/>
    <xf numFmtId="0" fontId="6" fillId="0" borderId="0"/>
    <xf numFmtId="0" fontId="6" fillId="0" borderId="0"/>
    <xf numFmtId="0" fontId="26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20" fillId="27" borderId="7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1" fillId="0" borderId="13">
      <alignment horizontal="center"/>
    </xf>
    <xf numFmtId="3" fontId="39" fillId="0" borderId="0" applyFont="0" applyFill="0" applyBorder="0" applyAlignment="0" applyProtection="0"/>
    <xf numFmtId="0" fontId="39" fillId="28" borderId="0" applyNumberFormat="0" applyFont="0" applyBorder="0" applyAlignment="0" applyProtection="0"/>
    <xf numFmtId="0" fontId="26" fillId="0" borderId="0"/>
    <xf numFmtId="3" fontId="42" fillId="0" borderId="0" applyFill="0" applyBorder="0" applyAlignment="0" applyProtection="0"/>
    <xf numFmtId="0" fontId="43" fillId="0" borderId="0"/>
    <xf numFmtId="3" fontId="42" fillId="0" borderId="0" applyFill="0" applyBorder="0" applyAlignment="0" applyProtection="0"/>
    <xf numFmtId="42" fontId="20" fillId="20" borderId="0"/>
    <xf numFmtId="0" fontId="44" fillId="29" borderId="0"/>
    <xf numFmtId="0" fontId="45" fillId="29" borderId="14"/>
    <xf numFmtId="0" fontId="46" fillId="30" borderId="15"/>
    <xf numFmtId="0" fontId="47" fillId="29" borderId="16"/>
    <xf numFmtId="42" fontId="20" fillId="20" borderId="17">
      <alignment vertical="center"/>
    </xf>
    <xf numFmtId="0" fontId="18" fillId="20" borderId="18" applyNumberFormat="0">
      <alignment horizontal="center" vertical="center" wrapText="1"/>
    </xf>
    <xf numFmtId="10" fontId="20" fillId="20" borderId="0"/>
    <xf numFmtId="180" fontId="20" fillId="20" borderId="0"/>
    <xf numFmtId="164" fontId="34" fillId="0" borderId="0" applyBorder="0" applyAlignment="0"/>
    <xf numFmtId="42" fontId="20" fillId="20" borderId="19">
      <alignment horizontal="left"/>
    </xf>
    <xf numFmtId="180" fontId="48" fillId="20" borderId="19">
      <alignment horizontal="left"/>
    </xf>
    <xf numFmtId="14" fontId="16" fillId="0" borderId="0" applyNumberFormat="0" applyFill="0" applyBorder="0" applyAlignment="0" applyProtection="0">
      <alignment horizontal="left"/>
    </xf>
    <xf numFmtId="171" fontId="3" fillId="0" borderId="0" applyFont="0" applyFill="0" applyAlignment="0">
      <alignment horizontal="right"/>
    </xf>
    <xf numFmtId="4" fontId="49" fillId="23" borderId="12" applyNumberFormat="0" applyProtection="0">
      <alignment vertical="center"/>
    </xf>
    <xf numFmtId="4" fontId="49" fillId="23" borderId="12" applyNumberFormat="0" applyProtection="0">
      <alignment horizontal="left" vertical="center" indent="1"/>
    </xf>
    <xf numFmtId="0" fontId="20" fillId="31" borderId="12" applyNumberFormat="0" applyProtection="0">
      <alignment horizontal="left" vertical="center" indent="1"/>
    </xf>
    <xf numFmtId="4" fontId="50" fillId="32" borderId="12" applyNumberFormat="0" applyProtection="0">
      <alignment horizontal="left" vertical="center" indent="1"/>
    </xf>
    <xf numFmtId="4" fontId="49" fillId="33" borderId="20" applyNumberFormat="0" applyProtection="0">
      <alignment horizontal="left" vertical="center" indent="1"/>
    </xf>
    <xf numFmtId="4" fontId="49" fillId="33" borderId="12" applyNumberFormat="0" applyProtection="0">
      <alignment horizontal="left" vertical="center" indent="1"/>
    </xf>
    <xf numFmtId="4" fontId="49" fillId="34" borderId="12" applyNumberFormat="0" applyProtection="0">
      <alignment horizontal="left" vertical="center" indent="1"/>
    </xf>
    <xf numFmtId="0" fontId="20" fillId="34" borderId="12" applyNumberFormat="0" applyProtection="0">
      <alignment horizontal="left" vertical="center" indent="1"/>
    </xf>
    <xf numFmtId="4" fontId="49" fillId="33" borderId="12" applyNumberFormat="0" applyProtection="0">
      <alignment horizontal="right" vertical="center"/>
    </xf>
    <xf numFmtId="0" fontId="20" fillId="31" borderId="12" applyNumberFormat="0" applyProtection="0">
      <alignment horizontal="left" vertical="center" indent="1"/>
    </xf>
    <xf numFmtId="0" fontId="20" fillId="31" borderId="12" applyNumberFormat="0" applyProtection="0">
      <alignment horizontal="left" vertical="center" indent="1"/>
    </xf>
    <xf numFmtId="0" fontId="51" fillId="0" borderId="0"/>
    <xf numFmtId="39" fontId="3" fillId="35" borderId="0"/>
    <xf numFmtId="38" fontId="9" fillId="0" borderId="21"/>
    <xf numFmtId="38" fontId="32" fillId="0" borderId="21"/>
    <xf numFmtId="38" fontId="32" fillId="0" borderId="21"/>
    <xf numFmtId="38" fontId="32" fillId="0" borderId="21"/>
    <xf numFmtId="38" fontId="32" fillId="0" borderId="21"/>
    <xf numFmtId="38" fontId="11" fillId="0" borderId="19"/>
    <xf numFmtId="39" fontId="16" fillId="36" borderId="0"/>
    <xf numFmtId="176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40" fontId="17" fillId="0" borderId="0" applyBorder="0">
      <alignment horizontal="right"/>
    </xf>
    <xf numFmtId="41" fontId="52" fillId="20" borderId="0">
      <alignment horizontal="left"/>
    </xf>
    <xf numFmtId="0" fontId="20" fillId="0" borderId="0" applyNumberFormat="0" applyBorder="0" applyAlignment="0"/>
    <xf numFmtId="0" fontId="53" fillId="0" borderId="0" applyNumberFormat="0" applyFill="0" applyBorder="0" applyAlignment="0" applyProtection="0"/>
    <xf numFmtId="0" fontId="44" fillId="0" borderId="0"/>
    <xf numFmtId="0" fontId="45" fillId="29" borderId="0"/>
    <xf numFmtId="177" fontId="54" fillId="20" borderId="0">
      <alignment horizontal="left" vertical="center"/>
    </xf>
    <xf numFmtId="0" fontId="18" fillId="20" borderId="0">
      <alignment horizontal="left" wrapText="1"/>
    </xf>
    <xf numFmtId="0" fontId="19" fillId="0" borderId="0">
      <alignment horizontal="left" vertical="center"/>
    </xf>
    <xf numFmtId="0" fontId="5" fillId="0" borderId="22" applyNumberFormat="0" applyFont="0" applyFill="0" applyAlignment="0" applyProtection="0"/>
    <xf numFmtId="0" fontId="26" fillId="0" borderId="23"/>
    <xf numFmtId="0" fontId="55" fillId="0" borderId="0" applyNumberForma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>
      <alignment vertical="top"/>
      <protection locked="0"/>
    </xf>
    <xf numFmtId="180" fontId="3" fillId="0" borderId="0">
      <alignment horizontal="left" wrapText="1"/>
    </xf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</cellStyleXfs>
  <cellXfs count="352">
    <xf numFmtId="0" fontId="0" fillId="0" borderId="0" xfId="0"/>
    <xf numFmtId="0" fontId="9" fillId="0" borderId="0" xfId="0" applyFont="1"/>
    <xf numFmtId="0" fontId="58" fillId="0" borderId="0" xfId="0" applyFont="1"/>
    <xf numFmtId="0" fontId="9" fillId="0" borderId="0" xfId="0" applyNumberFormat="1" applyFont="1" applyFill="1" applyBorder="1" applyAlignment="1">
      <alignment horizontal="centerContinuous"/>
    </xf>
    <xf numFmtId="0" fontId="62" fillId="0" borderId="0" xfId="0" applyFont="1"/>
    <xf numFmtId="0" fontId="9" fillId="0" borderId="0" xfId="323" quotePrefix="1" applyFont="1" applyFill="1" applyAlignment="1">
      <alignment horizontal="center"/>
    </xf>
    <xf numFmtId="0" fontId="9" fillId="0" borderId="0" xfId="323" applyFont="1" applyFill="1" applyAlignment="1">
      <alignment horizontal="center"/>
    </xf>
    <xf numFmtId="14" fontId="9" fillId="0" borderId="0" xfId="323" applyNumberFormat="1" applyFont="1" applyFill="1"/>
    <xf numFmtId="14" fontId="9" fillId="0" borderId="0" xfId="323" applyNumberFormat="1" applyFont="1" applyFill="1" applyBorder="1"/>
    <xf numFmtId="0" fontId="9" fillId="0" borderId="0" xfId="323" applyFont="1" applyFill="1"/>
    <xf numFmtId="0" fontId="11" fillId="0" borderId="18" xfId="323" applyFont="1" applyFill="1" applyBorder="1" applyAlignment="1">
      <alignment horizontal="center" wrapText="1"/>
    </xf>
    <xf numFmtId="0" fontId="11" fillId="0" borderId="0" xfId="323" quotePrefix="1" applyFont="1" applyFill="1" applyBorder="1" applyAlignment="1">
      <alignment horizontal="center" wrapText="1"/>
    </xf>
    <xf numFmtId="0" fontId="11" fillId="0" borderId="0" xfId="0" applyFont="1"/>
    <xf numFmtId="10" fontId="9" fillId="0" borderId="0" xfId="357" applyNumberFormat="1" applyFont="1" applyFill="1" applyAlignment="1">
      <alignment horizontal="center"/>
    </xf>
    <xf numFmtId="165" fontId="9" fillId="0" borderId="0" xfId="262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Alignment="1">
      <alignment horizontal="center" wrapText="1"/>
    </xf>
    <xf numFmtId="164" fontId="9" fillId="0" borderId="0" xfId="0" applyNumberFormat="1" applyFont="1" applyFill="1"/>
    <xf numFmtId="164" fontId="9" fillId="0" borderId="0" xfId="0" applyNumberFormat="1" applyFont="1"/>
    <xf numFmtId="0" fontId="9" fillId="0" borderId="18" xfId="0" applyFont="1" applyBorder="1" applyAlignment="1">
      <alignment horizontal="center" wrapText="1"/>
    </xf>
    <xf numFmtId="0" fontId="9" fillId="0" borderId="18" xfId="0" quotePrefix="1" applyFont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quotePrefix="1" applyFont="1" applyAlignment="1">
      <alignment horizontal="left"/>
    </xf>
    <xf numFmtId="164" fontId="9" fillId="0" borderId="17" xfId="0" applyNumberFormat="1" applyFont="1" applyBorder="1"/>
    <xf numFmtId="0" fontId="9" fillId="0" borderId="0" xfId="0" applyFont="1" applyAlignment="1">
      <alignment horizontal="left"/>
    </xf>
    <xf numFmtId="0" fontId="9" fillId="0" borderId="18" xfId="0" quotePrefix="1" applyFont="1" applyBorder="1" applyAlignment="1">
      <alignment horizontal="left"/>
    </xf>
    <xf numFmtId="0" fontId="9" fillId="0" borderId="18" xfId="0" applyFont="1" applyBorder="1"/>
    <xf numFmtId="0" fontId="9" fillId="0" borderId="0" xfId="433" applyFont="1"/>
    <xf numFmtId="0" fontId="9" fillId="0" borderId="31" xfId="0" quotePrefix="1" applyFont="1" applyBorder="1" applyAlignment="1">
      <alignment horizontal="center" wrapText="1"/>
    </xf>
    <xf numFmtId="0" fontId="9" fillId="0" borderId="0" xfId="433" applyFont="1" applyFill="1"/>
    <xf numFmtId="0" fontId="9" fillId="38" borderId="6" xfId="0" quotePrefix="1" applyFont="1" applyFill="1" applyBorder="1" applyAlignment="1">
      <alignment horizontal="center" wrapText="1"/>
    </xf>
    <xf numFmtId="168" fontId="9" fillId="0" borderId="40" xfId="0" applyNumberFormat="1" applyFont="1" applyFill="1" applyBorder="1"/>
    <xf numFmtId="168" fontId="9" fillId="0" borderId="32" xfId="0" quotePrefix="1" applyNumberFormat="1" applyFont="1" applyFill="1" applyBorder="1" applyAlignment="1"/>
    <xf numFmtId="168" fontId="9" fillId="0" borderId="33" xfId="0" quotePrefix="1" applyNumberFormat="1" applyFont="1" applyFill="1" applyBorder="1" applyAlignment="1"/>
    <xf numFmtId="168" fontId="9" fillId="0" borderId="32" xfId="0" applyNumberFormat="1" applyFont="1" applyFill="1" applyBorder="1"/>
    <xf numFmtId="168" fontId="9" fillId="0" borderId="33" xfId="0" applyNumberFormat="1" applyFont="1" applyFill="1" applyBorder="1"/>
    <xf numFmtId="44" fontId="9" fillId="0" borderId="0" xfId="0" applyNumberFormat="1" applyFont="1"/>
    <xf numFmtId="44" fontId="9" fillId="0" borderId="17" xfId="0" applyNumberFormat="1" applyFont="1" applyBorder="1"/>
    <xf numFmtId="0" fontId="9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62" fillId="0" borderId="18" xfId="323" quotePrefix="1" applyFont="1" applyFill="1" applyBorder="1" applyAlignment="1">
      <alignment horizontal="center" wrapText="1"/>
    </xf>
    <xf numFmtId="165" fontId="9" fillId="0" borderId="0" xfId="0" applyNumberFormat="1" applyFont="1" applyFill="1"/>
    <xf numFmtId="164" fontId="9" fillId="0" borderId="3" xfId="0" applyNumberFormat="1" applyFont="1" applyFill="1" applyBorder="1"/>
    <xf numFmtId="165" fontId="9" fillId="0" borderId="3" xfId="0" applyNumberFormat="1" applyFont="1" applyFill="1" applyBorder="1"/>
    <xf numFmtId="164" fontId="9" fillId="0" borderId="0" xfId="0" applyNumberFormat="1" applyFont="1" applyFill="1" applyBorder="1"/>
    <xf numFmtId="165" fontId="9" fillId="0" borderId="0" xfId="0" applyNumberFormat="1" applyFont="1" applyFill="1" applyBorder="1"/>
    <xf numFmtId="164" fontId="9" fillId="0" borderId="17" xfId="0" applyNumberFormat="1" applyFont="1" applyFill="1" applyBorder="1"/>
    <xf numFmtId="164" fontId="64" fillId="0" borderId="0" xfId="0" applyNumberFormat="1" applyFont="1" applyFill="1"/>
    <xf numFmtId="0" fontId="9" fillId="0" borderId="0" xfId="0" applyFont="1" applyBorder="1"/>
    <xf numFmtId="165" fontId="9" fillId="0" borderId="49" xfId="0" applyNumberFormat="1" applyFont="1" applyFill="1" applyBorder="1"/>
    <xf numFmtId="165" fontId="9" fillId="0" borderId="50" xfId="0" applyNumberFormat="1" applyFont="1" applyFill="1" applyBorder="1"/>
    <xf numFmtId="165" fontId="9" fillId="0" borderId="51" xfId="0" applyNumberFormat="1" applyFont="1" applyFill="1" applyBorder="1"/>
    <xf numFmtId="165" fontId="9" fillId="0" borderId="52" xfId="0" applyNumberFormat="1" applyFont="1" applyFill="1" applyBorder="1"/>
    <xf numFmtId="164" fontId="9" fillId="0" borderId="53" xfId="0" applyNumberFormat="1" applyFont="1" applyFill="1" applyBorder="1"/>
    <xf numFmtId="164" fontId="9" fillId="0" borderId="54" xfId="0" applyNumberFormat="1" applyFont="1" applyFill="1" applyBorder="1"/>
    <xf numFmtId="0" fontId="9" fillId="0" borderId="55" xfId="0" applyFont="1" applyBorder="1"/>
    <xf numFmtId="0" fontId="9" fillId="0" borderId="56" xfId="0" applyFont="1" applyBorder="1"/>
    <xf numFmtId="17" fontId="11" fillId="39" borderId="47" xfId="323" quotePrefix="1" applyNumberFormat="1" applyFont="1" applyFill="1" applyBorder="1" applyAlignment="1">
      <alignment horizontal="center" wrapText="1"/>
    </xf>
    <xf numFmtId="17" fontId="11" fillId="39" borderId="48" xfId="323" quotePrefix="1" applyNumberFormat="1" applyFont="1" applyFill="1" applyBorder="1" applyAlignment="1">
      <alignment horizontal="center" wrapText="1"/>
    </xf>
    <xf numFmtId="165" fontId="64" fillId="0" borderId="50" xfId="0" applyNumberFormat="1" applyFont="1" applyFill="1" applyBorder="1"/>
    <xf numFmtId="0" fontId="66" fillId="37" borderId="0" xfId="0" applyFont="1" applyFill="1"/>
    <xf numFmtId="0" fontId="59" fillId="37" borderId="0" xfId="0" applyFont="1" applyFill="1"/>
    <xf numFmtId="0" fontId="60" fillId="37" borderId="0" xfId="0" applyFont="1" applyFill="1"/>
    <xf numFmtId="0" fontId="67" fillId="37" borderId="39" xfId="0" applyFont="1" applyFill="1" applyBorder="1" applyAlignment="1">
      <alignment horizontal="center"/>
    </xf>
    <xf numFmtId="0" fontId="67" fillId="37" borderId="3" xfId="0" applyFont="1" applyFill="1" applyBorder="1" applyAlignment="1">
      <alignment horizontal="center"/>
    </xf>
    <xf numFmtId="0" fontId="67" fillId="37" borderId="24" xfId="0" applyFont="1" applyFill="1" applyBorder="1" applyAlignment="1">
      <alignment horizontal="center"/>
    </xf>
    <xf numFmtId="0" fontId="67" fillId="37" borderId="6" xfId="0" applyFont="1" applyFill="1" applyBorder="1" applyAlignment="1">
      <alignment horizontal="center"/>
    </xf>
    <xf numFmtId="0" fontId="9" fillId="0" borderId="0" xfId="434" applyFont="1"/>
    <xf numFmtId="0" fontId="9" fillId="0" borderId="36" xfId="0" applyFont="1" applyFill="1" applyBorder="1"/>
    <xf numFmtId="0" fontId="9" fillId="0" borderId="16" xfId="0" applyFont="1" applyFill="1" applyBorder="1"/>
    <xf numFmtId="0" fontId="9" fillId="0" borderId="37" xfId="0" applyFont="1" applyFill="1" applyBorder="1"/>
    <xf numFmtId="0" fontId="9" fillId="0" borderId="38" xfId="0" applyFont="1" applyFill="1" applyBorder="1"/>
    <xf numFmtId="0" fontId="11" fillId="0" borderId="39" xfId="0" quotePrefix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3" xfId="0" quotePrefix="1" applyFont="1" applyFill="1" applyBorder="1" applyAlignment="1">
      <alignment horizontal="center" wrapText="1"/>
    </xf>
    <xf numFmtId="0" fontId="11" fillId="0" borderId="24" xfId="0" quotePrefix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9" fillId="0" borderId="32" xfId="0" applyFont="1" applyFill="1" applyBorder="1" applyAlignment="1">
      <alignment horizontal="center"/>
    </xf>
    <xf numFmtId="0" fontId="9" fillId="0" borderId="28" xfId="0" quotePrefix="1" applyFont="1" applyFill="1" applyBorder="1" applyAlignment="1">
      <alignment horizontal="left"/>
    </xf>
    <xf numFmtId="164" fontId="64" fillId="0" borderId="0" xfId="0" applyNumberFormat="1" applyFont="1" applyFill="1" applyBorder="1"/>
    <xf numFmtId="164" fontId="9" fillId="0" borderId="41" xfId="0" applyNumberFormat="1" applyFont="1" applyFill="1" applyBorder="1"/>
    <xf numFmtId="0" fontId="9" fillId="0" borderId="30" xfId="0" quotePrefix="1" applyFont="1" applyFill="1" applyBorder="1" applyAlignment="1">
      <alignment horizontal="left"/>
    </xf>
    <xf numFmtId="164" fontId="64" fillId="0" borderId="18" xfId="0" applyNumberFormat="1" applyFont="1" applyFill="1" applyBorder="1"/>
    <xf numFmtId="164" fontId="64" fillId="0" borderId="43" xfId="0" applyNumberFormat="1" applyFont="1" applyFill="1" applyBorder="1"/>
    <xf numFmtId="164" fontId="9" fillId="0" borderId="42" xfId="0" applyNumberFormat="1" applyFont="1" applyFill="1" applyBorder="1"/>
    <xf numFmtId="164" fontId="64" fillId="0" borderId="44" xfId="0" applyNumberFormat="1" applyFont="1" applyFill="1" applyBorder="1"/>
    <xf numFmtId="0" fontId="69" fillId="0" borderId="26" xfId="0" quotePrefix="1" applyFont="1" applyFill="1" applyBorder="1" applyAlignment="1"/>
    <xf numFmtId="0" fontId="69" fillId="0" borderId="2" xfId="0" quotePrefix="1" applyFont="1" applyFill="1" applyBorder="1" applyAlignment="1"/>
    <xf numFmtId="164" fontId="69" fillId="0" borderId="27" xfId="0" applyNumberFormat="1" applyFont="1" applyFill="1" applyBorder="1"/>
    <xf numFmtId="0" fontId="69" fillId="0" borderId="26" xfId="0" quotePrefix="1" applyFont="1" applyFill="1" applyBorder="1" applyAlignment="1">
      <alignment horizontal="left"/>
    </xf>
    <xf numFmtId="164" fontId="69" fillId="0" borderId="2" xfId="0" quotePrefix="1" applyNumberFormat="1" applyFont="1" applyFill="1" applyBorder="1" applyAlignment="1"/>
    <xf numFmtId="0" fontId="9" fillId="0" borderId="0" xfId="0" quotePrefix="1" applyFont="1" applyFill="1" applyBorder="1" applyAlignment="1">
      <alignment horizontal="left"/>
    </xf>
    <xf numFmtId="0" fontId="9" fillId="0" borderId="18" xfId="0" applyFont="1" applyFill="1" applyBorder="1"/>
    <xf numFmtId="0" fontId="9" fillId="0" borderId="1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left"/>
    </xf>
    <xf numFmtId="164" fontId="62" fillId="0" borderId="0" xfId="236" applyNumberFormat="1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 indent="1"/>
    </xf>
    <xf numFmtId="165" fontId="64" fillId="0" borderId="0" xfId="262" applyNumberFormat="1" applyFont="1" applyFill="1" applyBorder="1"/>
    <xf numFmtId="0" fontId="9" fillId="0" borderId="0" xfId="0" applyFont="1" applyFill="1" applyBorder="1" applyAlignment="1">
      <alignment horizontal="left" indent="2"/>
    </xf>
    <xf numFmtId="165" fontId="9" fillId="0" borderId="3" xfId="262" applyNumberFormat="1" applyFont="1" applyFill="1" applyBorder="1"/>
    <xf numFmtId="0" fontId="9" fillId="0" borderId="0" xfId="0" quotePrefix="1" applyFont="1" applyFill="1" applyBorder="1" applyAlignment="1">
      <alignment horizontal="left" indent="3"/>
    </xf>
    <xf numFmtId="167" fontId="64" fillId="0" borderId="0" xfId="236" applyNumberFormat="1" applyFont="1" applyFill="1" applyBorder="1"/>
    <xf numFmtId="0" fontId="11" fillId="0" borderId="0" xfId="0" quotePrefix="1" applyFont="1" applyFill="1" applyBorder="1" applyAlignment="1">
      <alignment horizontal="left" indent="4"/>
    </xf>
    <xf numFmtId="165" fontId="11" fillId="0" borderId="17" xfId="262" applyNumberFormat="1" applyFont="1" applyFill="1" applyBorder="1"/>
    <xf numFmtId="168" fontId="11" fillId="0" borderId="17" xfId="262" applyNumberFormat="1" applyFont="1" applyFill="1" applyBorder="1"/>
    <xf numFmtId="0" fontId="70" fillId="0" borderId="0" xfId="0" applyFont="1" applyFill="1" applyBorder="1"/>
    <xf numFmtId="44" fontId="9" fillId="0" borderId="3" xfId="0" applyNumberFormat="1" applyFont="1" applyFill="1" applyBorder="1"/>
    <xf numFmtId="0" fontId="11" fillId="0" borderId="0" xfId="0" quotePrefix="1" applyFont="1" applyFill="1" applyBorder="1" applyAlignment="1">
      <alignment horizontal="left" indent="1"/>
    </xf>
    <xf numFmtId="10" fontId="11" fillId="0" borderId="17" xfId="357" applyNumberFormat="1" applyFont="1" applyFill="1" applyBorder="1"/>
    <xf numFmtId="44" fontId="64" fillId="0" borderId="0" xfId="0" applyNumberFormat="1" applyFont="1" applyFill="1" applyBorder="1"/>
    <xf numFmtId="0" fontId="11" fillId="0" borderId="6" xfId="0" quotePrefix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34" xfId="0" quotePrefix="1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8" xfId="0" applyFont="1" applyFill="1" applyBorder="1"/>
    <xf numFmtId="165" fontId="9" fillId="0" borderId="0" xfId="262" applyNumberFormat="1" applyFont="1" applyFill="1"/>
    <xf numFmtId="17" fontId="11" fillId="40" borderId="26" xfId="0" quotePrefix="1" applyNumberFormat="1" applyFont="1" applyFill="1" applyBorder="1" applyAlignment="1">
      <alignment horizontal="center" wrapText="1"/>
    </xf>
    <xf numFmtId="17" fontId="11" fillId="40" borderId="27" xfId="0" quotePrefix="1" applyNumberFormat="1" applyFont="1" applyFill="1" applyBorder="1" applyAlignment="1">
      <alignment horizontal="center" wrapText="1"/>
    </xf>
    <xf numFmtId="168" fontId="9" fillId="0" borderId="0" xfId="0" applyNumberFormat="1" applyFont="1" applyFill="1"/>
    <xf numFmtId="168" fontId="9" fillId="0" borderId="3" xfId="0" applyNumberFormat="1" applyFont="1" applyFill="1" applyBorder="1"/>
    <xf numFmtId="168" fontId="9" fillId="0" borderId="0" xfId="0" applyNumberFormat="1" applyFont="1" applyFill="1" applyBorder="1"/>
    <xf numFmtId="168" fontId="9" fillId="0" borderId="17" xfId="0" applyNumberFormat="1" applyFont="1" applyFill="1" applyBorder="1"/>
    <xf numFmtId="0" fontId="9" fillId="0" borderId="0" xfId="0" quotePrefix="1" applyFont="1" applyFill="1" applyAlignment="1">
      <alignment horizontal="left" indent="2"/>
    </xf>
    <xf numFmtId="0" fontId="11" fillId="0" borderId="0" xfId="0" applyNumberFormat="1" applyFont="1" applyFill="1" applyAlignment="1"/>
    <xf numFmtId="169" fontId="11" fillId="0" borderId="0" xfId="0" applyNumberFormat="1" applyFont="1" applyFill="1" applyAlignment="1">
      <alignment horizontal="right"/>
    </xf>
    <xf numFmtId="0" fontId="71" fillId="0" borderId="0" xfId="0" applyNumberFormat="1" applyFont="1" applyFill="1" applyAlignment="1" applyProtection="1">
      <alignment horizontal="centerContinuous"/>
      <protection locked="0"/>
    </xf>
    <xf numFmtId="0" fontId="11" fillId="0" borderId="0" xfId="323" applyNumberFormat="1" applyFont="1" applyFill="1" applyAlignment="1">
      <alignment horizontal="centerContinuous"/>
    </xf>
    <xf numFmtId="0" fontId="71" fillId="0" borderId="0" xfId="0" applyNumberFormat="1" applyFont="1" applyFill="1" applyAlignment="1">
      <alignment horizontal="centerContinuous"/>
    </xf>
    <xf numFmtId="0" fontId="61" fillId="0" borderId="0" xfId="323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58" fillId="0" borderId="0" xfId="0" applyFont="1" applyFill="1" applyAlignment="1">
      <alignment horizontal="centerContinuous" wrapText="1"/>
    </xf>
    <xf numFmtId="0" fontId="11" fillId="0" borderId="0" xfId="323" applyNumberFormat="1" applyFont="1" applyFill="1" applyAlignment="1" applyProtection="1">
      <alignment horizontal="centerContinuous"/>
      <protection locked="0"/>
    </xf>
    <xf numFmtId="0" fontId="11" fillId="0" borderId="0" xfId="0" applyNumberFormat="1" applyFont="1" applyFill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 applyProtection="1">
      <protection locked="0"/>
    </xf>
    <xf numFmtId="0" fontId="11" fillId="0" borderId="18" xfId="0" applyNumberFormat="1" applyFont="1" applyFill="1" applyBorder="1" applyAlignment="1"/>
    <xf numFmtId="0" fontId="11" fillId="0" borderId="18" xfId="0" applyNumberFormat="1" applyFont="1" applyFill="1" applyBorder="1" applyAlignment="1">
      <alignment horizontal="right"/>
    </xf>
    <xf numFmtId="0" fontId="9" fillId="0" borderId="0" xfId="323" applyNumberFormat="1" applyFont="1" applyFill="1" applyAlignment="1"/>
    <xf numFmtId="0" fontId="9" fillId="0" borderId="0" xfId="323" quotePrefix="1" applyNumberFormat="1" applyFont="1" applyFill="1" applyAlignment="1">
      <alignment horizontal="center"/>
    </xf>
    <xf numFmtId="0" fontId="9" fillId="0" borderId="0" xfId="323" applyNumberFormat="1" applyFont="1" applyFill="1" applyAlignment="1">
      <alignment horizontal="center"/>
    </xf>
    <xf numFmtId="0" fontId="9" fillId="0" borderId="0" xfId="323" applyNumberFormat="1" applyFont="1" applyFill="1" applyAlignment="1">
      <alignment horizontal="left"/>
    </xf>
    <xf numFmtId="0" fontId="64" fillId="0" borderId="0" xfId="323" applyNumberFormat="1" applyFont="1" applyFill="1" applyAlignment="1"/>
    <xf numFmtId="169" fontId="64" fillId="0" borderId="0" xfId="323" applyNumberFormat="1" applyFont="1" applyFill="1" applyAlignment="1"/>
    <xf numFmtId="0" fontId="58" fillId="0" borderId="0" xfId="323" applyNumberFormat="1" applyFont="1" applyFill="1" applyAlignment="1"/>
    <xf numFmtId="181" fontId="64" fillId="0" borderId="0" xfId="323" applyNumberFormat="1" applyFont="1" applyFill="1" applyAlignment="1"/>
    <xf numFmtId="169" fontId="64" fillId="0" borderId="18" xfId="323" applyNumberFormat="1" applyFont="1" applyFill="1" applyBorder="1" applyAlignment="1"/>
    <xf numFmtId="169" fontId="9" fillId="0" borderId="0" xfId="323" applyNumberFormat="1" applyFont="1" applyFill="1" applyBorder="1" applyAlignment="1"/>
    <xf numFmtId="169" fontId="9" fillId="0" borderId="0" xfId="323" applyNumberFormat="1" applyFont="1" applyFill="1" applyAlignment="1"/>
    <xf numFmtId="169" fontId="9" fillId="41" borderId="0" xfId="323" applyNumberFormat="1" applyFont="1" applyFill="1" applyAlignment="1"/>
    <xf numFmtId="9" fontId="72" fillId="0" borderId="0" xfId="323" applyNumberFormat="1" applyFont="1" applyFill="1" applyAlignment="1"/>
    <xf numFmtId="169" fontId="59" fillId="0" borderId="17" xfId="323" applyNumberFormat="1" applyFont="1" applyFill="1" applyBorder="1" applyAlignment="1" applyProtection="1">
      <protection locked="0"/>
    </xf>
    <xf numFmtId="0" fontId="9" fillId="0" borderId="0" xfId="0" applyFont="1" applyFill="1" applyAlignment="1">
      <alignment horizontal="left"/>
    </xf>
    <xf numFmtId="0" fontId="58" fillId="37" borderId="0" xfId="0" applyFont="1" applyFill="1"/>
    <xf numFmtId="0" fontId="74" fillId="37" borderId="0" xfId="0" applyFont="1" applyFill="1"/>
    <xf numFmtId="0" fontId="75" fillId="37" borderId="3" xfId="0" applyFont="1" applyFill="1" applyBorder="1" applyAlignment="1">
      <alignment horizontal="center"/>
    </xf>
    <xf numFmtId="0" fontId="58" fillId="37" borderId="31" xfId="0" applyFont="1" applyFill="1" applyBorder="1" applyAlignment="1">
      <alignment horizontal="center"/>
    </xf>
    <xf numFmtId="3" fontId="58" fillId="37" borderId="34" xfId="0" applyNumberFormat="1" applyFont="1" applyFill="1" applyBorder="1" applyAlignment="1">
      <alignment horizontal="right"/>
    </xf>
    <xf numFmtId="3" fontId="58" fillId="37" borderId="19" xfId="0" applyNumberFormat="1" applyFont="1" applyFill="1" applyBorder="1"/>
    <xf numFmtId="3" fontId="58" fillId="37" borderId="31" xfId="0" applyNumberFormat="1" applyFont="1" applyFill="1" applyBorder="1"/>
    <xf numFmtId="0" fontId="58" fillId="37" borderId="32" xfId="0" applyFont="1" applyFill="1" applyBorder="1"/>
    <xf numFmtId="0" fontId="58" fillId="37" borderId="32" xfId="0" applyFont="1" applyFill="1" applyBorder="1" applyAlignment="1">
      <alignment horizontal="center"/>
    </xf>
    <xf numFmtId="3" fontId="58" fillId="37" borderId="28" xfId="0" applyNumberFormat="1" applyFont="1" applyFill="1" applyBorder="1" applyAlignment="1">
      <alignment horizontal="right"/>
    </xf>
    <xf numFmtId="3" fontId="58" fillId="37" borderId="0" xfId="0" applyNumberFormat="1" applyFont="1" applyFill="1" applyBorder="1"/>
    <xf numFmtId="3" fontId="58" fillId="37" borderId="32" xfId="0" applyNumberFormat="1" applyFont="1" applyFill="1" applyBorder="1"/>
    <xf numFmtId="0" fontId="58" fillId="0" borderId="0" xfId="0" applyFont="1" applyBorder="1"/>
    <xf numFmtId="0" fontId="58" fillId="37" borderId="33" xfId="0" applyFont="1" applyFill="1" applyBorder="1"/>
    <xf numFmtId="0" fontId="58" fillId="37" borderId="33" xfId="0" applyFont="1" applyFill="1" applyBorder="1" applyAlignment="1">
      <alignment horizontal="center"/>
    </xf>
    <xf numFmtId="3" fontId="58" fillId="37" borderId="30" xfId="0" applyNumberFormat="1" applyFont="1" applyFill="1" applyBorder="1" applyAlignment="1">
      <alignment horizontal="right"/>
    </xf>
    <xf numFmtId="3" fontId="58" fillId="37" borderId="18" xfId="0" applyNumberFormat="1" applyFont="1" applyFill="1" applyBorder="1"/>
    <xf numFmtId="3" fontId="58" fillId="37" borderId="33" xfId="0" applyNumberFormat="1" applyFont="1" applyFill="1" applyBorder="1"/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/>
    <xf numFmtId="0" fontId="9" fillId="0" borderId="0" xfId="0" quotePrefix="1" applyFont="1" applyBorder="1" applyAlignment="1">
      <alignment horizontal="center"/>
    </xf>
    <xf numFmtId="0" fontId="9" fillId="0" borderId="0" xfId="0" applyFont="1" applyAlignment="1"/>
    <xf numFmtId="44" fontId="9" fillId="0" borderId="0" xfId="436" applyFont="1"/>
    <xf numFmtId="44" fontId="9" fillId="0" borderId="17" xfId="436" applyFont="1" applyBorder="1"/>
    <xf numFmtId="168" fontId="9" fillId="0" borderId="31" xfId="0" applyNumberFormat="1" applyFont="1" applyFill="1" applyBorder="1"/>
    <xf numFmtId="0" fontId="9" fillId="0" borderId="31" xfId="0" applyFont="1" applyFill="1" applyBorder="1"/>
    <xf numFmtId="168" fontId="64" fillId="41" borderId="32" xfId="0" quotePrefix="1" applyNumberFormat="1" applyFont="1" applyFill="1" applyBorder="1" applyAlignment="1"/>
    <xf numFmtId="0" fontId="9" fillId="41" borderId="0" xfId="0" applyFont="1" applyFill="1"/>
    <xf numFmtId="168" fontId="9" fillId="0" borderId="40" xfId="0" quotePrefix="1" applyNumberFormat="1" applyFont="1" applyFill="1" applyBorder="1" applyAlignment="1"/>
    <xf numFmtId="183" fontId="9" fillId="0" borderId="0" xfId="0" applyNumberFormat="1" applyFont="1"/>
    <xf numFmtId="0" fontId="9" fillId="42" borderId="2" xfId="0" quotePrefix="1" applyFont="1" applyFill="1" applyBorder="1" applyAlignment="1">
      <alignment horizontal="centerContinuous"/>
    </xf>
    <xf numFmtId="0" fontId="9" fillId="42" borderId="27" xfId="0" quotePrefix="1" applyFont="1" applyFill="1" applyBorder="1" applyAlignment="1">
      <alignment horizontal="centerContinuous"/>
    </xf>
    <xf numFmtId="0" fontId="9" fillId="42" borderId="13" xfId="0" applyFont="1" applyFill="1" applyBorder="1" applyAlignment="1">
      <alignment horizontal="center" vertical="center" wrapText="1"/>
    </xf>
    <xf numFmtId="0" fontId="9" fillId="42" borderId="56" xfId="0" applyFont="1" applyFill="1" applyBorder="1" applyAlignment="1">
      <alignment horizontal="center" vertical="center" wrapText="1"/>
    </xf>
    <xf numFmtId="0" fontId="76" fillId="42" borderId="0" xfId="0" applyFont="1" applyFill="1" applyBorder="1"/>
    <xf numFmtId="164" fontId="9" fillId="42" borderId="50" xfId="0" applyNumberFormat="1" applyFont="1" applyFill="1" applyBorder="1"/>
    <xf numFmtId="0" fontId="9" fillId="42" borderId="0" xfId="0" applyFont="1" applyFill="1" applyBorder="1"/>
    <xf numFmtId="0" fontId="9" fillId="42" borderId="13" xfId="0" applyFont="1" applyFill="1" applyBorder="1"/>
    <xf numFmtId="164" fontId="9" fillId="42" borderId="13" xfId="0" applyNumberFormat="1" applyFont="1" applyFill="1" applyBorder="1"/>
    <xf numFmtId="164" fontId="9" fillId="42" borderId="56" xfId="0" applyNumberFormat="1" applyFont="1" applyFill="1" applyBorder="1"/>
    <xf numFmtId="164" fontId="73" fillId="0" borderId="0" xfId="0" applyNumberFormat="1" applyFont="1"/>
    <xf numFmtId="0" fontId="11" fillId="0" borderId="0" xfId="433" quotePrefix="1" applyFont="1" applyFill="1" applyAlignment="1">
      <alignment horizontal="center"/>
    </xf>
    <xf numFmtId="0" fontId="11" fillId="0" borderId="0" xfId="433" applyFont="1" applyFill="1" applyAlignment="1">
      <alignment horizontal="center"/>
    </xf>
    <xf numFmtId="0" fontId="11" fillId="0" borderId="0" xfId="433" applyFont="1" applyFill="1"/>
    <xf numFmtId="0" fontId="11" fillId="0" borderId="18" xfId="433" applyFont="1" applyFill="1" applyBorder="1" applyAlignment="1">
      <alignment horizontal="center" wrapText="1"/>
    </xf>
    <xf numFmtId="0" fontId="62" fillId="0" borderId="18" xfId="433" quotePrefix="1" applyFont="1" applyFill="1" applyBorder="1" applyAlignment="1">
      <alignment horizontal="center" wrapText="1"/>
    </xf>
    <xf numFmtId="0" fontId="11" fillId="0" borderId="18" xfId="433" quotePrefix="1" applyFont="1" applyFill="1" applyBorder="1" applyAlignment="1">
      <alignment horizontal="center" wrapText="1"/>
    </xf>
    <xf numFmtId="0" fontId="9" fillId="0" borderId="0" xfId="433" applyFont="1" applyFill="1" applyAlignment="1">
      <alignment horizontal="center"/>
    </xf>
    <xf numFmtId="164" fontId="9" fillId="0" borderId="0" xfId="433" applyNumberFormat="1" applyFont="1" applyFill="1"/>
    <xf numFmtId="168" fontId="64" fillId="0" borderId="0" xfId="433" applyNumberFormat="1" applyFont="1" applyFill="1"/>
    <xf numFmtId="165" fontId="9" fillId="0" borderId="0" xfId="433" applyNumberFormat="1" applyFont="1" applyFill="1"/>
    <xf numFmtId="0" fontId="9" fillId="0" borderId="0" xfId="433" quotePrefix="1" applyFont="1" applyFill="1" applyAlignment="1">
      <alignment horizontal="center"/>
    </xf>
    <xf numFmtId="164" fontId="9" fillId="0" borderId="3" xfId="433" applyNumberFormat="1" applyFont="1" applyFill="1" applyBorder="1"/>
    <xf numFmtId="168" fontId="9" fillId="0" borderId="3" xfId="433" applyNumberFormat="1" applyFont="1" applyFill="1" applyBorder="1"/>
    <xf numFmtId="165" fontId="9" fillId="0" borderId="3" xfId="433" applyNumberFormat="1" applyFont="1" applyFill="1" applyBorder="1"/>
    <xf numFmtId="168" fontId="9" fillId="0" borderId="0" xfId="433" applyNumberFormat="1" applyFont="1" applyFill="1"/>
    <xf numFmtId="168" fontId="63" fillId="0" borderId="0" xfId="433" applyNumberFormat="1" applyFont="1" applyFill="1"/>
    <xf numFmtId="0" fontId="9" fillId="0" borderId="0" xfId="433" quotePrefix="1" applyFont="1" applyFill="1" applyAlignment="1">
      <alignment horizontal="left"/>
    </xf>
    <xf numFmtId="164" fontId="9" fillId="0" borderId="17" xfId="236" applyNumberFormat="1" applyFont="1" applyFill="1" applyBorder="1"/>
    <xf numFmtId="165" fontId="9" fillId="0" borderId="17" xfId="262" applyNumberFormat="1" applyFont="1" applyFill="1" applyBorder="1"/>
    <xf numFmtId="164" fontId="9" fillId="0" borderId="0" xfId="433" applyNumberFormat="1" applyFont="1"/>
    <xf numFmtId="164" fontId="64" fillId="0" borderId="0" xfId="433" applyNumberFormat="1" applyFont="1" applyFill="1"/>
    <xf numFmtId="0" fontId="73" fillId="0" borderId="0" xfId="0" applyFont="1"/>
    <xf numFmtId="0" fontId="77" fillId="39" borderId="45" xfId="323" applyFont="1" applyFill="1" applyBorder="1" applyAlignment="1">
      <alignment horizontal="center"/>
    </xf>
    <xf numFmtId="0" fontId="77" fillId="39" borderId="46" xfId="323" applyFont="1" applyFill="1" applyBorder="1" applyAlignment="1">
      <alignment horizontal="center"/>
    </xf>
    <xf numFmtId="164" fontId="64" fillId="42" borderId="0" xfId="0" applyNumberFormat="1" applyFont="1" applyFill="1" applyBorder="1"/>
    <xf numFmtId="0" fontId="11" fillId="42" borderId="17" xfId="0" applyFont="1" applyFill="1" applyBorder="1"/>
    <xf numFmtId="164" fontId="11" fillId="42" borderId="17" xfId="0" applyNumberFormat="1" applyFont="1" applyFill="1" applyBorder="1"/>
    <xf numFmtId="164" fontId="11" fillId="42" borderId="54" xfId="0" applyNumberFormat="1" applyFont="1" applyFill="1" applyBorder="1"/>
    <xf numFmtId="0" fontId="64" fillId="42" borderId="57" xfId="0" quotePrefix="1" applyFont="1" applyFill="1" applyBorder="1" applyAlignment="1">
      <alignment horizontal="centerContinuous"/>
    </xf>
    <xf numFmtId="10" fontId="9" fillId="0" borderId="0" xfId="432" applyNumberFormat="1" applyFont="1"/>
    <xf numFmtId="10" fontId="9" fillId="0" borderId="17" xfId="432" applyNumberFormat="1" applyFont="1" applyBorder="1"/>
    <xf numFmtId="0" fontId="9" fillId="0" borderId="0" xfId="0" applyFont="1" applyFill="1" applyBorder="1" applyAlignment="1">
      <alignment horizontal="right" wrapText="1"/>
    </xf>
    <xf numFmtId="44" fontId="9" fillId="0" borderId="0" xfId="262" applyFont="1" applyFill="1" applyBorder="1" applyAlignment="1">
      <alignment horizontal="right" wrapText="1"/>
    </xf>
    <xf numFmtId="0" fontId="11" fillId="0" borderId="0" xfId="0" quotePrefix="1" applyFont="1" applyFill="1" applyAlignment="1">
      <alignment horizontal="right"/>
    </xf>
    <xf numFmtId="165" fontId="11" fillId="0" borderId="17" xfId="263" applyNumberFormat="1" applyFont="1" applyFill="1" applyBorder="1"/>
    <xf numFmtId="165" fontId="62" fillId="0" borderId="3" xfId="262" applyNumberFormat="1" applyFont="1" applyFill="1" applyBorder="1"/>
    <xf numFmtId="0" fontId="78" fillId="43" borderId="0" xfId="0" applyFont="1" applyFill="1" applyBorder="1"/>
    <xf numFmtId="0" fontId="79" fillId="43" borderId="0" xfId="0" applyFont="1" applyFill="1" applyBorder="1"/>
    <xf numFmtId="0" fontId="9" fillId="43" borderId="0" xfId="0" applyFont="1" applyFill="1" applyBorder="1"/>
    <xf numFmtId="0" fontId="9" fillId="43" borderId="0" xfId="434" applyFont="1" applyFill="1" applyBorder="1"/>
    <xf numFmtId="0" fontId="9" fillId="0" borderId="0" xfId="434" applyFont="1" applyFill="1" applyBorder="1"/>
    <xf numFmtId="0" fontId="9" fillId="43" borderId="0" xfId="0" applyFont="1" applyFill="1" applyBorder="1" applyAlignment="1"/>
    <xf numFmtId="0" fontId="11" fillId="43" borderId="0" xfId="0" applyFont="1" applyFill="1" applyBorder="1" applyAlignment="1"/>
    <xf numFmtId="0" fontId="60" fillId="43" borderId="0" xfId="0" applyFont="1" applyFill="1" applyBorder="1"/>
    <xf numFmtId="0" fontId="11" fillId="0" borderId="0" xfId="434" applyFont="1" applyFill="1" applyBorder="1"/>
    <xf numFmtId="0" fontId="11" fillId="0" borderId="0" xfId="434" applyFont="1" applyFill="1" applyBorder="1" applyAlignment="1">
      <alignment horizontal="center"/>
    </xf>
    <xf numFmtId="182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437" applyFont="1" applyFill="1" applyBorder="1" applyAlignment="1">
      <alignment horizontal="center"/>
    </xf>
    <xf numFmtId="0" fontId="9" fillId="0" borderId="59" xfId="434" applyFont="1" applyFill="1" applyBorder="1"/>
    <xf numFmtId="0" fontId="9" fillId="0" borderId="59" xfId="434" applyFont="1" applyFill="1" applyBorder="1" applyAlignment="1">
      <alignment horizontal="center"/>
    </xf>
    <xf numFmtId="2" fontId="63" fillId="0" borderId="0" xfId="434" applyNumberFormat="1" applyFont="1" applyFill="1" applyBorder="1"/>
    <xf numFmtId="3" fontId="9" fillId="0" borderId="0" xfId="434" applyNumberFormat="1" applyFont="1" applyFill="1" applyBorder="1"/>
    <xf numFmtId="165" fontId="63" fillId="0" borderId="0" xfId="0" applyNumberFormat="1" applyFont="1" applyFill="1" applyBorder="1"/>
    <xf numFmtId="3" fontId="63" fillId="0" borderId="0" xfId="434" applyNumberFormat="1" applyFont="1" applyFill="1" applyBorder="1"/>
    <xf numFmtId="0" fontId="9" fillId="0" borderId="60" xfId="434" applyFont="1" applyFill="1" applyBorder="1"/>
    <xf numFmtId="2" fontId="9" fillId="0" borderId="60" xfId="434" applyNumberFormat="1" applyFont="1" applyFill="1" applyBorder="1"/>
    <xf numFmtId="3" fontId="9" fillId="0" borderId="60" xfId="434" applyNumberFormat="1" applyFont="1" applyFill="1" applyBorder="1"/>
    <xf numFmtId="165" fontId="9" fillId="0" borderId="60" xfId="0" applyNumberFormat="1" applyFont="1" applyFill="1" applyBorder="1"/>
    <xf numFmtId="2" fontId="9" fillId="0" borderId="0" xfId="434" applyNumberFormat="1" applyFont="1" applyFill="1" applyBorder="1"/>
    <xf numFmtId="0" fontId="9" fillId="0" borderId="19" xfId="434" applyFont="1" applyFill="1" applyBorder="1"/>
    <xf numFmtId="3" fontId="9" fillId="0" borderId="19" xfId="434" applyNumberFormat="1" applyFont="1" applyFill="1" applyBorder="1"/>
    <xf numFmtId="165" fontId="63" fillId="0" borderId="19" xfId="434" applyNumberFormat="1" applyFont="1" applyFill="1" applyBorder="1"/>
    <xf numFmtId="6" fontId="9" fillId="0" borderId="19" xfId="434" applyNumberFormat="1" applyFont="1" applyFill="1" applyBorder="1"/>
    <xf numFmtId="0" fontId="9" fillId="0" borderId="39" xfId="437" applyFont="1" applyFill="1" applyBorder="1" applyAlignment="1">
      <alignment horizontal="right"/>
    </xf>
    <xf numFmtId="0" fontId="9" fillId="44" borderId="3" xfId="437" applyFont="1" applyFill="1" applyBorder="1" applyAlignment="1">
      <alignment horizontal="center"/>
    </xf>
    <xf numFmtId="0" fontId="9" fillId="0" borderId="3" xfId="437" applyFont="1" applyFill="1" applyBorder="1" applyAlignment="1">
      <alignment horizontal="center"/>
    </xf>
    <xf numFmtId="184" fontId="63" fillId="0" borderId="24" xfId="437" applyNumberFormat="1" applyFont="1" applyFill="1" applyBorder="1" applyAlignment="1">
      <alignment horizontal="left"/>
    </xf>
    <xf numFmtId="0" fontId="9" fillId="0" borderId="0" xfId="434" applyFont="1" applyFill="1" applyBorder="1" applyAlignment="1">
      <alignment horizontal="right"/>
    </xf>
    <xf numFmtId="165" fontId="63" fillId="0" borderId="34" xfId="434" applyNumberFormat="1" applyFont="1" applyFill="1" applyBorder="1"/>
    <xf numFmtId="165" fontId="63" fillId="0" borderId="35" xfId="434" applyNumberFormat="1" applyFont="1" applyFill="1" applyBorder="1"/>
    <xf numFmtId="165" fontId="9" fillId="0" borderId="0" xfId="434" applyNumberFormat="1" applyFont="1" applyFill="1" applyBorder="1"/>
    <xf numFmtId="165" fontId="63" fillId="0" borderId="30" xfId="434" applyNumberFormat="1" applyFont="1" applyFill="1" applyBorder="1"/>
    <xf numFmtId="0" fontId="9" fillId="0" borderId="18" xfId="434" applyFont="1" applyFill="1" applyBorder="1"/>
    <xf numFmtId="6" fontId="63" fillId="0" borderId="18" xfId="434" applyNumberFormat="1" applyFont="1" applyFill="1" applyBorder="1"/>
    <xf numFmtId="165" fontId="63" fillId="0" borderId="25" xfId="434" applyNumberFormat="1" applyFont="1" applyFill="1" applyBorder="1"/>
    <xf numFmtId="165" fontId="63" fillId="0" borderId="0" xfId="434" applyNumberFormat="1" applyFont="1" applyFill="1" applyBorder="1"/>
    <xf numFmtId="0" fontId="9" fillId="0" borderId="0" xfId="437" applyFont="1" applyFill="1" applyBorder="1"/>
    <xf numFmtId="0" fontId="9" fillId="0" borderId="59" xfId="437" applyFont="1" applyFill="1" applyBorder="1" applyAlignment="1">
      <alignment horizontal="center"/>
    </xf>
    <xf numFmtId="185" fontId="63" fillId="0" borderId="0" xfId="434" applyNumberFormat="1" applyFont="1" applyFill="1" applyBorder="1"/>
    <xf numFmtId="165" fontId="9" fillId="0" borderId="19" xfId="434" applyNumberFormat="1" applyFont="1" applyFill="1" applyBorder="1"/>
    <xf numFmtId="0" fontId="9" fillId="0" borderId="0" xfId="434" applyFont="1" applyFill="1" applyBorder="1" applyAlignment="1">
      <alignment horizontal="left"/>
    </xf>
    <xf numFmtId="0" fontId="9" fillId="0" borderId="0" xfId="434" applyFont="1" applyFill="1" applyBorder="1" applyAlignment="1">
      <alignment horizontal="center"/>
    </xf>
    <xf numFmtId="165" fontId="63" fillId="0" borderId="18" xfId="0" applyNumberFormat="1" applyFont="1" applyFill="1" applyBorder="1"/>
    <xf numFmtId="165" fontId="9" fillId="0" borderId="18" xfId="0" applyNumberFormat="1" applyFont="1" applyFill="1" applyBorder="1"/>
    <xf numFmtId="0" fontId="9" fillId="44" borderId="34" xfId="434" applyFont="1" applyFill="1" applyBorder="1"/>
    <xf numFmtId="0" fontId="9" fillId="44" borderId="19" xfId="434" applyFont="1" applyFill="1" applyBorder="1"/>
    <xf numFmtId="0" fontId="9" fillId="44" borderId="35" xfId="434" applyFont="1" applyFill="1" applyBorder="1"/>
    <xf numFmtId="0" fontId="9" fillId="44" borderId="28" xfId="434" applyFont="1" applyFill="1" applyBorder="1"/>
    <xf numFmtId="0" fontId="9" fillId="44" borderId="0" xfId="434" applyFont="1" applyFill="1" applyBorder="1"/>
    <xf numFmtId="165" fontId="9" fillId="44" borderId="0" xfId="434" applyNumberFormat="1" applyFont="1" applyFill="1" applyBorder="1"/>
    <xf numFmtId="165" fontId="9" fillId="44" borderId="29" xfId="434" applyNumberFormat="1" applyFont="1" applyFill="1" applyBorder="1"/>
    <xf numFmtId="165" fontId="9" fillId="44" borderId="18" xfId="434" applyNumberFormat="1" applyFont="1" applyFill="1" applyBorder="1"/>
    <xf numFmtId="165" fontId="9" fillId="44" borderId="25" xfId="434" applyNumberFormat="1" applyFont="1" applyFill="1" applyBorder="1"/>
    <xf numFmtId="0" fontId="9" fillId="44" borderId="29" xfId="434" applyFont="1" applyFill="1" applyBorder="1"/>
    <xf numFmtId="6" fontId="9" fillId="44" borderId="0" xfId="434" applyNumberFormat="1" applyFont="1" applyFill="1" applyBorder="1"/>
    <xf numFmtId="6" fontId="9" fillId="44" borderId="29" xfId="434" applyNumberFormat="1" applyFont="1" applyFill="1" applyBorder="1"/>
    <xf numFmtId="0" fontId="9" fillId="44" borderId="30" xfId="434" applyFont="1" applyFill="1" applyBorder="1"/>
    <xf numFmtId="0" fontId="11" fillId="44" borderId="6" xfId="434" applyFont="1" applyFill="1" applyBorder="1"/>
    <xf numFmtId="0" fontId="9" fillId="44" borderId="18" xfId="434" applyFont="1" applyFill="1" applyBorder="1"/>
    <xf numFmtId="0" fontId="9" fillId="44" borderId="25" xfId="434" applyFont="1" applyFill="1" applyBorder="1"/>
    <xf numFmtId="165" fontId="63" fillId="45" borderId="0" xfId="434" applyNumberFormat="1" applyFont="1" applyFill="1" applyBorder="1"/>
    <xf numFmtId="0" fontId="66" fillId="0" borderId="0" xfId="0" applyFont="1"/>
    <xf numFmtId="3" fontId="66" fillId="0" borderId="0" xfId="0" applyNumberFormat="1" applyFont="1"/>
    <xf numFmtId="0" fontId="73" fillId="0" borderId="0" xfId="0" applyFont="1" applyFill="1"/>
    <xf numFmtId="164" fontId="73" fillId="0" borderId="0" xfId="0" applyNumberFormat="1" applyFont="1" applyFill="1"/>
    <xf numFmtId="0" fontId="11" fillId="45" borderId="0" xfId="437" applyFont="1" applyFill="1" applyBorder="1" applyAlignment="1">
      <alignment horizontal="center"/>
    </xf>
    <xf numFmtId="0" fontId="9" fillId="45" borderId="59" xfId="437" applyFont="1" applyFill="1" applyBorder="1" applyAlignment="1">
      <alignment horizontal="center"/>
    </xf>
    <xf numFmtId="0" fontId="9" fillId="0" borderId="45" xfId="437" applyFont="1" applyFill="1" applyBorder="1"/>
    <xf numFmtId="182" fontId="11" fillId="45" borderId="61" xfId="0" applyNumberFormat="1" applyFont="1" applyFill="1" applyBorder="1" applyAlignment="1" applyProtection="1">
      <alignment horizontal="center" vertical="center" wrapText="1"/>
    </xf>
    <xf numFmtId="182" fontId="11" fillId="45" borderId="46" xfId="0" applyNumberFormat="1" applyFont="1" applyFill="1" applyBorder="1" applyAlignment="1" applyProtection="1">
      <alignment horizontal="center" vertical="center" wrapText="1"/>
    </xf>
    <xf numFmtId="0" fontId="9" fillId="0" borderId="49" xfId="437" applyFont="1" applyFill="1" applyBorder="1"/>
    <xf numFmtId="0" fontId="11" fillId="45" borderId="50" xfId="437" applyFont="1" applyFill="1" applyBorder="1" applyAlignment="1">
      <alignment horizontal="center"/>
    </xf>
    <xf numFmtId="0" fontId="9" fillId="45" borderId="62" xfId="437" applyFont="1" applyFill="1" applyBorder="1" applyAlignment="1">
      <alignment horizontal="center"/>
    </xf>
    <xf numFmtId="0" fontId="9" fillId="0" borderId="49" xfId="434" applyFont="1" applyFill="1" applyBorder="1"/>
    <xf numFmtId="165" fontId="63" fillId="0" borderId="50" xfId="434" applyNumberFormat="1" applyFont="1" applyFill="1" applyBorder="1"/>
    <xf numFmtId="0" fontId="9" fillId="45" borderId="49" xfId="434" applyFont="1" applyFill="1" applyBorder="1"/>
    <xf numFmtId="165" fontId="63" fillId="45" borderId="50" xfId="434" applyNumberFormat="1" applyFont="1" applyFill="1" applyBorder="1"/>
    <xf numFmtId="0" fontId="9" fillId="0" borderId="55" xfId="434" applyFont="1" applyFill="1" applyBorder="1"/>
    <xf numFmtId="165" fontId="63" fillId="0" borderId="58" xfId="434" applyNumberFormat="1" applyFont="1" applyFill="1" applyBorder="1"/>
    <xf numFmtId="165" fontId="63" fillId="0" borderId="63" xfId="434" applyNumberFormat="1" applyFont="1" applyFill="1" applyBorder="1"/>
    <xf numFmtId="168" fontId="64" fillId="0" borderId="31" xfId="0" applyNumberFormat="1" applyFont="1" applyFill="1" applyBorder="1"/>
    <xf numFmtId="168" fontId="64" fillId="0" borderId="32" xfId="0" quotePrefix="1" applyNumberFormat="1" applyFont="1" applyFill="1" applyBorder="1" applyAlignment="1"/>
    <xf numFmtId="0" fontId="62" fillId="0" borderId="0" xfId="0" applyFont="1" applyAlignment="1">
      <alignment horizontal="centerContinuous" vertical="center"/>
    </xf>
    <xf numFmtId="43" fontId="9" fillId="0" borderId="0" xfId="0" applyNumberFormat="1" applyFont="1" applyFill="1"/>
    <xf numFmtId="0" fontId="61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62" fillId="0" borderId="0" xfId="323" applyFont="1" applyFill="1" applyAlignment="1">
      <alignment horizontal="center"/>
    </xf>
    <xf numFmtId="0" fontId="11" fillId="0" borderId="0" xfId="323" applyFont="1" applyFill="1" applyAlignment="1">
      <alignment horizontal="center"/>
    </xf>
    <xf numFmtId="0" fontId="9" fillId="41" borderId="0" xfId="0" quotePrefix="1" applyFont="1" applyFill="1" applyAlignment="1">
      <alignment horizontal="left" indent="3"/>
    </xf>
    <xf numFmtId="0" fontId="9" fillId="0" borderId="0" xfId="0" quotePrefix="1" applyFont="1" applyFill="1" applyAlignment="1">
      <alignment horizontal="left" indent="2"/>
    </xf>
    <xf numFmtId="0" fontId="9" fillId="0" borderId="0" xfId="0" quotePrefix="1" applyFont="1" applyAlignment="1">
      <alignment horizontal="left" indent="3"/>
    </xf>
    <xf numFmtId="0" fontId="9" fillId="0" borderId="0" xfId="0" quotePrefix="1" applyFont="1" applyAlignment="1">
      <alignment horizontal="left" indent="1"/>
    </xf>
    <xf numFmtId="0" fontId="9" fillId="0" borderId="0" xfId="0" quotePrefix="1" applyFont="1" applyFill="1" applyAlignment="1">
      <alignment horizontal="left" indent="1"/>
    </xf>
    <xf numFmtId="0" fontId="9" fillId="0" borderId="0" xfId="0" quotePrefix="1" applyFont="1" applyFill="1" applyAlignment="1">
      <alignment horizontal="left" indent="3"/>
    </xf>
    <xf numFmtId="0" fontId="9" fillId="0" borderId="18" xfId="0" quotePrefix="1" applyFont="1" applyBorder="1" applyAlignment="1">
      <alignment horizontal="center"/>
    </xf>
    <xf numFmtId="0" fontId="9" fillId="0" borderId="0" xfId="0" quotePrefix="1" applyFont="1" applyAlignment="1">
      <alignment horizontal="left" indent="2"/>
    </xf>
    <xf numFmtId="0" fontId="11" fillId="0" borderId="0" xfId="433" applyFont="1" applyFill="1" applyAlignment="1">
      <alignment horizontal="center"/>
    </xf>
    <xf numFmtId="0" fontId="11" fillId="0" borderId="0" xfId="433" quotePrefix="1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75" fontId="61" fillId="0" borderId="0" xfId="0" applyNumberFormat="1" applyFont="1" applyFill="1" applyAlignment="1">
      <alignment horizontal="center"/>
    </xf>
    <xf numFmtId="0" fontId="61" fillId="0" borderId="0" xfId="0" quotePrefix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68" fillId="0" borderId="0" xfId="434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11" fillId="0" borderId="0" xfId="434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438">
    <cellStyle name="_x0013_" xfId="2"/>
    <cellStyle name="_4.06E Pass Throughs" xfId="3"/>
    <cellStyle name="_4.06E Pass Throughs_04 07E Wild Horse Wind Expansion (C) (2)" xfId="4"/>
    <cellStyle name="_4.06E Pass Throughs_INPUTS" xfId="5"/>
    <cellStyle name="_4.06E Pass Throughs_Production Adj 4.37" xfId="6"/>
    <cellStyle name="_4.06E Pass Throughs_Purchased Power Adj 4.03" xfId="7"/>
    <cellStyle name="_4.06E Pass Throughs_ROR &amp; CONV FACTOR" xfId="8"/>
    <cellStyle name="_4.06E Pass Throughs_ROR 5.02" xfId="9"/>
    <cellStyle name="_4.13E Montana Energy Tax" xfId="10"/>
    <cellStyle name="_4.13E Montana Energy Tax_04 07E Wild Horse Wind Expansion (C) (2)" xfId="11"/>
    <cellStyle name="_4.13E Montana Energy Tax_INPUTS" xfId="12"/>
    <cellStyle name="_4.13E Montana Energy Tax_Production Adj 4.37" xfId="13"/>
    <cellStyle name="_4.13E Montana Energy Tax_Purchased Power Adj 4.03" xfId="14"/>
    <cellStyle name="_4.13E Montana Energy Tax_ROR &amp; CONV FACTOR" xfId="15"/>
    <cellStyle name="_4.13E Montana Energy Tax_ROR 5.02" xfId="16"/>
    <cellStyle name="_Book1" xfId="17"/>
    <cellStyle name="_Book1 (2)" xfId="18"/>
    <cellStyle name="_Book1 (2)_04 07E Wild Horse Wind Expansion (C) (2)" xfId="19"/>
    <cellStyle name="_Book1 (2)_INPUTS" xfId="20"/>
    <cellStyle name="_Book1 (2)_Production Adj 4.37" xfId="21"/>
    <cellStyle name="_Book1 (2)_Purchased Power Adj 4.03" xfId="22"/>
    <cellStyle name="_Book1 (2)_ROR &amp; CONV FACTOR" xfId="23"/>
    <cellStyle name="_Book1 (2)_ROR 5.02" xfId="24"/>
    <cellStyle name="_Book1_Electric COS Inputs" xfId="25"/>
    <cellStyle name="_Book1_Production Adj 4.37" xfId="26"/>
    <cellStyle name="_Book1_Purchased Power Adj 4.03" xfId="27"/>
    <cellStyle name="_Book1_ROR 5.02" xfId="28"/>
    <cellStyle name="_Book2" xfId="29"/>
    <cellStyle name="_Book2_04 07E Wild Horse Wind Expansion (C) (2)" xfId="30"/>
    <cellStyle name="_Book2_INPUTS" xfId="31"/>
    <cellStyle name="_Book2_Production Adj 4.37" xfId="32"/>
    <cellStyle name="_Book2_Purchased Power Adj 4.03" xfId="33"/>
    <cellStyle name="_Book2_ROR &amp; CONV FACTOR" xfId="34"/>
    <cellStyle name="_Book2_ROR 5.02" xfId="35"/>
    <cellStyle name="_Chelan Debt Forecast 12.19.05" xfId="36"/>
    <cellStyle name="_Chelan Debt Forecast 12.19.05_INPUTS" xfId="37"/>
    <cellStyle name="_Chelan Debt Forecast 12.19.05_Low Income 2010 RevRequirement (2)" xfId="38"/>
    <cellStyle name="_Chelan Debt Forecast 12.19.05_Production Adj 4.37" xfId="39"/>
    <cellStyle name="_Chelan Debt Forecast 12.19.05_Purchased Power Adj 4.03" xfId="40"/>
    <cellStyle name="_Chelan Debt Forecast 12.19.05_ROR &amp; CONV FACTOR" xfId="41"/>
    <cellStyle name="_Chelan Debt Forecast 12.19.05_ROR 5.02" xfId="42"/>
    <cellStyle name="_Costs not in AURORA 06GRC" xfId="43"/>
    <cellStyle name="_Costs not in AURORA 06GRC_04 07E Wild Horse Wind Expansion (C) (2)" xfId="44"/>
    <cellStyle name="_Costs not in AURORA 06GRC_INPUTS" xfId="45"/>
    <cellStyle name="_Costs not in AURORA 06GRC_Low Income 2010 RevRequirement (2)" xfId="46"/>
    <cellStyle name="_Costs not in AURORA 06GRC_Production Adj 4.37" xfId="47"/>
    <cellStyle name="_Costs not in AURORA 06GRC_Purchased Power Adj 4.03" xfId="48"/>
    <cellStyle name="_Costs not in AURORA 06GRC_ROR &amp; CONV FACTOR" xfId="49"/>
    <cellStyle name="_Costs not in AURORA 06GRC_ROR 5.02" xfId="50"/>
    <cellStyle name="_Costs not in AURORA 2006GRC 6.15.06" xfId="51"/>
    <cellStyle name="_Costs not in AURORA 2006GRC 6.15.06_04 07E Wild Horse Wind Expansion (C) (2)" xfId="52"/>
    <cellStyle name="_Costs not in AURORA 2006GRC 6.15.06_INPUTS" xfId="53"/>
    <cellStyle name="_Costs not in AURORA 2006GRC 6.15.06_Production Adj 4.37" xfId="54"/>
    <cellStyle name="_Costs not in AURORA 2006GRC 6.15.06_Purchased Power Adj 4.03" xfId="55"/>
    <cellStyle name="_Costs not in AURORA 2006GRC 6.15.06_ROR &amp; CONV FACTOR" xfId="56"/>
    <cellStyle name="_Costs not in AURORA 2006GRC 6.15.06_ROR 5.02" xfId="57"/>
    <cellStyle name="_Costs not in AURORA 2006GRC w gas price updated" xfId="58"/>
    <cellStyle name="_Costs not in AURORA 2007 Rate Case" xfId="59"/>
    <cellStyle name="_Costs not in AURORA 2007 Rate Case_Electric COS Inputs" xfId="60"/>
    <cellStyle name="_Costs not in AURORA 2007 Rate Case_Production Adj 4.37" xfId="61"/>
    <cellStyle name="_Costs not in AURORA 2007 Rate Case_Purchased Power Adj 4.03" xfId="62"/>
    <cellStyle name="_Costs not in AURORA 2007 Rate Case_ROR 5.02" xfId="63"/>
    <cellStyle name="_Costs not in KWI3000 '06Budget" xfId="64"/>
    <cellStyle name="_Costs not in KWI3000 '06Budget_INPUTS" xfId="65"/>
    <cellStyle name="_Costs not in KWI3000 '06Budget_Low Income 2010 RevRequirement (2)" xfId="66"/>
    <cellStyle name="_Costs not in KWI3000 '06Budget_Production Adj 4.37" xfId="67"/>
    <cellStyle name="_Costs not in KWI3000 '06Budget_Purchased Power Adj 4.03" xfId="68"/>
    <cellStyle name="_Costs not in KWI3000 '06Budget_ROR &amp; CONV FACTOR" xfId="69"/>
    <cellStyle name="_Costs not in KWI3000 '06Budget_ROR 5.02" xfId="70"/>
    <cellStyle name="_DEM-WP (C) Power Cost 2006GRC Order" xfId="71"/>
    <cellStyle name="_DEM-WP (C) Power Cost 2006GRC Order_04 07E Wild Horse Wind Expansion (C) (2)" xfId="72"/>
    <cellStyle name="_DEM-WP (C) Power Cost 2006GRC Order_Electric COS Inputs" xfId="73"/>
    <cellStyle name="_DEM-WP (C) Power Cost 2006GRC Order_Production Adj 4.37" xfId="74"/>
    <cellStyle name="_DEM-WP (C) Power Cost 2006GRC Order_Purchased Power Adj 4.03" xfId="75"/>
    <cellStyle name="_DEM-WP (C) Power Cost 2006GRC Order_ROR 5.02" xfId="76"/>
    <cellStyle name="_DEM-WP Revised (HC) Wild Horse 2006GRC" xfId="77"/>
    <cellStyle name="_DEM-WP(C) Costs not in AURORA 2006GRC" xfId="78"/>
    <cellStyle name="_DEM-WP(C) Costs not in AURORA 2006GRC_Electric COS Inputs" xfId="79"/>
    <cellStyle name="_DEM-WP(C) Costs not in AURORA 2006GRC_Production Adj 4.37" xfId="80"/>
    <cellStyle name="_DEM-WP(C) Costs not in AURORA 2006GRC_Purchased Power Adj 4.03" xfId="81"/>
    <cellStyle name="_DEM-WP(C) Costs not in AURORA 2006GRC_ROR 5.02" xfId="82"/>
    <cellStyle name="_DEM-WP(C) Costs not in AURORA 2007GRC" xfId="83"/>
    <cellStyle name="_DEM-WP(C) Costs not in AURORA 2007PCORC-5.07Update" xfId="84"/>
    <cellStyle name="_DEM-WP(C) Sumas Proforma 11.5.07" xfId="85"/>
    <cellStyle name="_DEM-WP(C) Westside Hydro Data_051007" xfId="86"/>
    <cellStyle name="_Fuel Prices 4-14" xfId="87"/>
    <cellStyle name="_Fuel Prices 4-14_04 07E Wild Horse Wind Expansion (C) (2)" xfId="88"/>
    <cellStyle name="_Fuel Prices 4-14_Direct Assignment Distribution Plant 2008" xfId="89"/>
    <cellStyle name="_Fuel Prices 4-14_Electric COS Inputs" xfId="90"/>
    <cellStyle name="_Fuel Prices 4-14_Electric Rate Spread and Rate Design 3.23.09" xfId="91"/>
    <cellStyle name="_Fuel Prices 4-14_INPUTS" xfId="92"/>
    <cellStyle name="_Fuel Prices 4-14_Leased Transformer &amp; Substation Plant &amp; Rev 12-2009" xfId="93"/>
    <cellStyle name="_Fuel Prices 4-14_Low Income 2010 RevRequirement (2)" xfId="94"/>
    <cellStyle name="_Fuel Prices 4-14_Peak Credit Exhibits for 2009 GRC" xfId="95"/>
    <cellStyle name="_Fuel Prices 4-14_Production Adj 4.37" xfId="96"/>
    <cellStyle name="_Fuel Prices 4-14_Purchased Power Adj 4.03" xfId="97"/>
    <cellStyle name="_Fuel Prices 4-14_Rate Design Sch 24" xfId="98"/>
    <cellStyle name="_Fuel Prices 4-14_Rate Design Sch 25" xfId="99"/>
    <cellStyle name="_Fuel Prices 4-14_Rate Design Sch 26" xfId="100"/>
    <cellStyle name="_Fuel Prices 4-14_Rate Design Sch 31" xfId="101"/>
    <cellStyle name="_Fuel Prices 4-14_Rate Design Sch 43" xfId="102"/>
    <cellStyle name="_Fuel Prices 4-14_Rate Design Sch 448-449" xfId="103"/>
    <cellStyle name="_Fuel Prices 4-14_Rate Design Sch 46" xfId="104"/>
    <cellStyle name="_Fuel Prices 4-14_Rate Spread" xfId="105"/>
    <cellStyle name="_Fuel Prices 4-14_ROR 5.02" xfId="106"/>
    <cellStyle name="_NIM 06 Base Case Current Trends" xfId="107"/>
    <cellStyle name="_Portfolio SPlan Base Case.xls Chart 1" xfId="108"/>
    <cellStyle name="_Portfolio SPlan Base Case.xls Chart 2" xfId="109"/>
    <cellStyle name="_Portfolio SPlan Base Case.xls Chart 3" xfId="110"/>
    <cellStyle name="_Power Cost Value Copy 11.30.05 gas 1.09.06 AURORA at 1.10.06" xfId="111"/>
    <cellStyle name="_Power Cost Value Copy 11.30.05 gas 1.09.06 AURORA at 1.10.06_04 07E Wild Horse Wind Expansion (C) (2)" xfId="112"/>
    <cellStyle name="_Power Cost Value Copy 11.30.05 gas 1.09.06 AURORA at 1.10.06_Direct Assignment Distribution Plant 2008" xfId="113"/>
    <cellStyle name="_Power Cost Value Copy 11.30.05 gas 1.09.06 AURORA at 1.10.06_Electric COS Inputs" xfId="114"/>
    <cellStyle name="_Power Cost Value Copy 11.30.05 gas 1.09.06 AURORA at 1.10.06_Electric Rate Spread and Rate Design 3.23.09" xfId="115"/>
    <cellStyle name="_Power Cost Value Copy 11.30.05 gas 1.09.06 AURORA at 1.10.06_INPUTS" xfId="116"/>
    <cellStyle name="_Power Cost Value Copy 11.30.05 gas 1.09.06 AURORA at 1.10.06_Leased Transformer &amp; Substation Plant &amp; Rev 12-2009" xfId="117"/>
    <cellStyle name="_Power Cost Value Copy 11.30.05 gas 1.09.06 AURORA at 1.10.06_Low Income 2010 RevRequirement (2)" xfId="118"/>
    <cellStyle name="_Power Cost Value Copy 11.30.05 gas 1.09.06 AURORA at 1.10.06_Production Adj 4.37" xfId="119"/>
    <cellStyle name="_Power Cost Value Copy 11.30.05 gas 1.09.06 AURORA at 1.10.06_Purchased Power Adj 4.03" xfId="120"/>
    <cellStyle name="_Power Cost Value Copy 11.30.05 gas 1.09.06 AURORA at 1.10.06_Rate Design Sch 24" xfId="121"/>
    <cellStyle name="_Power Cost Value Copy 11.30.05 gas 1.09.06 AURORA at 1.10.06_Rate Design Sch 25" xfId="122"/>
    <cellStyle name="_Power Cost Value Copy 11.30.05 gas 1.09.06 AURORA at 1.10.06_Rate Design Sch 26" xfId="123"/>
    <cellStyle name="_Power Cost Value Copy 11.30.05 gas 1.09.06 AURORA at 1.10.06_Rate Design Sch 31" xfId="124"/>
    <cellStyle name="_Power Cost Value Copy 11.30.05 gas 1.09.06 AURORA at 1.10.06_Rate Design Sch 43" xfId="125"/>
    <cellStyle name="_Power Cost Value Copy 11.30.05 gas 1.09.06 AURORA at 1.10.06_Rate Design Sch 448-449" xfId="126"/>
    <cellStyle name="_Power Cost Value Copy 11.30.05 gas 1.09.06 AURORA at 1.10.06_Rate Design Sch 46" xfId="127"/>
    <cellStyle name="_Power Cost Value Copy 11.30.05 gas 1.09.06 AURORA at 1.10.06_Rate Spread" xfId="128"/>
    <cellStyle name="_Power Cost Value Copy 11.30.05 gas 1.09.06 AURORA at 1.10.06_ROR 5.02" xfId="129"/>
    <cellStyle name="_Recon to Darrin's 5.11.05 proforma" xfId="130"/>
    <cellStyle name="_Recon to Darrin's 5.11.05 proforma_INPUTS" xfId="131"/>
    <cellStyle name="_Recon to Darrin's 5.11.05 proforma_Low Income 2010 RevRequirement (2)" xfId="132"/>
    <cellStyle name="_Recon to Darrin's 5.11.05 proforma_Production Adj 4.37" xfId="133"/>
    <cellStyle name="_Recon to Darrin's 5.11.05 proforma_Purchased Power Adj 4.03" xfId="134"/>
    <cellStyle name="_Recon to Darrin's 5.11.05 proforma_ROR &amp; CONV FACTOR" xfId="135"/>
    <cellStyle name="_Recon to Darrin's 5.11.05 proforma_ROR 5.02" xfId="136"/>
    <cellStyle name="_Tenaska Comparison" xfId="137"/>
    <cellStyle name="_Tenaska Comparison_Electric COS Inputs" xfId="138"/>
    <cellStyle name="_Tenaska Comparison_Production Adj 4.37" xfId="139"/>
    <cellStyle name="_Tenaska Comparison_Purchased Power Adj 4.03" xfId="140"/>
    <cellStyle name="_Tenaska Comparison_ROR 5.02" xfId="141"/>
    <cellStyle name="_Value Copy 11 30 05 gas 12 09 05 AURORA at 12 14 05" xfId="142"/>
    <cellStyle name="_Value Copy 11 30 05 gas 12 09 05 AURORA at 12 14 05_04 07E Wild Horse Wind Expansion (C) (2)" xfId="143"/>
    <cellStyle name="_Value Copy 11 30 05 gas 12 09 05 AURORA at 12 14 05_Direct Assignment Distribution Plant 2008" xfId="144"/>
    <cellStyle name="_Value Copy 11 30 05 gas 12 09 05 AURORA at 12 14 05_Electric COS Inputs" xfId="145"/>
    <cellStyle name="_Value Copy 11 30 05 gas 12 09 05 AURORA at 12 14 05_Electric Rate Spread and Rate Design 3.23.09" xfId="146"/>
    <cellStyle name="_Value Copy 11 30 05 gas 12 09 05 AURORA at 12 14 05_INPUTS" xfId="147"/>
    <cellStyle name="_Value Copy 11 30 05 gas 12 09 05 AURORA at 12 14 05_Leased Transformer &amp; Substation Plant &amp; Rev 12-2009" xfId="148"/>
    <cellStyle name="_Value Copy 11 30 05 gas 12 09 05 AURORA at 12 14 05_Low Income 2010 RevRequirement (2)" xfId="149"/>
    <cellStyle name="_Value Copy 11 30 05 gas 12 09 05 AURORA at 12 14 05_Production Adj 4.37" xfId="150"/>
    <cellStyle name="_Value Copy 11 30 05 gas 12 09 05 AURORA at 12 14 05_Purchased Power Adj 4.03" xfId="151"/>
    <cellStyle name="_Value Copy 11 30 05 gas 12 09 05 AURORA at 12 14 05_Rate Design Sch 24" xfId="152"/>
    <cellStyle name="_Value Copy 11 30 05 gas 12 09 05 AURORA at 12 14 05_Rate Design Sch 25" xfId="153"/>
    <cellStyle name="_Value Copy 11 30 05 gas 12 09 05 AURORA at 12 14 05_Rate Design Sch 26" xfId="154"/>
    <cellStyle name="_Value Copy 11 30 05 gas 12 09 05 AURORA at 12 14 05_Rate Design Sch 31" xfId="155"/>
    <cellStyle name="_Value Copy 11 30 05 gas 12 09 05 AURORA at 12 14 05_Rate Design Sch 43" xfId="156"/>
    <cellStyle name="_Value Copy 11 30 05 gas 12 09 05 AURORA at 12 14 05_Rate Design Sch 448-449" xfId="157"/>
    <cellStyle name="_Value Copy 11 30 05 gas 12 09 05 AURORA at 12 14 05_Rate Design Sch 46" xfId="158"/>
    <cellStyle name="_Value Copy 11 30 05 gas 12 09 05 AURORA at 12 14 05_Rate Spread" xfId="159"/>
    <cellStyle name="_Value Copy 11 30 05 gas 12 09 05 AURORA at 12 14 05_ROR 5.02" xfId="160"/>
    <cellStyle name="_VC 6.15.06 update on 06GRC power costs.xls Chart 1" xfId="161"/>
    <cellStyle name="_VC 6.15.06 update on 06GRC power costs.xls Chart 1_04 07E Wild Horse Wind Expansion (C) (2)" xfId="162"/>
    <cellStyle name="_VC 6.15.06 update on 06GRC power costs.xls Chart 1_INPUTS" xfId="163"/>
    <cellStyle name="_VC 6.15.06 update on 06GRC power costs.xls Chart 1_Production Adj 4.37" xfId="164"/>
    <cellStyle name="_VC 6.15.06 update on 06GRC power costs.xls Chart 1_Purchased Power Adj 4.03" xfId="165"/>
    <cellStyle name="_VC 6.15.06 update on 06GRC power costs.xls Chart 1_ROR &amp; CONV FACTOR" xfId="166"/>
    <cellStyle name="_VC 6.15.06 update on 06GRC power costs.xls Chart 1_ROR 5.02" xfId="167"/>
    <cellStyle name="_VC 6.15.06 update on 06GRC power costs.xls Chart 2" xfId="168"/>
    <cellStyle name="_VC 6.15.06 update on 06GRC power costs.xls Chart 2_04 07E Wild Horse Wind Expansion (C) (2)" xfId="169"/>
    <cellStyle name="_VC 6.15.06 update on 06GRC power costs.xls Chart 2_INPUTS" xfId="170"/>
    <cellStyle name="_VC 6.15.06 update on 06GRC power costs.xls Chart 2_Production Adj 4.37" xfId="171"/>
    <cellStyle name="_VC 6.15.06 update on 06GRC power costs.xls Chart 2_Purchased Power Adj 4.03" xfId="172"/>
    <cellStyle name="_VC 6.15.06 update on 06GRC power costs.xls Chart 2_ROR &amp; CONV FACTOR" xfId="173"/>
    <cellStyle name="_VC 6.15.06 update on 06GRC power costs.xls Chart 2_ROR 5.02" xfId="174"/>
    <cellStyle name="_VC 6.15.06 update on 06GRC power costs.xls Chart 3" xfId="175"/>
    <cellStyle name="_VC 6.15.06 update on 06GRC power costs.xls Chart 3_04 07E Wild Horse Wind Expansion (C) (2)" xfId="176"/>
    <cellStyle name="_VC 6.15.06 update on 06GRC power costs.xls Chart 3_INPUTS" xfId="177"/>
    <cellStyle name="_VC 6.15.06 update on 06GRC power costs.xls Chart 3_Production Adj 4.37" xfId="178"/>
    <cellStyle name="_VC 6.15.06 update on 06GRC power costs.xls Chart 3_Purchased Power Adj 4.03" xfId="179"/>
    <cellStyle name="_VC 6.15.06 update on 06GRC power costs.xls Chart 3_ROR &amp; CONV FACTOR" xfId="180"/>
    <cellStyle name="_VC 6.15.06 update on 06GRC power costs.xls Chart 3_ROR 5.02" xfId="181"/>
    <cellStyle name="0,0_x000d__x000a_NA_x000d__x000a_" xfId="182"/>
    <cellStyle name="20% - Accent1" xfId="183" builtinId="30" customBuiltin="1"/>
    <cellStyle name="20% - Accent1 2" xfId="184"/>
    <cellStyle name="20% - Accent1 3" xfId="185"/>
    <cellStyle name="20% - Accent2" xfId="186" builtinId="34" customBuiltin="1"/>
    <cellStyle name="20% - Accent2 2" xfId="187"/>
    <cellStyle name="20% - Accent2 3" xfId="188"/>
    <cellStyle name="20% - Accent3" xfId="189" builtinId="38" customBuiltin="1"/>
    <cellStyle name="20% - Accent3 2" xfId="190"/>
    <cellStyle name="20% - Accent3 3" xfId="191"/>
    <cellStyle name="20% - Accent4" xfId="192" builtinId="42" customBuiltin="1"/>
    <cellStyle name="20% - Accent4 2" xfId="193"/>
    <cellStyle name="20% - Accent4 3" xfId="194"/>
    <cellStyle name="20% - Accent5" xfId="195" builtinId="46" customBuiltin="1"/>
    <cellStyle name="20% - Accent5 2" xfId="196"/>
    <cellStyle name="20% - Accent5 3" xfId="197"/>
    <cellStyle name="20% - Accent6" xfId="198" builtinId="50" customBuiltin="1"/>
    <cellStyle name="20% - Accent6 2" xfId="199"/>
    <cellStyle name="20% - Accent6 3" xfId="200"/>
    <cellStyle name="40% - Accent1" xfId="201" builtinId="31" customBuiltin="1"/>
    <cellStyle name="40% - Accent1 2" xfId="202"/>
    <cellStyle name="40% - Accent1 3" xfId="203"/>
    <cellStyle name="40% - Accent2" xfId="204" builtinId="35" customBuiltin="1"/>
    <cellStyle name="40% - Accent2 2" xfId="205"/>
    <cellStyle name="40% - Accent2 3" xfId="206"/>
    <cellStyle name="40% - Accent3" xfId="207" builtinId="39" customBuiltin="1"/>
    <cellStyle name="40% - Accent3 2" xfId="208"/>
    <cellStyle name="40% - Accent3 3" xfId="209"/>
    <cellStyle name="40% - Accent4" xfId="210" builtinId="43" customBuiltin="1"/>
    <cellStyle name="40% - Accent4 2" xfId="211"/>
    <cellStyle name="40% - Accent4 3" xfId="212"/>
    <cellStyle name="40% - Accent5" xfId="213" builtinId="47" customBuiltin="1"/>
    <cellStyle name="40% - Accent5 2" xfId="214"/>
    <cellStyle name="40% - Accent5 3" xfId="215"/>
    <cellStyle name="40% - Accent6" xfId="216" builtinId="51" customBuiltin="1"/>
    <cellStyle name="40% - Accent6 2" xfId="217"/>
    <cellStyle name="40% - Accent6 3" xfId="218"/>
    <cellStyle name="60% - Accent1" xfId="219" builtinId="32" customBuiltin="1"/>
    <cellStyle name="60% - Accent2" xfId="220" builtinId="36" customBuiltin="1"/>
    <cellStyle name="60% - Accent3" xfId="221" builtinId="40" customBuiltin="1"/>
    <cellStyle name="60% - Accent4" xfId="222" builtinId="44" customBuiltin="1"/>
    <cellStyle name="60% - Accent5" xfId="223" builtinId="48" customBuiltin="1"/>
    <cellStyle name="60% - Accent6" xfId="224" builtinId="52" customBuiltin="1"/>
    <cellStyle name="Accent1" xfId="225" builtinId="29" customBuiltin="1"/>
    <cellStyle name="Accent2" xfId="226" builtinId="33" customBuiltin="1"/>
    <cellStyle name="Accent3" xfId="227" builtinId="37" customBuiltin="1"/>
    <cellStyle name="Accent4" xfId="228" builtinId="41" customBuiltin="1"/>
    <cellStyle name="Accent5" xfId="229" builtinId="45" customBuiltin="1"/>
    <cellStyle name="Accent6" xfId="230" builtinId="49" customBuiltin="1"/>
    <cellStyle name="Bad" xfId="231" builtinId="27" customBuiltin="1"/>
    <cellStyle name="Calc Currency (0)" xfId="232"/>
    <cellStyle name="Calculation" xfId="233" builtinId="22" customBuiltin="1"/>
    <cellStyle name="Check Cell" xfId="234" builtinId="23" customBuiltin="1"/>
    <cellStyle name="CheckCell" xfId="235"/>
    <cellStyle name="Comma" xfId="236" builtinId="3"/>
    <cellStyle name="Comma 2" xfId="237"/>
    <cellStyle name="Comma 2 2" xfId="238"/>
    <cellStyle name="Comma 2 3" xfId="431"/>
    <cellStyle name="Comma 3" xfId="239"/>
    <cellStyle name="Comma 3 2" xfId="240"/>
    <cellStyle name="Comma 4" xfId="241"/>
    <cellStyle name="Comma 5" xfId="242"/>
    <cellStyle name="Comma 6" xfId="243"/>
    <cellStyle name="Comma 7" xfId="244"/>
    <cellStyle name="Comma 8" xfId="245"/>
    <cellStyle name="Comma 9" xfId="246"/>
    <cellStyle name="Comma0" xfId="247"/>
    <cellStyle name="Comma0 - Style2" xfId="248"/>
    <cellStyle name="Comma0 - Style4" xfId="249"/>
    <cellStyle name="Comma0 - Style5" xfId="250"/>
    <cellStyle name="Comma0 2" xfId="251"/>
    <cellStyle name="Comma0 3" xfId="252"/>
    <cellStyle name="Comma0 4" xfId="253"/>
    <cellStyle name="Comma0_00COS Ind Allocators" xfId="254"/>
    <cellStyle name="Comma1 - Style1" xfId="255"/>
    <cellStyle name="Copied" xfId="256"/>
    <cellStyle name="COST1" xfId="257"/>
    <cellStyle name="Curren - Style1" xfId="258"/>
    <cellStyle name="Curren - Style2" xfId="259"/>
    <cellStyle name="Curren - Style5" xfId="260"/>
    <cellStyle name="Curren - Style6" xfId="261"/>
    <cellStyle name="Currency" xfId="262" builtinId="4"/>
    <cellStyle name="Currency 2" xfId="263"/>
    <cellStyle name="Currency 2 12" xfId="436"/>
    <cellStyle name="Currency 3" xfId="264"/>
    <cellStyle name="Currency 3 2" xfId="265"/>
    <cellStyle name="Currency 4" xfId="266"/>
    <cellStyle name="Currency 5" xfId="267"/>
    <cellStyle name="Currency 6" xfId="268"/>
    <cellStyle name="Currency 7" xfId="269"/>
    <cellStyle name="Currency 8" xfId="270"/>
    <cellStyle name="Currency 9" xfId="271"/>
    <cellStyle name="Currency0" xfId="272"/>
    <cellStyle name="Date" xfId="273"/>
    <cellStyle name="Date 2" xfId="274"/>
    <cellStyle name="Date 3" xfId="275"/>
    <cellStyle name="Date 4" xfId="276"/>
    <cellStyle name="Date_903 SAP 2-6-09" xfId="277"/>
    <cellStyle name="Entered" xfId="278"/>
    <cellStyle name="Explanatory Text" xfId="279" builtinId="53" customBuiltin="1"/>
    <cellStyle name="Fixed" xfId="280"/>
    <cellStyle name="Fixed3 - Style3" xfId="281"/>
    <cellStyle name="Good" xfId="282" builtinId="26" customBuiltin="1"/>
    <cellStyle name="Grey" xfId="283"/>
    <cellStyle name="Grey 2" xfId="284"/>
    <cellStyle name="Grey 3" xfId="285"/>
    <cellStyle name="Grey 4" xfId="286"/>
    <cellStyle name="Grey_Direct Assignment Distribution Plant 2008" xfId="287"/>
    <cellStyle name="Header1" xfId="288"/>
    <cellStyle name="Header2" xfId="289"/>
    <cellStyle name="Heading 1" xfId="290" builtinId="16" customBuiltin="1"/>
    <cellStyle name="Heading 2" xfId="291" builtinId="17" customBuiltin="1"/>
    <cellStyle name="Heading 3" xfId="292" builtinId="18" customBuiltin="1"/>
    <cellStyle name="Heading 4" xfId="293" builtinId="19" customBuiltin="1"/>
    <cellStyle name="Heading1" xfId="294"/>
    <cellStyle name="Heading2" xfId="295"/>
    <cellStyle name="Hyperlink 2" xfId="428"/>
    <cellStyle name="Input" xfId="296" builtinId="20" customBuiltin="1"/>
    <cellStyle name="Input [yellow]" xfId="297"/>
    <cellStyle name="Input [yellow] 2" xfId="298"/>
    <cellStyle name="Input [yellow] 3" xfId="299"/>
    <cellStyle name="Input [yellow] 4" xfId="300"/>
    <cellStyle name="Input [yellow]_Direct Assignment Distribution Plant 2008" xfId="301"/>
    <cellStyle name="Input Cells" xfId="302"/>
    <cellStyle name="Input Cells Percent" xfId="303"/>
    <cellStyle name="Lines" xfId="304"/>
    <cellStyle name="LINKED" xfId="305"/>
    <cellStyle name="Linked Cell" xfId="306" builtinId="24" customBuiltin="1"/>
    <cellStyle name="modified border" xfId="307"/>
    <cellStyle name="modified border 2" xfId="308"/>
    <cellStyle name="modified border 3" xfId="309"/>
    <cellStyle name="modified border 4" xfId="310"/>
    <cellStyle name="modified border1" xfId="311"/>
    <cellStyle name="modified border1 2" xfId="312"/>
    <cellStyle name="modified border1 3" xfId="313"/>
    <cellStyle name="modified border1 4" xfId="314"/>
    <cellStyle name="Neutral" xfId="315" builtinId="28" customBuiltin="1"/>
    <cellStyle name="no dec" xfId="316"/>
    <cellStyle name="Normal" xfId="0" builtinId="0"/>
    <cellStyle name="Normal - Style1" xfId="317"/>
    <cellStyle name="Normal - Style1 2" xfId="318"/>
    <cellStyle name="Normal - Style1 3" xfId="319"/>
    <cellStyle name="Normal - Style1 4" xfId="320"/>
    <cellStyle name="Normal - Style1_903 SAP 2-6-09" xfId="321"/>
    <cellStyle name="Normal 10" xfId="322"/>
    <cellStyle name="Normal 11" xfId="427"/>
    <cellStyle name="Normal 12" xfId="430"/>
    <cellStyle name="Normal 2" xfId="323"/>
    <cellStyle name="Normal 2 10 2 2" xfId="435"/>
    <cellStyle name="Normal 2 2" xfId="324"/>
    <cellStyle name="Normal 2 2 2" xfId="325"/>
    <cellStyle name="Normal 2 2 3" xfId="326"/>
    <cellStyle name="Normal 2 2_4.14E Miscellaneous Operating Expense working file" xfId="327"/>
    <cellStyle name="Normal 2 3" xfId="328"/>
    <cellStyle name="Normal 2 4" xfId="329"/>
    <cellStyle name="Normal 2 5" xfId="330"/>
    <cellStyle name="Normal 2 6" xfId="331"/>
    <cellStyle name="Normal 2_GRC 2009 Load Research Rate Schedule Statistics - v2 2-26-2009" xfId="332"/>
    <cellStyle name="Normal 22 6 2" xfId="433"/>
    <cellStyle name="Normal 3" xfId="333"/>
    <cellStyle name="Normal 3 2" xfId="334"/>
    <cellStyle name="Normal 3 3" xfId="335"/>
    <cellStyle name="Normal 4" xfId="336"/>
    <cellStyle name="Normal 5" xfId="337"/>
    <cellStyle name="Normal 6" xfId="338"/>
    <cellStyle name="Normal 7" xfId="339"/>
    <cellStyle name="Normal 8" xfId="340"/>
    <cellStyle name="Normal 8 2" xfId="429"/>
    <cellStyle name="Normal 9" xfId="341"/>
    <cellStyle name="Normal__REP settlement benefits (2)" xfId="437"/>
    <cellStyle name="Normal_ActiveExchange3" xfId="434"/>
    <cellStyle name="Note" xfId="342" builtinId="10" customBuiltin="1"/>
    <cellStyle name="Note 10" xfId="343"/>
    <cellStyle name="Note 11" xfId="344"/>
    <cellStyle name="Note 2" xfId="345"/>
    <cellStyle name="Note 3" xfId="346"/>
    <cellStyle name="Note 4" xfId="347"/>
    <cellStyle name="Note 5" xfId="348"/>
    <cellStyle name="Note 6" xfId="349"/>
    <cellStyle name="Note 7" xfId="350"/>
    <cellStyle name="Note 8" xfId="351"/>
    <cellStyle name="Note 9" xfId="352"/>
    <cellStyle name="Output" xfId="353" builtinId="21" customBuiltin="1"/>
    <cellStyle name="Percen - Style1" xfId="354"/>
    <cellStyle name="Percen - Style2" xfId="355"/>
    <cellStyle name="Percen - Style3" xfId="356"/>
    <cellStyle name="Percent" xfId="357" builtinId="5"/>
    <cellStyle name="Percent [2]" xfId="358"/>
    <cellStyle name="Percent 2" xfId="359"/>
    <cellStyle name="Percent 2 3 3" xfId="432"/>
    <cellStyle name="Percent 3" xfId="360"/>
    <cellStyle name="Percent 4" xfId="361"/>
    <cellStyle name="Percent 5" xfId="362"/>
    <cellStyle name="Percent 6" xfId="363"/>
    <cellStyle name="Percent 7" xfId="364"/>
    <cellStyle name="Percent 8" xfId="365"/>
    <cellStyle name="Processing" xfId="366"/>
    <cellStyle name="PSChar" xfId="367"/>
    <cellStyle name="PSDate" xfId="368"/>
    <cellStyle name="PSDec" xfId="369"/>
    <cellStyle name="PSHeading" xfId="370"/>
    <cellStyle name="PSInt" xfId="371"/>
    <cellStyle name="PSSpacer" xfId="372"/>
    <cellStyle name="purple - Style8" xfId="373"/>
    <cellStyle name="RED" xfId="374"/>
    <cellStyle name="Red - Style7" xfId="375"/>
    <cellStyle name="RED_04 07E Wild Horse Wind Expansion (C) (2)" xfId="376"/>
    <cellStyle name="Report" xfId="377"/>
    <cellStyle name="Report - Style5" xfId="378"/>
    <cellStyle name="Report - Style6" xfId="379"/>
    <cellStyle name="Report - Style7" xfId="380"/>
    <cellStyle name="Report - Style8" xfId="381"/>
    <cellStyle name="Report Bar" xfId="382"/>
    <cellStyle name="Report Heading" xfId="383"/>
    <cellStyle name="Report Percent" xfId="384"/>
    <cellStyle name="Report Unit Cost" xfId="385"/>
    <cellStyle name="Reports" xfId="386"/>
    <cellStyle name="Reports Total" xfId="387"/>
    <cellStyle name="Reports Unit Cost Total" xfId="388"/>
    <cellStyle name="RevList" xfId="389"/>
    <cellStyle name="round100" xfId="390"/>
    <cellStyle name="SAPBEXaggData" xfId="391"/>
    <cellStyle name="SAPBEXaggItem" xfId="392"/>
    <cellStyle name="SAPBEXchaText" xfId="393"/>
    <cellStyle name="SAPBEXfilterDrill" xfId="394"/>
    <cellStyle name="SAPBEXfilterItem" xfId="395"/>
    <cellStyle name="SAPBEXheaderItem" xfId="396"/>
    <cellStyle name="SAPBEXheaderText" xfId="397"/>
    <cellStyle name="SAPBEXHLevel0X" xfId="398"/>
    <cellStyle name="SAPBEXstdData" xfId="399"/>
    <cellStyle name="SAPBEXstdItem" xfId="400"/>
    <cellStyle name="SAPBEXstdItemX" xfId="401"/>
    <cellStyle name="SAPBEXtitle" xfId="402"/>
    <cellStyle name="shade" xfId="403"/>
    <cellStyle name="StmtTtl1" xfId="404"/>
    <cellStyle name="StmtTtl1 2" xfId="405"/>
    <cellStyle name="StmtTtl1 3" xfId="406"/>
    <cellStyle name="StmtTtl1 4" xfId="407"/>
    <cellStyle name="StmtTtl1_Direct Assignment Distribution Plant 2008" xfId="408"/>
    <cellStyle name="StmtTtl2" xfId="409"/>
    <cellStyle name="STYL1 - Style1" xfId="410"/>
    <cellStyle name="Style 1" xfId="1"/>
    <cellStyle name="Style 1 2" xfId="411"/>
    <cellStyle name="Style 1 3" xfId="412"/>
    <cellStyle name="Style 1 4" xfId="413"/>
    <cellStyle name="Style 1_4.14E Miscellaneous Operating Expense working file" xfId="414"/>
    <cellStyle name="Subtotal" xfId="415"/>
    <cellStyle name="Sub-total" xfId="416"/>
    <cellStyle name="Test" xfId="417"/>
    <cellStyle name="Title" xfId="418" builtinId="15" customBuiltin="1"/>
    <cellStyle name="Title: - Style3" xfId="419"/>
    <cellStyle name="Title: - Style4" xfId="420"/>
    <cellStyle name="Title: Major" xfId="421"/>
    <cellStyle name="Title: Minor" xfId="422"/>
    <cellStyle name="Title: Worksheet" xfId="423"/>
    <cellStyle name="Total" xfId="424" builtinId="25" customBuiltin="1"/>
    <cellStyle name="Total4 - Style4" xfId="425"/>
    <cellStyle name="Warning Text" xfId="426" builtinId="11" customBuiltin="1"/>
  </cellStyles>
  <dxfs count="2">
    <dxf>
      <font>
        <b/>
        <i/>
        <condense val="0"/>
        <extend val="0"/>
        <color rgb="FFFF0000"/>
      </font>
    </dxf>
    <dxf>
      <font>
        <b/>
        <i/>
        <condense val="0"/>
        <extend val="0"/>
        <color rgb="FFFF0000"/>
      </font>
    </dxf>
  </dxfs>
  <tableStyles count="0" defaultTableStyle="TableStyleMedium9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35" Type="http://schemas.openxmlformats.org/officeDocument/2006/relationships/customXml" Target="../customXml/item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24</xdr:row>
      <xdr:rowOff>0</xdr:rowOff>
    </xdr:from>
    <xdr:to>
      <xdr:col>22</xdr:col>
      <xdr:colOff>473199</xdr:colOff>
      <xdr:row>59</xdr:row>
      <xdr:rowOff>113504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0" y="3629025"/>
          <a:ext cx="8264649" cy="5618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4</xdr:col>
      <xdr:colOff>37455</xdr:colOff>
      <xdr:row>57</xdr:row>
      <xdr:rowOff>94506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0"/>
          <a:ext cx="5161905" cy="5952381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15</xdr:row>
      <xdr:rowOff>123825</xdr:rowOff>
    </xdr:from>
    <xdr:to>
      <xdr:col>12</xdr:col>
      <xdr:colOff>580368</xdr:colOff>
      <xdr:row>54</xdr:row>
      <xdr:rowOff>65986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24475" y="2571750"/>
          <a:ext cx="5257143" cy="55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M_MarketStrategy_Assmt\PM\Manary\FY04%20Analysis\October%20FY04\October%20Financial%20Upd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99%20rate%20case\1-Initial%20Rate%20Case%20Working\Studies\Cashflow\February%202002\Base\working%20cap_aud_2_cashflow_crac1_mod_continuous_C_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$TieredRAM\RAM2012\RAMdata_WP2012ipP_working_201001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%20%20Rate%20Filings/Sch%20194%20BPA/2021%20Filing%20Eff%2010-1-21/Forecast/F21%20Baseline_Elec%20Monthly%20Sales%20&amp;%20Customer%20Projections%20by%20Rate%20Class-Delivered-SUMMAR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ALD%20DOSKELAND\Albion%20Monthly-Hourly%20Outpu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.bpa.gov/orgs/power/policy-rates/pfr/_vti_history/526/TeamDocuments/REPSettlementLF_20_BP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je0024\Local%20Settings\Temporary%20Internet%20Files\OLKA1\WIND%201Foote%20Creek%201\FC1%20True-up\FooteCreekI-99Trueup-R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$TieredRAM\RAM2012\$newR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.bpa.gov/Documents%20and%20Settings/mlm2595/Local%20Settings/Temporary%20Internet%20Files/OLK4ED/TK_193_Run-4a(Oct%2028)_No-Settle_28-Oct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M_MarketStrategy_Assmt\PM\Manary\FY02%20Analysis\Dec%2015%202001\FBCRAC%20Calculation_capp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lm2595\Local%20Settings\Temporary%20Internet%20Files\OLK4ED\FY%202003%20%20PBL%20Rolling%20%20Monthly%201st%20Quarter%20Revi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usiness%20Decisions%20Group\SIM%20PBL%20Only\Aud's%20working%20area\SIM_Version_Master_No_TX(PBL%20only%20reserves)%20updated%20expenses%20with%20challeng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M_MarketStrategy_Assmt\PM\Manary\FY02%20Analysis\April%2002\R.C.%20Crosswalk%2002-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.bpa.gov/Documents%20and%20Settings/sdz3366/Local%20Settings/Temporary%20Internet%20Files/OLK49/Cong04templatePB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UDREY\TENSDS\DISPLACE\FINAL\old\TENSS4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4 Reserves"/>
      <sheetName val="Crosswalk FY05-06"/>
      <sheetName val="Crosswalk FY04"/>
      <sheetName val="Crosswalk FY03"/>
      <sheetName val="FY04 Resv crosswalk"/>
      <sheetName val="Det. rates"/>
      <sheetName val="TK Main"/>
      <sheetName val="NR Variation"/>
      <sheetName val="Base Summary wo Settle"/>
      <sheetName val="FY03-06 Pro Forma"/>
      <sheetName val="Master Summary"/>
      <sheetName val="Standardized Master"/>
      <sheetName val="FY03 Oct Update"/>
      <sheetName val="Aug 28 to Oct FY04"/>
      <sheetName val="Aug to Oct 05-06"/>
      <sheetName val="Net Surplus Sales Summary"/>
      <sheetName val="$Oct15FY03 0506 LB only"/>
      <sheetName val="$Oct15F Toolkit 0506"/>
      <sheetName val="$Oct15F updated"/>
      <sheetName val="Expense Internal FY03"/>
      <sheetName val="Sheet1"/>
      <sheetName val="Standardized FY05-6 Delta"/>
      <sheetName val="Standardized FY04 Del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t Revenue"/>
      <sheetName val="Cumulative Net Revenue"/>
      <sheetName val="Net Cash Flow"/>
      <sheetName val="Excess Fish Credit"/>
      <sheetName val="Treasury Payment"/>
      <sheetName val="Reserve Fund Balance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"/>
      <sheetName val="I_T2Elec"/>
      <sheetName val="I_CHWM"/>
      <sheetName val="I_Mrkt"/>
      <sheetName val="I_Exch"/>
      <sheetName val="I_Slice"/>
      <sheetName val="I_TRL"/>
      <sheetName val="I_CSP"/>
      <sheetName val="I_Load"/>
      <sheetName val="I_Res"/>
      <sheetName val="I_Cost"/>
      <sheetName val="I_Secondary"/>
      <sheetName val="I_Credits"/>
      <sheetName val="I_BulkHub"/>
      <sheetName val="LU_L"/>
      <sheetName val="LU_R"/>
      <sheetName val="LU_C"/>
      <sheetName val="Map_L"/>
      <sheetName val="Map_R"/>
      <sheetName val="Map_C"/>
      <sheetName val="Class_L"/>
      <sheetName val="Class_R"/>
      <sheetName val="Class_C"/>
      <sheetName val="Load"/>
      <sheetName val="Res"/>
      <sheetName val="T1SC"/>
      <sheetName val="Cost"/>
      <sheetName val="CostAgg"/>
      <sheetName val="TRL"/>
      <sheetName val="CSP"/>
      <sheetName val="ER"/>
      <sheetName val="RSP"/>
      <sheetName val="CDQ"/>
      <sheetName val="SuperPeak"/>
      <sheetName val="RSSRateInputs"/>
      <sheetName val="RSSResourceInputs"/>
      <sheetName val="O_RSS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F2021 Delivered Sales"/>
      <sheetName val="F2021 Customers"/>
      <sheetName val="F2021 Billed Demand"/>
      <sheetName val="map"/>
    </sheetNames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adjusted"/>
    </sheetNames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s"/>
      <sheetName val="Scenario"/>
      <sheetName val="Rates"/>
      <sheetName val="Rates (2)"/>
      <sheetName val="Benefits"/>
      <sheetName val="Post_to_Pre_Benefits"/>
      <sheetName val="ProgCOSA"/>
      <sheetName val="Credits"/>
      <sheetName val="LR_Balance"/>
      <sheetName val="LR_Adjust"/>
      <sheetName val="ProgAlloc"/>
      <sheetName val="AllocCredits"/>
      <sheetName val="AllocCost"/>
      <sheetName val="InitialRates"/>
      <sheetName val="7b2COSA"/>
      <sheetName val="7b2Loads"/>
      <sheetName val="7b2Stack"/>
      <sheetName val="7b2Costs"/>
      <sheetName val="7b2Test"/>
      <sheetName val="7b3Rates"/>
      <sheetName val="Exchange"/>
      <sheetName val="ASCs"/>
      <sheetName val="Ledger"/>
      <sheetName val="LF-ASCs"/>
      <sheetName val="I_Market"/>
      <sheetName val="I_Exchange"/>
      <sheetName val="I_TRL"/>
      <sheetName val="I_NLSL"/>
      <sheetName val="I_ER"/>
      <sheetName val="T1SC"/>
      <sheetName val="TRMBD_RAM"/>
      <sheetName val="Preference Load"/>
      <sheetName val="I_Loads"/>
      <sheetName val="I_Resources"/>
      <sheetName val="Cost"/>
      <sheetName val="LDD_IRD"/>
      <sheetName val="NetMargin"/>
      <sheetName val="RiskModInputs"/>
      <sheetName val="Init"/>
    </sheetNames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Init99"/>
      <sheetName val="Sub2000"/>
      <sheetName val="Sub2001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ora"/>
      <sheetName val="TRM Load Import"/>
      <sheetName val="TRM Resource Import"/>
      <sheetName val="INPUTS"/>
      <sheetName val="Load_Resource"/>
      <sheetName val="Exchange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 Main"/>
      <sheetName val="Cell_Notes"/>
      <sheetName val="SN CRAC Dox"/>
      <sheetName val="RsrvsGrph"/>
      <sheetName val="RsrvsData"/>
      <sheetName val="Revisions"/>
      <sheetName val="CRAC_Data"/>
      <sheetName val="Debugging"/>
      <sheetName val="Notes, Dox"/>
      <sheetName val="To Do"/>
      <sheetName val="MiscResources"/>
      <sheetName val="FCCF&amp;4h10C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rget Summary"/>
      <sheetName val="FY 2002"/>
      <sheetName val="(61) NR Data"/>
      <sheetName val="Cum NR Dist"/>
      <sheetName val="Ten Period Macro"/>
      <sheetName val="Summary (2)"/>
      <sheetName val="(106) NR Data"/>
      <sheetName val="FBCRAC Summary"/>
      <sheetName val="FB Calc"/>
      <sheetName val="Case 2 FBCRAC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L Monthly Forecast"/>
      <sheetName val="Data"/>
      <sheetName val="Edit Data Macro"/>
      <sheetName val="Create Data Macro"/>
      <sheetName val="Check File"/>
      <sheetName val="Buttons Macros"/>
      <sheetName val="Module1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&amp; Strategy Data"/>
      <sheetName val="Decision Tree Analysis"/>
      <sheetName val="DTA Results--Tier 1"/>
      <sheetName val="Secondary Revenue Results"/>
      <sheetName val="Augment Power Purchase Results"/>
      <sheetName val="4h10c Credit Results"/>
      <sheetName val="Uncertainty Variables"/>
      <sheetName val="DTA Random Numbers"/>
      <sheetName val="PBL Income &amp; Reserves"/>
      <sheetName val="Alternative Income Statement"/>
      <sheetName val="PBL Income Statement--No Tiers"/>
      <sheetName val="PBL ASC Calc--No Tiers"/>
      <sheetName val="PBL Capital Calc"/>
      <sheetName val="Capital, etc. inputs"/>
      <sheetName val="Expenses"/>
      <sheetName val="fed load-resource data"/>
      <sheetName val="Energy_Sum"/>
      <sheetName val="long term committment data"/>
      <sheetName val="SNCRAC Hydro"/>
      <sheetName val="Monthly Prices"/>
      <sheetName val="Monthly Prices by water year"/>
      <sheetName val="Weighted Surplus Sales Factors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2 Analyst"/>
      <sheetName val="FY2002"/>
      <sheetName val="FY03 Analyst"/>
      <sheetName val="Steele FY03"/>
      <sheetName val="FY03 Mgr"/>
      <sheetName val="FY04 Analyst"/>
      <sheetName val="FY04 Steele"/>
      <sheetName val="FY04 Mgr"/>
      <sheetName val="FY05 Analyst"/>
      <sheetName val="Steele FY05"/>
      <sheetName val="FY05 Mgr"/>
      <sheetName val="FY06 Analyst"/>
      <sheetName val="Steele FY06"/>
      <sheetName val="FY06 Mgr"/>
      <sheetName val="FY02 Rev"/>
      <sheetName val="FY02 Costs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2"/>
      <sheetName val="Edit Data Macro"/>
      <sheetName val="Create Data Macro"/>
      <sheetName val="Check File"/>
      <sheetName val="Buttons Macros"/>
      <sheetName val="Module1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WHydro"/>
      <sheetName val="NWHydro--96 HLH"/>
      <sheetName val="NWHydro--20 HLH"/>
      <sheetName val="NWThermal"/>
      <sheetName val="NWLoads"/>
      <sheetName val="Load-Gen Shapes"/>
      <sheetName val="Total Cost"/>
      <sheetName val="LRBalance"/>
      <sheetName val="Prices"/>
      <sheetName val="SalesPurchases"/>
      <sheetName val="MarginalCost"/>
      <sheetName val="CALIF MODEL"/>
      <sheetName val="Module1"/>
      <sheetName val="Macro1"/>
      <sheetName val="Dialo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7"/>
  <sheetViews>
    <sheetView tabSelected="1" zoomScaleNormal="100" workbookViewId="0">
      <selection activeCell="D8" sqref="D8"/>
    </sheetView>
  </sheetViews>
  <sheetFormatPr defaultColWidth="9.140625" defaultRowHeight="11.25" x14ac:dyDescent="0.2"/>
  <cols>
    <col min="1" max="1" width="7.85546875" style="16" bestFit="1" customWidth="1"/>
    <col min="2" max="2" width="8.42578125" style="16" bestFit="1" customWidth="1"/>
    <col min="3" max="3" width="65.28515625" style="16" bestFit="1" customWidth="1"/>
    <col min="4" max="4" width="10.7109375" style="16" bestFit="1" customWidth="1"/>
    <col min="5" max="12" width="14.5703125" style="16" customWidth="1"/>
    <col min="13" max="13" width="10.5703125" style="16" bestFit="1" customWidth="1"/>
    <col min="14" max="16384" width="9.140625" style="16"/>
  </cols>
  <sheetData>
    <row r="1" spans="1:4" x14ac:dyDescent="0.2">
      <c r="A1" s="328" t="s">
        <v>0</v>
      </c>
      <c r="B1" s="328"/>
      <c r="C1" s="328"/>
      <c r="D1" s="328"/>
    </row>
    <row r="2" spans="1:4" x14ac:dyDescent="0.2">
      <c r="A2" s="328" t="s">
        <v>1</v>
      </c>
      <c r="B2" s="328"/>
      <c r="C2" s="328"/>
      <c r="D2" s="328"/>
    </row>
    <row r="3" spans="1:4" x14ac:dyDescent="0.2">
      <c r="A3" s="328" t="s">
        <v>2</v>
      </c>
      <c r="B3" s="328"/>
      <c r="C3" s="328"/>
      <c r="D3" s="328"/>
    </row>
    <row r="4" spans="1:4" x14ac:dyDescent="0.2">
      <c r="A4" s="329" t="s">
        <v>211</v>
      </c>
      <c r="B4" s="328"/>
      <c r="C4" s="328"/>
      <c r="D4" s="328"/>
    </row>
    <row r="5" spans="1:4" x14ac:dyDescent="0.2">
      <c r="A5" s="327" t="s">
        <v>310</v>
      </c>
      <c r="B5" s="328"/>
      <c r="C5" s="328"/>
      <c r="D5" s="328"/>
    </row>
    <row r="6" spans="1:4" x14ac:dyDescent="0.2">
      <c r="A6" s="92"/>
      <c r="B6" s="92"/>
    </row>
    <row r="7" spans="1:4" x14ac:dyDescent="0.2">
      <c r="A7" s="93" t="s">
        <v>3</v>
      </c>
      <c r="B7" s="93"/>
      <c r="C7" s="93" t="s">
        <v>4</v>
      </c>
      <c r="D7" s="94" t="s">
        <v>5</v>
      </c>
    </row>
    <row r="8" spans="1:4" x14ac:dyDescent="0.2">
      <c r="A8" s="95">
        <f t="shared" ref="A8:A26" si="0">ROW()-7</f>
        <v>1</v>
      </c>
      <c r="B8" s="92"/>
      <c r="C8" s="96" t="s">
        <v>325</v>
      </c>
      <c r="D8" s="97">
        <f>'F2019 Res Exch Load'!M34/1000</f>
        <v>10860654.970711239</v>
      </c>
    </row>
    <row r="9" spans="1:4" x14ac:dyDescent="0.2">
      <c r="A9" s="95">
        <f t="shared" si="0"/>
        <v>2</v>
      </c>
      <c r="B9" s="98"/>
      <c r="C9" s="92"/>
      <c r="D9" s="97"/>
    </row>
    <row r="10" spans="1:4" x14ac:dyDescent="0.2">
      <c r="A10" s="95">
        <f t="shared" si="0"/>
        <v>3</v>
      </c>
      <c r="B10" s="96"/>
      <c r="C10" s="96" t="s">
        <v>322</v>
      </c>
      <c r="D10" s="238">
        <f>'Utility Spec PFx RAM 2022'!O36*1000</f>
        <v>72670846.387199968</v>
      </c>
    </row>
    <row r="11" spans="1:4" x14ac:dyDescent="0.2">
      <c r="A11" s="95">
        <f t="shared" si="0"/>
        <v>4</v>
      </c>
      <c r="B11" s="98"/>
      <c r="C11" s="92"/>
      <c r="D11" s="14"/>
    </row>
    <row r="12" spans="1:4" x14ac:dyDescent="0.2">
      <c r="A12" s="95">
        <f t="shared" si="0"/>
        <v>5</v>
      </c>
      <c r="B12" s="98"/>
      <c r="C12" s="99" t="s">
        <v>311</v>
      </c>
      <c r="D12" s="100">
        <f>-'186 - 253 Balance'!C14</f>
        <v>-3573868.4350000001</v>
      </c>
    </row>
    <row r="13" spans="1:4" x14ac:dyDescent="0.2">
      <c r="A13" s="95">
        <f t="shared" si="0"/>
        <v>6</v>
      </c>
      <c r="B13" s="92" t="str">
        <f>"= "&amp;A10&amp;" + "&amp;A12</f>
        <v>= 3 + 5</v>
      </c>
      <c r="C13" s="101" t="s">
        <v>6</v>
      </c>
      <c r="D13" s="102">
        <f>SUM(D10:D12)</f>
        <v>69096977.952199966</v>
      </c>
    </row>
    <row r="14" spans="1:4" x14ac:dyDescent="0.2">
      <c r="A14" s="95">
        <f t="shared" si="0"/>
        <v>7</v>
      </c>
      <c r="B14" s="92"/>
      <c r="C14" s="101"/>
      <c r="D14" s="14"/>
    </row>
    <row r="15" spans="1:4" x14ac:dyDescent="0.2">
      <c r="A15" s="95">
        <f t="shared" si="0"/>
        <v>8</v>
      </c>
      <c r="B15" s="98"/>
      <c r="C15" s="103" t="s">
        <v>7</v>
      </c>
      <c r="D15" s="104">
        <f>'2019 GRC Conversion Factor'!E16</f>
        <v>0.95111500000000004</v>
      </c>
    </row>
    <row r="16" spans="1:4" ht="12" thickBot="1" x14ac:dyDescent="0.25">
      <c r="A16" s="95">
        <f t="shared" si="0"/>
        <v>9</v>
      </c>
      <c r="B16" s="92" t="str">
        <f>"= "&amp;A13&amp;" / "&amp;A15</f>
        <v>= 6 / 8</v>
      </c>
      <c r="C16" s="105" t="s">
        <v>8</v>
      </c>
      <c r="D16" s="106">
        <f>+D13/D15</f>
        <v>72648394.728502825</v>
      </c>
    </row>
    <row r="17" spans="1:4" ht="12" thickTop="1" x14ac:dyDescent="0.2">
      <c r="A17" s="95">
        <f t="shared" si="0"/>
        <v>10</v>
      </c>
      <c r="B17" s="98"/>
    </row>
    <row r="18" spans="1:4" ht="12" thickBot="1" x14ac:dyDescent="0.25">
      <c r="A18" s="95">
        <f t="shared" si="0"/>
        <v>11</v>
      </c>
      <c r="B18" s="92" t="str">
        <f>"= "&amp;A16&amp;" / "&amp;A8</f>
        <v>= 9 / 1</v>
      </c>
      <c r="C18" s="96" t="s">
        <v>312</v>
      </c>
      <c r="D18" s="107">
        <f>-ROUND(D16/D8,6)/1000</f>
        <v>-6.689136E-3</v>
      </c>
    </row>
    <row r="19" spans="1:4" ht="12" thickTop="1" x14ac:dyDescent="0.2">
      <c r="A19" s="95">
        <f t="shared" si="0"/>
        <v>12</v>
      </c>
      <c r="B19" s="98"/>
    </row>
    <row r="20" spans="1:4" x14ac:dyDescent="0.2">
      <c r="A20" s="95">
        <f t="shared" si="0"/>
        <v>13</v>
      </c>
      <c r="B20" s="98"/>
      <c r="C20" s="108" t="s">
        <v>9</v>
      </c>
    </row>
    <row r="21" spans="1:4" x14ac:dyDescent="0.2">
      <c r="A21" s="95">
        <f t="shared" si="0"/>
        <v>14</v>
      </c>
      <c r="B21" s="98"/>
      <c r="C21" s="92" t="s">
        <v>158</v>
      </c>
    </row>
    <row r="22" spans="1:4" x14ac:dyDescent="0.2">
      <c r="A22" s="95">
        <f t="shared" si="0"/>
        <v>15</v>
      </c>
      <c r="B22" s="98"/>
      <c r="C22" s="92" t="s">
        <v>146</v>
      </c>
    </row>
    <row r="23" spans="1:4" x14ac:dyDescent="0.2">
      <c r="A23" s="95">
        <f t="shared" si="0"/>
        <v>16</v>
      </c>
      <c r="B23" s="98"/>
      <c r="C23" s="99" t="s">
        <v>323</v>
      </c>
      <c r="D23" s="112">
        <f>'Typical Residential Bill '!F22</f>
        <v>98.06</v>
      </c>
    </row>
    <row r="24" spans="1:4" x14ac:dyDescent="0.2">
      <c r="A24" s="95">
        <f t="shared" si="0"/>
        <v>17</v>
      </c>
      <c r="B24" s="98"/>
      <c r="C24" s="99" t="s">
        <v>313</v>
      </c>
      <c r="D24" s="112">
        <f>'Typical Residential Bill '!K22</f>
        <v>98.69</v>
      </c>
    </row>
    <row r="25" spans="1:4" x14ac:dyDescent="0.2">
      <c r="A25" s="95">
        <f t="shared" si="0"/>
        <v>18</v>
      </c>
      <c r="B25" s="92" t="str">
        <f>"= "&amp;A24&amp;" - "&amp;A23</f>
        <v>= 17 - 16</v>
      </c>
      <c r="C25" s="99" t="s">
        <v>42</v>
      </c>
      <c r="D25" s="109">
        <f>+D24-D23</f>
        <v>0.62999999999999545</v>
      </c>
    </row>
    <row r="26" spans="1:4" ht="12" thickBot="1" x14ac:dyDescent="0.25">
      <c r="A26" s="95">
        <f t="shared" si="0"/>
        <v>19</v>
      </c>
      <c r="B26" s="92" t="str">
        <f>"= "&amp;A25&amp;" / "&amp;A23</f>
        <v>= 18 / 16</v>
      </c>
      <c r="C26" s="110" t="s">
        <v>43</v>
      </c>
      <c r="D26" s="111">
        <f>+D25/D23</f>
        <v>6.4246379767488827E-3</v>
      </c>
    </row>
    <row r="27" spans="1:4" ht="12" thickTop="1" x14ac:dyDescent="0.2">
      <c r="B27" s="98"/>
    </row>
  </sheetData>
  <mergeCells count="5">
    <mergeCell ref="A5:D5"/>
    <mergeCell ref="A1:D1"/>
    <mergeCell ref="A2:D2"/>
    <mergeCell ref="A3:D3"/>
    <mergeCell ref="A4:D4"/>
  </mergeCells>
  <phoneticPr fontId="9" type="noConversion"/>
  <printOptions horizontalCentered="1"/>
  <pageMargins left="0.75" right="0.75" top="1" bottom="1" header="0.5" footer="0.5"/>
  <pageSetup orientation="landscape" cellComments="asDisplayed" horizontalDpi="300" verticalDpi="300" r:id="rId1"/>
  <headerFooter alignWithMargins="0"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19"/>
  <sheetViews>
    <sheetView zoomScaleNormal="100" workbookViewId="0">
      <selection activeCell="E16" sqref="E16"/>
    </sheetView>
  </sheetViews>
  <sheetFormatPr defaultRowHeight="11.25" x14ac:dyDescent="0.2"/>
  <cols>
    <col min="1" max="1" width="5.140625" style="2" bestFit="1" customWidth="1"/>
    <col min="2" max="2" width="51" style="2" bestFit="1" customWidth="1"/>
    <col min="3" max="3" width="1.7109375" style="2" customWidth="1"/>
    <col min="4" max="4" width="8.28515625" style="2" bestFit="1" customWidth="1"/>
    <col min="5" max="5" width="12.140625" style="2" bestFit="1" customWidth="1"/>
    <col min="6" max="256" width="9.140625" style="2"/>
    <col min="257" max="257" width="5" style="2" bestFit="1" customWidth="1"/>
    <col min="258" max="258" width="63" style="2" bestFit="1" customWidth="1"/>
    <col min="259" max="259" width="1.7109375" style="2" customWidth="1"/>
    <col min="260" max="260" width="7.28515625" style="2" bestFit="1" customWidth="1"/>
    <col min="261" max="512" width="9.140625" style="2"/>
    <col min="513" max="513" width="5" style="2" bestFit="1" customWidth="1"/>
    <col min="514" max="514" width="63" style="2" bestFit="1" customWidth="1"/>
    <col min="515" max="515" width="1.7109375" style="2" customWidth="1"/>
    <col min="516" max="516" width="7.28515625" style="2" bestFit="1" customWidth="1"/>
    <col min="517" max="768" width="9.140625" style="2"/>
    <col min="769" max="769" width="5" style="2" bestFit="1" customWidth="1"/>
    <col min="770" max="770" width="63" style="2" bestFit="1" customWidth="1"/>
    <col min="771" max="771" width="1.7109375" style="2" customWidth="1"/>
    <col min="772" max="772" width="7.28515625" style="2" bestFit="1" customWidth="1"/>
    <col min="773" max="1024" width="9.140625" style="2"/>
    <col min="1025" max="1025" width="5" style="2" bestFit="1" customWidth="1"/>
    <col min="1026" max="1026" width="63" style="2" bestFit="1" customWidth="1"/>
    <col min="1027" max="1027" width="1.7109375" style="2" customWidth="1"/>
    <col min="1028" max="1028" width="7.28515625" style="2" bestFit="1" customWidth="1"/>
    <col min="1029" max="1280" width="9.140625" style="2"/>
    <col min="1281" max="1281" width="5" style="2" bestFit="1" customWidth="1"/>
    <col min="1282" max="1282" width="63" style="2" bestFit="1" customWidth="1"/>
    <col min="1283" max="1283" width="1.7109375" style="2" customWidth="1"/>
    <col min="1284" max="1284" width="7.28515625" style="2" bestFit="1" customWidth="1"/>
    <col min="1285" max="1536" width="9.140625" style="2"/>
    <col min="1537" max="1537" width="5" style="2" bestFit="1" customWidth="1"/>
    <col min="1538" max="1538" width="63" style="2" bestFit="1" customWidth="1"/>
    <col min="1539" max="1539" width="1.7109375" style="2" customWidth="1"/>
    <col min="1540" max="1540" width="7.28515625" style="2" bestFit="1" customWidth="1"/>
    <col min="1541" max="1792" width="9.140625" style="2"/>
    <col min="1793" max="1793" width="5" style="2" bestFit="1" customWidth="1"/>
    <col min="1794" max="1794" width="63" style="2" bestFit="1" customWidth="1"/>
    <col min="1795" max="1795" width="1.7109375" style="2" customWidth="1"/>
    <col min="1796" max="1796" width="7.28515625" style="2" bestFit="1" customWidth="1"/>
    <col min="1797" max="2048" width="9.140625" style="2"/>
    <col min="2049" max="2049" width="5" style="2" bestFit="1" customWidth="1"/>
    <col min="2050" max="2050" width="63" style="2" bestFit="1" customWidth="1"/>
    <col min="2051" max="2051" width="1.7109375" style="2" customWidth="1"/>
    <col min="2052" max="2052" width="7.28515625" style="2" bestFit="1" customWidth="1"/>
    <col min="2053" max="2304" width="9.140625" style="2"/>
    <col min="2305" max="2305" width="5" style="2" bestFit="1" customWidth="1"/>
    <col min="2306" max="2306" width="63" style="2" bestFit="1" customWidth="1"/>
    <col min="2307" max="2307" width="1.7109375" style="2" customWidth="1"/>
    <col min="2308" max="2308" width="7.28515625" style="2" bestFit="1" customWidth="1"/>
    <col min="2309" max="2560" width="9.140625" style="2"/>
    <col min="2561" max="2561" width="5" style="2" bestFit="1" customWidth="1"/>
    <col min="2562" max="2562" width="63" style="2" bestFit="1" customWidth="1"/>
    <col min="2563" max="2563" width="1.7109375" style="2" customWidth="1"/>
    <col min="2564" max="2564" width="7.28515625" style="2" bestFit="1" customWidth="1"/>
    <col min="2565" max="2816" width="9.140625" style="2"/>
    <col min="2817" max="2817" width="5" style="2" bestFit="1" customWidth="1"/>
    <col min="2818" max="2818" width="63" style="2" bestFit="1" customWidth="1"/>
    <col min="2819" max="2819" width="1.7109375" style="2" customWidth="1"/>
    <col min="2820" max="2820" width="7.28515625" style="2" bestFit="1" customWidth="1"/>
    <col min="2821" max="3072" width="9.140625" style="2"/>
    <col min="3073" max="3073" width="5" style="2" bestFit="1" customWidth="1"/>
    <col min="3074" max="3074" width="63" style="2" bestFit="1" customWidth="1"/>
    <col min="3075" max="3075" width="1.7109375" style="2" customWidth="1"/>
    <col min="3076" max="3076" width="7.28515625" style="2" bestFit="1" customWidth="1"/>
    <col min="3077" max="3328" width="9.140625" style="2"/>
    <col min="3329" max="3329" width="5" style="2" bestFit="1" customWidth="1"/>
    <col min="3330" max="3330" width="63" style="2" bestFit="1" customWidth="1"/>
    <col min="3331" max="3331" width="1.7109375" style="2" customWidth="1"/>
    <col min="3332" max="3332" width="7.28515625" style="2" bestFit="1" customWidth="1"/>
    <col min="3333" max="3584" width="9.140625" style="2"/>
    <col min="3585" max="3585" width="5" style="2" bestFit="1" customWidth="1"/>
    <col min="3586" max="3586" width="63" style="2" bestFit="1" customWidth="1"/>
    <col min="3587" max="3587" width="1.7109375" style="2" customWidth="1"/>
    <col min="3588" max="3588" width="7.28515625" style="2" bestFit="1" customWidth="1"/>
    <col min="3589" max="3840" width="9.140625" style="2"/>
    <col min="3841" max="3841" width="5" style="2" bestFit="1" customWidth="1"/>
    <col min="3842" max="3842" width="63" style="2" bestFit="1" customWidth="1"/>
    <col min="3843" max="3843" width="1.7109375" style="2" customWidth="1"/>
    <col min="3844" max="3844" width="7.28515625" style="2" bestFit="1" customWidth="1"/>
    <col min="3845" max="4096" width="9.140625" style="2"/>
    <col min="4097" max="4097" width="5" style="2" bestFit="1" customWidth="1"/>
    <col min="4098" max="4098" width="63" style="2" bestFit="1" customWidth="1"/>
    <col min="4099" max="4099" width="1.7109375" style="2" customWidth="1"/>
    <col min="4100" max="4100" width="7.28515625" style="2" bestFit="1" customWidth="1"/>
    <col min="4101" max="4352" width="9.140625" style="2"/>
    <col min="4353" max="4353" width="5" style="2" bestFit="1" customWidth="1"/>
    <col min="4354" max="4354" width="63" style="2" bestFit="1" customWidth="1"/>
    <col min="4355" max="4355" width="1.7109375" style="2" customWidth="1"/>
    <col min="4356" max="4356" width="7.28515625" style="2" bestFit="1" customWidth="1"/>
    <col min="4357" max="4608" width="9.140625" style="2"/>
    <col min="4609" max="4609" width="5" style="2" bestFit="1" customWidth="1"/>
    <col min="4610" max="4610" width="63" style="2" bestFit="1" customWidth="1"/>
    <col min="4611" max="4611" width="1.7109375" style="2" customWidth="1"/>
    <col min="4612" max="4612" width="7.28515625" style="2" bestFit="1" customWidth="1"/>
    <col min="4613" max="4864" width="9.140625" style="2"/>
    <col min="4865" max="4865" width="5" style="2" bestFit="1" customWidth="1"/>
    <col min="4866" max="4866" width="63" style="2" bestFit="1" customWidth="1"/>
    <col min="4867" max="4867" width="1.7109375" style="2" customWidth="1"/>
    <col min="4868" max="4868" width="7.28515625" style="2" bestFit="1" customWidth="1"/>
    <col min="4869" max="5120" width="9.140625" style="2"/>
    <col min="5121" max="5121" width="5" style="2" bestFit="1" customWidth="1"/>
    <col min="5122" max="5122" width="63" style="2" bestFit="1" customWidth="1"/>
    <col min="5123" max="5123" width="1.7109375" style="2" customWidth="1"/>
    <col min="5124" max="5124" width="7.28515625" style="2" bestFit="1" customWidth="1"/>
    <col min="5125" max="5376" width="9.140625" style="2"/>
    <col min="5377" max="5377" width="5" style="2" bestFit="1" customWidth="1"/>
    <col min="5378" max="5378" width="63" style="2" bestFit="1" customWidth="1"/>
    <col min="5379" max="5379" width="1.7109375" style="2" customWidth="1"/>
    <col min="5380" max="5380" width="7.28515625" style="2" bestFit="1" customWidth="1"/>
    <col min="5381" max="5632" width="9.140625" style="2"/>
    <col min="5633" max="5633" width="5" style="2" bestFit="1" customWidth="1"/>
    <col min="5634" max="5634" width="63" style="2" bestFit="1" customWidth="1"/>
    <col min="5635" max="5635" width="1.7109375" style="2" customWidth="1"/>
    <col min="5636" max="5636" width="7.28515625" style="2" bestFit="1" customWidth="1"/>
    <col min="5637" max="5888" width="9.140625" style="2"/>
    <col min="5889" max="5889" width="5" style="2" bestFit="1" customWidth="1"/>
    <col min="5890" max="5890" width="63" style="2" bestFit="1" customWidth="1"/>
    <col min="5891" max="5891" width="1.7109375" style="2" customWidth="1"/>
    <col min="5892" max="5892" width="7.28515625" style="2" bestFit="1" customWidth="1"/>
    <col min="5893" max="6144" width="9.140625" style="2"/>
    <col min="6145" max="6145" width="5" style="2" bestFit="1" customWidth="1"/>
    <col min="6146" max="6146" width="63" style="2" bestFit="1" customWidth="1"/>
    <col min="6147" max="6147" width="1.7109375" style="2" customWidth="1"/>
    <col min="6148" max="6148" width="7.28515625" style="2" bestFit="1" customWidth="1"/>
    <col min="6149" max="6400" width="9.140625" style="2"/>
    <col min="6401" max="6401" width="5" style="2" bestFit="1" customWidth="1"/>
    <col min="6402" max="6402" width="63" style="2" bestFit="1" customWidth="1"/>
    <col min="6403" max="6403" width="1.7109375" style="2" customWidth="1"/>
    <col min="6404" max="6404" width="7.28515625" style="2" bestFit="1" customWidth="1"/>
    <col min="6405" max="6656" width="9.140625" style="2"/>
    <col min="6657" max="6657" width="5" style="2" bestFit="1" customWidth="1"/>
    <col min="6658" max="6658" width="63" style="2" bestFit="1" customWidth="1"/>
    <col min="6659" max="6659" width="1.7109375" style="2" customWidth="1"/>
    <col min="6660" max="6660" width="7.28515625" style="2" bestFit="1" customWidth="1"/>
    <col min="6661" max="6912" width="9.140625" style="2"/>
    <col min="6913" max="6913" width="5" style="2" bestFit="1" customWidth="1"/>
    <col min="6914" max="6914" width="63" style="2" bestFit="1" customWidth="1"/>
    <col min="6915" max="6915" width="1.7109375" style="2" customWidth="1"/>
    <col min="6916" max="6916" width="7.28515625" style="2" bestFit="1" customWidth="1"/>
    <col min="6917" max="7168" width="9.140625" style="2"/>
    <col min="7169" max="7169" width="5" style="2" bestFit="1" customWidth="1"/>
    <col min="7170" max="7170" width="63" style="2" bestFit="1" customWidth="1"/>
    <col min="7171" max="7171" width="1.7109375" style="2" customWidth="1"/>
    <col min="7172" max="7172" width="7.28515625" style="2" bestFit="1" customWidth="1"/>
    <col min="7173" max="7424" width="9.140625" style="2"/>
    <col min="7425" max="7425" width="5" style="2" bestFit="1" customWidth="1"/>
    <col min="7426" max="7426" width="63" style="2" bestFit="1" customWidth="1"/>
    <col min="7427" max="7427" width="1.7109375" style="2" customWidth="1"/>
    <col min="7428" max="7428" width="7.28515625" style="2" bestFit="1" customWidth="1"/>
    <col min="7429" max="7680" width="9.140625" style="2"/>
    <col min="7681" max="7681" width="5" style="2" bestFit="1" customWidth="1"/>
    <col min="7682" max="7682" width="63" style="2" bestFit="1" customWidth="1"/>
    <col min="7683" max="7683" width="1.7109375" style="2" customWidth="1"/>
    <col min="7684" max="7684" width="7.28515625" style="2" bestFit="1" customWidth="1"/>
    <col min="7685" max="7936" width="9.140625" style="2"/>
    <col min="7937" max="7937" width="5" style="2" bestFit="1" customWidth="1"/>
    <col min="7938" max="7938" width="63" style="2" bestFit="1" customWidth="1"/>
    <col min="7939" max="7939" width="1.7109375" style="2" customWidth="1"/>
    <col min="7940" max="7940" width="7.28515625" style="2" bestFit="1" customWidth="1"/>
    <col min="7941" max="8192" width="9.140625" style="2"/>
    <col min="8193" max="8193" width="5" style="2" bestFit="1" customWidth="1"/>
    <col min="8194" max="8194" width="63" style="2" bestFit="1" customWidth="1"/>
    <col min="8195" max="8195" width="1.7109375" style="2" customWidth="1"/>
    <col min="8196" max="8196" width="7.28515625" style="2" bestFit="1" customWidth="1"/>
    <col min="8197" max="8448" width="9.140625" style="2"/>
    <col min="8449" max="8449" width="5" style="2" bestFit="1" customWidth="1"/>
    <col min="8450" max="8450" width="63" style="2" bestFit="1" customWidth="1"/>
    <col min="8451" max="8451" width="1.7109375" style="2" customWidth="1"/>
    <col min="8452" max="8452" width="7.28515625" style="2" bestFit="1" customWidth="1"/>
    <col min="8453" max="8704" width="9.140625" style="2"/>
    <col min="8705" max="8705" width="5" style="2" bestFit="1" customWidth="1"/>
    <col min="8706" max="8706" width="63" style="2" bestFit="1" customWidth="1"/>
    <col min="8707" max="8707" width="1.7109375" style="2" customWidth="1"/>
    <col min="8708" max="8708" width="7.28515625" style="2" bestFit="1" customWidth="1"/>
    <col min="8709" max="8960" width="9.140625" style="2"/>
    <col min="8961" max="8961" width="5" style="2" bestFit="1" customWidth="1"/>
    <col min="8962" max="8962" width="63" style="2" bestFit="1" customWidth="1"/>
    <col min="8963" max="8963" width="1.7109375" style="2" customWidth="1"/>
    <col min="8964" max="8964" width="7.28515625" style="2" bestFit="1" customWidth="1"/>
    <col min="8965" max="9216" width="9.140625" style="2"/>
    <col min="9217" max="9217" width="5" style="2" bestFit="1" customWidth="1"/>
    <col min="9218" max="9218" width="63" style="2" bestFit="1" customWidth="1"/>
    <col min="9219" max="9219" width="1.7109375" style="2" customWidth="1"/>
    <col min="9220" max="9220" width="7.28515625" style="2" bestFit="1" customWidth="1"/>
    <col min="9221" max="9472" width="9.140625" style="2"/>
    <col min="9473" max="9473" width="5" style="2" bestFit="1" customWidth="1"/>
    <col min="9474" max="9474" width="63" style="2" bestFit="1" customWidth="1"/>
    <col min="9475" max="9475" width="1.7109375" style="2" customWidth="1"/>
    <col min="9476" max="9476" width="7.28515625" style="2" bestFit="1" customWidth="1"/>
    <col min="9477" max="9728" width="9.140625" style="2"/>
    <col min="9729" max="9729" width="5" style="2" bestFit="1" customWidth="1"/>
    <col min="9730" max="9730" width="63" style="2" bestFit="1" customWidth="1"/>
    <col min="9731" max="9731" width="1.7109375" style="2" customWidth="1"/>
    <col min="9732" max="9732" width="7.28515625" style="2" bestFit="1" customWidth="1"/>
    <col min="9733" max="9984" width="9.140625" style="2"/>
    <col min="9985" max="9985" width="5" style="2" bestFit="1" customWidth="1"/>
    <col min="9986" max="9986" width="63" style="2" bestFit="1" customWidth="1"/>
    <col min="9987" max="9987" width="1.7109375" style="2" customWidth="1"/>
    <col min="9988" max="9988" width="7.28515625" style="2" bestFit="1" customWidth="1"/>
    <col min="9989" max="10240" width="9.140625" style="2"/>
    <col min="10241" max="10241" width="5" style="2" bestFit="1" customWidth="1"/>
    <col min="10242" max="10242" width="63" style="2" bestFit="1" customWidth="1"/>
    <col min="10243" max="10243" width="1.7109375" style="2" customWidth="1"/>
    <col min="10244" max="10244" width="7.28515625" style="2" bestFit="1" customWidth="1"/>
    <col min="10245" max="10496" width="9.140625" style="2"/>
    <col min="10497" max="10497" width="5" style="2" bestFit="1" customWidth="1"/>
    <col min="10498" max="10498" width="63" style="2" bestFit="1" customWidth="1"/>
    <col min="10499" max="10499" width="1.7109375" style="2" customWidth="1"/>
    <col min="10500" max="10500" width="7.28515625" style="2" bestFit="1" customWidth="1"/>
    <col min="10501" max="10752" width="9.140625" style="2"/>
    <col min="10753" max="10753" width="5" style="2" bestFit="1" customWidth="1"/>
    <col min="10754" max="10754" width="63" style="2" bestFit="1" customWidth="1"/>
    <col min="10755" max="10755" width="1.7109375" style="2" customWidth="1"/>
    <col min="10756" max="10756" width="7.28515625" style="2" bestFit="1" customWidth="1"/>
    <col min="10757" max="11008" width="9.140625" style="2"/>
    <col min="11009" max="11009" width="5" style="2" bestFit="1" customWidth="1"/>
    <col min="11010" max="11010" width="63" style="2" bestFit="1" customWidth="1"/>
    <col min="11011" max="11011" width="1.7109375" style="2" customWidth="1"/>
    <col min="11012" max="11012" width="7.28515625" style="2" bestFit="1" customWidth="1"/>
    <col min="11013" max="11264" width="9.140625" style="2"/>
    <col min="11265" max="11265" width="5" style="2" bestFit="1" customWidth="1"/>
    <col min="11266" max="11266" width="63" style="2" bestFit="1" customWidth="1"/>
    <col min="11267" max="11267" width="1.7109375" style="2" customWidth="1"/>
    <col min="11268" max="11268" width="7.28515625" style="2" bestFit="1" customWidth="1"/>
    <col min="11269" max="11520" width="9.140625" style="2"/>
    <col min="11521" max="11521" width="5" style="2" bestFit="1" customWidth="1"/>
    <col min="11522" max="11522" width="63" style="2" bestFit="1" customWidth="1"/>
    <col min="11523" max="11523" width="1.7109375" style="2" customWidth="1"/>
    <col min="11524" max="11524" width="7.28515625" style="2" bestFit="1" customWidth="1"/>
    <col min="11525" max="11776" width="9.140625" style="2"/>
    <col min="11777" max="11777" width="5" style="2" bestFit="1" customWidth="1"/>
    <col min="11778" max="11778" width="63" style="2" bestFit="1" customWidth="1"/>
    <col min="11779" max="11779" width="1.7109375" style="2" customWidth="1"/>
    <col min="11780" max="11780" width="7.28515625" style="2" bestFit="1" customWidth="1"/>
    <col min="11781" max="12032" width="9.140625" style="2"/>
    <col min="12033" max="12033" width="5" style="2" bestFit="1" customWidth="1"/>
    <col min="12034" max="12034" width="63" style="2" bestFit="1" customWidth="1"/>
    <col min="12035" max="12035" width="1.7109375" style="2" customWidth="1"/>
    <col min="12036" max="12036" width="7.28515625" style="2" bestFit="1" customWidth="1"/>
    <col min="12037" max="12288" width="9.140625" style="2"/>
    <col min="12289" max="12289" width="5" style="2" bestFit="1" customWidth="1"/>
    <col min="12290" max="12290" width="63" style="2" bestFit="1" customWidth="1"/>
    <col min="12291" max="12291" width="1.7109375" style="2" customWidth="1"/>
    <col min="12292" max="12292" width="7.28515625" style="2" bestFit="1" customWidth="1"/>
    <col min="12293" max="12544" width="9.140625" style="2"/>
    <col min="12545" max="12545" width="5" style="2" bestFit="1" customWidth="1"/>
    <col min="12546" max="12546" width="63" style="2" bestFit="1" customWidth="1"/>
    <col min="12547" max="12547" width="1.7109375" style="2" customWidth="1"/>
    <col min="12548" max="12548" width="7.28515625" style="2" bestFit="1" customWidth="1"/>
    <col min="12549" max="12800" width="9.140625" style="2"/>
    <col min="12801" max="12801" width="5" style="2" bestFit="1" customWidth="1"/>
    <col min="12802" max="12802" width="63" style="2" bestFit="1" customWidth="1"/>
    <col min="12803" max="12803" width="1.7109375" style="2" customWidth="1"/>
    <col min="12804" max="12804" width="7.28515625" style="2" bestFit="1" customWidth="1"/>
    <col min="12805" max="13056" width="9.140625" style="2"/>
    <col min="13057" max="13057" width="5" style="2" bestFit="1" customWidth="1"/>
    <col min="13058" max="13058" width="63" style="2" bestFit="1" customWidth="1"/>
    <col min="13059" max="13059" width="1.7109375" style="2" customWidth="1"/>
    <col min="13060" max="13060" width="7.28515625" style="2" bestFit="1" customWidth="1"/>
    <col min="13061" max="13312" width="9.140625" style="2"/>
    <col min="13313" max="13313" width="5" style="2" bestFit="1" customWidth="1"/>
    <col min="13314" max="13314" width="63" style="2" bestFit="1" customWidth="1"/>
    <col min="13315" max="13315" width="1.7109375" style="2" customWidth="1"/>
    <col min="13316" max="13316" width="7.28515625" style="2" bestFit="1" customWidth="1"/>
    <col min="13317" max="13568" width="9.140625" style="2"/>
    <col min="13569" max="13569" width="5" style="2" bestFit="1" customWidth="1"/>
    <col min="13570" max="13570" width="63" style="2" bestFit="1" customWidth="1"/>
    <col min="13571" max="13571" width="1.7109375" style="2" customWidth="1"/>
    <col min="13572" max="13572" width="7.28515625" style="2" bestFit="1" customWidth="1"/>
    <col min="13573" max="13824" width="9.140625" style="2"/>
    <col min="13825" max="13825" width="5" style="2" bestFit="1" customWidth="1"/>
    <col min="13826" max="13826" width="63" style="2" bestFit="1" customWidth="1"/>
    <col min="13827" max="13827" width="1.7109375" style="2" customWidth="1"/>
    <col min="13828" max="13828" width="7.28515625" style="2" bestFit="1" customWidth="1"/>
    <col min="13829" max="14080" width="9.140625" style="2"/>
    <col min="14081" max="14081" width="5" style="2" bestFit="1" customWidth="1"/>
    <col min="14082" max="14082" width="63" style="2" bestFit="1" customWidth="1"/>
    <col min="14083" max="14083" width="1.7109375" style="2" customWidth="1"/>
    <col min="14084" max="14084" width="7.28515625" style="2" bestFit="1" customWidth="1"/>
    <col min="14085" max="14336" width="9.140625" style="2"/>
    <col min="14337" max="14337" width="5" style="2" bestFit="1" customWidth="1"/>
    <col min="14338" max="14338" width="63" style="2" bestFit="1" customWidth="1"/>
    <col min="14339" max="14339" width="1.7109375" style="2" customWidth="1"/>
    <col min="14340" max="14340" width="7.28515625" style="2" bestFit="1" customWidth="1"/>
    <col min="14341" max="14592" width="9.140625" style="2"/>
    <col min="14593" max="14593" width="5" style="2" bestFit="1" customWidth="1"/>
    <col min="14594" max="14594" width="63" style="2" bestFit="1" customWidth="1"/>
    <col min="14595" max="14595" width="1.7109375" style="2" customWidth="1"/>
    <col min="14596" max="14596" width="7.28515625" style="2" bestFit="1" customWidth="1"/>
    <col min="14597" max="14848" width="9.140625" style="2"/>
    <col min="14849" max="14849" width="5" style="2" bestFit="1" customWidth="1"/>
    <col min="14850" max="14850" width="63" style="2" bestFit="1" customWidth="1"/>
    <col min="14851" max="14851" width="1.7109375" style="2" customWidth="1"/>
    <col min="14852" max="14852" width="7.28515625" style="2" bestFit="1" customWidth="1"/>
    <col min="14853" max="15104" width="9.140625" style="2"/>
    <col min="15105" max="15105" width="5" style="2" bestFit="1" customWidth="1"/>
    <col min="15106" max="15106" width="63" style="2" bestFit="1" customWidth="1"/>
    <col min="15107" max="15107" width="1.7109375" style="2" customWidth="1"/>
    <col min="15108" max="15108" width="7.28515625" style="2" bestFit="1" customWidth="1"/>
    <col min="15109" max="15360" width="9.140625" style="2"/>
    <col min="15361" max="15361" width="5" style="2" bestFit="1" customWidth="1"/>
    <col min="15362" max="15362" width="63" style="2" bestFit="1" customWidth="1"/>
    <col min="15363" max="15363" width="1.7109375" style="2" customWidth="1"/>
    <col min="15364" max="15364" width="7.28515625" style="2" bestFit="1" customWidth="1"/>
    <col min="15365" max="15616" width="9.140625" style="2"/>
    <col min="15617" max="15617" width="5" style="2" bestFit="1" customWidth="1"/>
    <col min="15618" max="15618" width="63" style="2" bestFit="1" customWidth="1"/>
    <col min="15619" max="15619" width="1.7109375" style="2" customWidth="1"/>
    <col min="15620" max="15620" width="7.28515625" style="2" bestFit="1" customWidth="1"/>
    <col min="15621" max="15872" width="9.140625" style="2"/>
    <col min="15873" max="15873" width="5" style="2" bestFit="1" customWidth="1"/>
    <col min="15874" max="15874" width="63" style="2" bestFit="1" customWidth="1"/>
    <col min="15875" max="15875" width="1.7109375" style="2" customWidth="1"/>
    <col min="15876" max="15876" width="7.28515625" style="2" bestFit="1" customWidth="1"/>
    <col min="15877" max="16128" width="9.140625" style="2"/>
    <col min="16129" max="16129" width="5" style="2" bestFit="1" customWidth="1"/>
    <col min="16130" max="16130" width="63" style="2" bestFit="1" customWidth="1"/>
    <col min="16131" max="16131" width="1.7109375" style="2" customWidth="1"/>
    <col min="16132" max="16132" width="7.28515625" style="2" bestFit="1" customWidth="1"/>
    <col min="16133" max="16384" width="9.140625" style="2"/>
  </cols>
  <sheetData>
    <row r="1" spans="1:5" x14ac:dyDescent="0.2">
      <c r="A1" s="131"/>
      <c r="B1" s="131"/>
      <c r="C1" s="131"/>
      <c r="D1" s="131"/>
      <c r="E1" s="132"/>
    </row>
    <row r="2" spans="1:5" ht="12.75" x14ac:dyDescent="0.2">
      <c r="A2" s="133" t="s">
        <v>44</v>
      </c>
      <c r="B2" s="134"/>
      <c r="C2" s="134"/>
      <c r="D2" s="134"/>
      <c r="E2" s="134"/>
    </row>
    <row r="3" spans="1:5" ht="12.75" x14ac:dyDescent="0.2">
      <c r="A3" s="135" t="s">
        <v>135</v>
      </c>
      <c r="B3" s="136"/>
      <c r="C3" s="136"/>
      <c r="D3" s="136"/>
      <c r="E3" s="136"/>
    </row>
    <row r="4" spans="1:5" ht="12.75" x14ac:dyDescent="0.2">
      <c r="A4" s="135" t="s">
        <v>162</v>
      </c>
      <c r="B4" s="137"/>
      <c r="C4" s="3"/>
      <c r="D4" s="137"/>
      <c r="E4" s="138"/>
    </row>
    <row r="5" spans="1:5" ht="12.75" x14ac:dyDescent="0.2">
      <c r="A5" s="135" t="s">
        <v>163</v>
      </c>
      <c r="B5" s="134"/>
      <c r="C5" s="134"/>
      <c r="D5" s="134"/>
      <c r="E5" s="134"/>
    </row>
    <row r="6" spans="1:5" x14ac:dyDescent="0.2">
      <c r="A6" s="139"/>
      <c r="B6" s="134"/>
      <c r="C6" s="134"/>
      <c r="D6" s="134"/>
      <c r="E6" s="134"/>
    </row>
    <row r="7" spans="1:5" x14ac:dyDescent="0.2">
      <c r="A7" s="140" t="s">
        <v>45</v>
      </c>
      <c r="B7" s="131"/>
      <c r="C7" s="131"/>
      <c r="D7" s="131"/>
      <c r="E7" s="131"/>
    </row>
    <row r="8" spans="1:5" x14ac:dyDescent="0.2">
      <c r="A8" s="141" t="s">
        <v>46</v>
      </c>
      <c r="B8" s="142" t="s">
        <v>47</v>
      </c>
      <c r="C8" s="143"/>
      <c r="D8" s="143"/>
      <c r="E8" s="144" t="s">
        <v>48</v>
      </c>
    </row>
    <row r="9" spans="1:5" x14ac:dyDescent="0.2">
      <c r="A9" s="145"/>
      <c r="B9" s="145"/>
      <c r="C9" s="145"/>
      <c r="D9" s="145"/>
      <c r="E9" s="146"/>
    </row>
    <row r="10" spans="1:5" x14ac:dyDescent="0.2">
      <c r="A10" s="147">
        <v>1</v>
      </c>
      <c r="B10" s="148" t="s">
        <v>134</v>
      </c>
      <c r="C10" s="145"/>
      <c r="D10" s="149"/>
      <c r="E10" s="150">
        <v>8.4790000000000004E-3</v>
      </c>
    </row>
    <row r="11" spans="1:5" x14ac:dyDescent="0.2">
      <c r="A11" s="147">
        <v>2</v>
      </c>
      <c r="B11" s="148" t="s">
        <v>65</v>
      </c>
      <c r="C11" s="145"/>
      <c r="D11" s="149"/>
      <c r="E11" s="150">
        <v>2E-3</v>
      </c>
    </row>
    <row r="12" spans="1:5" x14ac:dyDescent="0.2">
      <c r="A12" s="147">
        <v>3</v>
      </c>
      <c r="B12" s="148" t="s">
        <v>164</v>
      </c>
      <c r="C12" s="151"/>
      <c r="D12" s="152">
        <v>3.8733999999999998E-2</v>
      </c>
      <c r="E12" s="153">
        <v>3.8406000000000003E-2</v>
      </c>
    </row>
    <row r="13" spans="1:5" x14ac:dyDescent="0.2">
      <c r="A13" s="147">
        <v>4</v>
      </c>
      <c r="B13" s="148"/>
      <c r="C13" s="145"/>
      <c r="D13" s="145"/>
      <c r="E13" s="154"/>
    </row>
    <row r="14" spans="1:5" x14ac:dyDescent="0.2">
      <c r="A14" s="147">
        <v>5</v>
      </c>
      <c r="B14" s="148" t="s">
        <v>49</v>
      </c>
      <c r="C14" s="145"/>
      <c r="D14" s="145"/>
      <c r="E14" s="155">
        <f>ROUND(SUM(E10:E12),6)</f>
        <v>4.8884999999999998E-2</v>
      </c>
    </row>
    <row r="15" spans="1:5" x14ac:dyDescent="0.2">
      <c r="A15" s="147">
        <v>6</v>
      </c>
      <c r="B15" s="145"/>
      <c r="C15" s="145"/>
      <c r="D15" s="145"/>
      <c r="E15" s="155"/>
    </row>
    <row r="16" spans="1:5" x14ac:dyDescent="0.2">
      <c r="A16" s="147">
        <v>7</v>
      </c>
      <c r="B16" s="145" t="s">
        <v>165</v>
      </c>
      <c r="C16" s="145"/>
      <c r="D16" s="145"/>
      <c r="E16" s="156">
        <f>ROUND(1-E14,6)</f>
        <v>0.95111500000000004</v>
      </c>
    </row>
    <row r="17" spans="1:5" ht="12" thickBot="1" x14ac:dyDescent="0.25">
      <c r="A17" s="147">
        <v>8</v>
      </c>
      <c r="B17" s="148" t="s">
        <v>166</v>
      </c>
      <c r="C17" s="145"/>
      <c r="D17" s="157">
        <v>0.21</v>
      </c>
      <c r="E17" s="158">
        <f>ROUND((E16)*D17,6)</f>
        <v>0.19973399999999999</v>
      </c>
    </row>
    <row r="18" spans="1:5" ht="12.75" thickTop="1" thickBot="1" x14ac:dyDescent="0.25">
      <c r="A18" s="147">
        <v>9</v>
      </c>
      <c r="B18" s="148" t="s">
        <v>167</v>
      </c>
      <c r="C18" s="145"/>
      <c r="D18" s="145"/>
      <c r="E18" s="158">
        <f>E16-E17</f>
        <v>0.75138100000000008</v>
      </c>
    </row>
    <row r="19" spans="1:5" ht="12" thickTop="1" x14ac:dyDescent="0.2"/>
  </sheetData>
  <phoneticPr fontId="0" type="noConversion"/>
  <printOptions horizontalCentered="1"/>
  <pageMargins left="0.75" right="0.75" top="1" bottom="1" header="0.5" footer="0.5"/>
  <pageSetup orientation="landscape" cellComments="asDisplayed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zoomScaleNormal="100" workbookViewId="0">
      <pane xSplit="4" ySplit="6" topLeftCell="N7" activePane="bottomRight" state="frozen"/>
      <selection pane="topRight" activeCell="E1" sqref="E1"/>
      <selection pane="bottomLeft" activeCell="A7" sqref="A7"/>
      <selection pane="bottomRight" activeCell="Y6" sqref="Y6"/>
    </sheetView>
  </sheetViews>
  <sheetFormatPr defaultColWidth="4.7109375" defaultRowHeight="11.25" x14ac:dyDescent="0.2"/>
  <cols>
    <col min="1" max="1" width="4.42578125" style="1" bestFit="1" customWidth="1"/>
    <col min="2" max="2" width="17.42578125" style="1" bestFit="1" customWidth="1"/>
    <col min="3" max="3" width="13.28515625" style="1" bestFit="1" customWidth="1"/>
    <col min="4" max="4" width="12.85546875" style="1" bestFit="1" customWidth="1"/>
    <col min="5" max="5" width="11.28515625" style="1" bestFit="1" customWidth="1"/>
    <col min="6" max="6" width="11.5703125" style="1" bestFit="1" customWidth="1"/>
    <col min="7" max="7" width="11.85546875" style="1" customWidth="1"/>
    <col min="8" max="8" width="13.28515625" style="1" customWidth="1"/>
    <col min="9" max="9" width="10.7109375" style="1" bestFit="1" customWidth="1"/>
    <col min="10" max="10" width="10.42578125" style="1" bestFit="1" customWidth="1"/>
    <col min="11" max="11" width="10.7109375" style="1" bestFit="1" customWidth="1"/>
    <col min="12" max="12" width="11.28515625" style="1" bestFit="1" customWidth="1"/>
    <col min="13" max="13" width="12.28515625" style="1" bestFit="1" customWidth="1"/>
    <col min="14" max="14" width="12.5703125" style="1" customWidth="1"/>
    <col min="15" max="15" width="10.7109375" style="1" bestFit="1" customWidth="1"/>
    <col min="16" max="16" width="13.7109375" style="1" bestFit="1" customWidth="1"/>
    <col min="17" max="17" width="13.7109375" style="1" customWidth="1"/>
    <col min="18" max="18" width="11.28515625" style="1" bestFit="1" customWidth="1"/>
    <col min="19" max="19" width="12.85546875" style="1" bestFit="1" customWidth="1"/>
    <col min="20" max="20" width="1.140625" style="49" customWidth="1"/>
    <col min="21" max="23" width="11.28515625" style="1" bestFit="1" customWidth="1"/>
    <col min="24" max="24" width="13.28515625" style="1" customWidth="1"/>
    <col min="25" max="25" width="11.28515625" style="1" customWidth="1"/>
    <col min="26" max="26" width="9.42578125" style="1" customWidth="1"/>
    <col min="27" max="27" width="7" style="1" bestFit="1" customWidth="1"/>
    <col min="28" max="16384" width="4.7109375" style="1"/>
  </cols>
  <sheetData>
    <row r="1" spans="1:27" s="4" customFormat="1" x14ac:dyDescent="0.2">
      <c r="A1" s="330" t="str">
        <f>'Sch 194 Summary'!A1:D1</f>
        <v>Puget Sound Energy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</row>
    <row r="2" spans="1:27" s="4" customFormat="1" x14ac:dyDescent="0.2">
      <c r="A2" s="331" t="s">
        <v>136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</row>
    <row r="3" spans="1:27" s="4" customFormat="1" x14ac:dyDescent="0.2">
      <c r="A3" s="330" t="str">
        <f>'Sch 194 Summary'!A2:D2</f>
        <v>Proposed Schedule 194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</row>
    <row r="4" spans="1:27" s="4" customFormat="1" ht="12" thickBot="1" x14ac:dyDescent="0.25">
      <c r="A4" s="330" t="str">
        <f>'Sch 194 Summary'!A3:D3</f>
        <v>BPA Residential and Farm Energy Exchange Benefits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</row>
    <row r="5" spans="1:27" ht="12" thickBo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8"/>
      <c r="U5" s="225" t="s">
        <v>120</v>
      </c>
      <c r="V5" s="226" t="s">
        <v>121</v>
      </c>
      <c r="W5" s="9"/>
      <c r="X5" s="9"/>
      <c r="Y5" s="9"/>
      <c r="Z5" s="9"/>
      <c r="AA5" s="9"/>
    </row>
    <row r="6" spans="1:27" s="12" customFormat="1" ht="57" thickBot="1" x14ac:dyDescent="0.25">
      <c r="A6" s="10" t="s">
        <v>3</v>
      </c>
      <c r="B6" s="10" t="s">
        <v>122</v>
      </c>
      <c r="C6" s="41" t="s">
        <v>328</v>
      </c>
      <c r="D6" s="41" t="s">
        <v>329</v>
      </c>
      <c r="E6" s="41" t="s">
        <v>330</v>
      </c>
      <c r="F6" s="41" t="s">
        <v>331</v>
      </c>
      <c r="G6" s="41" t="s">
        <v>332</v>
      </c>
      <c r="H6" s="41" t="s">
        <v>333</v>
      </c>
      <c r="I6" s="41" t="s">
        <v>334</v>
      </c>
      <c r="J6" s="41" t="s">
        <v>335</v>
      </c>
      <c r="K6" s="41" t="s">
        <v>336</v>
      </c>
      <c r="L6" s="41" t="s">
        <v>337</v>
      </c>
      <c r="M6" s="41" t="s">
        <v>338</v>
      </c>
      <c r="N6" s="41" t="s">
        <v>339</v>
      </c>
      <c r="O6" s="41" t="s">
        <v>340</v>
      </c>
      <c r="P6" s="41" t="s">
        <v>341</v>
      </c>
      <c r="Q6" s="41" t="s">
        <v>342</v>
      </c>
      <c r="R6" s="41" t="s">
        <v>343</v>
      </c>
      <c r="S6" s="41" t="s">
        <v>344</v>
      </c>
      <c r="T6" s="11"/>
      <c r="U6" s="58" t="str">
        <f>+Q6</f>
        <v>Schedule 194
BPA Res &amp; Farm Credit</v>
      </c>
      <c r="V6" s="59" t="str">
        <f>+U6</f>
        <v>Schedule 194
BPA Res &amp; Farm Credit</v>
      </c>
      <c r="W6" s="124" t="s">
        <v>123</v>
      </c>
      <c r="X6" s="124" t="s">
        <v>327</v>
      </c>
      <c r="Y6" s="124" t="s">
        <v>160</v>
      </c>
      <c r="Z6" s="125" t="s">
        <v>161</v>
      </c>
      <c r="AA6" s="125" t="s">
        <v>124</v>
      </c>
    </row>
    <row r="7" spans="1:27" x14ac:dyDescent="0.2">
      <c r="A7" s="39">
        <v>1</v>
      </c>
      <c r="B7" s="39">
        <v>7</v>
      </c>
      <c r="C7" s="48">
        <v>10880408000</v>
      </c>
      <c r="D7" s="48">
        <v>1200947000</v>
      </c>
      <c r="E7" s="48">
        <v>23226000</v>
      </c>
      <c r="F7" s="48">
        <v>36060000</v>
      </c>
      <c r="G7" s="48">
        <v>-15668000</v>
      </c>
      <c r="H7" s="48">
        <v>41618000</v>
      </c>
      <c r="I7" s="48">
        <v>14710000</v>
      </c>
      <c r="J7" s="48">
        <v>-468000</v>
      </c>
      <c r="K7" s="48">
        <v>33425000</v>
      </c>
      <c r="L7" s="48">
        <v>-32815000</v>
      </c>
      <c r="M7" s="48">
        <v>0</v>
      </c>
      <c r="N7" s="48">
        <v>-9618000</v>
      </c>
      <c r="O7" s="48">
        <v>-4537000</v>
      </c>
      <c r="P7" s="48">
        <v>3416000</v>
      </c>
      <c r="Q7" s="48">
        <v>-80364000</v>
      </c>
      <c r="R7" s="42">
        <f>SUM(E7:Q7)</f>
        <v>8985000</v>
      </c>
      <c r="S7" s="42">
        <f>SUM(R7,D7)</f>
        <v>1209932000</v>
      </c>
      <c r="T7" s="46"/>
      <c r="U7" s="50">
        <f>-Q7</f>
        <v>80364000</v>
      </c>
      <c r="V7" s="60">
        <f>'Sch 194'!H7</f>
        <v>-72781000</v>
      </c>
      <c r="W7" s="42">
        <f>SUM(U7:V7)</f>
        <v>7583000</v>
      </c>
      <c r="X7" s="42">
        <f>S7+W7</f>
        <v>1217515000</v>
      </c>
      <c r="Y7" s="126">
        <f>S7/C7</f>
        <v>0.11120281518854808</v>
      </c>
      <c r="Z7" s="126">
        <f>X7/C7</f>
        <v>0.11189975596503367</v>
      </c>
      <c r="AA7" s="13">
        <f>+W7/S7</f>
        <v>6.2672943603442176E-3</v>
      </c>
    </row>
    <row r="8" spans="1:27" x14ac:dyDescent="0.2">
      <c r="A8" s="39">
        <f>+A7+1</f>
        <v>2</v>
      </c>
      <c r="B8" s="39" t="s">
        <v>125</v>
      </c>
      <c r="C8" s="43">
        <f t="shared" ref="C8:S8" si="0">SUM(C7:C7)</f>
        <v>10880408000</v>
      </c>
      <c r="D8" s="44">
        <f t="shared" ref="D8" si="1">SUM(D7:D7)</f>
        <v>1200947000</v>
      </c>
      <c r="E8" s="44">
        <f t="shared" si="0"/>
        <v>23226000</v>
      </c>
      <c r="F8" s="44">
        <f t="shared" si="0"/>
        <v>36060000</v>
      </c>
      <c r="G8" s="44">
        <f t="shared" si="0"/>
        <v>-15668000</v>
      </c>
      <c r="H8" s="44">
        <f t="shared" si="0"/>
        <v>41618000</v>
      </c>
      <c r="I8" s="44">
        <f t="shared" si="0"/>
        <v>14710000</v>
      </c>
      <c r="J8" s="44">
        <f t="shared" ref="J8" si="2">SUM(J7:J7)</f>
        <v>-468000</v>
      </c>
      <c r="K8" s="44">
        <f t="shared" si="0"/>
        <v>33425000</v>
      </c>
      <c r="L8" s="44">
        <f t="shared" si="0"/>
        <v>-32815000</v>
      </c>
      <c r="M8" s="44">
        <f t="shared" si="0"/>
        <v>0</v>
      </c>
      <c r="N8" s="44">
        <f>SUM(N7:N7)</f>
        <v>-9618000</v>
      </c>
      <c r="O8" s="44">
        <f t="shared" si="0"/>
        <v>-4537000</v>
      </c>
      <c r="P8" s="44">
        <f t="shared" si="0"/>
        <v>3416000</v>
      </c>
      <c r="Q8" s="44">
        <f t="shared" si="0"/>
        <v>-80364000</v>
      </c>
      <c r="R8" s="44">
        <f t="shared" si="0"/>
        <v>8985000</v>
      </c>
      <c r="S8" s="44">
        <f t="shared" si="0"/>
        <v>1209932000</v>
      </c>
      <c r="T8" s="46"/>
      <c r="U8" s="52">
        <f t="shared" ref="U8:V8" si="3">SUM(U7:U7)</f>
        <v>80364000</v>
      </c>
      <c r="V8" s="53">
        <f t="shared" si="3"/>
        <v>-72781000</v>
      </c>
      <c r="W8" s="44">
        <f>SUM(W7)</f>
        <v>7583000</v>
      </c>
      <c r="X8" s="44">
        <f t="shared" ref="X8" si="4">SUM(X7:X7)</f>
        <v>1217515000</v>
      </c>
      <c r="Y8" s="127">
        <f>S8/C8</f>
        <v>0.11120281518854808</v>
      </c>
      <c r="Z8" s="127">
        <f>X8/C8</f>
        <v>0.11189975596503367</v>
      </c>
      <c r="AA8" s="13">
        <f>+W8/S8</f>
        <v>6.2672943603442176E-3</v>
      </c>
    </row>
    <row r="9" spans="1:27" x14ac:dyDescent="0.2">
      <c r="A9" s="39">
        <f t="shared" ref="A9:A38" si="5">+A8+1</f>
        <v>3</v>
      </c>
      <c r="B9" s="39"/>
      <c r="C9" s="18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6"/>
      <c r="U9" s="50"/>
      <c r="V9" s="51"/>
      <c r="W9" s="42"/>
      <c r="X9" s="42"/>
      <c r="Y9" s="126"/>
      <c r="Z9" s="126"/>
      <c r="AA9" s="13"/>
    </row>
    <row r="10" spans="1:27" x14ac:dyDescent="0.2">
      <c r="A10" s="39">
        <f t="shared" si="5"/>
        <v>4</v>
      </c>
      <c r="B10" s="40">
        <v>8</v>
      </c>
      <c r="C10" s="48">
        <v>235165000</v>
      </c>
      <c r="D10" s="48">
        <v>24320000</v>
      </c>
      <c r="E10" s="48">
        <v>507000</v>
      </c>
      <c r="F10" s="48">
        <v>811000</v>
      </c>
      <c r="G10" s="48">
        <v>-341000</v>
      </c>
      <c r="H10" s="48">
        <v>905000</v>
      </c>
      <c r="I10" s="48">
        <v>314000</v>
      </c>
      <c r="J10" s="48">
        <v>-10000</v>
      </c>
      <c r="K10" s="48">
        <v>621000</v>
      </c>
      <c r="L10" s="48">
        <v>-572000</v>
      </c>
      <c r="M10" s="48">
        <v>0</v>
      </c>
      <c r="N10" s="48">
        <v>-168000</v>
      </c>
      <c r="O10" s="48">
        <v>771000</v>
      </c>
      <c r="P10" s="48">
        <v>282000</v>
      </c>
      <c r="Q10" s="48">
        <v>-1737000</v>
      </c>
      <c r="R10" s="42">
        <f t="shared" ref="R10:R17" si="6">SUM(E10:Q10)</f>
        <v>1383000</v>
      </c>
      <c r="S10" s="42">
        <f t="shared" ref="S10:S17" si="7">SUM(R10,D10)</f>
        <v>25703000</v>
      </c>
      <c r="T10" s="46"/>
      <c r="U10" s="50">
        <f t="shared" ref="U10:U17" si="8">-Q10</f>
        <v>1737000</v>
      </c>
      <c r="V10" s="60">
        <f>'Sch 194'!H11</f>
        <v>-1573000</v>
      </c>
      <c r="W10" s="42">
        <f t="shared" ref="W10:W17" si="9">SUM(U10:V10)</f>
        <v>164000</v>
      </c>
      <c r="X10" s="42">
        <f t="shared" ref="X10:X17" si="10">S10+W10</f>
        <v>25867000</v>
      </c>
      <c r="Y10" s="126">
        <f t="shared" ref="Y10:Y18" si="11">S10/C10</f>
        <v>0.10929772712776135</v>
      </c>
      <c r="Z10" s="126">
        <f t="shared" ref="Z10:Z18" si="12">X10/C10</f>
        <v>0.10999510981651181</v>
      </c>
      <c r="AA10" s="13">
        <f t="shared" ref="AA10:AA18" si="13">+W10/S10</f>
        <v>6.3805781426292648E-3</v>
      </c>
    </row>
    <row r="11" spans="1:27" x14ac:dyDescent="0.2">
      <c r="A11" s="39">
        <f t="shared" si="5"/>
        <v>5</v>
      </c>
      <c r="B11" s="40">
        <v>24</v>
      </c>
      <c r="C11" s="48">
        <v>2376977000</v>
      </c>
      <c r="D11" s="48">
        <v>245822000</v>
      </c>
      <c r="E11" s="48">
        <v>5122000</v>
      </c>
      <c r="F11" s="48">
        <v>8197000</v>
      </c>
      <c r="G11" s="48">
        <v>-3449000</v>
      </c>
      <c r="H11" s="48">
        <v>9151000</v>
      </c>
      <c r="I11" s="48">
        <v>3171000</v>
      </c>
      <c r="J11" s="48">
        <v>-105000</v>
      </c>
      <c r="K11" s="48">
        <v>6273000</v>
      </c>
      <c r="L11" s="48">
        <v>-5783000</v>
      </c>
      <c r="M11" s="48">
        <v>0</v>
      </c>
      <c r="N11" s="48">
        <v>-1695000</v>
      </c>
      <c r="O11" s="48">
        <v>7796000</v>
      </c>
      <c r="P11" s="48">
        <v>2855000</v>
      </c>
      <c r="Q11" s="48">
        <v>0</v>
      </c>
      <c r="R11" s="42">
        <f t="shared" si="6"/>
        <v>31533000</v>
      </c>
      <c r="S11" s="42">
        <f t="shared" si="7"/>
        <v>277355000</v>
      </c>
      <c r="T11" s="46"/>
      <c r="U11" s="50">
        <f t="shared" si="8"/>
        <v>0</v>
      </c>
      <c r="V11" s="60">
        <f>'Sch 194'!H12</f>
        <v>0</v>
      </c>
      <c r="W11" s="42">
        <f t="shared" si="9"/>
        <v>0</v>
      </c>
      <c r="X11" s="42">
        <f t="shared" si="10"/>
        <v>277355000</v>
      </c>
      <c r="Y11" s="126">
        <f t="shared" si="11"/>
        <v>0.11668392247800463</v>
      </c>
      <c r="Z11" s="126">
        <f t="shared" si="12"/>
        <v>0.11668392247800463</v>
      </c>
      <c r="AA11" s="13">
        <f t="shared" si="13"/>
        <v>0</v>
      </c>
    </row>
    <row r="12" spans="1:27" x14ac:dyDescent="0.2">
      <c r="A12" s="39">
        <f t="shared" si="5"/>
        <v>6</v>
      </c>
      <c r="B12" s="40">
        <v>11</v>
      </c>
      <c r="C12" s="48">
        <v>132675000</v>
      </c>
      <c r="D12" s="48">
        <v>12497000</v>
      </c>
      <c r="E12" s="48">
        <v>295000</v>
      </c>
      <c r="F12" s="48">
        <v>450000</v>
      </c>
      <c r="G12" s="48">
        <v>-199000</v>
      </c>
      <c r="H12" s="48">
        <v>542000</v>
      </c>
      <c r="I12" s="48">
        <v>160000</v>
      </c>
      <c r="J12" s="48">
        <v>-6000</v>
      </c>
      <c r="K12" s="48">
        <v>322000</v>
      </c>
      <c r="L12" s="48">
        <v>-303000</v>
      </c>
      <c r="M12" s="48">
        <v>0</v>
      </c>
      <c r="N12" s="48">
        <v>-89000</v>
      </c>
      <c r="O12" s="48">
        <v>392000</v>
      </c>
      <c r="P12" s="48">
        <v>-8000</v>
      </c>
      <c r="Q12" s="48">
        <v>-980000</v>
      </c>
      <c r="R12" s="42">
        <f t="shared" si="6"/>
        <v>576000</v>
      </c>
      <c r="S12" s="42">
        <f t="shared" si="7"/>
        <v>13073000</v>
      </c>
      <c r="T12" s="46"/>
      <c r="U12" s="50">
        <f t="shared" si="8"/>
        <v>980000</v>
      </c>
      <c r="V12" s="60">
        <f>'Sch 194'!H13</f>
        <v>-887000</v>
      </c>
      <c r="W12" s="42">
        <f t="shared" si="9"/>
        <v>93000</v>
      </c>
      <c r="X12" s="42">
        <f t="shared" si="10"/>
        <v>13166000</v>
      </c>
      <c r="Y12" s="126">
        <f t="shared" si="11"/>
        <v>9.8534011682683248E-2</v>
      </c>
      <c r="Z12" s="126">
        <f t="shared" si="12"/>
        <v>9.9234972677595623E-2</v>
      </c>
      <c r="AA12" s="13">
        <f t="shared" si="13"/>
        <v>7.1138988755450163E-3</v>
      </c>
    </row>
    <row r="13" spans="1:27" x14ac:dyDescent="0.2">
      <c r="A13" s="39">
        <f t="shared" si="5"/>
        <v>7</v>
      </c>
      <c r="B13" s="40" t="s">
        <v>126</v>
      </c>
      <c r="C13" s="48">
        <v>2497000</v>
      </c>
      <c r="D13" s="48">
        <v>235000</v>
      </c>
      <c r="E13" s="48">
        <v>6000</v>
      </c>
      <c r="F13" s="48">
        <v>8000</v>
      </c>
      <c r="G13" s="48">
        <v>-4000</v>
      </c>
      <c r="H13" s="48">
        <v>10000</v>
      </c>
      <c r="I13" s="48">
        <v>3000</v>
      </c>
      <c r="J13" s="48">
        <v>0</v>
      </c>
      <c r="K13" s="48">
        <v>6000</v>
      </c>
      <c r="L13" s="48">
        <v>-6000</v>
      </c>
      <c r="M13" s="48">
        <v>0</v>
      </c>
      <c r="N13" s="48">
        <v>-2000</v>
      </c>
      <c r="O13" s="48">
        <v>7000</v>
      </c>
      <c r="P13" s="48">
        <v>0</v>
      </c>
      <c r="Q13" s="48">
        <v>-18000</v>
      </c>
      <c r="R13" s="42">
        <f t="shared" si="6"/>
        <v>10000</v>
      </c>
      <c r="S13" s="42">
        <f t="shared" si="7"/>
        <v>245000</v>
      </c>
      <c r="T13" s="46"/>
      <c r="U13" s="50">
        <f t="shared" si="8"/>
        <v>18000</v>
      </c>
      <c r="V13" s="60">
        <f>'Sch 194'!H8</f>
        <v>-17000</v>
      </c>
      <c r="W13" s="42">
        <f t="shared" si="9"/>
        <v>1000</v>
      </c>
      <c r="X13" s="42">
        <f t="shared" si="10"/>
        <v>246000</v>
      </c>
      <c r="Y13" s="126">
        <f t="shared" si="11"/>
        <v>9.8117741289547464E-2</v>
      </c>
      <c r="Z13" s="126">
        <f t="shared" si="12"/>
        <v>9.8518221866239486E-2</v>
      </c>
      <c r="AA13" s="13">
        <f t="shared" si="13"/>
        <v>4.0816326530612249E-3</v>
      </c>
    </row>
    <row r="14" spans="1:27" x14ac:dyDescent="0.2">
      <c r="A14" s="39">
        <f t="shared" si="5"/>
        <v>8</v>
      </c>
      <c r="B14" s="40">
        <v>25</v>
      </c>
      <c r="C14" s="48">
        <v>2684991000</v>
      </c>
      <c r="D14" s="48">
        <v>252912000</v>
      </c>
      <c r="E14" s="48">
        <v>5970000</v>
      </c>
      <c r="F14" s="48">
        <v>9107000</v>
      </c>
      <c r="G14" s="48">
        <v>-4022000</v>
      </c>
      <c r="H14" s="48">
        <v>10976000</v>
      </c>
      <c r="I14" s="48">
        <v>3238000</v>
      </c>
      <c r="J14" s="48">
        <v>-121000</v>
      </c>
      <c r="K14" s="48">
        <v>6522000</v>
      </c>
      <c r="L14" s="48">
        <v>-6127000</v>
      </c>
      <c r="M14" s="48">
        <v>0</v>
      </c>
      <c r="N14" s="48">
        <v>-1796000</v>
      </c>
      <c r="O14" s="48">
        <v>7937000</v>
      </c>
      <c r="P14" s="48">
        <v>-164000</v>
      </c>
      <c r="Q14" s="48">
        <v>0</v>
      </c>
      <c r="R14" s="42">
        <f t="shared" si="6"/>
        <v>31520000</v>
      </c>
      <c r="S14" s="42">
        <f t="shared" si="7"/>
        <v>284432000</v>
      </c>
      <c r="T14" s="46"/>
      <c r="U14" s="50">
        <f t="shared" si="8"/>
        <v>0</v>
      </c>
      <c r="V14" s="60">
        <f>'Sch 194'!H14</f>
        <v>0</v>
      </c>
      <c r="W14" s="42">
        <f t="shared" si="9"/>
        <v>0</v>
      </c>
      <c r="X14" s="42">
        <f t="shared" si="10"/>
        <v>284432000</v>
      </c>
      <c r="Y14" s="126">
        <f t="shared" si="11"/>
        <v>0.10593406085904944</v>
      </c>
      <c r="Z14" s="126">
        <f t="shared" si="12"/>
        <v>0.10593406085904944</v>
      </c>
      <c r="AA14" s="13">
        <f t="shared" si="13"/>
        <v>0</v>
      </c>
    </row>
    <row r="15" spans="1:27" x14ac:dyDescent="0.2">
      <c r="A15" s="39">
        <f t="shared" si="5"/>
        <v>9</v>
      </c>
      <c r="B15" s="40">
        <v>12</v>
      </c>
      <c r="C15" s="48">
        <v>16899000</v>
      </c>
      <c r="D15" s="48">
        <v>1459000</v>
      </c>
      <c r="E15" s="48">
        <v>39000</v>
      </c>
      <c r="F15" s="48">
        <v>56000</v>
      </c>
      <c r="G15" s="48">
        <v>-27000</v>
      </c>
      <c r="H15" s="48">
        <v>71000</v>
      </c>
      <c r="I15" s="48">
        <v>19000</v>
      </c>
      <c r="J15" s="48">
        <v>-1000</v>
      </c>
      <c r="K15" s="48">
        <v>39000</v>
      </c>
      <c r="L15" s="48">
        <v>-33000</v>
      </c>
      <c r="M15" s="48">
        <v>0</v>
      </c>
      <c r="N15" s="48">
        <v>-10000</v>
      </c>
      <c r="O15" s="48">
        <v>47000</v>
      </c>
      <c r="P15" s="48">
        <v>5000</v>
      </c>
      <c r="Q15" s="48">
        <v>-125000</v>
      </c>
      <c r="R15" s="42">
        <f t="shared" si="6"/>
        <v>80000</v>
      </c>
      <c r="S15" s="42">
        <f t="shared" si="7"/>
        <v>1539000</v>
      </c>
      <c r="T15" s="46"/>
      <c r="U15" s="50">
        <f t="shared" si="8"/>
        <v>125000</v>
      </c>
      <c r="V15" s="60">
        <f>'Sch 194'!H15</f>
        <v>-113000</v>
      </c>
      <c r="W15" s="42">
        <f t="shared" si="9"/>
        <v>12000</v>
      </c>
      <c r="X15" s="42">
        <f t="shared" si="10"/>
        <v>1551000</v>
      </c>
      <c r="Y15" s="126">
        <f t="shared" si="11"/>
        <v>9.107047754304988E-2</v>
      </c>
      <c r="Z15" s="126">
        <f t="shared" si="12"/>
        <v>9.1780578732469378E-2</v>
      </c>
      <c r="AA15" s="13">
        <f t="shared" si="13"/>
        <v>7.7972709551656916E-3</v>
      </c>
    </row>
    <row r="16" spans="1:27" x14ac:dyDescent="0.2">
      <c r="A16" s="39">
        <f t="shared" si="5"/>
        <v>10</v>
      </c>
      <c r="B16" s="40">
        <v>26</v>
      </c>
      <c r="C16" s="48">
        <v>1763806000</v>
      </c>
      <c r="D16" s="48">
        <v>152243000</v>
      </c>
      <c r="E16" s="48">
        <v>4104000</v>
      </c>
      <c r="F16" s="48">
        <v>5800000</v>
      </c>
      <c r="G16" s="48">
        <v>-2767000</v>
      </c>
      <c r="H16" s="48">
        <v>7408000</v>
      </c>
      <c r="I16" s="48">
        <v>1972000</v>
      </c>
      <c r="J16" s="48">
        <v>-83000</v>
      </c>
      <c r="K16" s="48">
        <v>4069000</v>
      </c>
      <c r="L16" s="48">
        <v>-3473000</v>
      </c>
      <c r="M16" s="48">
        <v>0</v>
      </c>
      <c r="N16" s="48">
        <v>-1018000</v>
      </c>
      <c r="O16" s="48">
        <v>4839000</v>
      </c>
      <c r="P16" s="48">
        <v>534000</v>
      </c>
      <c r="Q16" s="48">
        <v>0</v>
      </c>
      <c r="R16" s="42">
        <f t="shared" si="6"/>
        <v>21385000</v>
      </c>
      <c r="S16" s="42">
        <f t="shared" si="7"/>
        <v>173628000</v>
      </c>
      <c r="T16" s="46"/>
      <c r="U16" s="50">
        <f t="shared" si="8"/>
        <v>0</v>
      </c>
      <c r="V16" s="60">
        <f>'Sch 194'!H16</f>
        <v>0</v>
      </c>
      <c r="W16" s="42">
        <f t="shared" si="9"/>
        <v>0</v>
      </c>
      <c r="X16" s="42">
        <f t="shared" si="10"/>
        <v>173628000</v>
      </c>
      <c r="Y16" s="126">
        <f t="shared" si="11"/>
        <v>9.8439397530113854E-2</v>
      </c>
      <c r="Z16" s="126">
        <f t="shared" si="12"/>
        <v>9.8439397530113854E-2</v>
      </c>
      <c r="AA16" s="13">
        <f t="shared" si="13"/>
        <v>0</v>
      </c>
    </row>
    <row r="17" spans="1:27" x14ac:dyDescent="0.2">
      <c r="A17" s="39">
        <f t="shared" si="5"/>
        <v>11</v>
      </c>
      <c r="B17" s="39">
        <v>29</v>
      </c>
      <c r="C17" s="48">
        <v>14316000</v>
      </c>
      <c r="D17" s="48">
        <v>1172000</v>
      </c>
      <c r="E17" s="48">
        <v>27000</v>
      </c>
      <c r="F17" s="48">
        <v>52000</v>
      </c>
      <c r="G17" s="48">
        <v>-18000</v>
      </c>
      <c r="H17" s="48">
        <v>49000</v>
      </c>
      <c r="I17" s="48">
        <v>15000</v>
      </c>
      <c r="J17" s="48">
        <v>-1000</v>
      </c>
      <c r="K17" s="48">
        <v>35000</v>
      </c>
      <c r="L17" s="48">
        <v>-33000</v>
      </c>
      <c r="M17" s="48">
        <v>0</v>
      </c>
      <c r="N17" s="48">
        <v>-10000</v>
      </c>
      <c r="O17" s="48">
        <v>42000</v>
      </c>
      <c r="P17" s="48">
        <v>-1000</v>
      </c>
      <c r="Q17" s="48">
        <v>-106000</v>
      </c>
      <c r="R17" s="42">
        <f t="shared" si="6"/>
        <v>51000</v>
      </c>
      <c r="S17" s="42">
        <f t="shared" si="7"/>
        <v>1223000</v>
      </c>
      <c r="T17" s="46"/>
      <c r="U17" s="50">
        <f t="shared" si="8"/>
        <v>106000</v>
      </c>
      <c r="V17" s="60">
        <f>'Sch 194'!H17</f>
        <v>-96000</v>
      </c>
      <c r="W17" s="42">
        <f t="shared" si="9"/>
        <v>10000</v>
      </c>
      <c r="X17" s="42">
        <f t="shared" si="10"/>
        <v>1233000</v>
      </c>
      <c r="Y17" s="126">
        <f t="shared" si="11"/>
        <v>8.542889075160659E-2</v>
      </c>
      <c r="Z17" s="126">
        <f t="shared" si="12"/>
        <v>8.6127409891031015E-2</v>
      </c>
      <c r="AA17" s="13">
        <f t="shared" si="13"/>
        <v>8.1766148814390836E-3</v>
      </c>
    </row>
    <row r="18" spans="1:27" x14ac:dyDescent="0.2">
      <c r="A18" s="39">
        <f t="shared" si="5"/>
        <v>12</v>
      </c>
      <c r="B18" s="40" t="s">
        <v>138</v>
      </c>
      <c r="C18" s="43">
        <f t="shared" ref="C18:S18" si="14">SUM(C10:C17)</f>
        <v>7227326000</v>
      </c>
      <c r="D18" s="44">
        <f t="shared" si="14"/>
        <v>690660000</v>
      </c>
      <c r="E18" s="44">
        <f t="shared" si="14"/>
        <v>16070000</v>
      </c>
      <c r="F18" s="44">
        <f t="shared" si="14"/>
        <v>24481000</v>
      </c>
      <c r="G18" s="44">
        <f t="shared" si="14"/>
        <v>-10827000</v>
      </c>
      <c r="H18" s="44">
        <f t="shared" si="14"/>
        <v>29112000</v>
      </c>
      <c r="I18" s="44">
        <f t="shared" si="14"/>
        <v>8892000</v>
      </c>
      <c r="J18" s="44">
        <f t="shared" si="14"/>
        <v>-327000</v>
      </c>
      <c r="K18" s="44">
        <f t="shared" si="14"/>
        <v>17887000</v>
      </c>
      <c r="L18" s="44">
        <f t="shared" si="14"/>
        <v>-16330000</v>
      </c>
      <c r="M18" s="44">
        <f t="shared" si="14"/>
        <v>0</v>
      </c>
      <c r="N18" s="44">
        <f>SUM(N10:N17)</f>
        <v>-4788000</v>
      </c>
      <c r="O18" s="44">
        <f t="shared" si="14"/>
        <v>21831000</v>
      </c>
      <c r="P18" s="44">
        <f t="shared" si="14"/>
        <v>3503000</v>
      </c>
      <c r="Q18" s="44">
        <f t="shared" si="14"/>
        <v>-2966000</v>
      </c>
      <c r="R18" s="44">
        <f t="shared" si="14"/>
        <v>86538000</v>
      </c>
      <c r="S18" s="44">
        <f t="shared" si="14"/>
        <v>777198000</v>
      </c>
      <c r="T18" s="46"/>
      <c r="U18" s="52">
        <f t="shared" ref="U18:V18" si="15">SUM(U10:U17)</f>
        <v>2966000</v>
      </c>
      <c r="V18" s="53">
        <f t="shared" si="15"/>
        <v>-2686000</v>
      </c>
      <c r="W18" s="44">
        <f>SUM(W10:W17)</f>
        <v>280000</v>
      </c>
      <c r="X18" s="44">
        <f t="shared" ref="X18" si="16">SUM(X10:X17)</f>
        <v>777478000</v>
      </c>
      <c r="Y18" s="127">
        <f t="shared" si="11"/>
        <v>0.10753603753310699</v>
      </c>
      <c r="Z18" s="127">
        <f t="shared" si="12"/>
        <v>0.10757477938590289</v>
      </c>
      <c r="AA18" s="13">
        <f t="shared" si="13"/>
        <v>3.6026855447389211E-4</v>
      </c>
    </row>
    <row r="19" spans="1:27" x14ac:dyDescent="0.2">
      <c r="A19" s="39">
        <f t="shared" si="5"/>
        <v>13</v>
      </c>
      <c r="B19" s="39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6"/>
      <c r="U19" s="50"/>
      <c r="V19" s="51"/>
      <c r="W19" s="42"/>
      <c r="X19" s="42"/>
      <c r="Y19" s="126"/>
      <c r="Z19" s="126"/>
      <c r="AA19" s="13"/>
    </row>
    <row r="20" spans="1:27" x14ac:dyDescent="0.2">
      <c r="A20" s="39">
        <f t="shared" si="5"/>
        <v>14</v>
      </c>
      <c r="B20" s="39">
        <v>10</v>
      </c>
      <c r="C20" s="48">
        <v>26886000</v>
      </c>
      <c r="D20" s="48">
        <v>2293000</v>
      </c>
      <c r="E20" s="48">
        <v>57000</v>
      </c>
      <c r="F20" s="48">
        <v>85000</v>
      </c>
      <c r="G20" s="48">
        <v>-39000</v>
      </c>
      <c r="H20" s="48">
        <v>103000</v>
      </c>
      <c r="I20" s="48">
        <v>30000</v>
      </c>
      <c r="J20" s="48">
        <v>-1000</v>
      </c>
      <c r="K20" s="48">
        <v>60000</v>
      </c>
      <c r="L20" s="48">
        <v>-54000</v>
      </c>
      <c r="M20" s="48">
        <v>0</v>
      </c>
      <c r="N20" s="48">
        <v>-16000</v>
      </c>
      <c r="O20" s="48">
        <v>71000</v>
      </c>
      <c r="P20" s="48">
        <v>22000</v>
      </c>
      <c r="Q20" s="48">
        <v>-199000</v>
      </c>
      <c r="R20" s="42">
        <f t="shared" ref="R20:R23" si="17">SUM(E20:Q20)</f>
        <v>119000</v>
      </c>
      <c r="S20" s="42">
        <f>SUM(R20,D20)</f>
        <v>2412000</v>
      </c>
      <c r="T20" s="46"/>
      <c r="U20" s="50">
        <f t="shared" ref="U20:U23" si="18">-Q20</f>
        <v>199000</v>
      </c>
      <c r="V20" s="60">
        <f>'Sch 194'!H20</f>
        <v>-180000</v>
      </c>
      <c r="W20" s="42">
        <f>SUM(U20:V20)</f>
        <v>19000</v>
      </c>
      <c r="X20" s="42">
        <f>S20+W20</f>
        <v>2431000</v>
      </c>
      <c r="Y20" s="126">
        <f>S20/C20</f>
        <v>8.9712117830841334E-2</v>
      </c>
      <c r="Z20" s="126">
        <f>X20/C20</f>
        <v>9.0418805326192064E-2</v>
      </c>
      <c r="AA20" s="13">
        <f>+W20/S20</f>
        <v>7.8772802653399674E-3</v>
      </c>
    </row>
    <row r="21" spans="1:27" x14ac:dyDescent="0.2">
      <c r="A21" s="39">
        <f t="shared" si="5"/>
        <v>15</v>
      </c>
      <c r="B21" s="39">
        <v>31</v>
      </c>
      <c r="C21" s="48">
        <v>1288057000</v>
      </c>
      <c r="D21" s="48">
        <v>109854000</v>
      </c>
      <c r="E21" s="48">
        <v>2743000</v>
      </c>
      <c r="F21" s="48">
        <v>4075000</v>
      </c>
      <c r="G21" s="48">
        <v>-1848000</v>
      </c>
      <c r="H21" s="48">
        <v>4923000</v>
      </c>
      <c r="I21" s="48">
        <v>1426000</v>
      </c>
      <c r="J21" s="48">
        <v>-55000</v>
      </c>
      <c r="K21" s="48">
        <v>2862000</v>
      </c>
      <c r="L21" s="48">
        <v>-2594000</v>
      </c>
      <c r="M21" s="48">
        <v>0</v>
      </c>
      <c r="N21" s="48">
        <v>-760000</v>
      </c>
      <c r="O21" s="48">
        <v>3525000</v>
      </c>
      <c r="P21" s="48">
        <v>1127000</v>
      </c>
      <c r="Q21" s="48">
        <v>0</v>
      </c>
      <c r="R21" s="42">
        <f t="shared" si="17"/>
        <v>15424000</v>
      </c>
      <c r="S21" s="42">
        <f>SUM(R21,D21)</f>
        <v>125278000</v>
      </c>
      <c r="T21" s="46"/>
      <c r="U21" s="50">
        <f t="shared" si="18"/>
        <v>0</v>
      </c>
      <c r="V21" s="60">
        <f>'Sch 194'!H21</f>
        <v>0</v>
      </c>
      <c r="W21" s="42">
        <f>SUM(U21:V21)</f>
        <v>0</v>
      </c>
      <c r="X21" s="42">
        <f>S21+W21</f>
        <v>125278000</v>
      </c>
      <c r="Y21" s="126">
        <f>S21/C21</f>
        <v>9.7261223688082127E-2</v>
      </c>
      <c r="Z21" s="126">
        <f>X21/C21</f>
        <v>9.7261223688082127E-2</v>
      </c>
      <c r="AA21" s="13">
        <f>+W21/S21</f>
        <v>0</v>
      </c>
    </row>
    <row r="22" spans="1:27" x14ac:dyDescent="0.2">
      <c r="A22" s="39">
        <f t="shared" si="5"/>
        <v>16</v>
      </c>
      <c r="B22" s="39">
        <v>35</v>
      </c>
      <c r="C22" s="48">
        <v>4555000</v>
      </c>
      <c r="D22" s="48">
        <v>300000</v>
      </c>
      <c r="E22" s="48">
        <v>7000</v>
      </c>
      <c r="F22" s="48">
        <v>8000</v>
      </c>
      <c r="G22" s="48">
        <v>-5000</v>
      </c>
      <c r="H22" s="48">
        <v>13000</v>
      </c>
      <c r="I22" s="48">
        <v>4000</v>
      </c>
      <c r="J22" s="48">
        <v>0</v>
      </c>
      <c r="K22" s="48">
        <v>10000</v>
      </c>
      <c r="L22" s="48">
        <v>-15000</v>
      </c>
      <c r="M22" s="48">
        <v>0</v>
      </c>
      <c r="N22" s="48">
        <v>-4000</v>
      </c>
      <c r="O22" s="48">
        <v>13000</v>
      </c>
      <c r="P22" s="48">
        <v>0</v>
      </c>
      <c r="Q22" s="48">
        <v>-34000</v>
      </c>
      <c r="R22" s="42">
        <f t="shared" si="17"/>
        <v>-3000</v>
      </c>
      <c r="S22" s="42">
        <f>SUM(R22,D22)</f>
        <v>297000</v>
      </c>
      <c r="T22" s="46"/>
      <c r="U22" s="50">
        <f t="shared" si="18"/>
        <v>34000</v>
      </c>
      <c r="V22" s="60">
        <f>'Sch 194'!H22</f>
        <v>-30000</v>
      </c>
      <c r="W22" s="42">
        <f>SUM(U22:V22)</f>
        <v>4000</v>
      </c>
      <c r="X22" s="42">
        <f>S22+W22</f>
        <v>301000</v>
      </c>
      <c r="Y22" s="126">
        <f>S22/C22</f>
        <v>6.5203073545554338E-2</v>
      </c>
      <c r="Z22" s="126">
        <f>X22/C22</f>
        <v>6.608122941822174E-2</v>
      </c>
      <c r="AA22" s="13">
        <f>+W22/S22</f>
        <v>1.3468013468013467E-2</v>
      </c>
    </row>
    <row r="23" spans="1:27" x14ac:dyDescent="0.2">
      <c r="A23" s="39">
        <f t="shared" si="5"/>
        <v>17</v>
      </c>
      <c r="B23" s="39">
        <v>43</v>
      </c>
      <c r="C23" s="48">
        <v>114055000</v>
      </c>
      <c r="D23" s="48">
        <v>10531000</v>
      </c>
      <c r="E23" s="48">
        <v>194000</v>
      </c>
      <c r="F23" s="48">
        <v>285000</v>
      </c>
      <c r="G23" s="48">
        <v>-131000</v>
      </c>
      <c r="H23" s="48">
        <v>350000</v>
      </c>
      <c r="I23" s="48">
        <v>132000</v>
      </c>
      <c r="J23" s="48">
        <v>-4000</v>
      </c>
      <c r="K23" s="48">
        <v>349000</v>
      </c>
      <c r="L23" s="48">
        <v>-316000</v>
      </c>
      <c r="M23" s="48">
        <v>0</v>
      </c>
      <c r="N23" s="48">
        <v>-93000</v>
      </c>
      <c r="O23" s="48">
        <v>337000</v>
      </c>
      <c r="P23" s="48">
        <v>-7000</v>
      </c>
      <c r="Q23" s="48">
        <v>0</v>
      </c>
      <c r="R23" s="42">
        <f t="shared" si="17"/>
        <v>1096000</v>
      </c>
      <c r="S23" s="42">
        <f>SUM(R23,D23)</f>
        <v>11627000</v>
      </c>
      <c r="T23" s="46"/>
      <c r="U23" s="50">
        <f t="shared" si="18"/>
        <v>0</v>
      </c>
      <c r="V23" s="60">
        <f>'Sch 194'!H23</f>
        <v>0</v>
      </c>
      <c r="W23" s="42">
        <f>SUM(U23:V23)</f>
        <v>0</v>
      </c>
      <c r="X23" s="42">
        <f>S23+W23</f>
        <v>11627000</v>
      </c>
      <c r="Y23" s="126">
        <f>S23/C23</f>
        <v>0.10194204550436194</v>
      </c>
      <c r="Z23" s="126">
        <f>X23/C23</f>
        <v>0.10194204550436194</v>
      </c>
      <c r="AA23" s="13">
        <f>+W23/S23</f>
        <v>0</v>
      </c>
    </row>
    <row r="24" spans="1:27" x14ac:dyDescent="0.2">
      <c r="A24" s="39">
        <f t="shared" si="5"/>
        <v>18</v>
      </c>
      <c r="B24" s="40" t="s">
        <v>139</v>
      </c>
      <c r="C24" s="43">
        <f t="shared" ref="C24:S24" si="19">SUM(C20:C23)</f>
        <v>1433553000</v>
      </c>
      <c r="D24" s="44">
        <f t="shared" ref="D24" si="20">SUM(D20:D23)</f>
        <v>122978000</v>
      </c>
      <c r="E24" s="44">
        <f t="shared" si="19"/>
        <v>3001000</v>
      </c>
      <c r="F24" s="44">
        <f t="shared" si="19"/>
        <v>4453000</v>
      </c>
      <c r="G24" s="44">
        <f t="shared" si="19"/>
        <v>-2023000</v>
      </c>
      <c r="H24" s="44">
        <f t="shared" si="19"/>
        <v>5389000</v>
      </c>
      <c r="I24" s="44">
        <f t="shared" si="19"/>
        <v>1592000</v>
      </c>
      <c r="J24" s="44">
        <f t="shared" ref="J24" si="21">SUM(J20:J23)</f>
        <v>-60000</v>
      </c>
      <c r="K24" s="44">
        <f t="shared" si="19"/>
        <v>3281000</v>
      </c>
      <c r="L24" s="44">
        <f t="shared" si="19"/>
        <v>-2979000</v>
      </c>
      <c r="M24" s="44">
        <f t="shared" si="19"/>
        <v>0</v>
      </c>
      <c r="N24" s="44">
        <f>SUM(N20:N23)</f>
        <v>-873000</v>
      </c>
      <c r="O24" s="44">
        <f t="shared" si="19"/>
        <v>3946000</v>
      </c>
      <c r="P24" s="44">
        <f t="shared" si="19"/>
        <v>1142000</v>
      </c>
      <c r="Q24" s="44">
        <f t="shared" si="19"/>
        <v>-233000</v>
      </c>
      <c r="R24" s="44">
        <f t="shared" si="19"/>
        <v>16636000</v>
      </c>
      <c r="S24" s="44">
        <f t="shared" si="19"/>
        <v>139614000</v>
      </c>
      <c r="T24" s="46"/>
      <c r="U24" s="52">
        <f t="shared" ref="U24:V24" si="22">SUM(U20:U23)</f>
        <v>233000</v>
      </c>
      <c r="V24" s="53">
        <f t="shared" si="22"/>
        <v>-210000</v>
      </c>
      <c r="W24" s="44">
        <f>SUM(W20:W23)</f>
        <v>23000</v>
      </c>
      <c r="X24" s="44">
        <f t="shared" ref="X24" si="23">SUM(X20:X23)</f>
        <v>139637000</v>
      </c>
      <c r="Y24" s="127">
        <f>S24/C24</f>
        <v>9.739019066612814E-2</v>
      </c>
      <c r="Z24" s="127">
        <f>X24/C24</f>
        <v>9.7406234718911688E-2</v>
      </c>
      <c r="AA24" s="13">
        <f>+W24/S24</f>
        <v>1.6473992579540733E-4</v>
      </c>
    </row>
    <row r="25" spans="1:27" x14ac:dyDescent="0.2">
      <c r="A25" s="39">
        <f t="shared" si="5"/>
        <v>19</v>
      </c>
      <c r="B25" s="39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6"/>
      <c r="U25" s="50"/>
      <c r="V25" s="51"/>
      <c r="W25" s="42"/>
      <c r="X25" s="42"/>
      <c r="Y25" s="126"/>
      <c r="Z25" s="126"/>
      <c r="AA25" s="13"/>
    </row>
    <row r="26" spans="1:27" x14ac:dyDescent="0.2">
      <c r="A26" s="39">
        <f t="shared" si="5"/>
        <v>20</v>
      </c>
      <c r="B26" s="39">
        <v>46</v>
      </c>
      <c r="C26" s="48">
        <v>79054000</v>
      </c>
      <c r="D26" s="48">
        <v>5472000</v>
      </c>
      <c r="E26" s="48">
        <v>144000</v>
      </c>
      <c r="F26" s="48">
        <v>177000</v>
      </c>
      <c r="G26" s="48">
        <v>-97000</v>
      </c>
      <c r="H26" s="48">
        <v>281000</v>
      </c>
      <c r="I26" s="48">
        <v>68000</v>
      </c>
      <c r="J26" s="48">
        <v>-3000</v>
      </c>
      <c r="K26" s="48">
        <v>132000</v>
      </c>
      <c r="L26" s="48">
        <v>-121000</v>
      </c>
      <c r="M26" s="48">
        <v>0</v>
      </c>
      <c r="N26" s="48">
        <v>-36000</v>
      </c>
      <c r="O26" s="48">
        <v>0</v>
      </c>
      <c r="P26" s="48">
        <v>0</v>
      </c>
      <c r="Q26" s="48">
        <v>0</v>
      </c>
      <c r="R26" s="42">
        <f>SUM(E26:Q26)</f>
        <v>545000</v>
      </c>
      <c r="S26" s="42">
        <f>SUM(R26,D26)</f>
        <v>6017000</v>
      </c>
      <c r="T26" s="46"/>
      <c r="U26" s="50">
        <f t="shared" ref="U26:U27" si="24">-Q26</f>
        <v>0</v>
      </c>
      <c r="V26" s="60">
        <f>'Sch 194'!H26</f>
        <v>0</v>
      </c>
      <c r="W26" s="42">
        <f>SUM(U26:V26)</f>
        <v>0</v>
      </c>
      <c r="X26" s="42">
        <f>S26+W26</f>
        <v>6017000</v>
      </c>
      <c r="Y26" s="126">
        <f>S26/C26</f>
        <v>7.6112530675234644E-2</v>
      </c>
      <c r="Z26" s="126">
        <f>X26/C26</f>
        <v>7.6112530675234644E-2</v>
      </c>
      <c r="AA26" s="13">
        <f>+W26/S26</f>
        <v>0</v>
      </c>
    </row>
    <row r="27" spans="1:27" x14ac:dyDescent="0.2">
      <c r="A27" s="39">
        <f t="shared" si="5"/>
        <v>21</v>
      </c>
      <c r="B27" s="39">
        <v>49</v>
      </c>
      <c r="C27" s="48">
        <v>503556000</v>
      </c>
      <c r="D27" s="48">
        <v>33910000</v>
      </c>
      <c r="E27" s="48">
        <v>990000</v>
      </c>
      <c r="F27" s="48">
        <v>1398000</v>
      </c>
      <c r="G27" s="48">
        <v>-668000</v>
      </c>
      <c r="H27" s="48">
        <v>1757000</v>
      </c>
      <c r="I27" s="48">
        <v>427000</v>
      </c>
      <c r="J27" s="48">
        <v>-20000</v>
      </c>
      <c r="K27" s="48">
        <v>840000</v>
      </c>
      <c r="L27" s="48">
        <v>-773000</v>
      </c>
      <c r="M27" s="48">
        <v>0</v>
      </c>
      <c r="N27" s="48">
        <v>-227000</v>
      </c>
      <c r="O27" s="48">
        <v>0</v>
      </c>
      <c r="P27" s="48">
        <v>0</v>
      </c>
      <c r="Q27" s="48">
        <v>0</v>
      </c>
      <c r="R27" s="42">
        <f>SUM(E27:Q27)</f>
        <v>3724000</v>
      </c>
      <c r="S27" s="42">
        <f>SUM(R27,D27)</f>
        <v>37634000</v>
      </c>
      <c r="T27" s="46"/>
      <c r="U27" s="50">
        <f t="shared" si="24"/>
        <v>0</v>
      </c>
      <c r="V27" s="60">
        <f>'Sch 194'!H27</f>
        <v>0</v>
      </c>
      <c r="W27" s="42">
        <f>SUM(U27:V27)</f>
        <v>0</v>
      </c>
      <c r="X27" s="42">
        <f>S27+W27</f>
        <v>37634000</v>
      </c>
      <c r="Y27" s="126">
        <f>S27/C27</f>
        <v>7.4736474195521457E-2</v>
      </c>
      <c r="Z27" s="126">
        <f>X27/C27</f>
        <v>7.4736474195521457E-2</v>
      </c>
      <c r="AA27" s="13">
        <f>+W27/S27</f>
        <v>0</v>
      </c>
    </row>
    <row r="28" spans="1:27" x14ac:dyDescent="0.2">
      <c r="A28" s="39">
        <f t="shared" si="5"/>
        <v>22</v>
      </c>
      <c r="B28" s="39" t="s">
        <v>140</v>
      </c>
      <c r="C28" s="43">
        <f>SUM(C26:C27)</f>
        <v>582610000</v>
      </c>
      <c r="D28" s="44">
        <f>SUM(D26:D27)</f>
        <v>39382000</v>
      </c>
      <c r="E28" s="44">
        <f t="shared" ref="E28:J28" si="25">SUM(E26:E27)</f>
        <v>1134000</v>
      </c>
      <c r="F28" s="44">
        <f t="shared" si="25"/>
        <v>1575000</v>
      </c>
      <c r="G28" s="44">
        <f>SUM(G26:G27)</f>
        <v>-765000</v>
      </c>
      <c r="H28" s="44">
        <f t="shared" si="25"/>
        <v>2038000</v>
      </c>
      <c r="I28" s="44">
        <f t="shared" si="25"/>
        <v>495000</v>
      </c>
      <c r="J28" s="44">
        <f t="shared" si="25"/>
        <v>-23000</v>
      </c>
      <c r="K28" s="44">
        <f>SUM(K26:K27)</f>
        <v>972000</v>
      </c>
      <c r="L28" s="44">
        <f t="shared" ref="L28:S28" si="26">SUM(L26:L27)</f>
        <v>-894000</v>
      </c>
      <c r="M28" s="44">
        <f t="shared" si="26"/>
        <v>0</v>
      </c>
      <c r="N28" s="44">
        <f>SUM(N26:N27)</f>
        <v>-263000</v>
      </c>
      <c r="O28" s="44">
        <f t="shared" si="26"/>
        <v>0</v>
      </c>
      <c r="P28" s="44">
        <f t="shared" si="26"/>
        <v>0</v>
      </c>
      <c r="Q28" s="44">
        <f t="shared" si="26"/>
        <v>0</v>
      </c>
      <c r="R28" s="44">
        <f t="shared" si="26"/>
        <v>4269000</v>
      </c>
      <c r="S28" s="44">
        <f t="shared" si="26"/>
        <v>43651000</v>
      </c>
      <c r="T28" s="46"/>
      <c r="U28" s="52">
        <f t="shared" ref="U28:V28" si="27">SUM(U26:U27)</f>
        <v>0</v>
      </c>
      <c r="V28" s="53">
        <f t="shared" si="27"/>
        <v>0</v>
      </c>
      <c r="W28" s="44">
        <f>SUM(W26:W27)</f>
        <v>0</v>
      </c>
      <c r="X28" s="44">
        <f t="shared" ref="X28" si="28">SUM(X26:X27)</f>
        <v>43651000</v>
      </c>
      <c r="Y28" s="127">
        <f>S28/C28</f>
        <v>7.4923190470469095E-2</v>
      </c>
      <c r="Z28" s="127">
        <f>X28/C28</f>
        <v>7.4923190470469095E-2</v>
      </c>
      <c r="AA28" s="13">
        <f>+W28/S28</f>
        <v>0</v>
      </c>
    </row>
    <row r="29" spans="1:27" x14ac:dyDescent="0.2">
      <c r="A29" s="39">
        <f t="shared" si="5"/>
        <v>23</v>
      </c>
      <c r="B29" s="39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6"/>
      <c r="U29" s="50"/>
      <c r="V29" s="51"/>
      <c r="W29" s="42"/>
      <c r="X29" s="42"/>
      <c r="Y29" s="126"/>
      <c r="Z29" s="126"/>
      <c r="AA29" s="13"/>
    </row>
    <row r="30" spans="1:27" x14ac:dyDescent="0.2">
      <c r="A30" s="39">
        <f t="shared" si="5"/>
        <v>24</v>
      </c>
      <c r="B30" s="39" t="s">
        <v>141</v>
      </c>
      <c r="C30" s="48">
        <v>64888000</v>
      </c>
      <c r="D30" s="48">
        <v>16184000</v>
      </c>
      <c r="E30" s="48">
        <v>138000</v>
      </c>
      <c r="F30" s="48">
        <v>197000</v>
      </c>
      <c r="G30" s="48">
        <v>-93000</v>
      </c>
      <c r="H30" s="48">
        <v>234000</v>
      </c>
      <c r="I30" s="48">
        <v>191000</v>
      </c>
      <c r="J30" s="48">
        <v>-3000</v>
      </c>
      <c r="K30" s="48">
        <v>603000</v>
      </c>
      <c r="L30" s="48">
        <v>-554000</v>
      </c>
      <c r="M30" s="48">
        <v>0</v>
      </c>
      <c r="N30" s="48">
        <v>-162000</v>
      </c>
      <c r="O30" s="48">
        <v>0</v>
      </c>
      <c r="P30" s="48">
        <v>0</v>
      </c>
      <c r="Q30" s="48">
        <v>-13000</v>
      </c>
      <c r="R30" s="42">
        <f>SUM(E30:Q30)</f>
        <v>538000</v>
      </c>
      <c r="S30" s="42">
        <f>SUM(R30,D30)</f>
        <v>16722000</v>
      </c>
      <c r="T30" s="46"/>
      <c r="U30" s="50">
        <f t="shared" ref="U30:U32" si="29">-Q30</f>
        <v>13000</v>
      </c>
      <c r="V30" s="60">
        <f>'Sch 194'!H32</f>
        <v>-12000</v>
      </c>
      <c r="W30" s="42">
        <f>SUM(U30:V30)</f>
        <v>1000</v>
      </c>
      <c r="X30" s="42">
        <f>S30+W30</f>
        <v>16723000</v>
      </c>
      <c r="Y30" s="126">
        <f>S30/C30</f>
        <v>0.25770558500801383</v>
      </c>
      <c r="Z30" s="126">
        <f>X30/C30</f>
        <v>0.25772099617802985</v>
      </c>
      <c r="AA30" s="13">
        <f>+W30/S30</f>
        <v>5.9801459155603396E-5</v>
      </c>
    </row>
    <row r="31" spans="1:27" x14ac:dyDescent="0.2">
      <c r="A31" s="39">
        <f t="shared" si="5"/>
        <v>25</v>
      </c>
      <c r="B31" s="39" t="s">
        <v>142</v>
      </c>
      <c r="C31" s="48">
        <v>1899049000</v>
      </c>
      <c r="D31" s="48">
        <v>9503000</v>
      </c>
      <c r="E31" s="48">
        <v>0</v>
      </c>
      <c r="F31" s="48">
        <v>0</v>
      </c>
      <c r="G31" s="48">
        <v>0</v>
      </c>
      <c r="H31" s="48">
        <v>1988000</v>
      </c>
      <c r="I31" s="48">
        <v>114000</v>
      </c>
      <c r="J31" s="48">
        <v>0</v>
      </c>
      <c r="K31" s="48">
        <v>42000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2">
        <f t="shared" ref="R31:R32" si="30">SUM(E31:Q31)</f>
        <v>2144000</v>
      </c>
      <c r="S31" s="42">
        <f t="shared" ref="S31:S32" si="31">SUM(R31,D31)</f>
        <v>11647000</v>
      </c>
      <c r="T31" s="46"/>
      <c r="U31" s="50">
        <f t="shared" si="29"/>
        <v>0</v>
      </c>
      <c r="V31" s="60">
        <f>'Sch 194'!H34</f>
        <v>0</v>
      </c>
      <c r="W31" s="42">
        <f>SUM(U31:V31)</f>
        <v>0</v>
      </c>
      <c r="X31" s="42">
        <f>S31+W31</f>
        <v>11647000</v>
      </c>
      <c r="Y31" s="126">
        <f>S31/C31</f>
        <v>6.1330697628128603E-3</v>
      </c>
      <c r="Z31" s="126">
        <f>X31/C31</f>
        <v>6.1330697628128603E-3</v>
      </c>
      <c r="AA31" s="13">
        <f>+W31/S31</f>
        <v>0</v>
      </c>
    </row>
    <row r="32" spans="1:27" x14ac:dyDescent="0.2">
      <c r="A32" s="39">
        <f t="shared" si="5"/>
        <v>26</v>
      </c>
      <c r="B32" s="40" t="s">
        <v>143</v>
      </c>
      <c r="C32" s="48">
        <v>289426000</v>
      </c>
      <c r="D32" s="48">
        <v>3711000</v>
      </c>
      <c r="E32" s="48">
        <v>0</v>
      </c>
      <c r="F32" s="48">
        <v>0</v>
      </c>
      <c r="G32" s="48">
        <v>0</v>
      </c>
      <c r="H32" s="48">
        <v>658000</v>
      </c>
      <c r="I32" s="48">
        <v>178000</v>
      </c>
      <c r="J32" s="48">
        <v>0</v>
      </c>
      <c r="K32" s="48">
        <v>140000</v>
      </c>
      <c r="L32" s="48">
        <v>-277000</v>
      </c>
      <c r="M32" s="48">
        <v>0</v>
      </c>
      <c r="N32" s="48">
        <v>-81000</v>
      </c>
      <c r="O32" s="48">
        <v>182000</v>
      </c>
      <c r="P32" s="48">
        <v>746000</v>
      </c>
      <c r="Q32" s="48">
        <v>0</v>
      </c>
      <c r="R32" s="42">
        <f t="shared" si="30"/>
        <v>1546000</v>
      </c>
      <c r="S32" s="42">
        <f t="shared" si="31"/>
        <v>5257000</v>
      </c>
      <c r="T32" s="46"/>
      <c r="U32" s="50">
        <f t="shared" si="29"/>
        <v>0</v>
      </c>
      <c r="V32" s="60">
        <f>'Sch 194'!H35</f>
        <v>0</v>
      </c>
      <c r="W32" s="42">
        <f>SUM(U32:V32)</f>
        <v>0</v>
      </c>
      <c r="X32" s="42">
        <f>S32+W32</f>
        <v>5257000</v>
      </c>
      <c r="Y32" s="126">
        <f>S32/C32</f>
        <v>1.8163537484538361E-2</v>
      </c>
      <c r="Z32" s="126">
        <f>X32/C32</f>
        <v>1.8163537484538361E-2</v>
      </c>
      <c r="AA32" s="13">
        <f>+W32/S32</f>
        <v>0</v>
      </c>
    </row>
    <row r="33" spans="1:27" x14ac:dyDescent="0.2">
      <c r="A33" s="39">
        <f t="shared" si="5"/>
        <v>27</v>
      </c>
      <c r="B33" s="3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6"/>
      <c r="S33" s="46"/>
      <c r="T33" s="46"/>
      <c r="U33" s="50"/>
      <c r="V33" s="51"/>
      <c r="W33" s="46"/>
      <c r="X33" s="46"/>
      <c r="Y33" s="128"/>
      <c r="Z33" s="128"/>
      <c r="AA33" s="13"/>
    </row>
    <row r="34" spans="1:27" x14ac:dyDescent="0.2">
      <c r="A34" s="39">
        <f t="shared" si="5"/>
        <v>28</v>
      </c>
      <c r="B34" s="39" t="s">
        <v>144</v>
      </c>
      <c r="C34" s="43">
        <f>SUM(C8,C18,C24,C28,C30:C32)</f>
        <v>22377260000</v>
      </c>
      <c r="D34" s="43">
        <f t="shared" ref="D34:S34" si="32">SUM(D8,D18,D24,D28,D30:D32)</f>
        <v>2083365000</v>
      </c>
      <c r="E34" s="43">
        <f t="shared" si="32"/>
        <v>43569000</v>
      </c>
      <c r="F34" s="43">
        <f t="shared" si="32"/>
        <v>66766000</v>
      </c>
      <c r="G34" s="43">
        <f t="shared" si="32"/>
        <v>-29376000</v>
      </c>
      <c r="H34" s="43">
        <f t="shared" si="32"/>
        <v>81037000</v>
      </c>
      <c r="I34" s="43">
        <f t="shared" si="32"/>
        <v>26172000</v>
      </c>
      <c r="J34" s="43">
        <f t="shared" si="32"/>
        <v>-881000</v>
      </c>
      <c r="K34" s="43">
        <f t="shared" si="32"/>
        <v>56350000</v>
      </c>
      <c r="L34" s="43">
        <f t="shared" si="32"/>
        <v>-53849000</v>
      </c>
      <c r="M34" s="43">
        <f t="shared" si="32"/>
        <v>0</v>
      </c>
      <c r="N34" s="43">
        <f t="shared" si="32"/>
        <v>-15785000</v>
      </c>
      <c r="O34" s="43">
        <f t="shared" si="32"/>
        <v>21422000</v>
      </c>
      <c r="P34" s="43">
        <f t="shared" si="32"/>
        <v>8807000</v>
      </c>
      <c r="Q34" s="43">
        <f t="shared" si="32"/>
        <v>-83576000</v>
      </c>
      <c r="R34" s="43">
        <f t="shared" si="32"/>
        <v>120656000</v>
      </c>
      <c r="S34" s="43">
        <f t="shared" si="32"/>
        <v>2204021000</v>
      </c>
      <c r="T34" s="46"/>
      <c r="U34" s="52">
        <f>SUM(U8,U18,U24,U28,U30:U32)</f>
        <v>83576000</v>
      </c>
      <c r="V34" s="53">
        <f t="shared" ref="V34:X34" si="33">SUM(V8,V18,V24,V28,V30:V32)</f>
        <v>-75689000</v>
      </c>
      <c r="W34" s="44">
        <f t="shared" si="33"/>
        <v>7887000</v>
      </c>
      <c r="X34" s="44">
        <f t="shared" si="33"/>
        <v>2211908000</v>
      </c>
      <c r="Y34" s="127">
        <f>S34/C34</f>
        <v>9.849378342120528E-2</v>
      </c>
      <c r="Z34" s="127">
        <f>X34/C34</f>
        <v>9.8846239441289951E-2</v>
      </c>
      <c r="AA34" s="13">
        <f>+W34/S34</f>
        <v>3.5784595518826728E-3</v>
      </c>
    </row>
    <row r="35" spans="1:27" x14ac:dyDescent="0.2">
      <c r="A35" s="39">
        <f t="shared" si="5"/>
        <v>29</v>
      </c>
      <c r="B35" s="39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50"/>
      <c r="V35" s="51"/>
      <c r="W35" s="46"/>
      <c r="X35" s="46"/>
      <c r="Y35" s="128"/>
      <c r="Z35" s="128"/>
      <c r="AA35" s="13"/>
    </row>
    <row r="36" spans="1:27" x14ac:dyDescent="0.2">
      <c r="A36" s="39">
        <f t="shared" si="5"/>
        <v>30</v>
      </c>
      <c r="B36" s="39">
        <v>5</v>
      </c>
      <c r="C36" s="48">
        <v>7513000</v>
      </c>
      <c r="D36" s="48">
        <v>726000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-19000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2">
        <f>SUM(E36:Q36)</f>
        <v>-19000</v>
      </c>
      <c r="S36" s="42">
        <f>SUM(R36,D36)</f>
        <v>707000</v>
      </c>
      <c r="T36" s="46"/>
      <c r="U36" s="50">
        <f>-Q36</f>
        <v>0</v>
      </c>
      <c r="V36" s="60">
        <f>'Sch 194'!H36</f>
        <v>0</v>
      </c>
      <c r="W36" s="42">
        <f>SUM(U36:V36)</f>
        <v>0</v>
      </c>
      <c r="X36" s="42">
        <f>S36+W36</f>
        <v>707000</v>
      </c>
      <c r="Y36" s="126">
        <f>S36/C36</f>
        <v>9.4103553840010651E-2</v>
      </c>
      <c r="Z36" s="126">
        <f>X36/C36</f>
        <v>9.4103553840010651E-2</v>
      </c>
      <c r="AA36" s="13">
        <f>+W36/S36</f>
        <v>0</v>
      </c>
    </row>
    <row r="37" spans="1:27" x14ac:dyDescent="0.2">
      <c r="A37" s="39">
        <f t="shared" si="5"/>
        <v>31</v>
      </c>
      <c r="B37" s="39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50"/>
      <c r="V37" s="51"/>
      <c r="W37" s="46"/>
      <c r="X37" s="46"/>
      <c r="Y37" s="128"/>
      <c r="Z37" s="128"/>
      <c r="AA37" s="13"/>
    </row>
    <row r="38" spans="1:27" ht="12" thickBot="1" x14ac:dyDescent="0.25">
      <c r="A38" s="39">
        <f t="shared" si="5"/>
        <v>32</v>
      </c>
      <c r="B38" s="39" t="s">
        <v>145</v>
      </c>
      <c r="C38" s="47">
        <f>SUM(C34:C36)</f>
        <v>22384773000</v>
      </c>
      <c r="D38" s="47">
        <f t="shared" ref="D38:S38" si="34">SUM(D34:D36)</f>
        <v>2084091000</v>
      </c>
      <c r="E38" s="47">
        <f t="shared" si="34"/>
        <v>43569000</v>
      </c>
      <c r="F38" s="47">
        <f t="shared" si="34"/>
        <v>66766000</v>
      </c>
      <c r="G38" s="47">
        <f t="shared" si="34"/>
        <v>-29376000</v>
      </c>
      <c r="H38" s="47">
        <f t="shared" si="34"/>
        <v>81037000</v>
      </c>
      <c r="I38" s="47">
        <f t="shared" si="34"/>
        <v>26172000</v>
      </c>
      <c r="J38" s="47">
        <f t="shared" si="34"/>
        <v>-881000</v>
      </c>
      <c r="K38" s="47">
        <f t="shared" si="34"/>
        <v>56350000</v>
      </c>
      <c r="L38" s="47">
        <f t="shared" si="34"/>
        <v>-53868000</v>
      </c>
      <c r="M38" s="47">
        <f t="shared" si="34"/>
        <v>0</v>
      </c>
      <c r="N38" s="47">
        <f t="shared" si="34"/>
        <v>-15785000</v>
      </c>
      <c r="O38" s="47">
        <f t="shared" si="34"/>
        <v>21422000</v>
      </c>
      <c r="P38" s="47">
        <f t="shared" si="34"/>
        <v>8807000</v>
      </c>
      <c r="Q38" s="47">
        <f t="shared" si="34"/>
        <v>-83576000</v>
      </c>
      <c r="R38" s="47">
        <f t="shared" si="34"/>
        <v>120637000</v>
      </c>
      <c r="S38" s="47">
        <f t="shared" si="34"/>
        <v>2204728000</v>
      </c>
      <c r="T38" s="46"/>
      <c r="U38" s="54">
        <f t="shared" ref="U38:W38" si="35">SUM(U34:U36)</f>
        <v>83576000</v>
      </c>
      <c r="V38" s="55">
        <f t="shared" si="35"/>
        <v>-75689000</v>
      </c>
      <c r="W38" s="47">
        <f t="shared" si="35"/>
        <v>7887000</v>
      </c>
      <c r="X38" s="47">
        <f t="shared" ref="X38" si="36">SUM(X34:X36)</f>
        <v>2212615000</v>
      </c>
      <c r="Y38" s="129">
        <f>S38/C38</f>
        <v>9.8492309928718061E-2</v>
      </c>
      <c r="Z38" s="129">
        <f>X38/C38</f>
        <v>9.8844647654010159E-2</v>
      </c>
      <c r="AA38" s="13">
        <f>+W38/S38</f>
        <v>3.5773120312346919E-3</v>
      </c>
    </row>
    <row r="39" spans="1:27" ht="12.75" thickTop="1" thickBot="1" x14ac:dyDescent="0.25">
      <c r="A39" s="39"/>
      <c r="B39" s="1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46"/>
      <c r="U39" s="56"/>
      <c r="V39" s="57"/>
    </row>
    <row r="40" spans="1:27" x14ac:dyDescent="0.2">
      <c r="B40" s="224" t="s">
        <v>194</v>
      </c>
      <c r="C40" s="202">
        <v>0</v>
      </c>
      <c r="D40" s="202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U40" s="202">
        <f>'Sch 194'!F38+U38</f>
        <v>0</v>
      </c>
      <c r="V40" s="202">
        <f>V38-'Sch 194'!H38</f>
        <v>0</v>
      </c>
    </row>
  </sheetData>
  <mergeCells count="4">
    <mergeCell ref="A1:AA1"/>
    <mergeCell ref="A3:AA3"/>
    <mergeCell ref="A4:AA4"/>
    <mergeCell ref="A2:AA2"/>
  </mergeCells>
  <printOptions horizontalCentered="1"/>
  <pageMargins left="0.75" right="0.75" top="1" bottom="1" header="0.5" footer="0.5"/>
  <pageSetup scale="47" orientation="landscape" cellComments="asDisplayed" horizontalDpi="300" verticalDpi="300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zoomScaleNormal="100" workbookViewId="0">
      <pane ySplit="1" topLeftCell="A38" activePane="bottomLeft" state="frozen"/>
      <selection activeCell="C18" sqref="C18"/>
      <selection pane="bottomLeft" activeCell="E34" sqref="E34"/>
    </sheetView>
  </sheetViews>
  <sheetFormatPr defaultColWidth="8.7109375" defaultRowHeight="11.25" x14ac:dyDescent="0.2"/>
  <cols>
    <col min="1" max="1" width="21.5703125" style="1" customWidth="1"/>
    <col min="2" max="2" width="7.7109375" style="1" bestFit="1" customWidth="1"/>
    <col min="3" max="3" width="12.7109375" style="1" bestFit="1" customWidth="1"/>
    <col min="4" max="4" width="9.7109375" style="1" bestFit="1" customWidth="1"/>
    <col min="5" max="6" width="10" style="1" bestFit="1" customWidth="1"/>
    <col min="7" max="7" width="2" style="1" customWidth="1"/>
    <col min="8" max="8" width="7.140625" style="1" customWidth="1"/>
    <col min="9" max="9" width="9.140625" style="1" bestFit="1" customWidth="1"/>
    <col min="10" max="10" width="7.7109375" style="1" bestFit="1" customWidth="1"/>
    <col min="11" max="11" width="9" style="1" bestFit="1" customWidth="1"/>
    <col min="12" max="12" width="9" style="1" customWidth="1"/>
    <col min="13" max="13" width="8.28515625" style="1" bestFit="1" customWidth="1"/>
    <col min="14" max="14" width="4" style="1" customWidth="1"/>
    <col min="15" max="16384" width="8.7109375" style="1"/>
  </cols>
  <sheetData>
    <row r="1" spans="1:18" s="12" customFormat="1" x14ac:dyDescent="0.2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8" s="12" customFormat="1" x14ac:dyDescent="0.2">
      <c r="A2" s="178" t="s">
        <v>15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8" x14ac:dyDescent="0.2">
      <c r="A3" s="325" t="s">
        <v>345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5" spans="1:18" x14ac:dyDescent="0.2">
      <c r="C5" s="338" t="s">
        <v>199</v>
      </c>
      <c r="D5" s="338"/>
      <c r="E5" s="338"/>
      <c r="F5" s="338"/>
      <c r="G5" s="181"/>
      <c r="H5" s="338" t="s">
        <v>200</v>
      </c>
      <c r="I5" s="338"/>
      <c r="J5" s="338"/>
      <c r="K5" s="338"/>
      <c r="L5" s="182"/>
      <c r="M5" s="182"/>
      <c r="O5" s="183"/>
      <c r="P5" s="183"/>
      <c r="Q5" s="183"/>
      <c r="R5" s="183"/>
    </row>
    <row r="6" spans="1:18" ht="22.5" x14ac:dyDescent="0.2">
      <c r="A6" s="20" t="s">
        <v>10</v>
      </c>
      <c r="B6" s="20" t="s">
        <v>16</v>
      </c>
      <c r="C6" s="20" t="s">
        <v>201</v>
      </c>
      <c r="D6" s="20" t="s">
        <v>202</v>
      </c>
      <c r="E6" s="20" t="s">
        <v>203</v>
      </c>
      <c r="F6" s="20" t="s">
        <v>204</v>
      </c>
      <c r="G6" s="181"/>
      <c r="H6" s="20" t="s">
        <v>201</v>
      </c>
      <c r="I6" s="20" t="s">
        <v>202</v>
      </c>
      <c r="J6" s="20" t="s">
        <v>203</v>
      </c>
      <c r="K6" s="20" t="s">
        <v>204</v>
      </c>
      <c r="L6" s="21" t="s">
        <v>17</v>
      </c>
      <c r="M6" s="20" t="s">
        <v>18</v>
      </c>
    </row>
    <row r="7" spans="1:18" x14ac:dyDescent="0.2">
      <c r="A7" s="1" t="s">
        <v>19</v>
      </c>
      <c r="B7" s="19">
        <f t="shared" ref="B7:B18" si="0">ROUND(+E69,0)</f>
        <v>1203</v>
      </c>
      <c r="C7" s="184">
        <f>ROUND(+$E$27,2)</f>
        <v>7.49</v>
      </c>
      <c r="D7" s="184">
        <f t="shared" ref="D7:D18" si="1">ROUND(IF($B7&gt;600,600*$E$60,$B7*$E$38),2)</f>
        <v>56.34</v>
      </c>
      <c r="E7" s="184">
        <f t="shared" ref="E7:E18" si="2">ROUND(IF($B7&gt;600,($B7-600)*$E$61,0),2)</f>
        <v>68.8</v>
      </c>
      <c r="F7" s="37">
        <f t="shared" ref="F7:F18" si="3">SUM(C7:E7)</f>
        <v>132.63</v>
      </c>
      <c r="G7" s="181"/>
      <c r="H7" s="184">
        <f>ROUND(+$F$27,2)</f>
        <v>7.49</v>
      </c>
      <c r="I7" s="184">
        <f t="shared" ref="I7:I18" si="4">ROUND(IF($B7&gt;600,600*$F$60,$B7*$F$38),2)</f>
        <v>56.76</v>
      </c>
      <c r="J7" s="184">
        <f t="shared" ref="J7:J18" si="5">ROUND(IF($B7&gt;600,($B7-600)*$F$61,0),2)</f>
        <v>69.22</v>
      </c>
      <c r="K7" s="37">
        <f t="shared" ref="K7:K18" si="6">SUM(H7:J7)</f>
        <v>133.47</v>
      </c>
      <c r="L7" s="37">
        <f>+K7-F7</f>
        <v>0.84000000000000341</v>
      </c>
      <c r="M7" s="232">
        <f>+L7/F7</f>
        <v>6.3334087310563478E-3</v>
      </c>
    </row>
    <row r="8" spans="1:18" x14ac:dyDescent="0.2">
      <c r="A8" s="1" t="s">
        <v>20</v>
      </c>
      <c r="B8" s="19">
        <f t="shared" si="0"/>
        <v>978</v>
      </c>
      <c r="C8" s="184">
        <f t="shared" ref="C8:C18" si="7">ROUND(+$E$27,2)</f>
        <v>7.49</v>
      </c>
      <c r="D8" s="184">
        <f t="shared" si="1"/>
        <v>56.34</v>
      </c>
      <c r="E8" s="184">
        <f t="shared" si="2"/>
        <v>43.13</v>
      </c>
      <c r="F8" s="37">
        <f t="shared" si="3"/>
        <v>106.96000000000001</v>
      </c>
      <c r="G8" s="181"/>
      <c r="H8" s="184">
        <f t="shared" ref="H8:H18" si="8">ROUND(+$F$27,2)</f>
        <v>7.49</v>
      </c>
      <c r="I8" s="184">
        <f t="shared" si="4"/>
        <v>56.76</v>
      </c>
      <c r="J8" s="184">
        <f t="shared" si="5"/>
        <v>43.39</v>
      </c>
      <c r="K8" s="37">
        <f t="shared" si="6"/>
        <v>107.64</v>
      </c>
      <c r="L8" s="37">
        <f t="shared" ref="L8:L18" si="9">+K8-F8</f>
        <v>0.67999999999999261</v>
      </c>
      <c r="M8" s="232">
        <f t="shared" ref="M8:M18" si="10">+L8/F8</f>
        <v>6.3575168287209475E-3</v>
      </c>
    </row>
    <row r="9" spans="1:18" x14ac:dyDescent="0.2">
      <c r="A9" s="1" t="s">
        <v>21</v>
      </c>
      <c r="B9" s="19">
        <f t="shared" si="0"/>
        <v>1016</v>
      </c>
      <c r="C9" s="184">
        <f t="shared" si="7"/>
        <v>7.49</v>
      </c>
      <c r="D9" s="184">
        <f t="shared" si="1"/>
        <v>56.34</v>
      </c>
      <c r="E9" s="184">
        <f t="shared" si="2"/>
        <v>47.47</v>
      </c>
      <c r="F9" s="37">
        <f t="shared" si="3"/>
        <v>111.30000000000001</v>
      </c>
      <c r="G9" s="181"/>
      <c r="H9" s="184">
        <f t="shared" si="8"/>
        <v>7.49</v>
      </c>
      <c r="I9" s="184">
        <f t="shared" si="4"/>
        <v>56.76</v>
      </c>
      <c r="J9" s="184">
        <f t="shared" si="5"/>
        <v>47.76</v>
      </c>
      <c r="K9" s="37">
        <f t="shared" si="6"/>
        <v>112.00999999999999</v>
      </c>
      <c r="L9" s="37">
        <f t="shared" si="9"/>
        <v>0.70999999999997954</v>
      </c>
      <c r="M9" s="232">
        <f t="shared" si="10"/>
        <v>6.3791554357590244E-3</v>
      </c>
    </row>
    <row r="10" spans="1:18" x14ac:dyDescent="0.2">
      <c r="A10" s="1" t="s">
        <v>22</v>
      </c>
      <c r="B10" s="19">
        <f t="shared" si="0"/>
        <v>802</v>
      </c>
      <c r="C10" s="184">
        <f t="shared" si="7"/>
        <v>7.49</v>
      </c>
      <c r="D10" s="184">
        <f t="shared" si="1"/>
        <v>56.34</v>
      </c>
      <c r="E10" s="184">
        <f t="shared" si="2"/>
        <v>23.05</v>
      </c>
      <c r="F10" s="37">
        <f t="shared" si="3"/>
        <v>86.88000000000001</v>
      </c>
      <c r="G10" s="181"/>
      <c r="H10" s="184">
        <f t="shared" si="8"/>
        <v>7.49</v>
      </c>
      <c r="I10" s="184">
        <f t="shared" si="4"/>
        <v>56.76</v>
      </c>
      <c r="J10" s="184">
        <f t="shared" si="5"/>
        <v>23.19</v>
      </c>
      <c r="K10" s="37">
        <f t="shared" si="6"/>
        <v>87.44</v>
      </c>
      <c r="L10" s="37">
        <f t="shared" si="9"/>
        <v>0.55999999999998806</v>
      </c>
      <c r="M10" s="232">
        <f t="shared" si="10"/>
        <v>6.4456721915284072E-3</v>
      </c>
    </row>
    <row r="11" spans="1:18" x14ac:dyDescent="0.2">
      <c r="A11" s="1" t="s">
        <v>23</v>
      </c>
      <c r="B11" s="19">
        <f t="shared" si="0"/>
        <v>728</v>
      </c>
      <c r="C11" s="184">
        <f t="shared" si="7"/>
        <v>7.49</v>
      </c>
      <c r="D11" s="184">
        <f t="shared" si="1"/>
        <v>56.34</v>
      </c>
      <c r="E11" s="184">
        <f t="shared" si="2"/>
        <v>14.61</v>
      </c>
      <c r="F11" s="37">
        <f t="shared" si="3"/>
        <v>78.44</v>
      </c>
      <c r="G11" s="181"/>
      <c r="H11" s="184">
        <f t="shared" si="8"/>
        <v>7.49</v>
      </c>
      <c r="I11" s="184">
        <f t="shared" si="4"/>
        <v>56.76</v>
      </c>
      <c r="J11" s="184">
        <f t="shared" si="5"/>
        <v>14.69</v>
      </c>
      <c r="K11" s="37">
        <f t="shared" si="6"/>
        <v>78.94</v>
      </c>
      <c r="L11" s="37">
        <f t="shared" si="9"/>
        <v>0.5</v>
      </c>
      <c r="M11" s="232">
        <f t="shared" si="10"/>
        <v>6.3742988271290159E-3</v>
      </c>
    </row>
    <row r="12" spans="1:18" x14ac:dyDescent="0.2">
      <c r="A12" s="1" t="s">
        <v>24</v>
      </c>
      <c r="B12" s="19">
        <f t="shared" si="0"/>
        <v>636</v>
      </c>
      <c r="C12" s="184">
        <f t="shared" si="7"/>
        <v>7.49</v>
      </c>
      <c r="D12" s="184">
        <f t="shared" si="1"/>
        <v>56.34</v>
      </c>
      <c r="E12" s="184">
        <f t="shared" si="2"/>
        <v>4.1100000000000003</v>
      </c>
      <c r="F12" s="37">
        <f t="shared" si="3"/>
        <v>67.940000000000012</v>
      </c>
      <c r="G12" s="181"/>
      <c r="H12" s="184">
        <f t="shared" si="8"/>
        <v>7.49</v>
      </c>
      <c r="I12" s="184">
        <f t="shared" si="4"/>
        <v>56.76</v>
      </c>
      <c r="J12" s="184">
        <f t="shared" si="5"/>
        <v>4.13</v>
      </c>
      <c r="K12" s="37">
        <f t="shared" si="6"/>
        <v>68.38</v>
      </c>
      <c r="L12" s="37">
        <f t="shared" si="9"/>
        <v>0.43999999999998352</v>
      </c>
      <c r="M12" s="232">
        <f t="shared" si="10"/>
        <v>6.4763026199585435E-3</v>
      </c>
    </row>
    <row r="13" spans="1:18" x14ac:dyDescent="0.2">
      <c r="A13" s="1" t="s">
        <v>25</v>
      </c>
      <c r="B13" s="19">
        <f t="shared" si="0"/>
        <v>636</v>
      </c>
      <c r="C13" s="184">
        <f t="shared" si="7"/>
        <v>7.49</v>
      </c>
      <c r="D13" s="184">
        <f t="shared" si="1"/>
        <v>56.34</v>
      </c>
      <c r="E13" s="184">
        <f t="shared" si="2"/>
        <v>4.1100000000000003</v>
      </c>
      <c r="F13" s="37">
        <f t="shared" si="3"/>
        <v>67.940000000000012</v>
      </c>
      <c r="G13" s="181"/>
      <c r="H13" s="184">
        <f t="shared" si="8"/>
        <v>7.49</v>
      </c>
      <c r="I13" s="184">
        <f t="shared" si="4"/>
        <v>56.76</v>
      </c>
      <c r="J13" s="184">
        <f t="shared" si="5"/>
        <v>4.13</v>
      </c>
      <c r="K13" s="37">
        <f t="shared" si="6"/>
        <v>68.38</v>
      </c>
      <c r="L13" s="37">
        <f t="shared" si="9"/>
        <v>0.43999999999998352</v>
      </c>
      <c r="M13" s="232">
        <f t="shared" si="10"/>
        <v>6.4763026199585435E-3</v>
      </c>
    </row>
    <row r="14" spans="1:18" x14ac:dyDescent="0.2">
      <c r="A14" s="1" t="s">
        <v>26</v>
      </c>
      <c r="B14" s="19">
        <f t="shared" si="0"/>
        <v>656</v>
      </c>
      <c r="C14" s="184">
        <f t="shared" si="7"/>
        <v>7.49</v>
      </c>
      <c r="D14" s="184">
        <f t="shared" si="1"/>
        <v>56.34</v>
      </c>
      <c r="E14" s="184">
        <f t="shared" si="2"/>
        <v>6.39</v>
      </c>
      <c r="F14" s="37">
        <f t="shared" si="3"/>
        <v>70.22</v>
      </c>
      <c r="G14" s="181"/>
      <c r="H14" s="184">
        <f t="shared" si="8"/>
        <v>7.49</v>
      </c>
      <c r="I14" s="184">
        <f t="shared" si="4"/>
        <v>56.76</v>
      </c>
      <c r="J14" s="184">
        <f t="shared" si="5"/>
        <v>6.43</v>
      </c>
      <c r="K14" s="37">
        <f t="shared" si="6"/>
        <v>70.680000000000007</v>
      </c>
      <c r="L14" s="37">
        <f t="shared" si="9"/>
        <v>0.46000000000000796</v>
      </c>
      <c r="M14" s="232">
        <f t="shared" si="10"/>
        <v>6.5508402164626599E-3</v>
      </c>
    </row>
    <row r="15" spans="1:18" x14ac:dyDescent="0.2">
      <c r="A15" s="1" t="s">
        <v>27</v>
      </c>
      <c r="B15" s="19">
        <f t="shared" si="0"/>
        <v>620</v>
      </c>
      <c r="C15" s="184">
        <f t="shared" si="7"/>
        <v>7.49</v>
      </c>
      <c r="D15" s="184">
        <f t="shared" si="1"/>
        <v>56.34</v>
      </c>
      <c r="E15" s="184">
        <f t="shared" si="2"/>
        <v>2.2799999999999998</v>
      </c>
      <c r="F15" s="37">
        <f t="shared" si="3"/>
        <v>66.11</v>
      </c>
      <c r="G15" s="181"/>
      <c r="H15" s="184">
        <f t="shared" si="8"/>
        <v>7.49</v>
      </c>
      <c r="I15" s="184">
        <f t="shared" si="4"/>
        <v>56.76</v>
      </c>
      <c r="J15" s="184">
        <f t="shared" si="5"/>
        <v>2.2999999999999998</v>
      </c>
      <c r="K15" s="37">
        <f t="shared" si="6"/>
        <v>66.55</v>
      </c>
      <c r="L15" s="37">
        <f t="shared" si="9"/>
        <v>0.43999999999999773</v>
      </c>
      <c r="M15" s="232">
        <f t="shared" si="10"/>
        <v>6.6555740432611967E-3</v>
      </c>
    </row>
    <row r="16" spans="1:18" x14ac:dyDescent="0.2">
      <c r="A16" s="1" t="s">
        <v>28</v>
      </c>
      <c r="B16" s="19">
        <f t="shared" si="0"/>
        <v>779</v>
      </c>
      <c r="C16" s="184">
        <f t="shared" si="7"/>
        <v>7.49</v>
      </c>
      <c r="D16" s="184">
        <f t="shared" si="1"/>
        <v>56.34</v>
      </c>
      <c r="E16" s="184">
        <f t="shared" si="2"/>
        <v>20.420000000000002</v>
      </c>
      <c r="F16" s="37">
        <f t="shared" si="3"/>
        <v>84.25</v>
      </c>
      <c r="G16" s="181"/>
      <c r="H16" s="184">
        <f t="shared" si="8"/>
        <v>7.49</v>
      </c>
      <c r="I16" s="184">
        <f t="shared" si="4"/>
        <v>56.76</v>
      </c>
      <c r="J16" s="184">
        <f t="shared" si="5"/>
        <v>20.55</v>
      </c>
      <c r="K16" s="37">
        <f t="shared" si="6"/>
        <v>84.8</v>
      </c>
      <c r="L16" s="37">
        <f t="shared" si="9"/>
        <v>0.54999999999999716</v>
      </c>
      <c r="M16" s="232">
        <f t="shared" si="10"/>
        <v>6.5281899109791951E-3</v>
      </c>
    </row>
    <row r="17" spans="1:13" x14ac:dyDescent="0.2">
      <c r="A17" s="1" t="s">
        <v>29</v>
      </c>
      <c r="B17" s="19">
        <f t="shared" si="0"/>
        <v>988</v>
      </c>
      <c r="C17" s="184">
        <f t="shared" si="7"/>
        <v>7.49</v>
      </c>
      <c r="D17" s="184">
        <f t="shared" si="1"/>
        <v>56.34</v>
      </c>
      <c r="E17" s="184">
        <f t="shared" si="2"/>
        <v>44.27</v>
      </c>
      <c r="F17" s="37">
        <f t="shared" si="3"/>
        <v>108.10000000000001</v>
      </c>
      <c r="G17" s="181"/>
      <c r="H17" s="184">
        <f t="shared" si="8"/>
        <v>7.49</v>
      </c>
      <c r="I17" s="184">
        <f t="shared" si="4"/>
        <v>56.76</v>
      </c>
      <c r="J17" s="184">
        <f t="shared" si="5"/>
        <v>44.54</v>
      </c>
      <c r="K17" s="37">
        <f t="shared" si="6"/>
        <v>108.78999999999999</v>
      </c>
      <c r="L17" s="37">
        <f t="shared" si="9"/>
        <v>0.68999999999998352</v>
      </c>
      <c r="M17" s="232">
        <f t="shared" si="10"/>
        <v>6.3829787234041023E-3</v>
      </c>
    </row>
    <row r="18" spans="1:13" x14ac:dyDescent="0.2">
      <c r="A18" s="1" t="s">
        <v>30</v>
      </c>
      <c r="B18" s="19">
        <f t="shared" si="0"/>
        <v>1178</v>
      </c>
      <c r="C18" s="184">
        <f t="shared" si="7"/>
        <v>7.49</v>
      </c>
      <c r="D18" s="184">
        <f t="shared" si="1"/>
        <v>56.34</v>
      </c>
      <c r="E18" s="184">
        <f t="shared" si="2"/>
        <v>65.95</v>
      </c>
      <c r="F18" s="37">
        <f t="shared" si="3"/>
        <v>129.78</v>
      </c>
      <c r="G18" s="181"/>
      <c r="H18" s="184">
        <f t="shared" si="8"/>
        <v>7.49</v>
      </c>
      <c r="I18" s="184">
        <f t="shared" si="4"/>
        <v>56.76</v>
      </c>
      <c r="J18" s="184">
        <f t="shared" si="5"/>
        <v>66.349999999999994</v>
      </c>
      <c r="K18" s="37">
        <f t="shared" si="6"/>
        <v>130.6</v>
      </c>
      <c r="L18" s="37">
        <f t="shared" si="9"/>
        <v>0.81999999999999318</v>
      </c>
      <c r="M18" s="232">
        <f t="shared" si="10"/>
        <v>6.3183849591616058E-3</v>
      </c>
    </row>
    <row r="19" spans="1:13" x14ac:dyDescent="0.2">
      <c r="C19" s="184"/>
      <c r="G19" s="181"/>
      <c r="H19" s="184"/>
      <c r="M19" s="232"/>
    </row>
    <row r="20" spans="1:13" ht="12" thickBot="1" x14ac:dyDescent="0.25">
      <c r="A20" s="23" t="s">
        <v>31</v>
      </c>
      <c r="B20" s="24">
        <f>SUM(B7:B19)</f>
        <v>10220</v>
      </c>
      <c r="C20" s="185">
        <f>SUM(C7:C19)</f>
        <v>89.88</v>
      </c>
      <c r="D20" s="185">
        <f>SUM(D7:D19)</f>
        <v>676.08000000000027</v>
      </c>
      <c r="E20" s="185">
        <f>SUM(E7:E19)</f>
        <v>344.59</v>
      </c>
      <c r="F20" s="185">
        <f>SUM(F7:F19)</f>
        <v>1110.5500000000002</v>
      </c>
      <c r="G20" s="181"/>
      <c r="H20" s="185">
        <f>SUM(H7:H19)</f>
        <v>89.88</v>
      </c>
      <c r="I20" s="185">
        <f>SUM(I7:I19)</f>
        <v>681.12</v>
      </c>
      <c r="J20" s="185">
        <f>SUM(J7:J19)</f>
        <v>346.68000000000006</v>
      </c>
      <c r="K20" s="185">
        <f>SUM(K7:K19)</f>
        <v>1117.6799999999998</v>
      </c>
      <c r="L20" s="185">
        <f t="shared" ref="L20" si="11">+K20-F20</f>
        <v>7.1299999999996544</v>
      </c>
      <c r="M20" s="233">
        <f t="shared" ref="M20" si="12">+L20/F20</f>
        <v>6.4202422223219608E-3</v>
      </c>
    </row>
    <row r="21" spans="1:13" ht="12" thickTop="1" x14ac:dyDescent="0.2">
      <c r="G21" s="181"/>
      <c r="M21" s="232"/>
    </row>
    <row r="22" spans="1:13" ht="12" thickBot="1" x14ac:dyDescent="0.25">
      <c r="A22" s="159" t="s">
        <v>108</v>
      </c>
      <c r="B22" s="47">
        <f>ROUND(AVERAGE(B7:B18),-2)</f>
        <v>900</v>
      </c>
      <c r="C22" s="38">
        <f t="shared" ref="C22:C23" si="13">ROUND(+$E$27,2)</f>
        <v>7.49</v>
      </c>
      <c r="D22" s="38">
        <f>ROUND(IF($B22&gt;600,600*$E$60,$B22*$E$38),2)</f>
        <v>56.34</v>
      </c>
      <c r="E22" s="38">
        <f>ROUND(IF($B22&gt;600,($B22-600)*$E$61,0),2)</f>
        <v>34.229999999999997</v>
      </c>
      <c r="F22" s="38">
        <f>SUM(C22:E22)</f>
        <v>98.06</v>
      </c>
      <c r="G22" s="181"/>
      <c r="H22" s="38">
        <f t="shared" ref="H22:H23" si="14">ROUND(+$F$27,2)</f>
        <v>7.49</v>
      </c>
      <c r="I22" s="38">
        <f>ROUND(IF($B22&gt;600,600*$F$60,$B22*$F$38),2)</f>
        <v>56.76</v>
      </c>
      <c r="J22" s="38">
        <f>ROUND(IF($B22&gt;600,($B22-600)*$F$61,0),2)</f>
        <v>34.44</v>
      </c>
      <c r="K22" s="38">
        <f>SUM(H22:J22)</f>
        <v>98.69</v>
      </c>
      <c r="L22" s="38">
        <f t="shared" ref="L22:L23" si="15">+K22-F22</f>
        <v>0.62999999999999545</v>
      </c>
      <c r="M22" s="233">
        <f t="shared" ref="M22:M23" si="16">+L22/F22</f>
        <v>6.4246379767488827E-3</v>
      </c>
    </row>
    <row r="23" spans="1:13" ht="12.75" thickTop="1" thickBot="1" x14ac:dyDescent="0.25">
      <c r="A23" s="25" t="s">
        <v>108</v>
      </c>
      <c r="B23" s="24">
        <v>1000</v>
      </c>
      <c r="C23" s="38">
        <f t="shared" si="13"/>
        <v>7.49</v>
      </c>
      <c r="D23" s="38">
        <f>ROUND(IF($B23&gt;600,600*$E$60,$B23*$E$38),2)</f>
        <v>56.34</v>
      </c>
      <c r="E23" s="38">
        <f>ROUND(IF($B23&gt;600,($B23-600)*$E$61,0),2)</f>
        <v>45.64</v>
      </c>
      <c r="F23" s="38">
        <f>SUM(C23:E23)</f>
        <v>109.47</v>
      </c>
      <c r="G23" s="181"/>
      <c r="H23" s="38">
        <f t="shared" si="14"/>
        <v>7.49</v>
      </c>
      <c r="I23" s="38">
        <f>ROUND(IF($B23&gt;600,600*$F$60,$B23*$F$38),2)</f>
        <v>56.76</v>
      </c>
      <c r="J23" s="38">
        <f>ROUND(IF($B23&gt;600,($B23-600)*$F$61,0),2)</f>
        <v>45.92</v>
      </c>
      <c r="K23" s="38">
        <f>SUM(H23:J23)</f>
        <v>110.17</v>
      </c>
      <c r="L23" s="38">
        <f t="shared" si="15"/>
        <v>0.70000000000000284</v>
      </c>
      <c r="M23" s="233">
        <f t="shared" si="16"/>
        <v>6.3944459669316054E-3</v>
      </c>
    </row>
    <row r="24" spans="1:13" ht="12" thickTop="1" x14ac:dyDescent="0.2"/>
    <row r="25" spans="1:13" ht="45" x14ac:dyDescent="0.2">
      <c r="A25" s="26" t="s">
        <v>109</v>
      </c>
      <c r="B25" s="27"/>
      <c r="C25" s="27"/>
      <c r="D25" s="27"/>
      <c r="E25" s="31" t="s">
        <v>321</v>
      </c>
      <c r="F25" s="31" t="s">
        <v>326</v>
      </c>
    </row>
    <row r="26" spans="1:13" x14ac:dyDescent="0.2">
      <c r="A26" s="335" t="s">
        <v>32</v>
      </c>
      <c r="B26" s="335"/>
      <c r="C26" s="335"/>
      <c r="D26" s="335"/>
      <c r="E26" s="29"/>
      <c r="F26" s="29"/>
    </row>
    <row r="27" spans="1:13" x14ac:dyDescent="0.2">
      <c r="A27" s="339" t="s">
        <v>110</v>
      </c>
      <c r="B27" s="339"/>
      <c r="C27" s="339"/>
      <c r="D27" s="339"/>
      <c r="E27" s="323">
        <v>7.49</v>
      </c>
      <c r="F27" s="186">
        <f>+E27</f>
        <v>7.49</v>
      </c>
      <c r="G27" s="1" t="s">
        <v>33</v>
      </c>
    </row>
    <row r="28" spans="1:13" ht="12" thickBot="1" x14ac:dyDescent="0.25">
      <c r="A28" s="334" t="s">
        <v>93</v>
      </c>
      <c r="B28" s="334"/>
      <c r="C28" s="334"/>
      <c r="D28" s="334"/>
      <c r="E28" s="32">
        <f>SUM(E27)</f>
        <v>7.49</v>
      </c>
      <c r="F28" s="32">
        <f>SUM(F27:F27)</f>
        <v>7.49</v>
      </c>
    </row>
    <row r="29" spans="1:13" ht="12" thickTop="1" x14ac:dyDescent="0.2">
      <c r="A29" s="335" t="s">
        <v>34</v>
      </c>
      <c r="B29" s="335"/>
      <c r="C29" s="335"/>
      <c r="D29" s="335"/>
      <c r="E29" s="187"/>
      <c r="F29" s="187"/>
    </row>
    <row r="30" spans="1:13" x14ac:dyDescent="0.2">
      <c r="A30" s="339" t="s">
        <v>35</v>
      </c>
      <c r="B30" s="339"/>
      <c r="C30" s="339"/>
      <c r="D30" s="339"/>
      <c r="E30" s="324">
        <v>9.3071000000000001E-2</v>
      </c>
      <c r="F30" s="33">
        <f>+E30</f>
        <v>9.3071000000000001E-2</v>
      </c>
      <c r="G30" s="1" t="s">
        <v>94</v>
      </c>
    </row>
    <row r="31" spans="1:13" x14ac:dyDescent="0.2">
      <c r="A31" s="333" t="s">
        <v>40</v>
      </c>
      <c r="B31" s="333"/>
      <c r="C31" s="333"/>
      <c r="D31" s="333"/>
      <c r="E31" s="324">
        <v>1.3519999999999999E-3</v>
      </c>
      <c r="F31" s="33">
        <f t="shared" ref="F31:F34" si="17">+E31</f>
        <v>1.3519999999999999E-3</v>
      </c>
      <c r="G31" s="15" t="s">
        <v>94</v>
      </c>
      <c r="H31" s="15"/>
    </row>
    <row r="32" spans="1:13" s="15" customFormat="1" x14ac:dyDescent="0.2">
      <c r="A32" s="333" t="s">
        <v>63</v>
      </c>
      <c r="B32" s="333"/>
      <c r="C32" s="333"/>
      <c r="D32" s="333"/>
      <c r="E32" s="324">
        <v>3.0720000000000001E-3</v>
      </c>
      <c r="F32" s="33">
        <f t="shared" si="17"/>
        <v>3.0720000000000001E-3</v>
      </c>
      <c r="G32" s="15" t="s">
        <v>94</v>
      </c>
    </row>
    <row r="33" spans="1:7" s="15" customFormat="1" x14ac:dyDescent="0.2">
      <c r="A33" s="333" t="s">
        <v>205</v>
      </c>
      <c r="B33" s="333"/>
      <c r="C33" s="333"/>
      <c r="D33" s="333"/>
      <c r="E33" s="324">
        <v>-3.016E-3</v>
      </c>
      <c r="F33" s="33">
        <f t="shared" si="17"/>
        <v>-3.016E-3</v>
      </c>
      <c r="G33" s="15" t="s">
        <v>94</v>
      </c>
    </row>
    <row r="34" spans="1:7" s="15" customFormat="1" x14ac:dyDescent="0.2">
      <c r="A34" s="333" t="s">
        <v>137</v>
      </c>
      <c r="B34" s="333"/>
      <c r="C34" s="333"/>
      <c r="D34" s="333"/>
      <c r="E34" s="324">
        <v>0</v>
      </c>
      <c r="F34" s="33">
        <f t="shared" si="17"/>
        <v>0</v>
      </c>
      <c r="G34" s="15" t="s">
        <v>94</v>
      </c>
    </row>
    <row r="35" spans="1:7" s="15" customFormat="1" x14ac:dyDescent="0.2">
      <c r="A35" s="333" t="s">
        <v>206</v>
      </c>
      <c r="B35" s="333"/>
      <c r="C35" s="333"/>
      <c r="D35" s="333"/>
      <c r="E35" s="324">
        <v>-8.8400000000000002E-4</v>
      </c>
      <c r="F35" s="33">
        <f>E35</f>
        <v>-8.8400000000000002E-4</v>
      </c>
      <c r="G35" s="15" t="s">
        <v>94</v>
      </c>
    </row>
    <row r="36" spans="1:7" s="15" customFormat="1" x14ac:dyDescent="0.2">
      <c r="A36" s="333" t="s">
        <v>64</v>
      </c>
      <c r="B36" s="333"/>
      <c r="C36" s="333"/>
      <c r="D36" s="333"/>
      <c r="E36" s="324">
        <v>-4.17E-4</v>
      </c>
      <c r="F36" s="33">
        <f>E36</f>
        <v>-4.17E-4</v>
      </c>
      <c r="G36" s="15" t="s">
        <v>94</v>
      </c>
    </row>
    <row r="37" spans="1:7" s="15" customFormat="1" x14ac:dyDescent="0.2">
      <c r="A37" s="333" t="s">
        <v>207</v>
      </c>
      <c r="B37" s="333"/>
      <c r="C37" s="333"/>
      <c r="D37" s="333"/>
      <c r="E37" s="324">
        <v>3.1399999999999999E-4</v>
      </c>
      <c r="F37" s="34">
        <f>E37</f>
        <v>3.1399999999999999E-4</v>
      </c>
      <c r="G37" s="15" t="s">
        <v>94</v>
      </c>
    </row>
    <row r="38" spans="1:7" s="15" customFormat="1" ht="12" thickBot="1" x14ac:dyDescent="0.25">
      <c r="A38" s="337" t="s">
        <v>95</v>
      </c>
      <c r="B38" s="337"/>
      <c r="C38" s="337"/>
      <c r="D38" s="337"/>
      <c r="E38" s="190">
        <f>SUM(E30:E37)</f>
        <v>9.3492000000000006E-2</v>
      </c>
      <c r="F38" s="190">
        <f>SUM(F30:F37)</f>
        <v>9.3492000000000006E-2</v>
      </c>
      <c r="G38" s="15" t="s">
        <v>94</v>
      </c>
    </row>
    <row r="39" spans="1:7" s="15" customFormat="1" ht="12" thickTop="1" x14ac:dyDescent="0.2">
      <c r="A39" s="336"/>
      <c r="B39" s="336"/>
      <c r="C39" s="336"/>
      <c r="D39" s="336"/>
      <c r="E39" s="33"/>
      <c r="F39" s="33"/>
    </row>
    <row r="40" spans="1:7" s="15" customFormat="1" x14ac:dyDescent="0.2">
      <c r="A40" s="336" t="s">
        <v>36</v>
      </c>
      <c r="B40" s="336"/>
      <c r="C40" s="336"/>
      <c r="D40" s="336"/>
      <c r="E40" s="324">
        <v>0.113277</v>
      </c>
      <c r="F40" s="33">
        <f>+E40</f>
        <v>0.113277</v>
      </c>
      <c r="G40" s="15" t="s">
        <v>94</v>
      </c>
    </row>
    <row r="41" spans="1:7" s="15" customFormat="1" x14ac:dyDescent="0.2">
      <c r="A41" s="333" t="s">
        <v>40</v>
      </c>
      <c r="B41" s="333"/>
      <c r="C41" s="333"/>
      <c r="D41" s="333"/>
      <c r="E41" s="33">
        <f>E31</f>
        <v>1.3519999999999999E-3</v>
      </c>
      <c r="F41" s="33">
        <f>F31</f>
        <v>1.3519999999999999E-3</v>
      </c>
      <c r="G41" s="15" t="s">
        <v>94</v>
      </c>
    </row>
    <row r="42" spans="1:7" s="15" customFormat="1" x14ac:dyDescent="0.2">
      <c r="A42" s="333" t="s">
        <v>63</v>
      </c>
      <c r="B42" s="333"/>
      <c r="C42" s="333"/>
      <c r="D42" s="333"/>
      <c r="E42" s="33">
        <f t="shared" ref="E42:E47" si="18">E32</f>
        <v>3.0720000000000001E-3</v>
      </c>
      <c r="F42" s="33">
        <f>F32</f>
        <v>3.0720000000000001E-3</v>
      </c>
      <c r="G42" s="15" t="s">
        <v>94</v>
      </c>
    </row>
    <row r="43" spans="1:7" s="15" customFormat="1" x14ac:dyDescent="0.2">
      <c r="A43" s="130" t="s">
        <v>208</v>
      </c>
      <c r="B43" s="130"/>
      <c r="C43" s="130"/>
      <c r="D43" s="130"/>
      <c r="E43" s="33">
        <f t="shared" si="18"/>
        <v>-3.016E-3</v>
      </c>
      <c r="F43" s="33">
        <f t="shared" ref="F43:F47" si="19">F33</f>
        <v>-3.016E-3</v>
      </c>
      <c r="G43" s="15" t="s">
        <v>94</v>
      </c>
    </row>
    <row r="44" spans="1:7" s="15" customFormat="1" x14ac:dyDescent="0.2">
      <c r="A44" s="130" t="s">
        <v>137</v>
      </c>
      <c r="B44" s="130"/>
      <c r="C44" s="130"/>
      <c r="D44" s="130"/>
      <c r="E44" s="33">
        <f t="shared" si="18"/>
        <v>0</v>
      </c>
      <c r="F44" s="33">
        <f t="shared" si="19"/>
        <v>0</v>
      </c>
      <c r="G44" s="15" t="s">
        <v>94</v>
      </c>
    </row>
    <row r="45" spans="1:7" s="15" customFormat="1" x14ac:dyDescent="0.2">
      <c r="A45" s="333" t="s">
        <v>206</v>
      </c>
      <c r="B45" s="333"/>
      <c r="C45" s="333"/>
      <c r="D45" s="333"/>
      <c r="E45" s="33">
        <f t="shared" si="18"/>
        <v>-8.8400000000000002E-4</v>
      </c>
      <c r="F45" s="33">
        <f t="shared" si="19"/>
        <v>-8.8400000000000002E-4</v>
      </c>
      <c r="G45" s="15" t="s">
        <v>94</v>
      </c>
    </row>
    <row r="46" spans="1:7" s="15" customFormat="1" x14ac:dyDescent="0.2">
      <c r="A46" s="333" t="s">
        <v>64</v>
      </c>
      <c r="B46" s="333"/>
      <c r="C46" s="333"/>
      <c r="D46" s="333"/>
      <c r="E46" s="33">
        <f t="shared" si="18"/>
        <v>-4.17E-4</v>
      </c>
      <c r="F46" s="33">
        <f t="shared" si="19"/>
        <v>-4.17E-4</v>
      </c>
      <c r="G46" s="15" t="s">
        <v>94</v>
      </c>
    </row>
    <row r="47" spans="1:7" s="15" customFormat="1" x14ac:dyDescent="0.2">
      <c r="A47" s="333" t="s">
        <v>207</v>
      </c>
      <c r="B47" s="333"/>
      <c r="C47" s="333"/>
      <c r="D47" s="333"/>
      <c r="E47" s="33">
        <f t="shared" si="18"/>
        <v>3.1399999999999999E-4</v>
      </c>
      <c r="F47" s="33">
        <f t="shared" si="19"/>
        <v>3.1399999999999999E-4</v>
      </c>
      <c r="G47" s="15" t="s">
        <v>94</v>
      </c>
    </row>
    <row r="48" spans="1:7" s="15" customFormat="1" ht="12" thickBot="1" x14ac:dyDescent="0.25">
      <c r="A48" s="337" t="s">
        <v>96</v>
      </c>
      <c r="B48" s="337"/>
      <c r="C48" s="337"/>
      <c r="D48" s="337"/>
      <c r="E48" s="190">
        <f>SUM(E40:E47)</f>
        <v>0.11369800000000001</v>
      </c>
      <c r="F48" s="190">
        <f>SUM(F40:F47)</f>
        <v>0.11369800000000001</v>
      </c>
      <c r="G48" s="15" t="s">
        <v>94</v>
      </c>
    </row>
    <row r="49" spans="1:9" s="15" customFormat="1" ht="12" thickTop="1" x14ac:dyDescent="0.2">
      <c r="A49" s="336"/>
      <c r="B49" s="336"/>
      <c r="C49" s="336"/>
      <c r="D49" s="336"/>
      <c r="E49" s="33"/>
      <c r="F49" s="33"/>
    </row>
    <row r="50" spans="1:9" s="15" customFormat="1" x14ac:dyDescent="0.2">
      <c r="A50" s="332" t="s">
        <v>41</v>
      </c>
      <c r="B50" s="332"/>
      <c r="C50" s="332"/>
      <c r="D50" s="332"/>
      <c r="E50" s="188">
        <v>-7.3861270000000001E-3</v>
      </c>
      <c r="F50" s="188">
        <f>'Sch 194 Summary'!D18</f>
        <v>-6.689136E-3</v>
      </c>
      <c r="G50" s="189" t="s">
        <v>94</v>
      </c>
      <c r="H50" s="189"/>
    </row>
    <row r="51" spans="1:9" s="15" customFormat="1" x14ac:dyDescent="0.2">
      <c r="A51" s="336"/>
      <c r="B51" s="336"/>
      <c r="C51" s="336"/>
      <c r="D51" s="336"/>
      <c r="E51" s="33"/>
      <c r="F51" s="33"/>
    </row>
    <row r="52" spans="1:9" s="15" customFormat="1" x14ac:dyDescent="0.2">
      <c r="A52" s="336" t="s">
        <v>111</v>
      </c>
      <c r="B52" s="336"/>
      <c r="C52" s="336"/>
      <c r="D52" s="336"/>
      <c r="E52" s="33"/>
      <c r="F52" s="33"/>
      <c r="G52" s="15" t="s">
        <v>94</v>
      </c>
    </row>
    <row r="53" spans="1:9" s="15" customFormat="1" x14ac:dyDescent="0.2">
      <c r="A53" s="333" t="s">
        <v>37</v>
      </c>
      <c r="B53" s="333"/>
      <c r="C53" s="333"/>
      <c r="D53" s="333"/>
      <c r="E53" s="324">
        <v>3.3142467321893932E-3</v>
      </c>
      <c r="F53" s="33">
        <f>+E53</f>
        <v>3.3142467321893932E-3</v>
      </c>
      <c r="G53" s="15" t="s">
        <v>94</v>
      </c>
    </row>
    <row r="54" spans="1:9" s="15" customFormat="1" x14ac:dyDescent="0.2">
      <c r="A54" s="333" t="s">
        <v>209</v>
      </c>
      <c r="B54" s="333"/>
      <c r="C54" s="333"/>
      <c r="D54" s="333"/>
      <c r="E54" s="324">
        <v>2.1346263238885407E-3</v>
      </c>
      <c r="F54" s="33">
        <f>+E54</f>
        <v>2.1346263238885407E-3</v>
      </c>
      <c r="G54" s="15" t="s">
        <v>94</v>
      </c>
    </row>
    <row r="55" spans="1:9" s="15" customFormat="1" x14ac:dyDescent="0.2">
      <c r="A55" s="333" t="s">
        <v>38</v>
      </c>
      <c r="B55" s="333"/>
      <c r="C55" s="333"/>
      <c r="D55" s="333"/>
      <c r="E55" s="324">
        <v>-1.4400000000000001E-3</v>
      </c>
      <c r="F55" s="33">
        <f t="shared" ref="F55:F57" si="20">+E55</f>
        <v>-1.4400000000000001E-3</v>
      </c>
      <c r="G55" s="15" t="s">
        <v>94</v>
      </c>
    </row>
    <row r="56" spans="1:9" s="15" customFormat="1" x14ac:dyDescent="0.2">
      <c r="A56" s="333" t="s">
        <v>39</v>
      </c>
      <c r="B56" s="333"/>
      <c r="C56" s="333"/>
      <c r="D56" s="333"/>
      <c r="E56" s="324">
        <v>3.8249999999999998E-3</v>
      </c>
      <c r="F56" s="33">
        <f t="shared" si="20"/>
        <v>3.8249999999999998E-3</v>
      </c>
      <c r="G56" s="15" t="s">
        <v>94</v>
      </c>
    </row>
    <row r="57" spans="1:9" s="15" customFormat="1" x14ac:dyDescent="0.2">
      <c r="A57" s="333" t="s">
        <v>61</v>
      </c>
      <c r="B57" s="333"/>
      <c r="C57" s="333"/>
      <c r="D57" s="333"/>
      <c r="E57" s="324">
        <v>-4.3000000000000002E-5</v>
      </c>
      <c r="F57" s="33">
        <f t="shared" si="20"/>
        <v>-4.3000000000000002E-5</v>
      </c>
      <c r="G57" s="15" t="s">
        <v>94</v>
      </c>
    </row>
    <row r="58" spans="1:9" ht="12" thickBot="1" x14ac:dyDescent="0.25">
      <c r="A58" s="334" t="s">
        <v>112</v>
      </c>
      <c r="B58" s="334"/>
      <c r="C58" s="334"/>
      <c r="D58" s="334"/>
      <c r="E58" s="190">
        <f>SUM(E53:E57)</f>
        <v>7.7908730560779342E-3</v>
      </c>
      <c r="F58" s="190">
        <f>SUM(F53:F57)</f>
        <v>7.7908730560779342E-3</v>
      </c>
      <c r="G58" s="15" t="s">
        <v>94</v>
      </c>
    </row>
    <row r="59" spans="1:9" ht="12" thickTop="1" x14ac:dyDescent="0.2">
      <c r="A59" s="335"/>
      <c r="B59" s="335"/>
      <c r="C59" s="335"/>
      <c r="D59" s="335"/>
      <c r="E59" s="35"/>
      <c r="F59" s="35"/>
    </row>
    <row r="60" spans="1:9" x14ac:dyDescent="0.2">
      <c r="A60" s="334" t="s">
        <v>113</v>
      </c>
      <c r="B60" s="334"/>
      <c r="C60" s="334"/>
      <c r="D60" s="334"/>
      <c r="E60" s="35">
        <f>SUM(E38,E50:E50,E58)</f>
        <v>9.3896746056077937E-2</v>
      </c>
      <c r="F60" s="35">
        <f>SUM(F38,F50:F50,F58)</f>
        <v>9.4593737056077945E-2</v>
      </c>
      <c r="G60" s="15" t="s">
        <v>94</v>
      </c>
      <c r="I60" s="191"/>
    </row>
    <row r="61" spans="1:9" x14ac:dyDescent="0.2">
      <c r="A61" s="334" t="s">
        <v>114</v>
      </c>
      <c r="B61" s="334"/>
      <c r="C61" s="334"/>
      <c r="D61" s="334"/>
      <c r="E61" s="36">
        <f>SUM(E48,E50:E50,E58)</f>
        <v>0.11410274605607794</v>
      </c>
      <c r="F61" s="36">
        <f>SUM(F48,F50:F50,F58)</f>
        <v>0.11479973705607795</v>
      </c>
      <c r="G61" s="15" t="s">
        <v>94</v>
      </c>
      <c r="I61" s="191"/>
    </row>
    <row r="63" spans="1:9" x14ac:dyDescent="0.2">
      <c r="F63" s="37"/>
    </row>
    <row r="64" spans="1:9" x14ac:dyDescent="0.2">
      <c r="F64" s="37"/>
    </row>
    <row r="66" spans="1:14" ht="12" thickBot="1" x14ac:dyDescent="0.25"/>
    <row r="67" spans="1:14" ht="12" thickBot="1" x14ac:dyDescent="0.25">
      <c r="A67" s="231" t="s">
        <v>346</v>
      </c>
      <c r="B67" s="192"/>
      <c r="C67" s="192"/>
      <c r="D67" s="192"/>
      <c r="E67" s="193"/>
    </row>
    <row r="68" spans="1:14" ht="34.5" thickBot="1" x14ac:dyDescent="0.25">
      <c r="A68" s="194" t="s">
        <v>67</v>
      </c>
      <c r="B68" s="194" t="s">
        <v>210</v>
      </c>
      <c r="C68" s="194" t="s">
        <v>115</v>
      </c>
      <c r="D68" s="194" t="s">
        <v>116</v>
      </c>
      <c r="E68" s="195" t="s">
        <v>117</v>
      </c>
      <c r="F68" s="17"/>
      <c r="G68" s="17"/>
      <c r="H68" s="17"/>
      <c r="I68" s="17"/>
      <c r="J68" s="17"/>
      <c r="K68" s="17"/>
      <c r="L68" s="17"/>
      <c r="M68" s="17"/>
      <c r="N68" s="17"/>
    </row>
    <row r="69" spans="1:14" x14ac:dyDescent="0.2">
      <c r="A69" s="196">
        <v>2022</v>
      </c>
      <c r="B69" s="196">
        <v>1</v>
      </c>
      <c r="C69" s="227">
        <v>1277861911.52544</v>
      </c>
      <c r="D69" s="227">
        <v>1062183.1490076701</v>
      </c>
      <c r="E69" s="197">
        <f>ROUND(+C69/D69,0)</f>
        <v>1203</v>
      </c>
    </row>
    <row r="70" spans="1:14" x14ac:dyDescent="0.2">
      <c r="A70" s="196">
        <v>2022</v>
      </c>
      <c r="B70" s="196">
        <v>2</v>
      </c>
      <c r="C70" s="227">
        <v>1039620393.60254</v>
      </c>
      <c r="D70" s="227">
        <v>1063051.91627604</v>
      </c>
      <c r="E70" s="197">
        <f t="shared" ref="E70:E80" si="21">ROUND(+C70/D70,0)</f>
        <v>978</v>
      </c>
    </row>
    <row r="71" spans="1:14" x14ac:dyDescent="0.2">
      <c r="A71" s="196">
        <v>2022</v>
      </c>
      <c r="B71" s="196">
        <v>3</v>
      </c>
      <c r="C71" s="227">
        <v>1081049071.26068</v>
      </c>
      <c r="D71" s="227">
        <v>1063920.6835444099</v>
      </c>
      <c r="E71" s="197">
        <f t="shared" si="21"/>
        <v>1016</v>
      </c>
    </row>
    <row r="72" spans="1:14" x14ac:dyDescent="0.2">
      <c r="A72" s="196">
        <v>2022</v>
      </c>
      <c r="B72" s="196">
        <v>4</v>
      </c>
      <c r="C72" s="227">
        <v>854063060.04085302</v>
      </c>
      <c r="D72" s="227">
        <v>1064789.4508127901</v>
      </c>
      <c r="E72" s="197">
        <f t="shared" si="21"/>
        <v>802</v>
      </c>
    </row>
    <row r="73" spans="1:14" x14ac:dyDescent="0.2">
      <c r="A73" s="196">
        <v>2022</v>
      </c>
      <c r="B73" s="196">
        <v>5</v>
      </c>
      <c r="C73" s="227">
        <v>775896708.12149692</v>
      </c>
      <c r="D73" s="227">
        <v>1065578.7917718501</v>
      </c>
      <c r="E73" s="197">
        <f t="shared" si="21"/>
        <v>728</v>
      </c>
    </row>
    <row r="74" spans="1:14" x14ac:dyDescent="0.2">
      <c r="A74" s="196">
        <v>2022</v>
      </c>
      <c r="B74" s="196">
        <v>6</v>
      </c>
      <c r="C74" s="227">
        <v>678627395.34231293</v>
      </c>
      <c r="D74" s="227">
        <v>1066368.1327309201</v>
      </c>
      <c r="E74" s="197">
        <f t="shared" si="21"/>
        <v>636</v>
      </c>
    </row>
    <row r="75" spans="1:14" x14ac:dyDescent="0.2">
      <c r="A75" s="196">
        <v>2022</v>
      </c>
      <c r="B75" s="196">
        <v>7</v>
      </c>
      <c r="C75" s="227">
        <v>678654282.73043704</v>
      </c>
      <c r="D75" s="227">
        <v>1067157.4736899899</v>
      </c>
      <c r="E75" s="197">
        <f t="shared" si="21"/>
        <v>636</v>
      </c>
    </row>
    <row r="76" spans="1:14" x14ac:dyDescent="0.2">
      <c r="A76" s="196">
        <v>2022</v>
      </c>
      <c r="B76" s="196">
        <v>8</v>
      </c>
      <c r="C76" s="227">
        <v>701212241.43055105</v>
      </c>
      <c r="D76" s="227">
        <v>1068496.6780677701</v>
      </c>
      <c r="E76" s="197">
        <f t="shared" si="21"/>
        <v>656</v>
      </c>
    </row>
    <row r="77" spans="1:14" x14ac:dyDescent="0.2">
      <c r="A77" s="196">
        <v>2022</v>
      </c>
      <c r="B77" s="196">
        <v>9</v>
      </c>
      <c r="C77" s="227">
        <v>663086013.77535295</v>
      </c>
      <c r="D77" s="227">
        <v>1069835.8824455601</v>
      </c>
      <c r="E77" s="197">
        <f t="shared" si="21"/>
        <v>620</v>
      </c>
    </row>
    <row r="78" spans="1:14" x14ac:dyDescent="0.2">
      <c r="A78" s="196">
        <v>2022</v>
      </c>
      <c r="B78" s="196">
        <v>10</v>
      </c>
      <c r="C78" s="227">
        <v>834227471.02377009</v>
      </c>
      <c r="D78" s="227">
        <v>1071175.0868233501</v>
      </c>
      <c r="E78" s="197">
        <f t="shared" si="21"/>
        <v>779</v>
      </c>
    </row>
    <row r="79" spans="1:14" x14ac:dyDescent="0.2">
      <c r="A79" s="196">
        <v>2021</v>
      </c>
      <c r="B79" s="196">
        <v>11</v>
      </c>
      <c r="C79" s="227">
        <v>1046685188.4328599</v>
      </c>
      <c r="D79" s="227">
        <v>1059027.81269869</v>
      </c>
      <c r="E79" s="197">
        <f t="shared" si="21"/>
        <v>988</v>
      </c>
    </row>
    <row r="80" spans="1:14" x14ac:dyDescent="0.2">
      <c r="A80" s="196">
        <v>2021</v>
      </c>
      <c r="B80" s="196">
        <v>12</v>
      </c>
      <c r="C80" s="227">
        <v>1249425675.10097</v>
      </c>
      <c r="D80" s="227">
        <v>1060605.4808531799</v>
      </c>
      <c r="E80" s="197">
        <f t="shared" si="21"/>
        <v>1178</v>
      </c>
    </row>
    <row r="81" spans="1:5" ht="12" thickBot="1" x14ac:dyDescent="0.25">
      <c r="A81" s="198"/>
      <c r="B81" s="228" t="s">
        <v>14</v>
      </c>
      <c r="C81" s="229">
        <f>SUM(C69:C80)</f>
        <v>10880409412.387264</v>
      </c>
      <c r="D81" s="229">
        <f>SUM(D69:D80)</f>
        <v>12782190.538722221</v>
      </c>
      <c r="E81" s="230">
        <f>SUM(E69:E80)</f>
        <v>10220</v>
      </c>
    </row>
    <row r="82" spans="1:5" ht="12" thickTop="1" x14ac:dyDescent="0.2">
      <c r="A82" s="198"/>
      <c r="B82" s="198"/>
      <c r="C82" s="198"/>
      <c r="D82" s="198"/>
      <c r="E82" s="197"/>
    </row>
    <row r="83" spans="1:5" ht="12" thickBot="1" x14ac:dyDescent="0.25">
      <c r="A83" s="199"/>
      <c r="B83" s="199" t="s">
        <v>62</v>
      </c>
      <c r="C83" s="200"/>
      <c r="D83" s="200"/>
      <c r="E83" s="201">
        <f>ROUND(AVERAGE(E69:E80),0)</f>
        <v>852</v>
      </c>
    </row>
  </sheetData>
  <mergeCells count="36">
    <mergeCell ref="A60:D60"/>
    <mergeCell ref="A61:D61"/>
    <mergeCell ref="C5:F5"/>
    <mergeCell ref="H5:K5"/>
    <mergeCell ref="A26:D26"/>
    <mergeCell ref="A27:D27"/>
    <mergeCell ref="A28:D28"/>
    <mergeCell ref="A29:D29"/>
    <mergeCell ref="A30:D30"/>
    <mergeCell ref="A31:D31"/>
    <mergeCell ref="A32:D32"/>
    <mergeCell ref="A39:D39"/>
    <mergeCell ref="A33:D33"/>
    <mergeCell ref="A34:D34"/>
    <mergeCell ref="A35:D35"/>
    <mergeCell ref="A36:D36"/>
    <mergeCell ref="A37:D37"/>
    <mergeCell ref="A38:D38"/>
    <mergeCell ref="A40:D40"/>
    <mergeCell ref="A41:D41"/>
    <mergeCell ref="A42:D42"/>
    <mergeCell ref="A47:D47"/>
    <mergeCell ref="A48:D48"/>
    <mergeCell ref="A45:D45"/>
    <mergeCell ref="A46:D46"/>
    <mergeCell ref="A49:D49"/>
    <mergeCell ref="A50:D50"/>
    <mergeCell ref="A57:D57"/>
    <mergeCell ref="A58:D58"/>
    <mergeCell ref="A59:D59"/>
    <mergeCell ref="A56:D56"/>
    <mergeCell ref="A51:D51"/>
    <mergeCell ref="A52:D52"/>
    <mergeCell ref="A53:D53"/>
    <mergeCell ref="A54:D54"/>
    <mergeCell ref="A55:D55"/>
  </mergeCells>
  <printOptions horizontalCentered="1"/>
  <pageMargins left="0.75" right="0.75" top="1" bottom="1" header="0.5" footer="0.5"/>
  <pageSetup scale="46" orientation="landscape" cellComments="asDisplayed" horizontalDpi="300" verticalDpi="300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selection activeCell="G6" sqref="G6"/>
    </sheetView>
  </sheetViews>
  <sheetFormatPr defaultColWidth="8.7109375" defaultRowHeight="11.25" x14ac:dyDescent="0.2"/>
  <cols>
    <col min="1" max="1" width="7.7109375" style="28" bestFit="1" customWidth="1"/>
    <col min="2" max="2" width="10.28515625" style="28" bestFit="1" customWidth="1"/>
    <col min="3" max="3" width="21" style="28" bestFit="1" customWidth="1"/>
    <col min="4" max="4" width="16.28515625" style="28" customWidth="1"/>
    <col min="5" max="5" width="12" style="28" bestFit="1" customWidth="1"/>
    <col min="6" max="6" width="11.7109375" style="28" customWidth="1"/>
    <col min="7" max="7" width="11.5703125" style="28" bestFit="1" customWidth="1"/>
    <col min="8" max="8" width="13.28515625" style="28" bestFit="1" customWidth="1"/>
    <col min="9" max="9" width="10" style="28" bestFit="1" customWidth="1"/>
    <col min="10" max="10" width="11.28515625" style="28" bestFit="1" customWidth="1"/>
    <col min="11" max="16384" width="8.7109375" style="28"/>
  </cols>
  <sheetData>
    <row r="1" spans="1:8" x14ac:dyDescent="0.2">
      <c r="A1" s="340" t="s">
        <v>0</v>
      </c>
      <c r="B1" s="340"/>
      <c r="C1" s="340"/>
      <c r="D1" s="340"/>
      <c r="E1" s="340"/>
      <c r="F1" s="340"/>
      <c r="G1" s="340"/>
      <c r="H1" s="340"/>
    </row>
    <row r="2" spans="1:8" x14ac:dyDescent="0.2">
      <c r="A2" s="341" t="s">
        <v>212</v>
      </c>
      <c r="B2" s="340"/>
      <c r="C2" s="340"/>
      <c r="D2" s="340"/>
      <c r="E2" s="340"/>
      <c r="F2" s="340"/>
      <c r="G2" s="340"/>
      <c r="H2" s="340"/>
    </row>
    <row r="3" spans="1:8" x14ac:dyDescent="0.2">
      <c r="A3" s="340" t="s">
        <v>213</v>
      </c>
      <c r="B3" s="340"/>
      <c r="C3" s="340"/>
      <c r="D3" s="340"/>
      <c r="E3" s="340"/>
      <c r="F3" s="340"/>
      <c r="G3" s="340"/>
      <c r="H3" s="340"/>
    </row>
    <row r="4" spans="1:8" x14ac:dyDescent="0.2">
      <c r="A4" s="340"/>
      <c r="B4" s="340"/>
      <c r="C4" s="340"/>
      <c r="D4" s="340"/>
      <c r="E4" s="340"/>
      <c r="F4" s="340"/>
      <c r="G4" s="340"/>
      <c r="H4" s="340"/>
    </row>
    <row r="5" spans="1:8" x14ac:dyDescent="0.2">
      <c r="A5" s="203"/>
      <c r="B5" s="204"/>
      <c r="C5" s="204"/>
      <c r="D5" s="204"/>
      <c r="E5" s="204"/>
      <c r="F5" s="204"/>
      <c r="G5" s="205"/>
      <c r="H5" s="205" t="s">
        <v>214</v>
      </c>
    </row>
    <row r="6" spans="1:8" ht="56.25" x14ac:dyDescent="0.2">
      <c r="A6" s="206" t="s">
        <v>3</v>
      </c>
      <c r="B6" s="206" t="s">
        <v>122</v>
      </c>
      <c r="C6" s="206" t="s">
        <v>4</v>
      </c>
      <c r="D6" s="207" t="s">
        <v>328</v>
      </c>
      <c r="E6" s="208" t="s">
        <v>320</v>
      </c>
      <c r="F6" s="208" t="s">
        <v>215</v>
      </c>
      <c r="G6" s="208" t="s">
        <v>319</v>
      </c>
      <c r="H6" s="208" t="s">
        <v>216</v>
      </c>
    </row>
    <row r="7" spans="1:8" x14ac:dyDescent="0.2">
      <c r="A7" s="209">
        <v>1</v>
      </c>
      <c r="B7" s="209">
        <v>7</v>
      </c>
      <c r="C7" s="30"/>
      <c r="D7" s="223">
        <v>10880408000</v>
      </c>
      <c r="E7" s="211">
        <v>-7.3861270000000001E-3</v>
      </c>
      <c r="F7" s="212">
        <f>ROUND(D7*E7,-3)</f>
        <v>-80364000</v>
      </c>
      <c r="G7" s="211">
        <f>'Sch 194 Summary'!$D$18</f>
        <v>-6.689136E-3</v>
      </c>
      <c r="H7" s="212">
        <f>ROUND(D7*G7,-3)</f>
        <v>-72781000</v>
      </c>
    </row>
    <row r="8" spans="1:8" x14ac:dyDescent="0.2">
      <c r="A8" s="209">
        <f t="shared" ref="A8:A38" si="0">+A7+1</f>
        <v>2</v>
      </c>
      <c r="B8" s="213" t="s">
        <v>217</v>
      </c>
      <c r="C8" s="30"/>
      <c r="D8" s="223">
        <v>2497000</v>
      </c>
      <c r="E8" s="211">
        <v>-7.3861270000000001E-3</v>
      </c>
      <c r="F8" s="212">
        <f>ROUND(D8*E8,-3)</f>
        <v>-18000</v>
      </c>
      <c r="G8" s="211">
        <f>'Sch 194 Summary'!$D$18</f>
        <v>-6.689136E-3</v>
      </c>
      <c r="H8" s="212">
        <f>ROUND(D8*G8,-3)</f>
        <v>-17000</v>
      </c>
    </row>
    <row r="9" spans="1:8" x14ac:dyDescent="0.2">
      <c r="A9" s="209">
        <f t="shared" si="0"/>
        <v>3</v>
      </c>
      <c r="B9" s="209"/>
      <c r="C9" s="30" t="s">
        <v>125</v>
      </c>
      <c r="D9" s="214">
        <f>SUM(D7:D8)</f>
        <v>10882905000</v>
      </c>
      <c r="E9" s="215"/>
      <c r="F9" s="216">
        <f>SUM(F7:F8)</f>
        <v>-80382000</v>
      </c>
      <c r="G9" s="215"/>
      <c r="H9" s="216">
        <f>SUM(H7:H8)</f>
        <v>-72798000</v>
      </c>
    </row>
    <row r="10" spans="1:8" x14ac:dyDescent="0.2">
      <c r="A10" s="209">
        <f t="shared" si="0"/>
        <v>4</v>
      </c>
      <c r="B10" s="209"/>
      <c r="C10" s="30"/>
      <c r="D10" s="210"/>
      <c r="E10" s="217"/>
      <c r="F10" s="212"/>
      <c r="G10" s="217"/>
      <c r="H10" s="212"/>
    </row>
    <row r="11" spans="1:8" x14ac:dyDescent="0.2">
      <c r="A11" s="209">
        <f t="shared" si="0"/>
        <v>5</v>
      </c>
      <c r="B11" s="209">
        <v>8</v>
      </c>
      <c r="C11" s="30"/>
      <c r="D11" s="223">
        <v>235165000</v>
      </c>
      <c r="E11" s="211">
        <v>-7.3861270000000001E-3</v>
      </c>
      <c r="F11" s="212">
        <f t="shared" ref="F11:F17" si="1">ROUND(D11*E11,-3)</f>
        <v>-1737000</v>
      </c>
      <c r="G11" s="211">
        <f>'Sch 194 Summary'!$D$18</f>
        <v>-6.689136E-3</v>
      </c>
      <c r="H11" s="212">
        <f t="shared" ref="H11:H17" si="2">ROUND(D11*G11,-3)</f>
        <v>-1573000</v>
      </c>
    </row>
    <row r="12" spans="1:8" x14ac:dyDescent="0.2">
      <c r="A12" s="209">
        <f t="shared" si="0"/>
        <v>6</v>
      </c>
      <c r="B12" s="209">
        <v>24</v>
      </c>
      <c r="C12" s="30"/>
      <c r="D12" s="223">
        <v>2376977000</v>
      </c>
      <c r="E12" s="218">
        <v>0</v>
      </c>
      <c r="F12" s="212">
        <f t="shared" si="1"/>
        <v>0</v>
      </c>
      <c r="G12" s="218">
        <v>0</v>
      </c>
      <c r="H12" s="212">
        <f t="shared" si="2"/>
        <v>0</v>
      </c>
    </row>
    <row r="13" spans="1:8" x14ac:dyDescent="0.2">
      <c r="A13" s="209">
        <f t="shared" si="0"/>
        <v>7</v>
      </c>
      <c r="B13" s="213">
        <v>11</v>
      </c>
      <c r="C13" s="30"/>
      <c r="D13" s="223">
        <v>132675000</v>
      </c>
      <c r="E13" s="211">
        <v>-7.3861270000000001E-3</v>
      </c>
      <c r="F13" s="212">
        <f t="shared" si="1"/>
        <v>-980000</v>
      </c>
      <c r="G13" s="211">
        <f>'Sch 194 Summary'!$D$18</f>
        <v>-6.689136E-3</v>
      </c>
      <c r="H13" s="212">
        <f t="shared" si="2"/>
        <v>-887000</v>
      </c>
    </row>
    <row r="14" spans="1:8" x14ac:dyDescent="0.2">
      <c r="A14" s="209">
        <f t="shared" si="0"/>
        <v>8</v>
      </c>
      <c r="B14" s="213">
        <v>25</v>
      </c>
      <c r="C14" s="30"/>
      <c r="D14" s="223">
        <v>2684991000</v>
      </c>
      <c r="E14" s="218">
        <v>0</v>
      </c>
      <c r="F14" s="212">
        <f t="shared" si="1"/>
        <v>0</v>
      </c>
      <c r="G14" s="218">
        <v>0</v>
      </c>
      <c r="H14" s="212">
        <f t="shared" si="2"/>
        <v>0</v>
      </c>
    </row>
    <row r="15" spans="1:8" x14ac:dyDescent="0.2">
      <c r="A15" s="209">
        <f t="shared" si="0"/>
        <v>9</v>
      </c>
      <c r="B15" s="209">
        <v>12</v>
      </c>
      <c r="C15" s="30"/>
      <c r="D15" s="223">
        <v>16899000</v>
      </c>
      <c r="E15" s="211">
        <v>-7.3861270000000001E-3</v>
      </c>
      <c r="F15" s="212">
        <f t="shared" si="1"/>
        <v>-125000</v>
      </c>
      <c r="G15" s="211">
        <f>'Sch 194 Summary'!$D$18</f>
        <v>-6.689136E-3</v>
      </c>
      <c r="H15" s="212">
        <f t="shared" si="2"/>
        <v>-113000</v>
      </c>
    </row>
    <row r="16" spans="1:8" x14ac:dyDescent="0.2">
      <c r="A16" s="209">
        <f t="shared" si="0"/>
        <v>10</v>
      </c>
      <c r="B16" s="209" t="s">
        <v>218</v>
      </c>
      <c r="C16" s="30"/>
      <c r="D16" s="223">
        <v>1763806000</v>
      </c>
      <c r="E16" s="218">
        <v>0</v>
      </c>
      <c r="F16" s="212">
        <f t="shared" si="1"/>
        <v>0</v>
      </c>
      <c r="G16" s="218">
        <v>0</v>
      </c>
      <c r="H16" s="212">
        <f t="shared" si="2"/>
        <v>0</v>
      </c>
    </row>
    <row r="17" spans="1:8" x14ac:dyDescent="0.2">
      <c r="A17" s="209">
        <f t="shared" si="0"/>
        <v>11</v>
      </c>
      <c r="B17" s="209">
        <v>29</v>
      </c>
      <c r="C17" s="30"/>
      <c r="D17" s="223">
        <v>14316000</v>
      </c>
      <c r="E17" s="211">
        <v>-7.3861270000000001E-3</v>
      </c>
      <c r="F17" s="212">
        <f t="shared" si="1"/>
        <v>-106000</v>
      </c>
      <c r="G17" s="211">
        <f>'Sch 194 Summary'!$D$18</f>
        <v>-6.689136E-3</v>
      </c>
      <c r="H17" s="212">
        <f t="shared" si="2"/>
        <v>-96000</v>
      </c>
    </row>
    <row r="18" spans="1:8" x14ac:dyDescent="0.2">
      <c r="A18" s="209">
        <f t="shared" si="0"/>
        <v>12</v>
      </c>
      <c r="B18" s="209"/>
      <c r="C18" s="219" t="s">
        <v>219</v>
      </c>
      <c r="D18" s="214">
        <f>SUM(D11:D17)</f>
        <v>7224829000</v>
      </c>
      <c r="E18" s="215"/>
      <c r="F18" s="216">
        <f>SUM(F11:F17)</f>
        <v>-2948000</v>
      </c>
      <c r="G18" s="215"/>
      <c r="H18" s="216">
        <f>SUM(H11:H17)</f>
        <v>-2669000</v>
      </c>
    </row>
    <row r="19" spans="1:8" x14ac:dyDescent="0.2">
      <c r="A19" s="209">
        <f t="shared" si="0"/>
        <v>13</v>
      </c>
      <c r="B19" s="209"/>
      <c r="C19" s="30"/>
      <c r="D19" s="210"/>
      <c r="E19" s="217"/>
      <c r="F19" s="212"/>
      <c r="G19" s="217"/>
      <c r="H19" s="212"/>
    </row>
    <row r="20" spans="1:8" x14ac:dyDescent="0.2">
      <c r="A20" s="209">
        <f t="shared" si="0"/>
        <v>14</v>
      </c>
      <c r="B20" s="209">
        <v>10</v>
      </c>
      <c r="C20" s="30"/>
      <c r="D20" s="223">
        <v>26886000</v>
      </c>
      <c r="E20" s="211">
        <v>-7.3861270000000001E-3</v>
      </c>
      <c r="F20" s="212">
        <f t="shared" ref="F20:F23" si="3">ROUND(D20*E20,-3)</f>
        <v>-199000</v>
      </c>
      <c r="G20" s="211">
        <f>'Sch 194 Summary'!$D$18</f>
        <v>-6.689136E-3</v>
      </c>
      <c r="H20" s="212">
        <f>ROUND(D20*G20,-3)</f>
        <v>-180000</v>
      </c>
    </row>
    <row r="21" spans="1:8" x14ac:dyDescent="0.2">
      <c r="A21" s="209">
        <f t="shared" si="0"/>
        <v>15</v>
      </c>
      <c r="B21" s="209">
        <v>31</v>
      </c>
      <c r="C21" s="30"/>
      <c r="D21" s="223">
        <v>1288057000</v>
      </c>
      <c r="E21" s="218">
        <v>0</v>
      </c>
      <c r="F21" s="212">
        <f t="shared" si="3"/>
        <v>0</v>
      </c>
      <c r="G21" s="218">
        <v>0</v>
      </c>
      <c r="H21" s="212">
        <f>ROUND(D21*G21,-3)</f>
        <v>0</v>
      </c>
    </row>
    <row r="22" spans="1:8" x14ac:dyDescent="0.2">
      <c r="A22" s="209">
        <f t="shared" si="0"/>
        <v>16</v>
      </c>
      <c r="B22" s="209">
        <v>35</v>
      </c>
      <c r="C22" s="30"/>
      <c r="D22" s="223">
        <v>4555000</v>
      </c>
      <c r="E22" s="211">
        <v>-7.3861270000000001E-3</v>
      </c>
      <c r="F22" s="212">
        <f t="shared" si="3"/>
        <v>-34000</v>
      </c>
      <c r="G22" s="211">
        <f>'Sch 194 Summary'!$D$18</f>
        <v>-6.689136E-3</v>
      </c>
      <c r="H22" s="212">
        <f>ROUND(D22*G22,-3)</f>
        <v>-30000</v>
      </c>
    </row>
    <row r="23" spans="1:8" x14ac:dyDescent="0.2">
      <c r="A23" s="209">
        <f t="shared" si="0"/>
        <v>17</v>
      </c>
      <c r="B23" s="209">
        <v>43</v>
      </c>
      <c r="C23" s="30"/>
      <c r="D23" s="223">
        <v>114055000</v>
      </c>
      <c r="E23" s="218">
        <v>0</v>
      </c>
      <c r="F23" s="212">
        <f t="shared" si="3"/>
        <v>0</v>
      </c>
      <c r="G23" s="218">
        <v>0</v>
      </c>
      <c r="H23" s="212">
        <f>ROUND(D23*G23,-3)</f>
        <v>0</v>
      </c>
    </row>
    <row r="24" spans="1:8" x14ac:dyDescent="0.2">
      <c r="A24" s="209">
        <f t="shared" si="0"/>
        <v>18</v>
      </c>
      <c r="B24" s="209"/>
      <c r="C24" s="30" t="s">
        <v>220</v>
      </c>
      <c r="D24" s="214">
        <f>SUM(D20:D23)</f>
        <v>1433553000</v>
      </c>
      <c r="E24" s="215"/>
      <c r="F24" s="216">
        <f>SUM(F20:F23)</f>
        <v>-233000</v>
      </c>
      <c r="G24" s="215"/>
      <c r="H24" s="216">
        <f>SUM(H20:H23)</f>
        <v>-210000</v>
      </c>
    </row>
    <row r="25" spans="1:8" x14ac:dyDescent="0.2">
      <c r="A25" s="209">
        <f t="shared" si="0"/>
        <v>19</v>
      </c>
      <c r="B25" s="209"/>
      <c r="C25" s="30"/>
      <c r="D25" s="210"/>
      <c r="E25" s="217"/>
      <c r="F25" s="212"/>
      <c r="G25" s="217"/>
      <c r="H25" s="212"/>
    </row>
    <row r="26" spans="1:8" x14ac:dyDescent="0.2">
      <c r="A26" s="209">
        <f t="shared" si="0"/>
        <v>20</v>
      </c>
      <c r="B26" s="209">
        <v>46</v>
      </c>
      <c r="C26" s="30"/>
      <c r="D26" s="223">
        <v>79054000</v>
      </c>
      <c r="E26" s="218">
        <v>0</v>
      </c>
      <c r="F26" s="212">
        <f t="shared" ref="F26:F27" si="4">ROUND(D26*E26,-3)</f>
        <v>0</v>
      </c>
      <c r="G26" s="218">
        <v>0</v>
      </c>
      <c r="H26" s="212">
        <f>ROUND(D26*G26,-3)</f>
        <v>0</v>
      </c>
    </row>
    <row r="27" spans="1:8" x14ac:dyDescent="0.2">
      <c r="A27" s="209">
        <f t="shared" si="0"/>
        <v>21</v>
      </c>
      <c r="B27" s="209">
        <v>49</v>
      </c>
      <c r="C27" s="30"/>
      <c r="D27" s="223">
        <v>503556000</v>
      </c>
      <c r="E27" s="218">
        <v>0</v>
      </c>
      <c r="F27" s="212">
        <f t="shared" si="4"/>
        <v>0</v>
      </c>
      <c r="G27" s="218">
        <v>0</v>
      </c>
      <c r="H27" s="212">
        <f>ROUND(D27*G27,-3)</f>
        <v>0</v>
      </c>
    </row>
    <row r="28" spans="1:8" x14ac:dyDescent="0.2">
      <c r="A28" s="209">
        <f t="shared" si="0"/>
        <v>22</v>
      </c>
      <c r="B28" s="209"/>
      <c r="C28" s="30" t="s">
        <v>140</v>
      </c>
      <c r="D28" s="214">
        <f>SUM(D26:D27)</f>
        <v>582610000</v>
      </c>
      <c r="E28" s="215"/>
      <c r="F28" s="216">
        <f>SUM(F26:F27)</f>
        <v>0</v>
      </c>
      <c r="G28" s="215"/>
      <c r="H28" s="216">
        <f>SUM(H26:H27)</f>
        <v>0</v>
      </c>
    </row>
    <row r="29" spans="1:8" x14ac:dyDescent="0.2">
      <c r="A29" s="209">
        <f t="shared" si="0"/>
        <v>23</v>
      </c>
      <c r="B29" s="209"/>
      <c r="C29" s="30"/>
      <c r="D29" s="210"/>
      <c r="E29" s="217"/>
      <c r="F29" s="212"/>
      <c r="G29" s="217"/>
      <c r="H29" s="212"/>
    </row>
    <row r="30" spans="1:8" x14ac:dyDescent="0.2">
      <c r="A30" s="209">
        <f t="shared" si="0"/>
        <v>24</v>
      </c>
      <c r="B30" s="209" t="s">
        <v>221</v>
      </c>
      <c r="C30" s="30"/>
      <c r="D30" s="223">
        <v>63105000</v>
      </c>
      <c r="E30" s="218">
        <v>0</v>
      </c>
      <c r="F30" s="212">
        <f t="shared" ref="F30:F31" si="5">ROUND(D30*E30,-3)</f>
        <v>0</v>
      </c>
      <c r="G30" s="218">
        <v>0</v>
      </c>
      <c r="H30" s="212">
        <f>ROUND(D30*G30,-3)</f>
        <v>0</v>
      </c>
    </row>
    <row r="31" spans="1:8" x14ac:dyDescent="0.2">
      <c r="A31" s="209">
        <f t="shared" si="0"/>
        <v>25</v>
      </c>
      <c r="B31" s="209" t="s">
        <v>222</v>
      </c>
      <c r="C31" s="30"/>
      <c r="D31" s="223">
        <v>1783000</v>
      </c>
      <c r="E31" s="211">
        <v>-7.3861270000000001E-3</v>
      </c>
      <c r="F31" s="212">
        <f t="shared" si="5"/>
        <v>-13000</v>
      </c>
      <c r="G31" s="211">
        <f>'Sch 194 Summary'!$D$18</f>
        <v>-6.689136E-3</v>
      </c>
      <c r="H31" s="212">
        <f>ROUND(D31*G31,-3)</f>
        <v>-12000</v>
      </c>
    </row>
    <row r="32" spans="1:8" x14ac:dyDescent="0.2">
      <c r="A32" s="209">
        <f t="shared" si="0"/>
        <v>26</v>
      </c>
      <c r="B32" s="209"/>
      <c r="C32" s="30" t="s">
        <v>223</v>
      </c>
      <c r="D32" s="214">
        <f>SUM(D30:D31)</f>
        <v>64888000</v>
      </c>
      <c r="E32" s="215"/>
      <c r="F32" s="216">
        <f>SUM(F30:F31)</f>
        <v>-13000</v>
      </c>
      <c r="G32" s="215"/>
      <c r="H32" s="216">
        <f>SUM(H30:H31)</f>
        <v>-12000</v>
      </c>
    </row>
    <row r="33" spans="1:8" x14ac:dyDescent="0.2">
      <c r="A33" s="209">
        <f t="shared" si="0"/>
        <v>27</v>
      </c>
      <c r="B33" s="209"/>
      <c r="C33" s="30"/>
      <c r="D33" s="210"/>
      <c r="E33" s="30"/>
      <c r="F33" s="212"/>
      <c r="G33" s="30"/>
      <c r="H33" s="212"/>
    </row>
    <row r="34" spans="1:8" x14ac:dyDescent="0.2">
      <c r="A34" s="209">
        <f t="shared" si="0"/>
        <v>28</v>
      </c>
      <c r="B34" s="209" t="s">
        <v>224</v>
      </c>
      <c r="C34" s="30" t="s">
        <v>225</v>
      </c>
      <c r="D34" s="223">
        <v>1899049000</v>
      </c>
      <c r="E34" s="218">
        <v>0</v>
      </c>
      <c r="F34" s="212">
        <f t="shared" ref="F34:F36" si="6">ROUND(D34*E34,-3)</f>
        <v>0</v>
      </c>
      <c r="G34" s="218">
        <v>0</v>
      </c>
      <c r="H34" s="212">
        <f>ROUND(D34*G34,-3)</f>
        <v>0</v>
      </c>
    </row>
    <row r="35" spans="1:8" x14ac:dyDescent="0.2">
      <c r="A35" s="209">
        <f t="shared" si="0"/>
        <v>29</v>
      </c>
      <c r="B35" s="209" t="s">
        <v>198</v>
      </c>
      <c r="C35" s="30" t="s">
        <v>143</v>
      </c>
      <c r="D35" s="223">
        <v>289426000</v>
      </c>
      <c r="E35" s="218">
        <v>0</v>
      </c>
      <c r="F35" s="212">
        <f t="shared" si="6"/>
        <v>0</v>
      </c>
      <c r="G35" s="218">
        <v>0</v>
      </c>
      <c r="H35" s="212">
        <f>ROUND(D35*G35,-3)</f>
        <v>0</v>
      </c>
    </row>
    <row r="36" spans="1:8" x14ac:dyDescent="0.2">
      <c r="A36" s="209">
        <f t="shared" si="0"/>
        <v>30</v>
      </c>
      <c r="B36" s="209">
        <v>5</v>
      </c>
      <c r="C36" s="30" t="s">
        <v>226</v>
      </c>
      <c r="D36" s="223">
        <v>7513000</v>
      </c>
      <c r="E36" s="218">
        <v>0</v>
      </c>
      <c r="F36" s="212">
        <f t="shared" si="6"/>
        <v>0</v>
      </c>
      <c r="G36" s="218">
        <v>0</v>
      </c>
      <c r="H36" s="212">
        <f>ROUND(D36*G36,-3)</f>
        <v>0</v>
      </c>
    </row>
    <row r="37" spans="1:8" x14ac:dyDescent="0.2">
      <c r="A37" s="209">
        <f t="shared" si="0"/>
        <v>31</v>
      </c>
      <c r="B37" s="209"/>
      <c r="C37" s="30"/>
      <c r="D37" s="210"/>
      <c r="E37" s="30"/>
      <c r="F37" s="212"/>
      <c r="G37" s="30"/>
      <c r="H37" s="212"/>
    </row>
    <row r="38" spans="1:8" ht="12" thickBot="1" x14ac:dyDescent="0.25">
      <c r="A38" s="209">
        <f t="shared" si="0"/>
        <v>32</v>
      </c>
      <c r="B38" s="209"/>
      <c r="C38" s="219" t="s">
        <v>145</v>
      </c>
      <c r="D38" s="220">
        <f>SUM(D34:D36,D32,D28,D24,D18,D9)</f>
        <v>22384773000</v>
      </c>
      <c r="E38" s="30"/>
      <c r="F38" s="221">
        <f>SUM(F34:F36,F32,F28,F24,F18,F9)</f>
        <v>-83576000</v>
      </c>
      <c r="G38" s="30"/>
      <c r="H38" s="221">
        <f>SUM(H34:H36,H32,H28,H24,H18,H9)</f>
        <v>-75689000</v>
      </c>
    </row>
    <row r="39" spans="1:8" ht="12" thickTop="1" x14ac:dyDescent="0.2">
      <c r="D39" s="30"/>
      <c r="E39" s="30"/>
      <c r="F39" s="30"/>
    </row>
    <row r="40" spans="1:8" x14ac:dyDescent="0.2">
      <c r="D40" s="222"/>
      <c r="E40" s="222"/>
      <c r="F40" s="222"/>
    </row>
    <row r="41" spans="1:8" x14ac:dyDescent="0.2">
      <c r="D41" s="222"/>
      <c r="E41" s="222"/>
      <c r="F41" s="222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"/>
  <sheetViews>
    <sheetView workbookViewId="0">
      <selection activeCell="I33" sqref="I33"/>
    </sheetView>
  </sheetViews>
  <sheetFormatPr defaultRowHeight="12.75" x14ac:dyDescent="0.2"/>
  <sheetData/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14"/>
  <sheetViews>
    <sheetView workbookViewId="0">
      <pane xSplit="2" ySplit="7" topLeftCell="C8" activePane="bottomRight" state="frozen"/>
      <selection activeCell="A3" sqref="A3:P3"/>
      <selection pane="topRight" activeCell="A3" sqref="A3:P3"/>
      <selection pane="bottomLeft" activeCell="A3" sqref="A3:P3"/>
      <selection pane="bottomRight" activeCell="C14" sqref="C14"/>
    </sheetView>
  </sheetViews>
  <sheetFormatPr defaultColWidth="9.140625" defaultRowHeight="11.25" x14ac:dyDescent="0.2"/>
  <cols>
    <col min="1" max="1" width="4.42578125" style="15" bestFit="1" customWidth="1"/>
    <col min="2" max="2" width="35.5703125" style="15" bestFit="1" customWidth="1"/>
    <col min="3" max="3" width="27.7109375" style="15" bestFit="1" customWidth="1"/>
    <col min="4" max="16384" width="9.140625" style="15"/>
  </cols>
  <sheetData>
    <row r="1" spans="1:3" x14ac:dyDescent="0.2">
      <c r="A1" s="342" t="str">
        <f>'Sch 194 Summary'!A1:D1</f>
        <v>Puget Sound Energy</v>
      </c>
      <c r="B1" s="342"/>
      <c r="C1" s="342"/>
    </row>
    <row r="2" spans="1:3" x14ac:dyDescent="0.2">
      <c r="A2" s="342" t="str">
        <f>'Sch 194 Summary'!A3:D3</f>
        <v>BPA Residential and Farm Energy Exchange Benefits</v>
      </c>
      <c r="B2" s="342"/>
      <c r="C2" s="342"/>
    </row>
    <row r="3" spans="1:3" x14ac:dyDescent="0.2">
      <c r="A3" s="343" t="s">
        <v>159</v>
      </c>
      <c r="B3" s="344"/>
      <c r="C3" s="344"/>
    </row>
    <row r="4" spans="1:3" x14ac:dyDescent="0.2">
      <c r="A4" s="345">
        <v>44439</v>
      </c>
      <c r="B4" s="345"/>
      <c r="C4" s="345"/>
    </row>
    <row r="6" spans="1:3" x14ac:dyDescent="0.2">
      <c r="C6" s="113" t="s">
        <v>147</v>
      </c>
    </row>
    <row r="7" spans="1:3" s="22" customFormat="1" ht="22.5" x14ac:dyDescent="0.2">
      <c r="A7" s="114" t="s">
        <v>3</v>
      </c>
      <c r="B7" s="115" t="s">
        <v>10</v>
      </c>
      <c r="C7" s="116" t="s">
        <v>11</v>
      </c>
    </row>
    <row r="8" spans="1:3" s="22" customFormat="1" ht="22.5" x14ac:dyDescent="0.2">
      <c r="A8" s="117" t="s">
        <v>12</v>
      </c>
      <c r="B8" s="118" t="s">
        <v>13</v>
      </c>
      <c r="C8" s="119" t="s">
        <v>50</v>
      </c>
    </row>
    <row r="9" spans="1:3" s="22" customFormat="1" x14ac:dyDescent="0.2">
      <c r="A9" s="120"/>
      <c r="B9" s="121"/>
      <c r="C9" s="120"/>
    </row>
    <row r="10" spans="1:3" s="22" customFormat="1" x14ac:dyDescent="0.2">
      <c r="A10" s="122">
        <v>1</v>
      </c>
      <c r="B10" s="234" t="s">
        <v>228</v>
      </c>
      <c r="C10" s="235">
        <v>7147736.8700000001</v>
      </c>
    </row>
    <row r="11" spans="1:3" s="22" customFormat="1" x14ac:dyDescent="0.2">
      <c r="A11" s="15">
        <f t="shared" ref="A11:A14" si="0">+A10+1</f>
        <v>2</v>
      </c>
      <c r="B11" s="234" t="s">
        <v>229</v>
      </c>
      <c r="C11" s="235">
        <v>0</v>
      </c>
    </row>
    <row r="12" spans="1:3" ht="12" thickBot="1" x14ac:dyDescent="0.25">
      <c r="A12" s="15">
        <f t="shared" si="0"/>
        <v>3</v>
      </c>
      <c r="B12" s="236" t="s">
        <v>230</v>
      </c>
      <c r="C12" s="237">
        <f>SUM(C10:C11)</f>
        <v>7147736.8700000001</v>
      </c>
    </row>
    <row r="13" spans="1:3" ht="12" thickTop="1" x14ac:dyDescent="0.2">
      <c r="A13" s="15">
        <f t="shared" si="0"/>
        <v>4</v>
      </c>
    </row>
    <row r="14" spans="1:3" x14ac:dyDescent="0.2">
      <c r="A14" s="15">
        <f t="shared" si="0"/>
        <v>5</v>
      </c>
      <c r="B14" s="40" t="s">
        <v>118</v>
      </c>
      <c r="C14" s="123">
        <f>+C12/2</f>
        <v>3573868.4350000001</v>
      </c>
    </row>
  </sheetData>
  <mergeCells count="4">
    <mergeCell ref="A1:C1"/>
    <mergeCell ref="A2:C2"/>
    <mergeCell ref="A3:C3"/>
    <mergeCell ref="A4:C4"/>
  </mergeCells>
  <phoneticPr fontId="9" type="noConversion"/>
  <printOptions horizontalCentered="1"/>
  <pageMargins left="0.75" right="0.75" top="1" bottom="1" header="0.5" footer="0.5"/>
  <pageSetup scale="88" orientation="landscape" cellComments="asDisplayed" horizontalDpi="300" verticalDpi="300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5"/>
  <sheetViews>
    <sheetView workbookViewId="0">
      <pane ySplit="7" topLeftCell="A8" activePane="bottomLeft" state="frozen"/>
      <selection activeCell="A3" sqref="A3:P3"/>
      <selection pane="bottomLeft" activeCell="M34" sqref="M34"/>
    </sheetView>
  </sheetViews>
  <sheetFormatPr defaultColWidth="11.42578125" defaultRowHeight="11.25" x14ac:dyDescent="0.2"/>
  <cols>
    <col min="1" max="1" width="4.42578125" style="15" bestFit="1" customWidth="1"/>
    <col min="2" max="2" width="19.7109375" style="15" customWidth="1"/>
    <col min="3" max="3" width="12" style="15" bestFit="1" customWidth="1"/>
    <col min="4" max="4" width="10.7109375" style="15" bestFit="1" customWidth="1"/>
    <col min="5" max="5" width="9.85546875" style="15" bestFit="1" customWidth="1"/>
    <col min="6" max="12" width="10.42578125" style="15" bestFit="1" customWidth="1"/>
    <col min="13" max="13" width="14.28515625" style="15" bestFit="1" customWidth="1"/>
    <col min="14" max="14" width="9.5703125" style="15" bestFit="1" customWidth="1"/>
    <col min="15" max="16384" width="11.42578125" style="15"/>
  </cols>
  <sheetData>
    <row r="1" spans="1:14" x14ac:dyDescent="0.2">
      <c r="A1" s="342" t="str">
        <f>'Sch 194 Summary'!A1:D1</f>
        <v>Puget Sound Energy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</row>
    <row r="2" spans="1:14" x14ac:dyDescent="0.2">
      <c r="A2" s="342" t="str">
        <f>'Sch 194 Summary'!A2:D2</f>
        <v>Proposed Schedule 194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3" spans="1:14" x14ac:dyDescent="0.2">
      <c r="A3" s="343" t="s">
        <v>168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4" x14ac:dyDescent="0.2">
      <c r="A4" s="346" t="s">
        <v>315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</row>
    <row r="6" spans="1:14" x14ac:dyDescent="0.2">
      <c r="B6" s="69"/>
      <c r="C6" s="69" t="s">
        <v>51</v>
      </c>
      <c r="D6" s="70"/>
      <c r="E6" s="71"/>
      <c r="F6" s="71"/>
      <c r="G6" s="71"/>
      <c r="H6" s="71"/>
      <c r="I6" s="71"/>
      <c r="J6" s="71"/>
      <c r="K6" s="71"/>
      <c r="L6" s="71"/>
      <c r="M6" s="72"/>
    </row>
    <row r="7" spans="1:14" s="77" customFormat="1" ht="22.5" x14ac:dyDescent="0.2">
      <c r="A7" s="73" t="s">
        <v>3</v>
      </c>
      <c r="B7" s="73" t="s">
        <v>119</v>
      </c>
      <c r="C7" s="74" t="s">
        <v>52</v>
      </c>
      <c r="D7" s="75" t="s">
        <v>92</v>
      </c>
      <c r="E7" s="75" t="s">
        <v>53</v>
      </c>
      <c r="F7" s="75" t="s">
        <v>54</v>
      </c>
      <c r="G7" s="75" t="s">
        <v>55</v>
      </c>
      <c r="H7" s="75" t="s">
        <v>56</v>
      </c>
      <c r="I7" s="75" t="s">
        <v>57</v>
      </c>
      <c r="J7" s="75" t="s">
        <v>58</v>
      </c>
      <c r="K7" s="75" t="s">
        <v>59</v>
      </c>
      <c r="L7" s="75" t="s">
        <v>60</v>
      </c>
      <c r="M7" s="76" t="s">
        <v>193</v>
      </c>
    </row>
    <row r="8" spans="1:14" x14ac:dyDescent="0.2">
      <c r="A8" s="78">
        <f>1</f>
        <v>1</v>
      </c>
      <c r="B8" s="79" t="s">
        <v>169</v>
      </c>
      <c r="C8" s="80">
        <f>'F2021 Electric Delivered Sales'!E18</f>
        <v>1046685188.4328599</v>
      </c>
      <c r="D8" s="80">
        <f>'F2021 Electric Delivered Sales'!F18</f>
        <v>195072.33333333299</v>
      </c>
      <c r="E8" s="80">
        <f>'F2021 Electric Delivered Sales'!G18</f>
        <v>18229335.2074502</v>
      </c>
      <c r="F8" s="80">
        <f>'F2021 Electric Delivered Sales'!H18</f>
        <v>2032285.2639919498</v>
      </c>
      <c r="G8" s="80">
        <f>'F2021 Electric Delivered Sales'!I18</f>
        <v>10871691.264789701</v>
      </c>
      <c r="H8" s="80">
        <f>'F2021 Electric Delivered Sales'!J18</f>
        <v>1224799.5115235201</v>
      </c>
      <c r="I8" s="80">
        <f>'F2021 Electric Delivered Sales'!Q18</f>
        <v>290813.059315697</v>
      </c>
      <c r="J8" s="80">
        <f>'F2021 Electric Delivered Sales'!T18</f>
        <v>241683.07819485301</v>
      </c>
      <c r="K8" s="80">
        <f>'F2021 Electric Delivered Sales'!AJ18</f>
        <v>134254.174387092</v>
      </c>
      <c r="L8" s="80">
        <f>'F2021 Electric Delivered Sales'!AM18</f>
        <v>6254.5292316324703</v>
      </c>
      <c r="M8" s="81">
        <f t="shared" ref="M8:M18" si="0">SUM(C8:L8)</f>
        <v>1079911376.8550777</v>
      </c>
    </row>
    <row r="9" spans="1:14" x14ac:dyDescent="0.2">
      <c r="A9" s="78">
        <f t="shared" ref="A9:A34" si="1">+A8+1</f>
        <v>2</v>
      </c>
      <c r="B9" s="79" t="s">
        <v>170</v>
      </c>
      <c r="C9" s="80">
        <f>'F2021 Electric Delivered Sales'!E19</f>
        <v>1249425675.10097</v>
      </c>
      <c r="D9" s="80">
        <f>'F2021 Electric Delivered Sales'!F19</f>
        <v>241943.16666666701</v>
      </c>
      <c r="E9" s="80">
        <f>'F2021 Electric Delivered Sales'!G19</f>
        <v>24480861.402114797</v>
      </c>
      <c r="F9" s="80">
        <f>'F2021 Electric Delivered Sales'!H19</f>
        <v>2530400.1090680799</v>
      </c>
      <c r="G9" s="80">
        <f>'F2021 Electric Delivered Sales'!I19</f>
        <v>13252272.8982499</v>
      </c>
      <c r="H9" s="80">
        <f>'F2021 Electric Delivered Sales'!J19</f>
        <v>1547761.0015904699</v>
      </c>
      <c r="I9" s="80">
        <f>'F2021 Electric Delivered Sales'!Q19</f>
        <v>246938.184231244</v>
      </c>
      <c r="J9" s="80">
        <f>'F2021 Electric Delivered Sales'!T19</f>
        <v>6308.5952558042009</v>
      </c>
      <c r="K9" s="80">
        <f>'F2021 Electric Delivered Sales'!AJ19</f>
        <v>148521.34498695401</v>
      </c>
      <c r="L9" s="80">
        <f>'F2021 Electric Delivered Sales'!AM19</f>
        <v>6496.6787147348596</v>
      </c>
      <c r="M9" s="81">
        <f t="shared" si="0"/>
        <v>1291887178.481849</v>
      </c>
    </row>
    <row r="10" spans="1:14" x14ac:dyDescent="0.2">
      <c r="A10" s="78">
        <f t="shared" si="1"/>
        <v>3</v>
      </c>
      <c r="B10" s="79" t="s">
        <v>171</v>
      </c>
      <c r="C10" s="80">
        <f>'F2021 Electric Delivered Sales'!E20</f>
        <v>1277861911.52544</v>
      </c>
      <c r="D10" s="80">
        <f>'F2021 Electric Delivered Sales'!F20</f>
        <v>264163.33333333302</v>
      </c>
      <c r="E10" s="80">
        <f>'F2021 Electric Delivered Sales'!G20</f>
        <v>26041106.342571098</v>
      </c>
      <c r="F10" s="80">
        <f>'F2021 Electric Delivered Sales'!H20</f>
        <v>2754039.8676094799</v>
      </c>
      <c r="G10" s="80">
        <f>'F2021 Electric Delivered Sales'!I20</f>
        <v>13611172.685738601</v>
      </c>
      <c r="H10" s="80">
        <f>'F2021 Electric Delivered Sales'!J20</f>
        <v>1616662.8720738499</v>
      </c>
      <c r="I10" s="80">
        <f>'F2021 Electric Delivered Sales'!Q20</f>
        <v>274143.87604188698</v>
      </c>
      <c r="J10" s="80">
        <f>'F2021 Electric Delivered Sales'!T20</f>
        <v>5090.6177534607796</v>
      </c>
      <c r="K10" s="80">
        <f>'F2021 Electric Delivered Sales'!AJ20</f>
        <v>139397.45655638</v>
      </c>
      <c r="L10" s="80">
        <f>'F2021 Electric Delivered Sales'!AM20</f>
        <v>6478.03403049996</v>
      </c>
      <c r="M10" s="81">
        <f t="shared" si="0"/>
        <v>1322574166.6111484</v>
      </c>
    </row>
    <row r="11" spans="1:14" x14ac:dyDescent="0.2">
      <c r="A11" s="78">
        <f t="shared" si="1"/>
        <v>4</v>
      </c>
      <c r="B11" s="79" t="s">
        <v>172</v>
      </c>
      <c r="C11" s="80">
        <f>'F2021 Electric Delivered Sales'!E21</f>
        <v>1039620393.60254</v>
      </c>
      <c r="D11" s="80">
        <f>'F2021 Electric Delivered Sales'!F21</f>
        <v>238004.04666666698</v>
      </c>
      <c r="E11" s="80">
        <f>'F2021 Electric Delivered Sales'!G21</f>
        <v>22790697.791770801</v>
      </c>
      <c r="F11" s="80">
        <f>'F2021 Electric Delivered Sales'!H21</f>
        <v>2394907.8374742498</v>
      </c>
      <c r="G11" s="80">
        <f>'F2021 Electric Delivered Sales'!I21</f>
        <v>11577160.476888102</v>
      </c>
      <c r="H11" s="80">
        <f>'F2021 Electric Delivered Sales'!J21</f>
        <v>1425883.6950407999</v>
      </c>
      <c r="I11" s="80">
        <f>'F2021 Electric Delivered Sales'!Q21</f>
        <v>224714.1832384</v>
      </c>
      <c r="J11" s="80">
        <f>'F2021 Electric Delivered Sales'!T21</f>
        <v>5700.4300366595799</v>
      </c>
      <c r="K11" s="80">
        <f>'F2021 Electric Delivered Sales'!AJ21</f>
        <v>133659.88461420801</v>
      </c>
      <c r="L11" s="80">
        <f>'F2021 Electric Delivered Sales'!AM21</f>
        <v>5761.20479922302</v>
      </c>
      <c r="M11" s="81">
        <f t="shared" si="0"/>
        <v>1078416883.153069</v>
      </c>
    </row>
    <row r="12" spans="1:14" x14ac:dyDescent="0.2">
      <c r="A12" s="78">
        <f t="shared" si="1"/>
        <v>5</v>
      </c>
      <c r="B12" s="79" t="s">
        <v>173</v>
      </c>
      <c r="C12" s="80">
        <f>'F2021 Electric Delivered Sales'!E22</f>
        <v>1081049071.26068</v>
      </c>
      <c r="D12" s="80">
        <f>'F2021 Electric Delivered Sales'!F22</f>
        <v>210451.786666667</v>
      </c>
      <c r="E12" s="80">
        <f>'F2021 Electric Delivered Sales'!G22</f>
        <v>22641007.0778316</v>
      </c>
      <c r="F12" s="80">
        <f>'F2021 Electric Delivered Sales'!H22</f>
        <v>2541188.9705944001</v>
      </c>
      <c r="G12" s="80">
        <f>'F2021 Electric Delivered Sales'!I22</f>
        <v>12021582.6578322</v>
      </c>
      <c r="H12" s="80">
        <f>'F2021 Electric Delivered Sales'!J22</f>
        <v>1441187.9107195199</v>
      </c>
      <c r="I12" s="80">
        <f>'F2021 Electric Delivered Sales'!Q22</f>
        <v>257151.942139747</v>
      </c>
      <c r="J12" s="80">
        <f>'F2021 Electric Delivered Sales'!T22</f>
        <v>6015.7112469289896</v>
      </c>
      <c r="K12" s="80">
        <f>'F2021 Electric Delivered Sales'!AJ22</f>
        <v>136596.540093633</v>
      </c>
      <c r="L12" s="80">
        <f>'F2021 Electric Delivered Sales'!AM22</f>
        <v>6360.0471094375298</v>
      </c>
      <c r="M12" s="81">
        <f t="shared" si="0"/>
        <v>1120310613.9049141</v>
      </c>
    </row>
    <row r="13" spans="1:14" x14ac:dyDescent="0.2">
      <c r="A13" s="78">
        <f t="shared" si="1"/>
        <v>6</v>
      </c>
      <c r="B13" s="79" t="s">
        <v>174</v>
      </c>
      <c r="C13" s="80">
        <f>'F2021 Electric Delivered Sales'!E23</f>
        <v>854063060.04085302</v>
      </c>
      <c r="D13" s="80">
        <f>'F2021 Electric Delivered Sales'!F23</f>
        <v>179649</v>
      </c>
      <c r="E13" s="80">
        <f>'F2021 Electric Delivered Sales'!G23</f>
        <v>19865736.112439603</v>
      </c>
      <c r="F13" s="80">
        <f>'F2021 Electric Delivered Sales'!H23</f>
        <v>2300479.80717585</v>
      </c>
      <c r="G13" s="80">
        <f>'F2021 Electric Delivered Sales'!I23</f>
        <v>10756476.575174099</v>
      </c>
      <c r="H13" s="80">
        <f>'F2021 Electric Delivered Sales'!J23</f>
        <v>1279533.90611273</v>
      </c>
      <c r="I13" s="80">
        <f>'F2021 Electric Delivered Sales'!Q23</f>
        <v>278971.965640168</v>
      </c>
      <c r="J13" s="80">
        <f>'F2021 Electric Delivered Sales'!T23</f>
        <v>4684.9664108350098</v>
      </c>
      <c r="K13" s="80">
        <f>'F2021 Electric Delivered Sales'!AJ23</f>
        <v>146833.57998520799</v>
      </c>
      <c r="L13" s="80">
        <f>'F2021 Electric Delivered Sales'!AM23</f>
        <v>6382.6422833761399</v>
      </c>
      <c r="M13" s="81">
        <f t="shared" si="0"/>
        <v>888881808.59607494</v>
      </c>
    </row>
    <row r="14" spans="1:14" x14ac:dyDescent="0.2">
      <c r="A14" s="78">
        <f t="shared" si="1"/>
        <v>7</v>
      </c>
      <c r="B14" s="79" t="s">
        <v>175</v>
      </c>
      <c r="C14" s="80">
        <f>'F2021 Electric Delivered Sales'!E24</f>
        <v>775896708.12149692</v>
      </c>
      <c r="D14" s="80">
        <f>'F2021 Electric Delivered Sales'!F24</f>
        <v>168692.5</v>
      </c>
      <c r="E14" s="80">
        <f>'F2021 Electric Delivered Sales'!G24</f>
        <v>17760631.482618902</v>
      </c>
      <c r="F14" s="80">
        <f>'F2021 Electric Delivered Sales'!H24</f>
        <v>2176144.7443863298</v>
      </c>
      <c r="G14" s="80">
        <f>'F2021 Electric Delivered Sales'!I24</f>
        <v>10229600.449002601</v>
      </c>
      <c r="H14" s="80">
        <f>'F2021 Electric Delivered Sales'!J24</f>
        <v>1243577.9642892601</v>
      </c>
      <c r="I14" s="80">
        <f>'F2021 Electric Delivered Sales'!Q24</f>
        <v>795373.52539075096</v>
      </c>
      <c r="J14" s="80">
        <f>'F2021 Electric Delivered Sales'!T24</f>
        <v>356329.87765691499</v>
      </c>
      <c r="K14" s="80">
        <f>'F2021 Electric Delivered Sales'!AJ24</f>
        <v>147021.56613157102</v>
      </c>
      <c r="L14" s="80">
        <f>'F2021 Electric Delivered Sales'!AM24</f>
        <v>6802.5830151496702</v>
      </c>
      <c r="M14" s="81">
        <f t="shared" si="0"/>
        <v>808780882.81398857</v>
      </c>
    </row>
    <row r="15" spans="1:14" x14ac:dyDescent="0.2">
      <c r="A15" s="78">
        <f t="shared" si="1"/>
        <v>8</v>
      </c>
      <c r="B15" s="79" t="s">
        <v>176</v>
      </c>
      <c r="C15" s="80">
        <f>'F2021 Electric Delivered Sales'!E25</f>
        <v>678627395.34231293</v>
      </c>
      <c r="D15" s="80">
        <f>'F2021 Electric Delivered Sales'!F25</f>
        <v>184959.33333333299</v>
      </c>
      <c r="E15" s="80">
        <f>'F2021 Electric Delivered Sales'!G25</f>
        <v>16152577.741519101</v>
      </c>
      <c r="F15" s="80">
        <f>'F2021 Electric Delivered Sales'!H25</f>
        <v>1957250.5065588499</v>
      </c>
      <c r="G15" s="80">
        <f>'F2021 Electric Delivered Sales'!I25</f>
        <v>9329303.0817508604</v>
      </c>
      <c r="H15" s="80">
        <f>'F2021 Electric Delivered Sales'!J25</f>
        <v>1117435.3130265099</v>
      </c>
      <c r="I15" s="80">
        <f>'F2021 Electric Delivered Sales'!Q25</f>
        <v>1529093.7466651301</v>
      </c>
      <c r="J15" s="80">
        <f>'F2021 Electric Delivered Sales'!T25</f>
        <v>684018.395743815</v>
      </c>
      <c r="K15" s="80">
        <f>'F2021 Electric Delivered Sales'!AJ25</f>
        <v>141119.13813625599</v>
      </c>
      <c r="L15" s="80">
        <f>'F2021 Electric Delivered Sales'!AM25</f>
        <v>6074.4870727076004</v>
      </c>
      <c r="M15" s="81">
        <f t="shared" si="0"/>
        <v>709729227.08611965</v>
      </c>
    </row>
    <row r="16" spans="1:14" x14ac:dyDescent="0.2">
      <c r="A16" s="78">
        <f t="shared" si="1"/>
        <v>9</v>
      </c>
      <c r="B16" s="79" t="s">
        <v>177</v>
      </c>
      <c r="C16" s="80">
        <f>'F2021 Electric Delivered Sales'!E26</f>
        <v>678654282.73043704</v>
      </c>
      <c r="D16" s="80">
        <f>'F2021 Electric Delivered Sales'!F26</f>
        <v>210981.83333333299</v>
      </c>
      <c r="E16" s="80">
        <f>'F2021 Electric Delivered Sales'!G26</f>
        <v>17116802.205332499</v>
      </c>
      <c r="F16" s="80">
        <f>'F2021 Electric Delivered Sales'!H26</f>
        <v>2092095.1989965702</v>
      </c>
      <c r="G16" s="80">
        <f>'F2021 Electric Delivered Sales'!I26</f>
        <v>10388786.8878823</v>
      </c>
      <c r="H16" s="80">
        <f>'F2021 Electric Delivered Sales'!J26</f>
        <v>1523002.8084058699</v>
      </c>
      <c r="I16" s="80">
        <f>'F2021 Electric Delivered Sales'!Q26</f>
        <v>2803373.5246067201</v>
      </c>
      <c r="J16" s="80">
        <f>'F2021 Electric Delivered Sales'!T26</f>
        <v>719007.55031862401</v>
      </c>
      <c r="K16" s="80">
        <f>'F2021 Electric Delivered Sales'!AJ26</f>
        <v>147086.75948057399</v>
      </c>
      <c r="L16" s="80">
        <f>'F2021 Electric Delivered Sales'!AM26</f>
        <v>6855.2667951517005</v>
      </c>
      <c r="M16" s="81">
        <f t="shared" si="0"/>
        <v>713662274.76558876</v>
      </c>
    </row>
    <row r="17" spans="1:14" x14ac:dyDescent="0.2">
      <c r="A17" s="78">
        <f t="shared" si="1"/>
        <v>10</v>
      </c>
      <c r="B17" s="79" t="s">
        <v>178</v>
      </c>
      <c r="C17" s="80">
        <f>'F2021 Electric Delivered Sales'!E27</f>
        <v>701212241.43055105</v>
      </c>
      <c r="D17" s="80">
        <f>'F2021 Electric Delivered Sales'!F27</f>
        <v>230198</v>
      </c>
      <c r="E17" s="80">
        <f>'F2021 Electric Delivered Sales'!G27</f>
        <v>17482867.235480897</v>
      </c>
      <c r="F17" s="80">
        <f>'F2021 Electric Delivered Sales'!H27</f>
        <v>2125080.2754347799</v>
      </c>
      <c r="G17" s="80">
        <f>'F2021 Electric Delivered Sales'!I27</f>
        <v>10721478.8227487</v>
      </c>
      <c r="H17" s="80">
        <f>'F2021 Electric Delivered Sales'!J27</f>
        <v>1903644.03159636</v>
      </c>
      <c r="I17" s="80">
        <f>'F2021 Electric Delivered Sales'!Q27</f>
        <v>3827385.0388723197</v>
      </c>
      <c r="J17" s="80">
        <f>'F2021 Electric Delivered Sales'!T27</f>
        <v>985217.86550737603</v>
      </c>
      <c r="K17" s="80">
        <f>'F2021 Electric Delivered Sales'!AJ27</f>
        <v>151168.841567394</v>
      </c>
      <c r="L17" s="80">
        <f>'F2021 Electric Delivered Sales'!AM27</f>
        <v>6579.00552551091</v>
      </c>
      <c r="M17" s="81">
        <f t="shared" si="0"/>
        <v>738645860.54728425</v>
      </c>
    </row>
    <row r="18" spans="1:14" x14ac:dyDescent="0.2">
      <c r="A18" s="78">
        <f t="shared" si="1"/>
        <v>11</v>
      </c>
      <c r="B18" s="82" t="s">
        <v>179</v>
      </c>
      <c r="C18" s="83">
        <f>'F2021 Electric Delivered Sales'!E28</f>
        <v>663086013.77535295</v>
      </c>
      <c r="D18" s="83">
        <f>'F2021 Electric Delivered Sales'!F28</f>
        <v>198981.5</v>
      </c>
      <c r="E18" s="83">
        <f>'F2021 Electric Delivered Sales'!G28</f>
        <v>16063199.5151836</v>
      </c>
      <c r="F18" s="83">
        <f>'F2021 Electric Delivered Sales'!H28</f>
        <v>1993686.8986788399</v>
      </c>
      <c r="G18" s="83">
        <f>'F2021 Electric Delivered Sales'!I28</f>
        <v>9849081.7883862499</v>
      </c>
      <c r="H18" s="83">
        <f>'F2021 Electric Delivered Sales'!J28</f>
        <v>1372785.5305850001</v>
      </c>
      <c r="I18" s="83">
        <f>'F2021 Electric Delivered Sales'!Q28</f>
        <v>2778199.6432807301</v>
      </c>
      <c r="J18" s="83">
        <f>'F2021 Electric Delivered Sales'!T28</f>
        <v>794961.41843525507</v>
      </c>
      <c r="K18" s="83">
        <f>'F2021 Electric Delivered Sales'!AJ28</f>
        <v>133732.897810547</v>
      </c>
      <c r="L18" s="84">
        <f>'F2021 Electric Delivered Sales'!AM28</f>
        <v>6299.4588567208393</v>
      </c>
      <c r="M18" s="85">
        <f t="shared" si="0"/>
        <v>696276942.42656994</v>
      </c>
    </row>
    <row r="19" spans="1:14" x14ac:dyDescent="0.2">
      <c r="A19" s="78">
        <f t="shared" si="1"/>
        <v>12</v>
      </c>
      <c r="B19" s="79" t="s">
        <v>180</v>
      </c>
      <c r="C19" s="80">
        <f>'F2021 Electric Delivered Sales'!E29</f>
        <v>834227471.02377009</v>
      </c>
      <c r="D19" s="80">
        <f>'F2021 Electric Delivered Sales'!F29</f>
        <v>174254</v>
      </c>
      <c r="E19" s="80">
        <f>'F2021 Electric Delivered Sales'!G29</f>
        <v>16540221.792932</v>
      </c>
      <c r="F19" s="80">
        <f>'F2021 Electric Delivered Sales'!H29</f>
        <v>1988244.4238372</v>
      </c>
      <c r="G19" s="80">
        <f>'F2021 Electric Delivered Sales'!I29</f>
        <v>10066161.1590927</v>
      </c>
      <c r="H19" s="80">
        <f>'F2021 Electric Delivered Sales'!J29</f>
        <v>1202910.3065686601</v>
      </c>
      <c r="I19" s="80">
        <f>'F2021 Electric Delivered Sales'!Q29</f>
        <v>1011097.97339949</v>
      </c>
      <c r="J19" s="80">
        <f>'F2021 Electric Delivered Sales'!T29</f>
        <v>746121.02882417606</v>
      </c>
      <c r="K19" s="80">
        <f>'F2021 Electric Delivered Sales'!AJ29</f>
        <v>146708.30089319401</v>
      </c>
      <c r="L19" s="80">
        <f>'F2021 Electric Delivered Sales'!AM29</f>
        <v>6375.7179345797504</v>
      </c>
      <c r="M19" s="81">
        <f t="shared" ref="M19:M28" si="2">SUM(C19:L19)</f>
        <v>866109565.72725213</v>
      </c>
    </row>
    <row r="20" spans="1:14" x14ac:dyDescent="0.2">
      <c r="A20" s="78">
        <f t="shared" si="1"/>
        <v>13</v>
      </c>
      <c r="B20" s="79" t="s">
        <v>181</v>
      </c>
      <c r="C20" s="80">
        <f>'F2021 Electric Delivered Sales'!E30</f>
        <v>1037814212.88392</v>
      </c>
      <c r="D20" s="80">
        <f>'F2021 Electric Delivered Sales'!F30</f>
        <v>195072.33333333299</v>
      </c>
      <c r="E20" s="80">
        <f>'F2021 Electric Delivered Sales'!G30</f>
        <v>18675359.8955708</v>
      </c>
      <c r="F20" s="80">
        <f>'F2021 Electric Delivered Sales'!H30</f>
        <v>2107700.3579365602</v>
      </c>
      <c r="G20" s="80">
        <f>'F2021 Electric Delivered Sales'!I30</f>
        <v>11275123.613878502</v>
      </c>
      <c r="H20" s="80">
        <f>'F2021 Electric Delivered Sales'!J30</f>
        <v>1270250.0060291099</v>
      </c>
      <c r="I20" s="80">
        <f>'F2021 Electric Delivered Sales'!Q30</f>
        <v>301604.70091109601</v>
      </c>
      <c r="J20" s="80">
        <f>'F2021 Electric Delivered Sales'!T30</f>
        <v>250651.57901008101</v>
      </c>
      <c r="K20" s="80">
        <f>'F2021 Electric Delivered Sales'!AJ30</f>
        <v>139236.14781043501</v>
      </c>
      <c r="L20" s="80">
        <f>'F2021 Electric Delivered Sales'!AM30</f>
        <v>6486.6255411123602</v>
      </c>
      <c r="M20" s="81">
        <f t="shared" si="2"/>
        <v>1072035698.1439409</v>
      </c>
    </row>
    <row r="21" spans="1:14" x14ac:dyDescent="0.2">
      <c r="A21" s="78">
        <f t="shared" si="1"/>
        <v>14</v>
      </c>
      <c r="B21" s="79" t="s">
        <v>182</v>
      </c>
      <c r="C21" s="80">
        <f>'F2021 Electric Delivered Sales'!E31</f>
        <v>1235242387.6436601</v>
      </c>
      <c r="D21" s="80">
        <f>'F2021 Electric Delivered Sales'!F31</f>
        <v>241943.16666666701</v>
      </c>
      <c r="E21" s="80">
        <f>'F2021 Electric Delivered Sales'!G31</f>
        <v>25105939.892629098</v>
      </c>
      <c r="F21" s="80">
        <f>'F2021 Electric Delivered Sales'!H31</f>
        <v>2620157.3098962498</v>
      </c>
      <c r="G21" s="80">
        <f>'F2021 Electric Delivered Sales'!I31</f>
        <v>13722351.4900486</v>
      </c>
      <c r="H21" s="80">
        <f>'F2021 Electric Delivered Sales'!J31</f>
        <v>1602662.4752965099</v>
      </c>
      <c r="I21" s="80">
        <f>'F2021 Electric Delivered Sales'!Q31</f>
        <v>255697.46309578299</v>
      </c>
      <c r="J21" s="80">
        <f>'F2021 Electric Delivered Sales'!T31</f>
        <v>6532.3708750391306</v>
      </c>
      <c r="K21" s="80">
        <f>'F2021 Electric Delivered Sales'!AJ31</f>
        <v>153789.626529264</v>
      </c>
      <c r="L21" s="80">
        <f>'F2021 Electric Delivered Sales'!AM31</f>
        <v>6727.1259448091996</v>
      </c>
      <c r="M21" s="81">
        <f t="shared" si="2"/>
        <v>1278958188.5646422</v>
      </c>
    </row>
    <row r="22" spans="1:14" x14ac:dyDescent="0.2">
      <c r="A22" s="78">
        <f t="shared" si="1"/>
        <v>15</v>
      </c>
      <c r="B22" s="79" t="s">
        <v>183</v>
      </c>
      <c r="C22" s="80">
        <f>'F2021 Electric Delivered Sales'!E32</f>
        <v>1267165906.9023199</v>
      </c>
      <c r="D22" s="80">
        <f>'F2021 Electric Delivered Sales'!F32</f>
        <v>264163.33333333302</v>
      </c>
      <c r="E22" s="80">
        <f>'F2021 Electric Delivered Sales'!G32</f>
        <v>26767109.442998298</v>
      </c>
      <c r="F22" s="80">
        <f>'F2021 Electric Delivered Sales'!H32</f>
        <v>2855739.7821780401</v>
      </c>
      <c r="G22" s="80">
        <f>'F2021 Electric Delivered Sales'!I32</f>
        <v>14113799.7956791</v>
      </c>
      <c r="H22" s="80">
        <f>'F2021 Electric Delivered Sales'!J32</f>
        <v>1676362.25330277</v>
      </c>
      <c r="I22" s="80">
        <f>'F2021 Electric Delivered Sales'!Q32</f>
        <v>284267.33471104398</v>
      </c>
      <c r="J22" s="80">
        <f>'F2021 Electric Delivered Sales'!T32</f>
        <v>5278.6017389931103</v>
      </c>
      <c r="K22" s="80">
        <f>'F2021 Electric Delivered Sales'!AJ32</f>
        <v>144545.061567328</v>
      </c>
      <c r="L22" s="80">
        <f>'F2021 Electric Delivered Sales'!AM32</f>
        <v>6717.2518846866396</v>
      </c>
      <c r="M22" s="81">
        <f t="shared" si="2"/>
        <v>1313283889.7597134</v>
      </c>
    </row>
    <row r="23" spans="1:14" x14ac:dyDescent="0.2">
      <c r="A23" s="78">
        <f t="shared" si="1"/>
        <v>16</v>
      </c>
      <c r="B23" s="79" t="s">
        <v>184</v>
      </c>
      <c r="C23" s="80">
        <f>'F2021 Electric Delivered Sales'!E33</f>
        <v>1030533703.8338801</v>
      </c>
      <c r="D23" s="80">
        <f>'F2021 Electric Delivered Sales'!F33</f>
        <v>238004.04666666698</v>
      </c>
      <c r="E23" s="80">
        <f>'F2021 Electric Delivered Sales'!G33</f>
        <v>23466814.544651899</v>
      </c>
      <c r="F23" s="80">
        <f>'F2021 Electric Delivered Sales'!H33</f>
        <v>2488668.5213212101</v>
      </c>
      <c r="G23" s="80">
        <f>'F2021 Electric Delivered Sales'!I33</f>
        <v>12030406.5126369</v>
      </c>
      <c r="H23" s="80">
        <f>'F2021 Electric Delivered Sales'!J33</f>
        <v>1481707.0667135199</v>
      </c>
      <c r="I23" s="80">
        <f>'F2021 Electric Delivered Sales'!Q33</f>
        <v>233511.747453966</v>
      </c>
      <c r="J23" s="80">
        <f>'F2021 Electric Delivered Sales'!T33</f>
        <v>5923.6019725878596</v>
      </c>
      <c r="K23" s="80">
        <f>'F2021 Electric Delivered Sales'!AJ33</f>
        <v>138892.67144142499</v>
      </c>
      <c r="L23" s="80">
        <f>'F2021 Electric Delivered Sales'!AM33</f>
        <v>5986.7560681717196</v>
      </c>
      <c r="M23" s="81">
        <f t="shared" si="2"/>
        <v>1070623619.3028064</v>
      </c>
    </row>
    <row r="24" spans="1:14" x14ac:dyDescent="0.2">
      <c r="A24" s="78">
        <f t="shared" si="1"/>
        <v>17</v>
      </c>
      <c r="B24" s="79" t="s">
        <v>185</v>
      </c>
      <c r="C24" s="80">
        <f>'F2021 Electric Delivered Sales'!E34</f>
        <v>1071684958.8154999</v>
      </c>
      <c r="D24" s="80">
        <f>'F2021 Electric Delivered Sales'!F34</f>
        <v>210451.786666667</v>
      </c>
      <c r="E24" s="80">
        <f>'F2021 Electric Delivered Sales'!G34</f>
        <v>23281111.343366798</v>
      </c>
      <c r="F24" s="80">
        <f>'F2021 Electric Delivered Sales'!H34</f>
        <v>2638996.5629729899</v>
      </c>
      <c r="G24" s="80">
        <f>'F2021 Electric Delivered Sales'!I34</f>
        <v>12484280.2651131</v>
      </c>
      <c r="H24" s="80">
        <f>'F2021 Electric Delivered Sales'!J34</f>
        <v>1496657.66182569</v>
      </c>
      <c r="I24" s="80">
        <f>'F2021 Electric Delivered Sales'!Q34</f>
        <v>267049.43997529102</v>
      </c>
      <c r="J24" s="80">
        <f>'F2021 Electric Delivered Sales'!T34</f>
        <v>6247.2494128487306</v>
      </c>
      <c r="K24" s="80">
        <f>'F2021 Electric Delivered Sales'!AJ34</f>
        <v>141853.99196690999</v>
      </c>
      <c r="L24" s="80">
        <f>'F2021 Electric Delivered Sales'!AM34</f>
        <v>6604.8383872160503</v>
      </c>
      <c r="M24" s="81">
        <f t="shared" si="2"/>
        <v>1112218211.9551873</v>
      </c>
    </row>
    <row r="25" spans="1:14" x14ac:dyDescent="0.2">
      <c r="A25" s="78">
        <f t="shared" si="1"/>
        <v>18</v>
      </c>
      <c r="B25" s="79" t="s">
        <v>186</v>
      </c>
      <c r="C25" s="80">
        <f>'F2021 Electric Delivered Sales'!E35</f>
        <v>844566522.14265692</v>
      </c>
      <c r="D25" s="80">
        <f>'F2021 Electric Delivered Sales'!F35</f>
        <v>179649</v>
      </c>
      <c r="E25" s="80">
        <f>'F2021 Electric Delivered Sales'!G35</f>
        <v>20379503.748199098</v>
      </c>
      <c r="F25" s="80">
        <f>'F2021 Electric Delivered Sales'!H35</f>
        <v>2387508.1450711298</v>
      </c>
      <c r="G25" s="80">
        <f>'F2021 Electric Delivered Sales'!I35</f>
        <v>11163399.6331496</v>
      </c>
      <c r="H25" s="80">
        <f>'F2021 Electric Delivered Sales'!J35</f>
        <v>1327939.3338770999</v>
      </c>
      <c r="I25" s="80">
        <f>'F2021 Electric Delivered Sales'!Q35</f>
        <v>289525.61901861301</v>
      </c>
      <c r="J25" s="80">
        <f>'F2021 Electric Delivered Sales'!T35</f>
        <v>4862.2011070746394</v>
      </c>
      <c r="K25" s="80">
        <f>'F2021 Electric Delivered Sales'!AJ35</f>
        <v>152388.37006572398</v>
      </c>
      <c r="L25" s="86">
        <f>'F2021 Electric Delivered Sales'!AM35</f>
        <v>6624.10093368454</v>
      </c>
      <c r="M25" s="81">
        <f t="shared" si="2"/>
        <v>880457922.29407883</v>
      </c>
    </row>
    <row r="26" spans="1:14" x14ac:dyDescent="0.2">
      <c r="A26" s="78">
        <f t="shared" si="1"/>
        <v>19</v>
      </c>
      <c r="B26" s="79" t="s">
        <v>187</v>
      </c>
      <c r="C26" s="80">
        <f>'F2021 Electric Delivered Sales'!E36</f>
        <v>772625195.18161595</v>
      </c>
      <c r="D26" s="80">
        <f>'F2021 Electric Delivered Sales'!F36</f>
        <v>168692.5</v>
      </c>
      <c r="E26" s="80">
        <f>'F2021 Electric Delivered Sales'!G36</f>
        <v>18041885.430892397</v>
      </c>
      <c r="F26" s="80">
        <f>'F2021 Electric Delivered Sales'!H36</f>
        <v>2240910.7338093198</v>
      </c>
      <c r="G26" s="80">
        <f>'F2021 Electric Delivered Sales'!I36</f>
        <v>10534051.7940662</v>
      </c>
      <c r="H26" s="80">
        <f>'F2021 Electric Delivered Sales'!J36</f>
        <v>1280589.08567242</v>
      </c>
      <c r="I26" s="80">
        <f>'F2021 Electric Delivered Sales'!Q36</f>
        <v>819045.27492196602</v>
      </c>
      <c r="J26" s="80">
        <f>'F2021 Electric Delivered Sales'!T36</f>
        <v>366934.89699074201</v>
      </c>
      <c r="K26" s="80">
        <f>'F2021 Electric Delivered Sales'!AJ36</f>
        <v>151397.192900697</v>
      </c>
      <c r="L26" s="86">
        <f>'F2021 Electric Delivered Sales'!AM36</f>
        <v>7005.0401452393498</v>
      </c>
      <c r="M26" s="81">
        <f t="shared" si="2"/>
        <v>806235707.13101494</v>
      </c>
    </row>
    <row r="27" spans="1:14" x14ac:dyDescent="0.2">
      <c r="A27" s="78">
        <f t="shared" si="1"/>
        <v>20</v>
      </c>
      <c r="B27" s="79" t="s">
        <v>188</v>
      </c>
      <c r="C27" s="80">
        <f>'F2021 Electric Delivered Sales'!E37</f>
        <v>680273310.30831909</v>
      </c>
      <c r="D27" s="80">
        <f>'F2021 Electric Delivered Sales'!F37</f>
        <v>184959.33333333299</v>
      </c>
      <c r="E27" s="80">
        <f>'F2021 Electric Delivered Sales'!G37</f>
        <v>16314407.975274799</v>
      </c>
      <c r="F27" s="80">
        <f>'F2021 Electric Delivered Sales'!H37</f>
        <v>2004195.6617404101</v>
      </c>
      <c r="G27" s="80">
        <f>'F2021 Electric Delivered Sales'!I37</f>
        <v>9553068.8079269007</v>
      </c>
      <c r="H27" s="80">
        <f>'F2021 Electric Delivered Sales'!J37</f>
        <v>1144237.2854871501</v>
      </c>
      <c r="I27" s="80">
        <f>'F2021 Electric Delivered Sales'!Q37</f>
        <v>1565769.4521937799</v>
      </c>
      <c r="J27" s="80">
        <f>'F2021 Electric Delivered Sales'!T37</f>
        <v>700424.75232802599</v>
      </c>
      <c r="K27" s="80">
        <f>'F2021 Electric Delivered Sales'!AJ37</f>
        <v>144503.91684327103</v>
      </c>
      <c r="L27" s="86">
        <f>'F2021 Electric Delivered Sales'!AM37</f>
        <v>6220.1852024671798</v>
      </c>
      <c r="M27" s="81">
        <f t="shared" si="2"/>
        <v>711891097.67864931</v>
      </c>
    </row>
    <row r="28" spans="1:14" x14ac:dyDescent="0.2">
      <c r="A28" s="78">
        <f t="shared" si="1"/>
        <v>21</v>
      </c>
      <c r="B28" s="79" t="s">
        <v>189</v>
      </c>
      <c r="C28" s="80">
        <f>'F2021 Electric Delivered Sales'!E38</f>
        <v>680885777.55987</v>
      </c>
      <c r="D28" s="80">
        <f>'F2021 Electric Delivered Sales'!F38</f>
        <v>210981.83333333299</v>
      </c>
      <c r="E28" s="80">
        <f>'F2021 Electric Delivered Sales'!G38</f>
        <v>17257156.961345803</v>
      </c>
      <c r="F28" s="80">
        <f>'F2021 Electric Delivered Sales'!H38</f>
        <v>2139373.3706173399</v>
      </c>
      <c r="G28" s="80">
        <f>'F2021 Electric Delivered Sales'!I38</f>
        <v>10623557.6811294</v>
      </c>
      <c r="H28" s="80">
        <f>'F2021 Electric Delivered Sales'!J38</f>
        <v>1557420.3569902999</v>
      </c>
      <c r="I28" s="80">
        <f>'F2021 Electric Delivered Sales'!Q38</f>
        <v>2866725.5052800002</v>
      </c>
      <c r="J28" s="80">
        <f>'F2021 Electric Delivered Sales'!T38</f>
        <v>735256.02810151805</v>
      </c>
      <c r="K28" s="80">
        <f>'F2021 Electric Delivered Sales'!AJ38</f>
        <v>150410.696680564</v>
      </c>
      <c r="L28" s="86">
        <f>'F2021 Electric Delivered Sales'!AM38</f>
        <v>7010.1854050709899</v>
      </c>
      <c r="M28" s="81">
        <f t="shared" si="2"/>
        <v>716433670.1787535</v>
      </c>
    </row>
    <row r="29" spans="1:14" x14ac:dyDescent="0.2">
      <c r="A29" s="78">
        <f t="shared" si="1"/>
        <v>22</v>
      </c>
      <c r="B29" s="79" t="s">
        <v>190</v>
      </c>
      <c r="C29" s="80">
        <f>'F2021 Electric Delivered Sales'!E39</f>
        <v>705357800.86614799</v>
      </c>
      <c r="D29" s="80">
        <f>'F2021 Electric Delivered Sales'!F39</f>
        <v>230198</v>
      </c>
      <c r="E29" s="80">
        <f>'F2021 Electric Delivered Sales'!G39</f>
        <v>17612862.374178398</v>
      </c>
      <c r="F29" s="80">
        <f>'F2021 Electric Delivered Sales'!H39</f>
        <v>2170311.2917386503</v>
      </c>
      <c r="G29" s="80">
        <f>'F2021 Electric Delivered Sales'!I39</f>
        <v>10949678.8531377</v>
      </c>
      <c r="H29" s="80">
        <f>'F2021 Electric Delivered Sales'!J39</f>
        <v>1944161.9147206899</v>
      </c>
      <c r="I29" s="80">
        <f>'F2021 Electric Delivered Sales'!Q39</f>
        <v>3908848.5567900101</v>
      </c>
      <c r="J29" s="80">
        <f>'F2021 Electric Delivered Sales'!T39</f>
        <v>1006187.6170281799</v>
      </c>
      <c r="K29" s="80">
        <f>'F2021 Electric Delivered Sales'!AJ39</f>
        <v>154386.37664906197</v>
      </c>
      <c r="L29" s="86">
        <f>'F2021 Electric Delivered Sales'!AM39</f>
        <v>6719.0355797293305</v>
      </c>
      <c r="M29" s="81">
        <f t="shared" ref="M29:M30" si="3">SUM(C29:L29)</f>
        <v>743341154.88597035</v>
      </c>
    </row>
    <row r="30" spans="1:14" x14ac:dyDescent="0.2">
      <c r="A30" s="78">
        <f t="shared" si="1"/>
        <v>23</v>
      </c>
      <c r="B30" s="82" t="s">
        <v>191</v>
      </c>
      <c r="C30" s="83">
        <f>'F2021 Electric Delivered Sales'!E40</f>
        <v>667007635.61344302</v>
      </c>
      <c r="D30" s="83">
        <f>'F2021 Electric Delivered Sales'!F40</f>
        <v>198981.5</v>
      </c>
      <c r="E30" s="83">
        <f>'F2021 Electric Delivered Sales'!G40</f>
        <v>16164591.6070027</v>
      </c>
      <c r="F30" s="83">
        <f>'F2021 Electric Delivered Sales'!H40</f>
        <v>2034204.74639262</v>
      </c>
      <c r="G30" s="83">
        <f>'F2021 Electric Delivered Sales'!I40</f>
        <v>10049245.413019</v>
      </c>
      <c r="H30" s="83">
        <f>'F2021 Electric Delivered Sales'!J40</f>
        <v>1400684.7534312701</v>
      </c>
      <c r="I30" s="83">
        <f>'F2021 Electric Delivered Sales'!Q40</f>
        <v>2834661.2020839499</v>
      </c>
      <c r="J30" s="83">
        <f>'F2021 Electric Delivered Sales'!T40</f>
        <v>811117.47870321502</v>
      </c>
      <c r="K30" s="83">
        <f>'F2021 Electric Delivered Sales'!AJ40</f>
        <v>136450.76147880999</v>
      </c>
      <c r="L30" s="84">
        <f>'F2021 Electric Delivered Sales'!AM40</f>
        <v>6427.4832294571197</v>
      </c>
      <c r="M30" s="85">
        <f t="shared" si="3"/>
        <v>700644000.55878401</v>
      </c>
    </row>
    <row r="31" spans="1:14" ht="12" thickBot="1" x14ac:dyDescent="0.25">
      <c r="A31" s="78">
        <f t="shared" si="1"/>
        <v>24</v>
      </c>
      <c r="B31" s="1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306" t="s">
        <v>194</v>
      </c>
    </row>
    <row r="32" spans="1:14" ht="12" thickBot="1" x14ac:dyDescent="0.25">
      <c r="A32" s="78">
        <f t="shared" si="1"/>
        <v>25</v>
      </c>
      <c r="B32" s="87" t="s">
        <v>316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>
        <f>SUM(M8:M18)</f>
        <v>10449077215.241684</v>
      </c>
      <c r="N32" s="307">
        <f>M32-'F2021 Electric Delivered Sales'!B93</f>
        <v>0</v>
      </c>
    </row>
    <row r="33" spans="1:14" ht="12" thickBot="1" x14ac:dyDescent="0.25">
      <c r="A33" s="78">
        <f t="shared" si="1"/>
        <v>26</v>
      </c>
      <c r="B33" s="90" t="s">
        <v>192</v>
      </c>
      <c r="C33" s="88"/>
      <c r="D33" s="88"/>
      <c r="E33" s="88"/>
      <c r="F33" s="88"/>
      <c r="G33" s="88"/>
      <c r="H33" s="88"/>
      <c r="I33" s="88"/>
      <c r="J33" s="88"/>
      <c r="K33" s="91"/>
      <c r="L33" s="91"/>
      <c r="M33" s="89">
        <f>SUM(M19:M30)</f>
        <v>11272232726.180792</v>
      </c>
      <c r="N33" s="307">
        <f>M33-'F2021 Electric Delivered Sales'!B94</f>
        <v>0</v>
      </c>
    </row>
    <row r="34" spans="1:14" ht="12" thickBot="1" x14ac:dyDescent="0.25">
      <c r="A34" s="78">
        <f t="shared" si="1"/>
        <v>27</v>
      </c>
      <c r="B34" s="90" t="s">
        <v>324</v>
      </c>
      <c r="C34" s="88"/>
      <c r="D34" s="88"/>
      <c r="E34" s="88"/>
      <c r="F34" s="88"/>
      <c r="G34" s="88"/>
      <c r="H34" s="88"/>
      <c r="I34" s="88"/>
      <c r="J34" s="88"/>
      <c r="K34" s="91"/>
      <c r="L34" s="91"/>
      <c r="M34" s="89">
        <f>AVERAGE(M32:M33)</f>
        <v>10860654970.711239</v>
      </c>
    </row>
    <row r="35" spans="1:14" x14ac:dyDescent="0.2">
      <c r="M35" s="326"/>
    </row>
  </sheetData>
  <mergeCells count="4">
    <mergeCell ref="A1:N1"/>
    <mergeCell ref="A3:N3"/>
    <mergeCell ref="A4:N4"/>
    <mergeCell ref="A2:N2"/>
  </mergeCells>
  <phoneticPr fontId="0" type="noConversion"/>
  <printOptions horizontalCentered="1"/>
  <pageMargins left="0.75" right="0.75" top="1" bottom="1" header="0.5" footer="0.5"/>
  <pageSetup scale="71" orientation="landscape" cellComments="asDisplayed" horizontalDpi="300" verticalDpi="300" r:id="rId1"/>
  <headerFooter alignWithMargins="0"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4"/>
  <sheetViews>
    <sheetView zoomScaleNormal="100" workbookViewId="0">
      <pane xSplit="2" ySplit="7" topLeftCell="C62" activePane="bottomRight" state="frozen"/>
      <selection pane="topRight" activeCell="C1" sqref="C1"/>
      <selection pane="bottomLeft" activeCell="A8" sqref="A8"/>
      <selection pane="bottomRight" activeCell="AM93" sqref="AM93"/>
    </sheetView>
  </sheetViews>
  <sheetFormatPr defaultRowHeight="11.25" x14ac:dyDescent="0.2"/>
  <cols>
    <col min="1" max="1" width="15.5703125" style="2" customWidth="1"/>
    <col min="2" max="2" width="11.42578125" style="2" customWidth="1"/>
    <col min="3" max="3" width="5.140625" style="2" bestFit="1" customWidth="1"/>
    <col min="4" max="4" width="7.85546875" style="2" bestFit="1" customWidth="1"/>
    <col min="5" max="5" width="11.7109375" style="2" bestFit="1" customWidth="1"/>
    <col min="6" max="6" width="7.85546875" style="2" bestFit="1" customWidth="1"/>
    <col min="7" max="7" width="9.5703125" style="2" bestFit="1" customWidth="1"/>
    <col min="8" max="8" width="8.7109375" style="2" bestFit="1" customWidth="1"/>
    <col min="9" max="9" width="9.5703125" style="2" bestFit="1" customWidth="1"/>
    <col min="10" max="10" width="8.7109375" style="2" bestFit="1" customWidth="1"/>
    <col min="11" max="11" width="9.5703125" style="2" bestFit="1" customWidth="1"/>
    <col min="12" max="12" width="7.85546875" style="2" bestFit="1" customWidth="1"/>
    <col min="13" max="13" width="9.5703125" style="2" bestFit="1" customWidth="1"/>
    <col min="14" max="14" width="8.7109375" style="2" bestFit="1" customWidth="1"/>
    <col min="15" max="15" width="9.5703125" style="2" bestFit="1" customWidth="1"/>
    <col min="16" max="19" width="8.7109375" style="2" bestFit="1" customWidth="1"/>
    <col min="20" max="20" width="7.85546875" style="2" bestFit="1" customWidth="1"/>
    <col min="21" max="21" width="6.42578125" style="2" bestFit="1" customWidth="1"/>
    <col min="22" max="22" width="5.7109375" style="2" bestFit="1" customWidth="1"/>
    <col min="23" max="23" width="8.7109375" style="2" bestFit="1" customWidth="1"/>
    <col min="24" max="25" width="7.85546875" style="2" bestFit="1" customWidth="1"/>
    <col min="26" max="27" width="8.7109375" style="2" bestFit="1" customWidth="1"/>
    <col min="28" max="28" width="7.85546875" style="2" bestFit="1" customWidth="1"/>
    <col min="29" max="29" width="6.5703125" style="2" bestFit="1" customWidth="1"/>
    <col min="30" max="30" width="5.140625" style="2" bestFit="1" customWidth="1"/>
    <col min="31" max="31" width="6.5703125" style="2" bestFit="1" customWidth="1"/>
    <col min="32" max="33" width="7.85546875" style="2" bestFit="1" customWidth="1"/>
    <col min="34" max="35" width="6.5703125" style="2" bestFit="1" customWidth="1"/>
    <col min="36" max="36" width="7.85546875" style="2" bestFit="1" customWidth="1"/>
    <col min="37" max="38" width="6.5703125" style="2" bestFit="1" customWidth="1"/>
    <col min="39" max="39" width="5.7109375" style="2" bestFit="1" customWidth="1"/>
    <col min="40" max="40" width="10.85546875" style="2" bestFit="1" customWidth="1"/>
    <col min="41" max="41" width="8" style="2" bestFit="1" customWidth="1"/>
    <col min="42" max="42" width="9.5703125" style="2" bestFit="1" customWidth="1"/>
    <col min="43" max="43" width="8.7109375" style="2" bestFit="1" customWidth="1"/>
    <col min="44" max="44" width="12.42578125" style="2" bestFit="1" customWidth="1"/>
    <col min="45" max="45" width="8.7109375" style="2" bestFit="1" customWidth="1"/>
    <col min="46" max="16384" width="9.140625" style="2"/>
  </cols>
  <sheetData>
    <row r="1" spans="1:45" x14ac:dyDescent="0.2">
      <c r="A1" s="61" t="s">
        <v>195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61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</row>
    <row r="2" spans="1:45" x14ac:dyDescent="0.2">
      <c r="A2" s="161" t="s">
        <v>196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1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</row>
    <row r="3" spans="1:45" x14ac:dyDescent="0.2">
      <c r="A3" s="61" t="s">
        <v>197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61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</row>
    <row r="4" spans="1:45" x14ac:dyDescent="0.2">
      <c r="A4" s="62" t="s">
        <v>66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62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</row>
    <row r="5" spans="1:45" x14ac:dyDescent="0.2">
      <c r="A5" s="63"/>
      <c r="B5" s="62"/>
      <c r="C5" s="62"/>
      <c r="D5" s="62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63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</row>
    <row r="6" spans="1:45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</row>
    <row r="7" spans="1:45" x14ac:dyDescent="0.2">
      <c r="A7" s="64" t="s">
        <v>67</v>
      </c>
      <c r="B7" s="64" t="s">
        <v>10</v>
      </c>
      <c r="C7" s="64" t="s">
        <v>97</v>
      </c>
      <c r="D7" s="64" t="s">
        <v>68</v>
      </c>
      <c r="E7" s="65" t="s">
        <v>69</v>
      </c>
      <c r="F7" s="65" t="s">
        <v>70</v>
      </c>
      <c r="G7" s="65" t="s">
        <v>71</v>
      </c>
      <c r="H7" s="65" t="s">
        <v>72</v>
      </c>
      <c r="I7" s="65" t="s">
        <v>73</v>
      </c>
      <c r="J7" s="65" t="s">
        <v>74</v>
      </c>
      <c r="K7" s="65" t="s">
        <v>75</v>
      </c>
      <c r="L7" s="65" t="s">
        <v>76</v>
      </c>
      <c r="M7" s="65" t="s">
        <v>77</v>
      </c>
      <c r="N7" s="65" t="s">
        <v>78</v>
      </c>
      <c r="O7" s="65" t="s">
        <v>79</v>
      </c>
      <c r="P7" s="65" t="s">
        <v>80</v>
      </c>
      <c r="Q7" s="65" t="s">
        <v>81</v>
      </c>
      <c r="R7" s="65" t="s">
        <v>82</v>
      </c>
      <c r="S7" s="65" t="s">
        <v>83</v>
      </c>
      <c r="T7" s="65" t="s">
        <v>84</v>
      </c>
      <c r="U7" s="162" t="s">
        <v>127</v>
      </c>
      <c r="V7" s="162" t="s">
        <v>128</v>
      </c>
      <c r="W7" s="65" t="s">
        <v>85</v>
      </c>
      <c r="X7" s="65" t="s">
        <v>86</v>
      </c>
      <c r="Y7" s="65" t="s">
        <v>87</v>
      </c>
      <c r="Z7" s="65" t="s">
        <v>88</v>
      </c>
      <c r="AA7" s="65" t="s">
        <v>89</v>
      </c>
      <c r="AB7" s="65" t="s">
        <v>90</v>
      </c>
      <c r="AC7" s="65" t="s">
        <v>91</v>
      </c>
      <c r="AD7" s="65" t="s">
        <v>98</v>
      </c>
      <c r="AE7" s="65" t="s">
        <v>99</v>
      </c>
      <c r="AF7" s="65" t="s">
        <v>100</v>
      </c>
      <c r="AG7" s="65" t="s">
        <v>101</v>
      </c>
      <c r="AH7" s="65" t="s">
        <v>102</v>
      </c>
      <c r="AI7" s="65" t="s">
        <v>103</v>
      </c>
      <c r="AJ7" s="65" t="s">
        <v>104</v>
      </c>
      <c r="AK7" s="65" t="s">
        <v>105</v>
      </c>
      <c r="AL7" s="65" t="s">
        <v>106</v>
      </c>
      <c r="AM7" s="66" t="s">
        <v>107</v>
      </c>
      <c r="AN7" s="67" t="s">
        <v>129</v>
      </c>
      <c r="AO7" s="64" t="s">
        <v>130</v>
      </c>
      <c r="AP7" s="65" t="s">
        <v>131</v>
      </c>
      <c r="AQ7" s="66" t="s">
        <v>132</v>
      </c>
      <c r="AR7" s="67" t="s">
        <v>133</v>
      </c>
      <c r="AS7" s="67" t="s">
        <v>198</v>
      </c>
    </row>
    <row r="8" spans="1:45" x14ac:dyDescent="0.2">
      <c r="A8" s="163">
        <v>2021</v>
      </c>
      <c r="B8" s="163">
        <v>1</v>
      </c>
      <c r="C8" s="164">
        <v>589.99999999999898</v>
      </c>
      <c r="D8" s="164">
        <v>964484.58290749602</v>
      </c>
      <c r="E8" s="165">
        <v>1272705415.1384299</v>
      </c>
      <c r="F8" s="165">
        <v>264163.33333333302</v>
      </c>
      <c r="G8" s="165">
        <v>26088063.868702602</v>
      </c>
      <c r="H8" s="165">
        <v>2599837.4662276502</v>
      </c>
      <c r="I8" s="165">
        <v>13413995.816473199</v>
      </c>
      <c r="J8" s="165">
        <v>1543086.28929654</v>
      </c>
      <c r="K8" s="165">
        <v>212432457.8432638</v>
      </c>
      <c r="L8" s="165">
        <v>7801276.24460789</v>
      </c>
      <c r="M8" s="165">
        <v>220129024.65768108</v>
      </c>
      <c r="N8" s="165">
        <v>13489226.005403699</v>
      </c>
      <c r="O8" s="165">
        <v>132805496.99420895</v>
      </c>
      <c r="P8" s="165">
        <v>15518693.315599699</v>
      </c>
      <c r="Q8" s="165">
        <v>383315.49088096101</v>
      </c>
      <c r="R8" s="165">
        <v>70396551.4226394</v>
      </c>
      <c r="S8" s="165">
        <v>39367760.556491502</v>
      </c>
      <c r="T8" s="165">
        <v>5016.87303693788</v>
      </c>
      <c r="U8" s="165"/>
      <c r="V8" s="165"/>
      <c r="W8" s="165">
        <v>13999156.0513053</v>
      </c>
      <c r="X8" s="165">
        <v>1608212.2309590799</v>
      </c>
      <c r="Y8" s="165">
        <v>4263697.3377008494</v>
      </c>
      <c r="Z8" s="165">
        <v>33970939.504236102</v>
      </c>
      <c r="AA8" s="165">
        <v>10273029.0467299</v>
      </c>
      <c r="AB8" s="165">
        <v>1124055.0956261</v>
      </c>
      <c r="AC8" s="165">
        <v>104557.72841991301</v>
      </c>
      <c r="AD8" s="165">
        <v>4500.1258249999901</v>
      </c>
      <c r="AE8" s="165">
        <v>224573.02180846801</v>
      </c>
      <c r="AF8" s="165">
        <v>1038839.7750891099</v>
      </c>
      <c r="AG8" s="165">
        <v>3003357.5155746797</v>
      </c>
      <c r="AH8" s="165">
        <v>555108.3487766271</v>
      </c>
      <c r="AI8" s="165">
        <v>166001.635510719</v>
      </c>
      <c r="AJ8" s="165">
        <v>137120.51823013299</v>
      </c>
      <c r="AK8" s="165">
        <v>372395.30940729298</v>
      </c>
      <c r="AL8" s="165">
        <v>163624.49954021801</v>
      </c>
      <c r="AM8" s="165">
        <v>6384.1906491382097</v>
      </c>
      <c r="AN8" s="166">
        <v>2100924007.834573</v>
      </c>
      <c r="AO8" s="165">
        <v>6330605.1911079101</v>
      </c>
      <c r="AP8" s="165">
        <v>130791036.809709</v>
      </c>
      <c r="AQ8" s="165">
        <v>25088085.756183099</v>
      </c>
      <c r="AR8" s="166">
        <v>2263133735.5915732</v>
      </c>
      <c r="AS8" s="166">
        <v>28068060.932999998</v>
      </c>
    </row>
    <row r="9" spans="1:45" s="172" customFormat="1" x14ac:dyDescent="0.2">
      <c r="A9" s="167"/>
      <c r="B9" s="168">
        <v>2</v>
      </c>
      <c r="C9" s="169">
        <v>589.99999999999898</v>
      </c>
      <c r="D9" s="169">
        <v>853843.50756383198</v>
      </c>
      <c r="E9" s="170">
        <v>1035909741.2274001</v>
      </c>
      <c r="F9" s="170">
        <v>238004.04666666698</v>
      </c>
      <c r="G9" s="170">
        <v>22671475.845135201</v>
      </c>
      <c r="H9" s="170">
        <v>2360833.8251582999</v>
      </c>
      <c r="I9" s="170">
        <v>11412444.1974135</v>
      </c>
      <c r="J9" s="170">
        <v>1405596.6602640499</v>
      </c>
      <c r="K9" s="170">
        <v>187518134.58699101</v>
      </c>
      <c r="L9" s="170">
        <v>6658684.7573382398</v>
      </c>
      <c r="M9" s="170">
        <v>202163920.27405769</v>
      </c>
      <c r="N9" s="170">
        <v>12176793.640735202</v>
      </c>
      <c r="O9" s="170">
        <v>119605641.14018694</v>
      </c>
      <c r="P9" s="170">
        <v>14424787.240455501</v>
      </c>
      <c r="Q9" s="170">
        <v>221517.01893527998</v>
      </c>
      <c r="R9" s="170">
        <v>64028468.216246404</v>
      </c>
      <c r="S9" s="170">
        <v>35358859.442481399</v>
      </c>
      <c r="T9" s="170">
        <v>5619.32607088852</v>
      </c>
      <c r="U9" s="170"/>
      <c r="V9" s="170"/>
      <c r="W9" s="170">
        <v>12820744.6501584</v>
      </c>
      <c r="X9" s="170">
        <v>1382799.8960202001</v>
      </c>
      <c r="Y9" s="170">
        <v>4290113.4959903704</v>
      </c>
      <c r="Z9" s="170">
        <v>28129871.944887199</v>
      </c>
      <c r="AA9" s="170">
        <v>7995101.5077483198</v>
      </c>
      <c r="AB9" s="170">
        <v>962588.28548829292</v>
      </c>
      <c r="AC9" s="170">
        <v>106467.67125306699</v>
      </c>
      <c r="AD9" s="170">
        <v>4500.1258249999901</v>
      </c>
      <c r="AE9" s="170">
        <v>213015.455649743</v>
      </c>
      <c r="AF9" s="170">
        <v>981846.56689242506</v>
      </c>
      <c r="AG9" s="170">
        <v>2807202.1917457702</v>
      </c>
      <c r="AH9" s="170">
        <v>519496.49773330998</v>
      </c>
      <c r="AI9" s="170">
        <v>152577.70844056</v>
      </c>
      <c r="AJ9" s="170">
        <v>131758.21287418099</v>
      </c>
      <c r="AK9" s="170">
        <v>225989.194245238</v>
      </c>
      <c r="AL9" s="170">
        <v>149529.112629829</v>
      </c>
      <c r="AM9" s="170">
        <v>5679.2361488174702</v>
      </c>
      <c r="AN9" s="171">
        <v>1777894236.7068305</v>
      </c>
      <c r="AO9" s="170">
        <v>5923079.21417847</v>
      </c>
      <c r="AP9" s="170">
        <v>119510778.47821601</v>
      </c>
      <c r="AQ9" s="170">
        <v>23167207.178605799</v>
      </c>
      <c r="AR9" s="171">
        <v>1926495301.5778308</v>
      </c>
      <c r="AS9" s="171">
        <v>26042263.364</v>
      </c>
    </row>
    <row r="10" spans="1:45" s="172" customFormat="1" x14ac:dyDescent="0.2">
      <c r="A10" s="167"/>
      <c r="B10" s="168">
        <v>3</v>
      </c>
      <c r="C10" s="169">
        <v>589.99999999999898</v>
      </c>
      <c r="D10" s="169">
        <v>871937.38513699302</v>
      </c>
      <c r="E10" s="170">
        <v>1111158260.8565199</v>
      </c>
      <c r="F10" s="170">
        <v>210451.786666667</v>
      </c>
      <c r="G10" s="170">
        <v>21714893.964150697</v>
      </c>
      <c r="H10" s="170">
        <v>2413498.7458450198</v>
      </c>
      <c r="I10" s="170">
        <v>11417519.516844001</v>
      </c>
      <c r="J10" s="170">
        <v>1368770.7822197</v>
      </c>
      <c r="K10" s="170">
        <v>188908596.41262111</v>
      </c>
      <c r="L10" s="170">
        <v>6316290.7264502905</v>
      </c>
      <c r="M10" s="170">
        <v>204015217.86882442</v>
      </c>
      <c r="N10" s="170">
        <v>11608580.5274163</v>
      </c>
      <c r="O10" s="170">
        <v>120173389.80692188</v>
      </c>
      <c r="P10" s="170">
        <v>13850112.825146399</v>
      </c>
      <c r="Q10" s="170">
        <v>244230.51454560601</v>
      </c>
      <c r="R10" s="170">
        <v>65170473.138644002</v>
      </c>
      <c r="S10" s="170">
        <v>33626222.980525501</v>
      </c>
      <c r="T10" s="170">
        <v>5713.4324593077499</v>
      </c>
      <c r="U10" s="170"/>
      <c r="V10" s="170"/>
      <c r="W10" s="170">
        <v>12488007.8522723</v>
      </c>
      <c r="X10" s="170">
        <v>1420959.6971610799</v>
      </c>
      <c r="Y10" s="170">
        <v>4692007.2403933201</v>
      </c>
      <c r="Z10" s="170">
        <v>31147157.410584901</v>
      </c>
      <c r="AA10" s="170">
        <v>8350398.0491506411</v>
      </c>
      <c r="AB10" s="170">
        <v>835106.13484712911</v>
      </c>
      <c r="AC10" s="170">
        <v>100141.31729267401</v>
      </c>
      <c r="AD10" s="170">
        <v>4500.1258249999901</v>
      </c>
      <c r="AE10" s="170">
        <v>209804.93933179099</v>
      </c>
      <c r="AF10" s="170">
        <v>963035.78228651104</v>
      </c>
      <c r="AG10" s="170">
        <v>2725109.6609760001</v>
      </c>
      <c r="AH10" s="170">
        <v>504304.58090225601</v>
      </c>
      <c r="AI10" s="170">
        <v>154908.70946709099</v>
      </c>
      <c r="AJ10" s="170">
        <v>129732.806972493</v>
      </c>
      <c r="AK10" s="170">
        <v>236498.60401804899</v>
      </c>
      <c r="AL10" s="170">
        <v>153996.563864247</v>
      </c>
      <c r="AM10" s="170">
        <v>6040.4660573323199</v>
      </c>
      <c r="AN10" s="171">
        <v>1857196461.2123408</v>
      </c>
      <c r="AO10" s="170">
        <v>6518756.4176520603</v>
      </c>
      <c r="AP10" s="170">
        <v>134860237.53946</v>
      </c>
      <c r="AQ10" s="170">
        <v>25394465.762887698</v>
      </c>
      <c r="AR10" s="171">
        <v>2023969920.9323406</v>
      </c>
      <c r="AS10" s="171">
        <v>25984209.386999998</v>
      </c>
    </row>
    <row r="11" spans="1:45" x14ac:dyDescent="0.2">
      <c r="A11" s="167"/>
      <c r="B11" s="168">
        <v>4</v>
      </c>
      <c r="C11" s="169">
        <v>589.99999999999898</v>
      </c>
      <c r="D11" s="169">
        <v>727414.05559198093</v>
      </c>
      <c r="E11" s="170">
        <v>884343784.15703595</v>
      </c>
      <c r="F11" s="170">
        <v>179649</v>
      </c>
      <c r="G11" s="170">
        <v>19054655.3844047</v>
      </c>
      <c r="H11" s="170">
        <v>2181399.10097931</v>
      </c>
      <c r="I11" s="170">
        <v>10199684.5430238</v>
      </c>
      <c r="J11" s="170">
        <v>1213300.8530483101</v>
      </c>
      <c r="K11" s="170">
        <v>171191499.4842605</v>
      </c>
      <c r="L11" s="170">
        <v>5523352.7854803996</v>
      </c>
      <c r="M11" s="170">
        <v>190426263.3162263</v>
      </c>
      <c r="N11" s="170">
        <v>10765657.819230901</v>
      </c>
      <c r="O11" s="170">
        <v>115671631.88418929</v>
      </c>
      <c r="P11" s="170">
        <v>13589438.488877499</v>
      </c>
      <c r="Q11" s="170">
        <v>264531.42216143699</v>
      </c>
      <c r="R11" s="170">
        <v>63359041.040318206</v>
      </c>
      <c r="S11" s="170">
        <v>32357520.313942201</v>
      </c>
      <c r="T11" s="170">
        <v>4442.45651921629</v>
      </c>
      <c r="U11" s="170"/>
      <c r="V11" s="170"/>
      <c r="W11" s="170">
        <v>9768822.8581319191</v>
      </c>
      <c r="X11" s="170">
        <v>1504402.8197485099</v>
      </c>
      <c r="Y11" s="170">
        <v>3378469.0218923003</v>
      </c>
      <c r="Z11" s="170">
        <v>31310866.569137499</v>
      </c>
      <c r="AA11" s="170">
        <v>8018216.3940215493</v>
      </c>
      <c r="AB11" s="170">
        <v>755181.59393891494</v>
      </c>
      <c r="AC11" s="170">
        <v>84089.042025986506</v>
      </c>
      <c r="AD11" s="170">
        <v>4500.1258249999901</v>
      </c>
      <c r="AE11" s="170">
        <v>236834.01218617</v>
      </c>
      <c r="AF11" s="170">
        <v>1071683.16111474</v>
      </c>
      <c r="AG11" s="170">
        <v>3032549.9732991504</v>
      </c>
      <c r="AH11" s="170">
        <v>561199.00980500202</v>
      </c>
      <c r="AI11" s="170">
        <v>161098.767958671</v>
      </c>
      <c r="AJ11" s="170">
        <v>139232.97147586002</v>
      </c>
      <c r="AK11" s="170">
        <v>232237.51058131101</v>
      </c>
      <c r="AL11" s="170">
        <v>157836.28457619599</v>
      </c>
      <c r="AM11" s="170">
        <v>6052.25487978604</v>
      </c>
      <c r="AN11" s="171">
        <v>1581477128.4758883</v>
      </c>
      <c r="AO11" s="170">
        <v>5764674.1265603798</v>
      </c>
      <c r="AP11" s="170">
        <v>119693452.048962</v>
      </c>
      <c r="AQ11" s="170">
        <v>20536213.2804779</v>
      </c>
      <c r="AR11" s="171">
        <v>1727471467.9318886</v>
      </c>
      <c r="AS11" s="171">
        <v>22498471.697000001</v>
      </c>
    </row>
    <row r="12" spans="1:45" x14ac:dyDescent="0.2">
      <c r="A12" s="167"/>
      <c r="B12" s="168">
        <v>5</v>
      </c>
      <c r="C12" s="169">
        <v>589.99999999999898</v>
      </c>
      <c r="D12" s="169">
        <v>499608.89182661701</v>
      </c>
      <c r="E12" s="170">
        <v>792813508.10534704</v>
      </c>
      <c r="F12" s="170">
        <v>168692.5</v>
      </c>
      <c r="G12" s="170">
        <v>17257515.953869198</v>
      </c>
      <c r="H12" s="170">
        <v>2086285.9428056299</v>
      </c>
      <c r="I12" s="170">
        <v>9807193.0519909486</v>
      </c>
      <c r="J12" s="170">
        <v>1192227.32420364</v>
      </c>
      <c r="K12" s="170">
        <v>171566727.13076258</v>
      </c>
      <c r="L12" s="170">
        <v>6068398.89373466</v>
      </c>
      <c r="M12" s="170">
        <v>196788152.98941731</v>
      </c>
      <c r="N12" s="170">
        <v>12256575.3894809</v>
      </c>
      <c r="O12" s="170">
        <v>123887877.10116301</v>
      </c>
      <c r="P12" s="170">
        <v>16099790.592728699</v>
      </c>
      <c r="Q12" s="170">
        <v>762530.43809841992</v>
      </c>
      <c r="R12" s="170">
        <v>66789049.178407297</v>
      </c>
      <c r="S12" s="170">
        <v>38331787.929720201</v>
      </c>
      <c r="T12" s="170">
        <v>341616.06973754498</v>
      </c>
      <c r="U12" s="170"/>
      <c r="V12" s="170"/>
      <c r="W12" s="170">
        <v>8417803.34111242</v>
      </c>
      <c r="X12" s="170">
        <v>1677035.87207656</v>
      </c>
      <c r="Y12" s="170">
        <v>4131712.0110587804</v>
      </c>
      <c r="Z12" s="170">
        <v>33629535.972950801</v>
      </c>
      <c r="AA12" s="170">
        <v>9792185.1526469905</v>
      </c>
      <c r="AB12" s="170">
        <v>625420.43904302898</v>
      </c>
      <c r="AC12" s="170">
        <v>62535.289484968504</v>
      </c>
      <c r="AD12" s="170">
        <v>4500.1258249999901</v>
      </c>
      <c r="AE12" s="170">
        <v>234362.622774902</v>
      </c>
      <c r="AF12" s="170">
        <v>1045667.6984481401</v>
      </c>
      <c r="AG12" s="170">
        <v>2958933.8211773904</v>
      </c>
      <c r="AH12" s="170">
        <v>547575.71850225492</v>
      </c>
      <c r="AI12" s="170">
        <v>168108.136505553</v>
      </c>
      <c r="AJ12" s="170">
        <v>140950.65482239501</v>
      </c>
      <c r="AK12" s="170">
        <v>435208.65971297701</v>
      </c>
      <c r="AL12" s="170">
        <v>166990.704214108</v>
      </c>
      <c r="AM12" s="170">
        <v>6521.6862783993101</v>
      </c>
      <c r="AN12" s="171">
        <v>1520763175.3899279</v>
      </c>
      <c r="AO12" s="170">
        <v>6170874.1306243902</v>
      </c>
      <c r="AP12" s="170">
        <v>120007088.15126599</v>
      </c>
      <c r="AQ12" s="170">
        <v>21688462.451305401</v>
      </c>
      <c r="AR12" s="171">
        <v>1668629600.1231236</v>
      </c>
      <c r="AS12" s="171">
        <v>22378737.010000002</v>
      </c>
    </row>
    <row r="13" spans="1:45" x14ac:dyDescent="0.2">
      <c r="A13" s="167"/>
      <c r="B13" s="168">
        <v>6</v>
      </c>
      <c r="C13" s="169">
        <v>589.99999999999898</v>
      </c>
      <c r="D13" s="169">
        <v>392344.63793465099</v>
      </c>
      <c r="E13" s="170">
        <v>691050692.66152</v>
      </c>
      <c r="F13" s="170">
        <v>184959.33333333299</v>
      </c>
      <c r="G13" s="170">
        <v>15718922.297810899</v>
      </c>
      <c r="H13" s="170">
        <v>1879074.1385265</v>
      </c>
      <c r="I13" s="170">
        <v>8956672.6858151704</v>
      </c>
      <c r="J13" s="170">
        <v>1072802.7869442401</v>
      </c>
      <c r="K13" s="170">
        <v>162042213.16614357</v>
      </c>
      <c r="L13" s="170">
        <v>5813241.1859020405</v>
      </c>
      <c r="M13" s="170">
        <v>188672464.73858047</v>
      </c>
      <c r="N13" s="170">
        <v>12106095.481818</v>
      </c>
      <c r="O13" s="170">
        <v>121448159.49496463</v>
      </c>
      <c r="P13" s="170">
        <v>16293738.280700199</v>
      </c>
      <c r="Q13" s="170">
        <v>1468018.78712639</v>
      </c>
      <c r="R13" s="170">
        <v>64102564.572445296</v>
      </c>
      <c r="S13" s="170">
        <v>38499598.369929798</v>
      </c>
      <c r="T13" s="170">
        <v>656697.37900764507</v>
      </c>
      <c r="U13" s="170"/>
      <c r="V13" s="170"/>
      <c r="W13" s="170">
        <v>6832854.0456230799</v>
      </c>
      <c r="X13" s="170">
        <v>1626149.0290983398</v>
      </c>
      <c r="Y13" s="170">
        <v>5804145.3514012499</v>
      </c>
      <c r="Z13" s="170">
        <v>30213875.159256499</v>
      </c>
      <c r="AA13" s="170">
        <v>9281281.8233593013</v>
      </c>
      <c r="AB13" s="170">
        <v>550797.13305253803</v>
      </c>
      <c r="AC13" s="170">
        <v>59993.344484980102</v>
      </c>
      <c r="AD13" s="170">
        <v>4500.1258249999901</v>
      </c>
      <c r="AE13" s="170">
        <v>233362.134388879</v>
      </c>
      <c r="AF13" s="170">
        <v>1026842.1834411899</v>
      </c>
      <c r="AG13" s="170">
        <v>2905663.11850785</v>
      </c>
      <c r="AH13" s="170">
        <v>537717.524621533</v>
      </c>
      <c r="AI13" s="170">
        <v>156861.251198596</v>
      </c>
      <c r="AJ13" s="170">
        <v>135482.56701652499</v>
      </c>
      <c r="AK13" s="170">
        <v>261563.07503782501</v>
      </c>
      <c r="AL13" s="170">
        <v>153099.60636302302</v>
      </c>
      <c r="AM13" s="170">
        <v>5831.8603187931503</v>
      </c>
      <c r="AN13" s="171">
        <v>1390148869.3314981</v>
      </c>
      <c r="AO13" s="170">
        <v>6064823.2771860007</v>
      </c>
      <c r="AP13" s="170">
        <v>133924546.18040001</v>
      </c>
      <c r="AQ13" s="170">
        <v>24584624.430952001</v>
      </c>
      <c r="AR13" s="171">
        <v>1554722863.220036</v>
      </c>
      <c r="AS13" s="171">
        <v>22163362.182</v>
      </c>
    </row>
    <row r="14" spans="1:45" x14ac:dyDescent="0.2">
      <c r="A14" s="167"/>
      <c r="B14" s="168">
        <v>7</v>
      </c>
      <c r="C14" s="169">
        <v>589.99999999999898</v>
      </c>
      <c r="D14" s="169">
        <v>327859.06347074703</v>
      </c>
      <c r="E14" s="170">
        <v>686961648.53379309</v>
      </c>
      <c r="F14" s="170">
        <v>210981.83333333299</v>
      </c>
      <c r="G14" s="170">
        <v>16816633.629006702</v>
      </c>
      <c r="H14" s="170">
        <v>2026867.96654564</v>
      </c>
      <c r="I14" s="170">
        <v>10064885.8447825</v>
      </c>
      <c r="J14" s="170">
        <v>1475518.70813406</v>
      </c>
      <c r="K14" s="170">
        <v>185040475.1424664</v>
      </c>
      <c r="L14" s="170">
        <v>6235881.0927795107</v>
      </c>
      <c r="M14" s="170">
        <v>212517720.97478381</v>
      </c>
      <c r="N14" s="170">
        <v>12845417.4560958</v>
      </c>
      <c r="O14" s="170">
        <v>137932651.55893421</v>
      </c>
      <c r="P14" s="170">
        <v>17323412.284552898</v>
      </c>
      <c r="Q14" s="170">
        <v>2715970.0944836498</v>
      </c>
      <c r="R14" s="170">
        <v>70715766.248375207</v>
      </c>
      <c r="S14" s="170">
        <v>40516880.893651702</v>
      </c>
      <c r="T14" s="170">
        <v>696590.37129106198</v>
      </c>
      <c r="U14" s="170"/>
      <c r="V14" s="170"/>
      <c r="W14" s="170">
        <v>5746574.8418647097</v>
      </c>
      <c r="X14" s="170">
        <v>2140476.6950265099</v>
      </c>
      <c r="Y14" s="170">
        <v>6575569.5156167299</v>
      </c>
      <c r="Z14" s="170">
        <v>35154153.139748603</v>
      </c>
      <c r="AA14" s="170">
        <v>10287698.447671201</v>
      </c>
      <c r="AB14" s="170">
        <v>522117.36288071802</v>
      </c>
      <c r="AC14" s="170">
        <v>61898.136984980098</v>
      </c>
      <c r="AD14" s="170">
        <v>4500.1258249999901</v>
      </c>
      <c r="AE14" s="170">
        <v>242744.346980667</v>
      </c>
      <c r="AF14" s="170">
        <v>1053593.4023635399</v>
      </c>
      <c r="AG14" s="170">
        <v>2981361.2456896901</v>
      </c>
      <c r="AH14" s="170">
        <v>551726.10301020998</v>
      </c>
      <c r="AI14" s="170">
        <v>169890.139130539</v>
      </c>
      <c r="AJ14" s="170">
        <v>142500.89634409</v>
      </c>
      <c r="AK14" s="170">
        <v>226562.069015735</v>
      </c>
      <c r="AL14" s="170">
        <v>168698.410971762</v>
      </c>
      <c r="AM14" s="170">
        <v>6641.5336529051201</v>
      </c>
      <c r="AN14" s="171">
        <v>1470462458.1092579</v>
      </c>
      <c r="AO14" s="170">
        <v>6002394.1712980205</v>
      </c>
      <c r="AP14" s="170">
        <v>138124395.512108</v>
      </c>
      <c r="AQ14" s="170">
        <v>24637586.5586133</v>
      </c>
      <c r="AR14" s="171">
        <v>1639226834.3512774</v>
      </c>
      <c r="AS14" s="171">
        <v>24538852.638999999</v>
      </c>
    </row>
    <row r="15" spans="1:45" x14ac:dyDescent="0.2">
      <c r="A15" s="167"/>
      <c r="B15" s="168">
        <v>8</v>
      </c>
      <c r="C15" s="169">
        <v>589.99999999999898</v>
      </c>
      <c r="D15" s="169">
        <v>308456.38191396499</v>
      </c>
      <c r="E15" s="170">
        <v>707738511.81289208</v>
      </c>
      <c r="F15" s="170">
        <v>230198</v>
      </c>
      <c r="G15" s="170">
        <v>17198392.721741397</v>
      </c>
      <c r="H15" s="170">
        <v>2062533.4451459299</v>
      </c>
      <c r="I15" s="170">
        <v>10405916.8535733</v>
      </c>
      <c r="J15" s="170">
        <v>1847614.66576438</v>
      </c>
      <c r="K15" s="170">
        <v>190411022.6302681</v>
      </c>
      <c r="L15" s="170">
        <v>6334988.9925246201</v>
      </c>
      <c r="M15" s="170">
        <v>217603882.28848815</v>
      </c>
      <c r="N15" s="170">
        <v>13155051.499851799</v>
      </c>
      <c r="O15" s="170">
        <v>141880289.17359996</v>
      </c>
      <c r="P15" s="170">
        <v>17402734.342406597</v>
      </c>
      <c r="Q15" s="170">
        <v>3714734.7991408003</v>
      </c>
      <c r="R15" s="170">
        <v>71691532.288344696</v>
      </c>
      <c r="S15" s="170">
        <v>41465118.469690897</v>
      </c>
      <c r="T15" s="170">
        <v>956220.25287891598</v>
      </c>
      <c r="U15" s="170"/>
      <c r="V15" s="170"/>
      <c r="W15" s="170">
        <v>4873329.6041353894</v>
      </c>
      <c r="X15" s="170">
        <v>2134333.2696805699</v>
      </c>
      <c r="Y15" s="170">
        <v>5805393.8851918299</v>
      </c>
      <c r="Z15" s="170">
        <v>34421935.679107897</v>
      </c>
      <c r="AA15" s="170">
        <v>10432635.144688699</v>
      </c>
      <c r="AB15" s="170">
        <v>563022.16236651305</v>
      </c>
      <c r="AC15" s="170">
        <v>62258.761984980098</v>
      </c>
      <c r="AD15" s="170">
        <v>4500.1258249999901</v>
      </c>
      <c r="AE15" s="170">
        <v>246190.91438787899</v>
      </c>
      <c r="AF15" s="170">
        <v>1054209.5442306199</v>
      </c>
      <c r="AG15" s="170">
        <v>2983104.7470064601</v>
      </c>
      <c r="AH15" s="170">
        <v>552048.75266847794</v>
      </c>
      <c r="AI15" s="170">
        <v>170262.792419206</v>
      </c>
      <c r="AJ15" s="170">
        <v>146719.535822206</v>
      </c>
      <c r="AK15" s="170">
        <v>227629.20478697398</v>
      </c>
      <c r="AL15" s="170">
        <v>165925.735867963</v>
      </c>
      <c r="AM15" s="170">
        <v>6385.3676912933897</v>
      </c>
      <c r="AN15" s="171">
        <v>1508257673.8460872</v>
      </c>
      <c r="AO15" s="170">
        <v>5981963.3118043104</v>
      </c>
      <c r="AP15" s="170">
        <v>136788956.395419</v>
      </c>
      <c r="AQ15" s="170">
        <v>25726917.045641601</v>
      </c>
      <c r="AR15" s="171">
        <v>1676755510.5989521</v>
      </c>
      <c r="AS15" s="171">
        <v>23590509.795000002</v>
      </c>
    </row>
    <row r="16" spans="1:45" x14ac:dyDescent="0.2">
      <c r="A16" s="167"/>
      <c r="B16" s="168">
        <v>9</v>
      </c>
      <c r="C16" s="169">
        <v>589.99999999999898</v>
      </c>
      <c r="D16" s="169">
        <v>345736.71527429298</v>
      </c>
      <c r="E16" s="170">
        <v>671247163.245561</v>
      </c>
      <c r="F16" s="170">
        <v>198981.5</v>
      </c>
      <c r="G16" s="170">
        <v>15754785.503747601</v>
      </c>
      <c r="H16" s="170">
        <v>1928920.2471559299</v>
      </c>
      <c r="I16" s="170">
        <v>9529125.8071177099</v>
      </c>
      <c r="J16" s="170">
        <v>1328189.3996007401</v>
      </c>
      <c r="K16" s="170">
        <v>174081491.20885101</v>
      </c>
      <c r="L16" s="170">
        <v>6180617.49594667</v>
      </c>
      <c r="M16" s="170">
        <v>199665178.58103928</v>
      </c>
      <c r="N16" s="170">
        <v>12813395.252726499</v>
      </c>
      <c r="O16" s="170">
        <v>129367403.67273363</v>
      </c>
      <c r="P16" s="170">
        <v>16713209.129120201</v>
      </c>
      <c r="Q16" s="170">
        <v>2687947.41346638</v>
      </c>
      <c r="R16" s="170">
        <v>66684414.870143794</v>
      </c>
      <c r="S16" s="170">
        <v>40309062.845635496</v>
      </c>
      <c r="T16" s="170">
        <v>769136.40589388297</v>
      </c>
      <c r="U16" s="170"/>
      <c r="V16" s="170"/>
      <c r="W16" s="170">
        <v>5679407.9558120901</v>
      </c>
      <c r="X16" s="170">
        <v>1649801.9387551202</v>
      </c>
      <c r="Y16" s="170">
        <v>5593542.8918307796</v>
      </c>
      <c r="Z16" s="170">
        <v>30218059.856859598</v>
      </c>
      <c r="AA16" s="170">
        <v>9940396.6132280286</v>
      </c>
      <c r="AB16" s="170">
        <v>710542.83361935196</v>
      </c>
      <c r="AC16" s="170">
        <v>64124.886984980098</v>
      </c>
      <c r="AD16" s="170">
        <v>4500.1258249999901</v>
      </c>
      <c r="AE16" s="170">
        <v>261651.297174298</v>
      </c>
      <c r="AF16" s="170">
        <v>1105572.1138260502</v>
      </c>
      <c r="AG16" s="170">
        <v>3128445.79994713</v>
      </c>
      <c r="AH16" s="170">
        <v>578945.34323169501</v>
      </c>
      <c r="AI16" s="170">
        <v>154586.790649203</v>
      </c>
      <c r="AJ16" s="170">
        <v>129388.46840421201</v>
      </c>
      <c r="AK16" s="170">
        <v>278763.33055511996</v>
      </c>
      <c r="AL16" s="170">
        <v>153607.107377051</v>
      </c>
      <c r="AM16" s="170">
        <v>6094.8154611974605</v>
      </c>
      <c r="AN16" s="171">
        <v>1409262781.4635546</v>
      </c>
      <c r="AO16" s="170">
        <v>5483117.0446132002</v>
      </c>
      <c r="AP16" s="170">
        <v>129846452.356326</v>
      </c>
      <c r="AQ16" s="170">
        <v>25240861.000472602</v>
      </c>
      <c r="AR16" s="171">
        <v>1569833211.8649664</v>
      </c>
      <c r="AS16" s="171">
        <v>22927589.971999999</v>
      </c>
    </row>
    <row r="17" spans="1:45" x14ac:dyDescent="0.2">
      <c r="A17" s="167"/>
      <c r="B17" s="168">
        <v>10</v>
      </c>
      <c r="C17" s="169">
        <v>589.99999999999898</v>
      </c>
      <c r="D17" s="169">
        <v>541324.82854066696</v>
      </c>
      <c r="E17" s="170">
        <v>843497057.98825395</v>
      </c>
      <c r="F17" s="170">
        <v>174254</v>
      </c>
      <c r="G17" s="170">
        <v>16194624.579448501</v>
      </c>
      <c r="H17" s="170">
        <v>1919877.7644016601</v>
      </c>
      <c r="I17" s="170">
        <v>9720031.7780487407</v>
      </c>
      <c r="J17" s="170">
        <v>1161547.7063396799</v>
      </c>
      <c r="K17" s="170">
        <v>170039787.27386984</v>
      </c>
      <c r="L17" s="170">
        <v>6046725.3829386001</v>
      </c>
      <c r="M17" s="170">
        <v>196505781.83356032</v>
      </c>
      <c r="N17" s="170">
        <v>12836085.790389899</v>
      </c>
      <c r="O17" s="170">
        <v>125499047.68770252</v>
      </c>
      <c r="P17" s="170">
        <v>16757340.940330101</v>
      </c>
      <c r="Q17" s="170">
        <v>976330.92465306201</v>
      </c>
      <c r="R17" s="170">
        <v>65367748.667785406</v>
      </c>
      <c r="S17" s="170">
        <v>40173014.167548001</v>
      </c>
      <c r="T17" s="170">
        <v>720465.32891939708</v>
      </c>
      <c r="U17" s="170"/>
      <c r="V17" s="170"/>
      <c r="W17" s="170">
        <v>7543996.01663722</v>
      </c>
      <c r="X17" s="170">
        <v>1387849.0765673001</v>
      </c>
      <c r="Y17" s="170">
        <v>5655729.7021193597</v>
      </c>
      <c r="Z17" s="170">
        <v>31917341.739680901</v>
      </c>
      <c r="AA17" s="170">
        <v>10597129.537161401</v>
      </c>
      <c r="AB17" s="170">
        <v>740811.54960389901</v>
      </c>
      <c r="AC17" s="170">
        <v>64768.771984980107</v>
      </c>
      <c r="AD17" s="170">
        <v>4500.1258249999901</v>
      </c>
      <c r="AE17" s="170">
        <v>243204.14625214701</v>
      </c>
      <c r="AF17" s="170">
        <v>1014193.01838451</v>
      </c>
      <c r="AG17" s="170">
        <v>2869869.68016084</v>
      </c>
      <c r="AH17" s="170">
        <v>531093.64625688293</v>
      </c>
      <c r="AI17" s="170">
        <v>164176.389013707</v>
      </c>
      <c r="AJ17" s="170">
        <v>141663.67140836699</v>
      </c>
      <c r="AK17" s="170">
        <v>432835.80426726397</v>
      </c>
      <c r="AL17" s="170">
        <v>160309.013749273</v>
      </c>
      <c r="AM17" s="170">
        <v>6156.4860677807692</v>
      </c>
      <c r="AN17" s="171">
        <v>1571607265.0178714</v>
      </c>
      <c r="AO17" s="170">
        <v>5281604.4254438905</v>
      </c>
      <c r="AP17" s="170">
        <v>129886029.168501</v>
      </c>
      <c r="AQ17" s="170">
        <v>25746064.236485798</v>
      </c>
      <c r="AR17" s="171">
        <v>1732520962.8483019</v>
      </c>
      <c r="AS17" s="171">
        <v>23186317.311999999</v>
      </c>
    </row>
    <row r="18" spans="1:45" x14ac:dyDescent="0.2">
      <c r="A18" s="167"/>
      <c r="B18" s="168">
        <v>11</v>
      </c>
      <c r="C18" s="169">
        <v>589.99999999999898</v>
      </c>
      <c r="D18" s="169">
        <v>763277.39109111798</v>
      </c>
      <c r="E18" s="170">
        <v>1046685188.4328599</v>
      </c>
      <c r="F18" s="170">
        <v>195072.33333333299</v>
      </c>
      <c r="G18" s="170">
        <v>18229335.2074502</v>
      </c>
      <c r="H18" s="170">
        <v>2032285.2639919498</v>
      </c>
      <c r="I18" s="170">
        <v>10871691.264789701</v>
      </c>
      <c r="J18" s="170">
        <v>1224799.5115235201</v>
      </c>
      <c r="K18" s="170">
        <v>179548670.54053512</v>
      </c>
      <c r="L18" s="170">
        <v>6207154.5203254903</v>
      </c>
      <c r="M18" s="170">
        <v>200026145.45601538</v>
      </c>
      <c r="N18" s="170">
        <v>12267651.4416514</v>
      </c>
      <c r="O18" s="170">
        <v>123694406.19103397</v>
      </c>
      <c r="P18" s="170">
        <v>15346937.2361058</v>
      </c>
      <c r="Q18" s="170">
        <v>290813.059315697</v>
      </c>
      <c r="R18" s="170">
        <v>65408976.789567798</v>
      </c>
      <c r="S18" s="170">
        <v>37876456.7090322</v>
      </c>
      <c r="T18" s="170">
        <v>241683.07819485301</v>
      </c>
      <c r="U18" s="170"/>
      <c r="V18" s="170"/>
      <c r="W18" s="170">
        <v>9521824.2613154706</v>
      </c>
      <c r="X18" s="170">
        <v>1401190.73710057</v>
      </c>
      <c r="Y18" s="170">
        <v>4306585.5039683701</v>
      </c>
      <c r="Z18" s="170">
        <v>30762726.298423</v>
      </c>
      <c r="AA18" s="170">
        <v>9336877.0655681491</v>
      </c>
      <c r="AB18" s="170">
        <v>880087.17182113102</v>
      </c>
      <c r="AC18" s="170">
        <v>79914.769484980105</v>
      </c>
      <c r="AD18" s="170">
        <v>4500.1258249999901</v>
      </c>
      <c r="AE18" s="170">
        <v>249686.04206090799</v>
      </c>
      <c r="AF18" s="170">
        <v>1027788.0949266901</v>
      </c>
      <c r="AG18" s="170">
        <v>2908339.7714162804</v>
      </c>
      <c r="AH18" s="170">
        <v>538212.86187072203</v>
      </c>
      <c r="AI18" s="170">
        <v>160510.212290097</v>
      </c>
      <c r="AJ18" s="170">
        <v>134254.174387092</v>
      </c>
      <c r="AK18" s="170">
        <v>252178.66824632901</v>
      </c>
      <c r="AL18" s="170">
        <v>159323.14519351799</v>
      </c>
      <c r="AM18" s="170">
        <v>6254.5292316324703</v>
      </c>
      <c r="AN18" s="171">
        <v>1782641387.859947</v>
      </c>
      <c r="AO18" s="170">
        <v>5489046.3351675598</v>
      </c>
      <c r="AP18" s="170">
        <v>130385272.55478901</v>
      </c>
      <c r="AQ18" s="170">
        <v>24880380.708645102</v>
      </c>
      <c r="AR18" s="171">
        <v>1943396087.4585488</v>
      </c>
      <c r="AS18" s="171">
        <v>23314898.214000002</v>
      </c>
    </row>
    <row r="19" spans="1:45" x14ac:dyDescent="0.2">
      <c r="A19" s="173"/>
      <c r="B19" s="174">
        <v>12</v>
      </c>
      <c r="C19" s="175">
        <v>589.99999999999898</v>
      </c>
      <c r="D19" s="175">
        <v>961779.74719756108</v>
      </c>
      <c r="E19" s="176">
        <v>1249425675.10097</v>
      </c>
      <c r="F19" s="176">
        <v>241943.16666666701</v>
      </c>
      <c r="G19" s="176">
        <v>24480861.402114797</v>
      </c>
      <c r="H19" s="176">
        <v>2530400.1090680799</v>
      </c>
      <c r="I19" s="176">
        <v>13252272.8982499</v>
      </c>
      <c r="J19" s="176">
        <v>1547761.0015904699</v>
      </c>
      <c r="K19" s="176">
        <v>213707913.81030649</v>
      </c>
      <c r="L19" s="176">
        <v>6979178.7399091097</v>
      </c>
      <c r="M19" s="176">
        <v>229132155.20802754</v>
      </c>
      <c r="N19" s="176">
        <v>12742001.8337135</v>
      </c>
      <c r="O19" s="176">
        <v>137997562.75872219</v>
      </c>
      <c r="P19" s="176">
        <v>15064990.0758621</v>
      </c>
      <c r="Q19" s="176">
        <v>246938.184231244</v>
      </c>
      <c r="R19" s="176">
        <v>73130948.29918091</v>
      </c>
      <c r="S19" s="176">
        <v>37991900.073519498</v>
      </c>
      <c r="T19" s="176">
        <v>6308.5952558042009</v>
      </c>
      <c r="U19" s="176"/>
      <c r="V19" s="176"/>
      <c r="W19" s="176">
        <v>13338316.9543315</v>
      </c>
      <c r="X19" s="176">
        <v>1669720.48445053</v>
      </c>
      <c r="Y19" s="176">
        <v>4246936.3146472499</v>
      </c>
      <c r="Z19" s="176">
        <v>33720575.394886598</v>
      </c>
      <c r="AA19" s="176">
        <v>9452820.530036509</v>
      </c>
      <c r="AB19" s="176">
        <v>1037368.7271169099</v>
      </c>
      <c r="AC19" s="176">
        <v>103932.49448498401</v>
      </c>
      <c r="AD19" s="176">
        <v>4500.1258249999901</v>
      </c>
      <c r="AE19" s="176">
        <v>255936.38148860002</v>
      </c>
      <c r="AF19" s="176">
        <v>1040095.7783886599</v>
      </c>
      <c r="AG19" s="176">
        <v>2943166.91670345</v>
      </c>
      <c r="AH19" s="176">
        <v>544657.91953558591</v>
      </c>
      <c r="AI19" s="176">
        <v>172428.29407710399</v>
      </c>
      <c r="AJ19" s="176">
        <v>148521.34498695401</v>
      </c>
      <c r="AK19" s="176">
        <v>239553.34668563001</v>
      </c>
      <c r="AL19" s="176">
        <v>168158.628392727</v>
      </c>
      <c r="AM19" s="176">
        <v>6496.6787147348596</v>
      </c>
      <c r="AN19" s="177">
        <v>2088534367.319339</v>
      </c>
      <c r="AO19" s="176">
        <v>5147438.6807015203</v>
      </c>
      <c r="AP19" s="176">
        <v>127846283.35004801</v>
      </c>
      <c r="AQ19" s="176">
        <v>24229542.223084901</v>
      </c>
      <c r="AR19" s="177">
        <v>2245757631.5731735</v>
      </c>
      <c r="AS19" s="177">
        <v>24733324.942000002</v>
      </c>
    </row>
    <row r="20" spans="1:45" x14ac:dyDescent="0.2">
      <c r="A20" s="163">
        <f>A8+1</f>
        <v>2022</v>
      </c>
      <c r="B20" s="163">
        <v>1</v>
      </c>
      <c r="C20" s="164">
        <v>589.99999999999898</v>
      </c>
      <c r="D20" s="164">
        <v>1024663.45204175</v>
      </c>
      <c r="E20" s="165">
        <v>1277861911.52544</v>
      </c>
      <c r="F20" s="165">
        <v>264163.33333333302</v>
      </c>
      <c r="G20" s="165">
        <v>26041106.342571098</v>
      </c>
      <c r="H20" s="165">
        <v>2754039.8676094799</v>
      </c>
      <c r="I20" s="165">
        <v>13611172.685738601</v>
      </c>
      <c r="J20" s="165">
        <v>1616662.8720738499</v>
      </c>
      <c r="K20" s="165">
        <v>221232373.40823507</v>
      </c>
      <c r="L20" s="165">
        <v>7515110.2452949397</v>
      </c>
      <c r="M20" s="165">
        <v>226338382.87514731</v>
      </c>
      <c r="N20" s="165">
        <v>12994414.936194001</v>
      </c>
      <c r="O20" s="165">
        <v>134782241.37976417</v>
      </c>
      <c r="P20" s="165">
        <v>14949437.4347097</v>
      </c>
      <c r="Q20" s="165">
        <v>274143.87604188698</v>
      </c>
      <c r="R20" s="165">
        <v>71431334.182862699</v>
      </c>
      <c r="S20" s="165">
        <v>37923674.4624824</v>
      </c>
      <c r="T20" s="165">
        <v>5090.6177534607796</v>
      </c>
      <c r="U20" s="165"/>
      <c r="V20" s="165"/>
      <c r="W20" s="165">
        <v>14204934.389118999</v>
      </c>
      <c r="X20" s="165">
        <v>1631851.8874159099</v>
      </c>
      <c r="Y20" s="165">
        <v>4107296.6192601398</v>
      </c>
      <c r="Z20" s="165">
        <v>33534047.546422202</v>
      </c>
      <c r="AA20" s="165">
        <v>9855352.0673495289</v>
      </c>
      <c r="AB20" s="165">
        <v>1062861.6308784201</v>
      </c>
      <c r="AC20" s="165">
        <v>107589.622795269</v>
      </c>
      <c r="AD20" s="165">
        <v>4500.1258249999901</v>
      </c>
      <c r="AE20" s="165">
        <v>253513.68987831101</v>
      </c>
      <c r="AF20" s="165">
        <v>1017290.9917355699</v>
      </c>
      <c r="AG20" s="165">
        <v>2878636.0388608002</v>
      </c>
      <c r="AH20" s="165">
        <v>532715.93504530494</v>
      </c>
      <c r="AI20" s="165">
        <v>168441.74979364799</v>
      </c>
      <c r="AJ20" s="165">
        <v>139397.45655638</v>
      </c>
      <c r="AK20" s="165">
        <v>356930.71930446901</v>
      </c>
      <c r="AL20" s="165">
        <v>162323.55201265198</v>
      </c>
      <c r="AM20" s="165">
        <v>6478.03403049996</v>
      </c>
      <c r="AN20" s="166">
        <v>2120644675.5535765</v>
      </c>
      <c r="AO20" s="165">
        <v>6458592.8836131198</v>
      </c>
      <c r="AP20" s="165">
        <v>133435277.36749201</v>
      </c>
      <c r="AQ20" s="165">
        <v>25726155.997586802</v>
      </c>
      <c r="AR20" s="166">
        <v>2286264701.8022685</v>
      </c>
      <c r="AS20" s="166">
        <v>28068060.932999998</v>
      </c>
    </row>
    <row r="21" spans="1:45" x14ac:dyDescent="0.2">
      <c r="A21" s="167"/>
      <c r="B21" s="168">
        <v>2</v>
      </c>
      <c r="C21" s="169">
        <v>589.99999999999898</v>
      </c>
      <c r="D21" s="169">
        <v>819983.75521040999</v>
      </c>
      <c r="E21" s="170">
        <v>1039620393.60254</v>
      </c>
      <c r="F21" s="170">
        <v>238004.04666666698</v>
      </c>
      <c r="G21" s="170">
        <v>22790697.791770801</v>
      </c>
      <c r="H21" s="170">
        <v>2394907.8374742498</v>
      </c>
      <c r="I21" s="170">
        <v>11577160.476888102</v>
      </c>
      <c r="J21" s="170">
        <v>1425883.6950407999</v>
      </c>
      <c r="K21" s="170">
        <v>194111264.09931323</v>
      </c>
      <c r="L21" s="170">
        <v>6757066.3199266</v>
      </c>
      <c r="M21" s="170">
        <v>205295300.88846132</v>
      </c>
      <c r="N21" s="170">
        <v>12356704.8438255</v>
      </c>
      <c r="O21" s="170">
        <v>121350888.33986987</v>
      </c>
      <c r="P21" s="170">
        <v>14637912.3785928</v>
      </c>
      <c r="Q21" s="170">
        <v>224714.1832384</v>
      </c>
      <c r="R21" s="170">
        <v>64952593.748218402</v>
      </c>
      <c r="S21" s="170">
        <v>35881283.910685904</v>
      </c>
      <c r="T21" s="170">
        <v>5700.4300366595799</v>
      </c>
      <c r="U21" s="170"/>
      <c r="V21" s="170"/>
      <c r="W21" s="170">
        <v>13005786.988358501</v>
      </c>
      <c r="X21" s="170">
        <v>1402757.9041550299</v>
      </c>
      <c r="Y21" s="170">
        <v>4353499.5977204097</v>
      </c>
      <c r="Z21" s="170">
        <v>27975480.567482397</v>
      </c>
      <c r="AA21" s="170">
        <v>8092112.8911116803</v>
      </c>
      <c r="AB21" s="170">
        <v>919710.57455727202</v>
      </c>
      <c r="AC21" s="170">
        <v>106467.67125306699</v>
      </c>
      <c r="AD21" s="170">
        <v>4500.1258249999901</v>
      </c>
      <c r="AE21" s="170">
        <v>245772.950624088</v>
      </c>
      <c r="AF21" s="170">
        <v>973977.80759863299</v>
      </c>
      <c r="AG21" s="170">
        <v>2756072.3930334896</v>
      </c>
      <c r="AH21" s="170">
        <v>510034.49622913002</v>
      </c>
      <c r="AI21" s="170">
        <v>154779.86882183701</v>
      </c>
      <c r="AJ21" s="170">
        <v>133659.88461420801</v>
      </c>
      <c r="AK21" s="170">
        <v>221873.07391486701</v>
      </c>
      <c r="AL21" s="170">
        <v>148294.99428224901</v>
      </c>
      <c r="AM21" s="170">
        <v>5761.20479922302</v>
      </c>
      <c r="AN21" s="171">
        <v>1795451593.3421404</v>
      </c>
      <c r="AO21" s="170">
        <v>5893653.2834934192</v>
      </c>
      <c r="AP21" s="170">
        <v>118917047.454798</v>
      </c>
      <c r="AQ21" s="170">
        <v>23052112.207231399</v>
      </c>
      <c r="AR21" s="171">
        <v>1943314406.2876632</v>
      </c>
      <c r="AS21" s="171">
        <v>26042263.364</v>
      </c>
    </row>
    <row r="22" spans="1:45" x14ac:dyDescent="0.2">
      <c r="A22" s="167"/>
      <c r="B22" s="168">
        <v>3</v>
      </c>
      <c r="C22" s="169">
        <v>589.99999999999898</v>
      </c>
      <c r="D22" s="169">
        <v>830417.306644222</v>
      </c>
      <c r="E22" s="170">
        <v>1081049071.26068</v>
      </c>
      <c r="F22" s="170">
        <v>210451.786666667</v>
      </c>
      <c r="G22" s="170">
        <v>22641007.0778316</v>
      </c>
      <c r="H22" s="170">
        <v>2541188.9705944001</v>
      </c>
      <c r="I22" s="170">
        <v>12021582.6578322</v>
      </c>
      <c r="J22" s="170">
        <v>1441187.9107195199</v>
      </c>
      <c r="K22" s="170">
        <v>202133367.71216577</v>
      </c>
      <c r="L22" s="170">
        <v>7084489.9464844801</v>
      </c>
      <c r="M22" s="170">
        <v>215164411.47777781</v>
      </c>
      <c r="N22" s="170">
        <v>13020438.038901901</v>
      </c>
      <c r="O22" s="170">
        <v>126563986.1650793</v>
      </c>
      <c r="P22" s="170">
        <v>15534589.7326307</v>
      </c>
      <c r="Q22" s="170">
        <v>257151.942139747</v>
      </c>
      <c r="R22" s="170">
        <v>68618427.0173949</v>
      </c>
      <c r="S22" s="170">
        <v>37715907.794772997</v>
      </c>
      <c r="T22" s="170">
        <v>6015.7112469289896</v>
      </c>
      <c r="U22" s="170"/>
      <c r="V22" s="170"/>
      <c r="W22" s="170">
        <v>13148706.9854597</v>
      </c>
      <c r="X22" s="170">
        <v>1496137.96829243</v>
      </c>
      <c r="Y22" s="170">
        <v>5262658.0319047095</v>
      </c>
      <c r="Z22" s="170">
        <v>32194909.709951602</v>
      </c>
      <c r="AA22" s="170">
        <v>9365989.2475528698</v>
      </c>
      <c r="AB22" s="170">
        <v>798397.60790820606</v>
      </c>
      <c r="AC22" s="170">
        <v>100141.31729267401</v>
      </c>
      <c r="AD22" s="170">
        <v>4500.1258249999901</v>
      </c>
      <c r="AE22" s="170">
        <v>245013.32522767299</v>
      </c>
      <c r="AF22" s="170">
        <v>959053.65054262907</v>
      </c>
      <c r="AG22" s="170">
        <v>2713841.3925625901</v>
      </c>
      <c r="AH22" s="170">
        <v>502219.29257015698</v>
      </c>
      <c r="AI22" s="170">
        <v>163104.41620261001</v>
      </c>
      <c r="AJ22" s="170">
        <v>136596.540093633</v>
      </c>
      <c r="AK22" s="170">
        <v>235520.68750054599</v>
      </c>
      <c r="AL22" s="170">
        <v>158511.11271051399</v>
      </c>
      <c r="AM22" s="170">
        <v>6360.0471094375298</v>
      </c>
      <c r="AN22" s="171">
        <v>1874325943.9682705</v>
      </c>
      <c r="AO22" s="170">
        <v>5919724.8497818401</v>
      </c>
      <c r="AP22" s="170">
        <v>122467453.64622301</v>
      </c>
      <c r="AQ22" s="170">
        <v>23060878.546777502</v>
      </c>
      <c r="AR22" s="171">
        <v>2025774001.0110528</v>
      </c>
      <c r="AS22" s="171">
        <v>25984209.386999998</v>
      </c>
    </row>
    <row r="23" spans="1:45" x14ac:dyDescent="0.2">
      <c r="A23" s="167"/>
      <c r="B23" s="168">
        <v>4</v>
      </c>
      <c r="C23" s="169">
        <v>589.99999999999898</v>
      </c>
      <c r="D23" s="169">
        <v>699395.84351523395</v>
      </c>
      <c r="E23" s="170">
        <v>854063060.04085302</v>
      </c>
      <c r="F23" s="170">
        <v>179649</v>
      </c>
      <c r="G23" s="170">
        <v>19865736.112439603</v>
      </c>
      <c r="H23" s="170">
        <v>2300479.80717585</v>
      </c>
      <c r="I23" s="170">
        <v>10756476.575174099</v>
      </c>
      <c r="J23" s="170">
        <v>1279533.90611273</v>
      </c>
      <c r="K23" s="170">
        <v>183050975.4113932</v>
      </c>
      <c r="L23" s="170">
        <v>6147364.9757028399</v>
      </c>
      <c r="M23" s="170">
        <v>201153325.27117288</v>
      </c>
      <c r="N23" s="170">
        <v>11981930.2493794</v>
      </c>
      <c r="O23" s="170">
        <v>122017311.062921</v>
      </c>
      <c r="P23" s="170">
        <v>15124733.373106001</v>
      </c>
      <c r="Q23" s="170">
        <v>278971.965640168</v>
      </c>
      <c r="R23" s="170">
        <v>66817756.755213708</v>
      </c>
      <c r="S23" s="170">
        <v>36013178.010540701</v>
      </c>
      <c r="T23" s="170">
        <v>4684.9664108350098</v>
      </c>
      <c r="U23" s="170"/>
      <c r="V23" s="170"/>
      <c r="W23" s="170">
        <v>10302094.5204027</v>
      </c>
      <c r="X23" s="170">
        <v>1586526.8795316499</v>
      </c>
      <c r="Y23" s="170">
        <v>3760158.5383562301</v>
      </c>
      <c r="Z23" s="170">
        <v>32402860.155402299</v>
      </c>
      <c r="AA23" s="170">
        <v>8924090.9539199993</v>
      </c>
      <c r="AB23" s="170">
        <v>666721.54781182995</v>
      </c>
      <c r="AC23" s="170">
        <v>84089.042025986506</v>
      </c>
      <c r="AD23" s="170">
        <v>4500.1258249999901</v>
      </c>
      <c r="AE23" s="170">
        <v>259815.73955240496</v>
      </c>
      <c r="AF23" s="170">
        <v>1004667.29627939</v>
      </c>
      <c r="AG23" s="170">
        <v>2842914.6720355996</v>
      </c>
      <c r="AH23" s="170">
        <v>526105.39412505901</v>
      </c>
      <c r="AI23" s="170">
        <v>169893.01154632901</v>
      </c>
      <c r="AJ23" s="170">
        <v>146833.57998520799</v>
      </c>
      <c r="AK23" s="170">
        <v>217714.93694804801</v>
      </c>
      <c r="AL23" s="170">
        <v>162716.02458686999</v>
      </c>
      <c r="AM23" s="170">
        <v>6382.6422833761399</v>
      </c>
      <c r="AN23" s="171">
        <v>1594803238.3873694</v>
      </c>
      <c r="AO23" s="170">
        <v>5662250.1495093405</v>
      </c>
      <c r="AP23" s="170">
        <v>117566795.95068601</v>
      </c>
      <c r="AQ23" s="170">
        <v>20171335.649656802</v>
      </c>
      <c r="AR23" s="171">
        <v>1738203620.1372216</v>
      </c>
      <c r="AS23" s="171">
        <v>22498471.697000001</v>
      </c>
    </row>
    <row r="24" spans="1:45" x14ac:dyDescent="0.2">
      <c r="A24" s="167"/>
      <c r="B24" s="168">
        <v>5</v>
      </c>
      <c r="C24" s="169">
        <v>589.99999999999898</v>
      </c>
      <c r="D24" s="169">
        <v>491597.60235678102</v>
      </c>
      <c r="E24" s="170">
        <v>775896708.12149692</v>
      </c>
      <c r="F24" s="170">
        <v>168692.5</v>
      </c>
      <c r="G24" s="170">
        <v>17760631.482618902</v>
      </c>
      <c r="H24" s="170">
        <v>2176144.7443863298</v>
      </c>
      <c r="I24" s="170">
        <v>10229600.449002601</v>
      </c>
      <c r="J24" s="170">
        <v>1243577.9642892601</v>
      </c>
      <c r="K24" s="170">
        <v>180970902.49804118</v>
      </c>
      <c r="L24" s="170">
        <v>6117696.2079378003</v>
      </c>
      <c r="M24" s="170">
        <v>205591843.87601036</v>
      </c>
      <c r="N24" s="170">
        <v>12356143.0445759</v>
      </c>
      <c r="O24" s="170">
        <v>129258342.493573</v>
      </c>
      <c r="P24" s="170">
        <v>16230579.034515901</v>
      </c>
      <c r="Q24" s="170">
        <v>795373.52539075096</v>
      </c>
      <c r="R24" s="170">
        <v>69665732.472268298</v>
      </c>
      <c r="S24" s="170">
        <v>38643180.477677196</v>
      </c>
      <c r="T24" s="170">
        <v>356329.87765691499</v>
      </c>
      <c r="U24" s="170"/>
      <c r="V24" s="170"/>
      <c r="W24" s="170">
        <v>8780368.0809951685</v>
      </c>
      <c r="X24" s="170">
        <v>1749267.78937069</v>
      </c>
      <c r="Y24" s="170">
        <v>4165276.4336969005</v>
      </c>
      <c r="Z24" s="170">
        <v>34430882.3251599</v>
      </c>
      <c r="AA24" s="170">
        <v>9871733.0592132006</v>
      </c>
      <c r="AB24" s="170">
        <v>549681.9541296839</v>
      </c>
      <c r="AC24" s="170">
        <v>62535.289484968504</v>
      </c>
      <c r="AD24" s="170">
        <v>4500.1258249999901</v>
      </c>
      <c r="AE24" s="170">
        <v>260468.09316953499</v>
      </c>
      <c r="AF24" s="170">
        <v>995127.581045283</v>
      </c>
      <c r="AG24" s="170">
        <v>2815920.0674470798</v>
      </c>
      <c r="AH24" s="170">
        <v>521109.81433295697</v>
      </c>
      <c r="AI24" s="170">
        <v>175348.75265141</v>
      </c>
      <c r="AJ24" s="170">
        <v>147021.56613157102</v>
      </c>
      <c r="AK24" s="170">
        <v>414173.77760915202</v>
      </c>
      <c r="AL24" s="170">
        <v>170265.92148719201</v>
      </c>
      <c r="AM24" s="170">
        <v>6802.5830151496702</v>
      </c>
      <c r="AN24" s="171">
        <v>1533074149.5865631</v>
      </c>
      <c r="AO24" s="170">
        <v>6106329.0134458104</v>
      </c>
      <c r="AP24" s="170">
        <v>118751857.30341201</v>
      </c>
      <c r="AQ24" s="170">
        <v>21461608.958476</v>
      </c>
      <c r="AR24" s="171">
        <v>1679393944.861897</v>
      </c>
      <c r="AS24" s="171">
        <v>22378737.010000002</v>
      </c>
    </row>
    <row r="25" spans="1:45" x14ac:dyDescent="0.2">
      <c r="A25" s="167"/>
      <c r="B25" s="168">
        <v>6</v>
      </c>
      <c r="C25" s="169">
        <v>589.99999999999898</v>
      </c>
      <c r="D25" s="169">
        <v>392396.84140717704</v>
      </c>
      <c r="E25" s="170">
        <v>678627395.34231293</v>
      </c>
      <c r="F25" s="170">
        <v>184959.33333333299</v>
      </c>
      <c r="G25" s="170">
        <v>16152577.741519101</v>
      </c>
      <c r="H25" s="170">
        <v>1957250.5065588499</v>
      </c>
      <c r="I25" s="170">
        <v>9329303.0817508604</v>
      </c>
      <c r="J25" s="170">
        <v>1117435.3130265099</v>
      </c>
      <c r="K25" s="170">
        <v>170215476.14120084</v>
      </c>
      <c r="L25" s="170">
        <v>5655864.3599843197</v>
      </c>
      <c r="M25" s="170">
        <v>196823542.68914303</v>
      </c>
      <c r="N25" s="170">
        <v>11778357.681121601</v>
      </c>
      <c r="O25" s="170">
        <v>126535269.21263917</v>
      </c>
      <c r="P25" s="170">
        <v>15852632.0662928</v>
      </c>
      <c r="Q25" s="170">
        <v>1529093.7466651301</v>
      </c>
      <c r="R25" s="170">
        <v>66769466.094363496</v>
      </c>
      <c r="S25" s="170">
        <v>37457332.206045106</v>
      </c>
      <c r="T25" s="170">
        <v>684018.395743815</v>
      </c>
      <c r="U25" s="170"/>
      <c r="V25" s="170"/>
      <c r="W25" s="170">
        <v>7117125.8056510696</v>
      </c>
      <c r="X25" s="170">
        <v>1693802.78600329</v>
      </c>
      <c r="Y25" s="170">
        <v>5647014.7691051299</v>
      </c>
      <c r="Z25" s="170">
        <v>30877318.217374999</v>
      </c>
      <c r="AA25" s="170">
        <v>9030017.74758856</v>
      </c>
      <c r="AB25" s="170">
        <v>491872.59959708899</v>
      </c>
      <c r="AC25" s="170">
        <v>59993.344484980102</v>
      </c>
      <c r="AD25" s="170">
        <v>4500.1258249999901</v>
      </c>
      <c r="AE25" s="170">
        <v>267410.30679949804</v>
      </c>
      <c r="AF25" s="170">
        <v>1009559.90425396</v>
      </c>
      <c r="AG25" s="170">
        <v>2856759.32194799</v>
      </c>
      <c r="AH25" s="170">
        <v>528667.46363433008</v>
      </c>
      <c r="AI25" s="170">
        <v>163387.25389976302</v>
      </c>
      <c r="AJ25" s="170">
        <v>141119.13813625599</v>
      </c>
      <c r="AK25" s="170">
        <v>257160.83469284303</v>
      </c>
      <c r="AL25" s="170">
        <v>155876.01760531601</v>
      </c>
      <c r="AM25" s="170">
        <v>6074.4870727076004</v>
      </c>
      <c r="AN25" s="171">
        <v>1401370620.8767812</v>
      </c>
      <c r="AO25" s="170">
        <v>6091764.3785330998</v>
      </c>
      <c r="AP25" s="170">
        <v>134519464.54926398</v>
      </c>
      <c r="AQ25" s="170">
        <v>24693834.020103</v>
      </c>
      <c r="AR25" s="171">
        <v>1566675683.8246813</v>
      </c>
      <c r="AS25" s="171">
        <v>22163362.182</v>
      </c>
    </row>
    <row r="26" spans="1:45" x14ac:dyDescent="0.2">
      <c r="A26" s="167"/>
      <c r="B26" s="168">
        <v>7</v>
      </c>
      <c r="C26" s="169">
        <v>589.99999999999898</v>
      </c>
      <c r="D26" s="169">
        <v>329460.64057394501</v>
      </c>
      <c r="E26" s="170">
        <v>678654282.73043704</v>
      </c>
      <c r="F26" s="170">
        <v>210981.83333333299</v>
      </c>
      <c r="G26" s="170">
        <v>17116802.205332499</v>
      </c>
      <c r="H26" s="170">
        <v>2092095.1989965702</v>
      </c>
      <c r="I26" s="170">
        <v>10388786.8878823</v>
      </c>
      <c r="J26" s="170">
        <v>1523002.8084058699</v>
      </c>
      <c r="K26" s="170">
        <v>192218527.56208143</v>
      </c>
      <c r="L26" s="170">
        <v>6073994.7847870002</v>
      </c>
      <c r="M26" s="170">
        <v>219674338.04027325</v>
      </c>
      <c r="N26" s="170">
        <v>12511944.5794244</v>
      </c>
      <c r="O26" s="170">
        <v>142411959.45815948</v>
      </c>
      <c r="P26" s="170">
        <v>16873688.6264438</v>
      </c>
      <c r="Q26" s="170">
        <v>2803373.5246067201</v>
      </c>
      <c r="R26" s="170">
        <v>72991491.060825497</v>
      </c>
      <c r="S26" s="170">
        <v>39465044.246727794</v>
      </c>
      <c r="T26" s="170">
        <v>719007.55031862401</v>
      </c>
      <c r="U26" s="170"/>
      <c r="V26" s="170"/>
      <c r="W26" s="170">
        <v>5931507.0521486495</v>
      </c>
      <c r="X26" s="170">
        <v>2209360.0032867198</v>
      </c>
      <c r="Y26" s="170">
        <v>6404864.74174543</v>
      </c>
      <c r="Z26" s="170">
        <v>35636115.330882899</v>
      </c>
      <c r="AA26" s="170">
        <v>10020625.1191945</v>
      </c>
      <c r="AB26" s="170">
        <v>449657.10019806103</v>
      </c>
      <c r="AC26" s="170">
        <v>61898.136984980098</v>
      </c>
      <c r="AD26" s="170">
        <v>4500.1258249999901</v>
      </c>
      <c r="AE26" s="170">
        <v>271529.03401389002</v>
      </c>
      <c r="AF26" s="170">
        <v>1013119.73143338</v>
      </c>
      <c r="AG26" s="170">
        <v>2866832.5919307801</v>
      </c>
      <c r="AH26" s="170">
        <v>530531.60740429803</v>
      </c>
      <c r="AI26" s="170">
        <v>175357.42352157601</v>
      </c>
      <c r="AJ26" s="170">
        <v>147086.75948057399</v>
      </c>
      <c r="AK26" s="170">
        <v>217858.71285763098</v>
      </c>
      <c r="AL26" s="170">
        <v>170196.59689908501</v>
      </c>
      <c r="AM26" s="170">
        <v>6855.2667951517005</v>
      </c>
      <c r="AN26" s="171">
        <v>1482177267.0732124</v>
      </c>
      <c r="AO26" s="170">
        <v>6031697.5738392407</v>
      </c>
      <c r="AP26" s="170">
        <v>138798712.23422599</v>
      </c>
      <c r="AQ26" s="170">
        <v>24757866.083077598</v>
      </c>
      <c r="AR26" s="171">
        <v>1651765542.9643552</v>
      </c>
      <c r="AS26" s="171">
        <v>24538852.638999999</v>
      </c>
    </row>
    <row r="27" spans="1:45" x14ac:dyDescent="0.2">
      <c r="A27" s="167"/>
      <c r="B27" s="168">
        <v>8</v>
      </c>
      <c r="C27" s="169">
        <v>589.99999999999898</v>
      </c>
      <c r="D27" s="169">
        <v>310239.604266915</v>
      </c>
      <c r="E27" s="170">
        <v>701212241.43055105</v>
      </c>
      <c r="F27" s="170">
        <v>230198</v>
      </c>
      <c r="G27" s="170">
        <v>17482867.235480897</v>
      </c>
      <c r="H27" s="170">
        <v>2125080.2754347799</v>
      </c>
      <c r="I27" s="170">
        <v>10721478.8227487</v>
      </c>
      <c r="J27" s="170">
        <v>1903644.03159636</v>
      </c>
      <c r="K27" s="170">
        <v>197148592.06527969</v>
      </c>
      <c r="L27" s="170">
        <v>6189077.9418013496</v>
      </c>
      <c r="M27" s="170">
        <v>224522067.21480998</v>
      </c>
      <c r="N27" s="170">
        <v>12852056.910764601</v>
      </c>
      <c r="O27" s="170">
        <v>146227844.5616776</v>
      </c>
      <c r="P27" s="170">
        <v>17001904.718810603</v>
      </c>
      <c r="Q27" s="170">
        <v>3827385.0388723197</v>
      </c>
      <c r="R27" s="170">
        <v>73865595.508381203</v>
      </c>
      <c r="S27" s="170">
        <v>40510070.400717601</v>
      </c>
      <c r="T27" s="170">
        <v>985217.86550737603</v>
      </c>
      <c r="U27" s="170"/>
      <c r="V27" s="170"/>
      <c r="W27" s="170">
        <v>5021114.5141977603</v>
      </c>
      <c r="X27" s="170">
        <v>2199057.4471782702</v>
      </c>
      <c r="Y27" s="170">
        <v>5671680.7686180901</v>
      </c>
      <c r="Z27" s="170">
        <v>34827064.679361902</v>
      </c>
      <c r="AA27" s="170">
        <v>10192344.7893984</v>
      </c>
      <c r="AB27" s="170">
        <v>487361.28644389997</v>
      </c>
      <c r="AC27" s="170">
        <v>62258.761984980098</v>
      </c>
      <c r="AD27" s="170">
        <v>4500.1258249999901</v>
      </c>
      <c r="AE27" s="170">
        <v>275033.121219814</v>
      </c>
      <c r="AF27" s="170">
        <v>1014330.4388597599</v>
      </c>
      <c r="AG27" s="170">
        <v>2870258.5399224698</v>
      </c>
      <c r="AH27" s="170">
        <v>531165.60804320208</v>
      </c>
      <c r="AI27" s="170">
        <v>175426.05316875299</v>
      </c>
      <c r="AJ27" s="170">
        <v>151168.841567394</v>
      </c>
      <c r="AK27" s="170">
        <v>219018.34644968901</v>
      </c>
      <c r="AL27" s="170">
        <v>167091.010325474</v>
      </c>
      <c r="AM27" s="170">
        <v>6579.00552551091</v>
      </c>
      <c r="AN27" s="171">
        <v>1520991604.9647911</v>
      </c>
      <c r="AO27" s="170">
        <v>5996272.8895824207</v>
      </c>
      <c r="AP27" s="170">
        <v>137116172.07841399</v>
      </c>
      <c r="AQ27" s="170">
        <v>25788458.9343605</v>
      </c>
      <c r="AR27" s="171">
        <v>1689892508.8671479</v>
      </c>
      <c r="AS27" s="171">
        <v>23590509.795000002</v>
      </c>
    </row>
    <row r="28" spans="1:45" x14ac:dyDescent="0.2">
      <c r="A28" s="167"/>
      <c r="B28" s="168">
        <v>9</v>
      </c>
      <c r="C28" s="169">
        <v>589.99999999999898</v>
      </c>
      <c r="D28" s="169">
        <v>347227.477409944</v>
      </c>
      <c r="E28" s="170">
        <v>663086013.77535295</v>
      </c>
      <c r="F28" s="170">
        <v>198981.5</v>
      </c>
      <c r="G28" s="170">
        <v>16063199.5151836</v>
      </c>
      <c r="H28" s="170">
        <v>1993686.8986788399</v>
      </c>
      <c r="I28" s="170">
        <v>9849081.7883862499</v>
      </c>
      <c r="J28" s="170">
        <v>1372785.5305850001</v>
      </c>
      <c r="K28" s="170">
        <v>180615933.5248158</v>
      </c>
      <c r="L28" s="170">
        <v>6020048.3457833799</v>
      </c>
      <c r="M28" s="170">
        <v>206611472.42385903</v>
      </c>
      <c r="N28" s="170">
        <v>12480510.0696868</v>
      </c>
      <c r="O28" s="170">
        <v>133753592.76231058</v>
      </c>
      <c r="P28" s="170">
        <v>16279008.858981401</v>
      </c>
      <c r="Q28" s="170">
        <v>2778199.6432807301</v>
      </c>
      <c r="R28" s="170">
        <v>68923453.143639892</v>
      </c>
      <c r="S28" s="170">
        <v>39261854.8653249</v>
      </c>
      <c r="T28" s="170">
        <v>794961.41843525507</v>
      </c>
      <c r="U28" s="170"/>
      <c r="V28" s="170"/>
      <c r="W28" s="170">
        <v>5870103.3650561199</v>
      </c>
      <c r="X28" s="170">
        <v>1705196.7366513601</v>
      </c>
      <c r="Y28" s="170">
        <v>5448225.6271509593</v>
      </c>
      <c r="Z28" s="170">
        <v>30638390.061528102</v>
      </c>
      <c r="AA28" s="170">
        <v>9682150.4044116903</v>
      </c>
      <c r="AB28" s="170">
        <v>624589.80661298195</v>
      </c>
      <c r="AC28" s="170">
        <v>64124.886984980098</v>
      </c>
      <c r="AD28" s="170">
        <v>4500.1258249999901</v>
      </c>
      <c r="AE28" s="170">
        <v>291488.19983139599</v>
      </c>
      <c r="AF28" s="170">
        <v>1062731.24421385</v>
      </c>
      <c r="AG28" s="170">
        <v>3007218.6661145403</v>
      </c>
      <c r="AH28" s="170">
        <v>556511.23725904489</v>
      </c>
      <c r="AI28" s="170">
        <v>159777.29492991802</v>
      </c>
      <c r="AJ28" s="170">
        <v>133732.897810547</v>
      </c>
      <c r="AK28" s="170">
        <v>267961.26405251405</v>
      </c>
      <c r="AL28" s="170">
        <v>155167.23077305802</v>
      </c>
      <c r="AM28" s="170">
        <v>6299.4588567208393</v>
      </c>
      <c r="AN28" s="171">
        <v>1420108770.0497777</v>
      </c>
      <c r="AO28" s="170">
        <v>5492224.7256928002</v>
      </c>
      <c r="AP28" s="170">
        <v>130062132.61041501</v>
      </c>
      <c r="AQ28" s="170">
        <v>25282787.100225102</v>
      </c>
      <c r="AR28" s="171">
        <v>1580945914.4861107</v>
      </c>
      <c r="AS28" s="171">
        <v>22927589.971999999</v>
      </c>
    </row>
    <row r="29" spans="1:45" x14ac:dyDescent="0.2">
      <c r="A29" s="167"/>
      <c r="B29" s="168">
        <v>10</v>
      </c>
      <c r="C29" s="169">
        <v>589.99999999999898</v>
      </c>
      <c r="D29" s="169">
        <v>544010.17182884703</v>
      </c>
      <c r="E29" s="170">
        <v>834227471.02377009</v>
      </c>
      <c r="F29" s="170">
        <v>174254</v>
      </c>
      <c r="G29" s="170">
        <v>16540221.792932</v>
      </c>
      <c r="H29" s="170">
        <v>1988244.4238372</v>
      </c>
      <c r="I29" s="170">
        <v>10066161.1590927</v>
      </c>
      <c r="J29" s="170">
        <v>1202910.3065686601</v>
      </c>
      <c r="K29" s="170">
        <v>176775731.49867666</v>
      </c>
      <c r="L29" s="170">
        <v>5876941.0229256805</v>
      </c>
      <c r="M29" s="170">
        <v>203878843.75508264</v>
      </c>
      <c r="N29" s="170">
        <v>12475664.823176499</v>
      </c>
      <c r="O29" s="170">
        <v>130030554.82057227</v>
      </c>
      <c r="P29" s="170">
        <v>16286816.114595501</v>
      </c>
      <c r="Q29" s="170">
        <v>1011097.97339949</v>
      </c>
      <c r="R29" s="170">
        <v>67695487.80519411</v>
      </c>
      <c r="S29" s="170">
        <v>39045007.011894397</v>
      </c>
      <c r="T29" s="170">
        <v>746121.02882417606</v>
      </c>
      <c r="U29" s="170"/>
      <c r="V29" s="170"/>
      <c r="W29" s="170">
        <v>7812636.9770231806</v>
      </c>
      <c r="X29" s="170">
        <v>1437270.2464588999</v>
      </c>
      <c r="Y29" s="170">
        <v>5496924.0036515901</v>
      </c>
      <c r="Z29" s="170">
        <v>32431299.811939303</v>
      </c>
      <c r="AA29" s="170">
        <v>10299575.614584101</v>
      </c>
      <c r="AB29" s="170">
        <v>656379.19950209802</v>
      </c>
      <c r="AC29" s="170">
        <v>64768.771984980107</v>
      </c>
      <c r="AD29" s="170">
        <v>4500.1258249999901</v>
      </c>
      <c r="AE29" s="170">
        <v>269979.89894341101</v>
      </c>
      <c r="AF29" s="170">
        <v>973192.24638691102</v>
      </c>
      <c r="AG29" s="170">
        <v>2753849.4845115803</v>
      </c>
      <c r="AH29" s="170">
        <v>509623.128214631</v>
      </c>
      <c r="AI29" s="170">
        <v>170022.69417082399</v>
      </c>
      <c r="AJ29" s="170">
        <v>146708.30089319401</v>
      </c>
      <c r="AK29" s="170">
        <v>415337.555116006</v>
      </c>
      <c r="AL29" s="170">
        <v>162248.654051755</v>
      </c>
      <c r="AM29" s="170">
        <v>6375.7179345797504</v>
      </c>
      <c r="AN29" s="171">
        <v>1582176821.163563</v>
      </c>
      <c r="AO29" s="170">
        <v>5310326.5488903197</v>
      </c>
      <c r="AP29" s="170">
        <v>130592368.05025701</v>
      </c>
      <c r="AQ29" s="170">
        <v>25886075.031633202</v>
      </c>
      <c r="AR29" s="171">
        <v>1743965590.7943435</v>
      </c>
      <c r="AS29" s="171">
        <v>23186317.311999999</v>
      </c>
    </row>
    <row r="30" spans="1:45" x14ac:dyDescent="0.2">
      <c r="A30" s="167"/>
      <c r="B30" s="168">
        <v>11</v>
      </c>
      <c r="C30" s="169">
        <v>589.99999999999898</v>
      </c>
      <c r="D30" s="169">
        <v>767147.32323648699</v>
      </c>
      <c r="E30" s="170">
        <v>1037814212.88392</v>
      </c>
      <c r="F30" s="170">
        <v>195072.33333333299</v>
      </c>
      <c r="G30" s="170">
        <v>18675359.8955708</v>
      </c>
      <c r="H30" s="170">
        <v>2107700.3579365602</v>
      </c>
      <c r="I30" s="170">
        <v>11275123.613878502</v>
      </c>
      <c r="J30" s="170">
        <v>1270250.0060291099</v>
      </c>
      <c r="K30" s="170">
        <v>186792747.49466944</v>
      </c>
      <c r="L30" s="170">
        <v>6036981.7702522399</v>
      </c>
      <c r="M30" s="170">
        <v>207816650.01581961</v>
      </c>
      <c r="N30" s="170">
        <v>11931326.6448496</v>
      </c>
      <c r="O30" s="170">
        <v>128353818.81276572</v>
      </c>
      <c r="P30" s="170">
        <v>14926192.0289231</v>
      </c>
      <c r="Q30" s="170">
        <v>301604.70091109601</v>
      </c>
      <c r="R30" s="170">
        <v>67836206.970687613</v>
      </c>
      <c r="S30" s="170">
        <v>36838051.626622804</v>
      </c>
      <c r="T30" s="170">
        <v>250651.57901008101</v>
      </c>
      <c r="U30" s="170"/>
      <c r="V30" s="170"/>
      <c r="W30" s="170">
        <v>9875165.0466443412</v>
      </c>
      <c r="X30" s="170">
        <v>1453186.8485446901</v>
      </c>
      <c r="Y30" s="170">
        <v>4188517.9584874106</v>
      </c>
      <c r="Z30" s="170">
        <v>31283429.092005599</v>
      </c>
      <c r="AA30" s="170">
        <v>9080901.1522666905</v>
      </c>
      <c r="AB30" s="170">
        <v>787526.73094526399</v>
      </c>
      <c r="AC30" s="170">
        <v>79914.769484980105</v>
      </c>
      <c r="AD30" s="170">
        <v>4500.1258249999901</v>
      </c>
      <c r="AE30" s="170">
        <v>276328.48488864599</v>
      </c>
      <c r="AF30" s="170">
        <v>984947.44600061991</v>
      </c>
      <c r="AG30" s="170">
        <v>2787113.2620609002</v>
      </c>
      <c r="AH30" s="170">
        <v>515778.87146286108</v>
      </c>
      <c r="AI30" s="170">
        <v>166466.508363981</v>
      </c>
      <c r="AJ30" s="170">
        <v>139236.14781043501</v>
      </c>
      <c r="AK30" s="170">
        <v>241667.262396901</v>
      </c>
      <c r="AL30" s="170">
        <v>161477.09069184001</v>
      </c>
      <c r="AM30" s="170">
        <v>6486.6255411123602</v>
      </c>
      <c r="AN30" s="171">
        <v>1795222331.481837</v>
      </c>
      <c r="AO30" s="170">
        <v>5516950.8550510602</v>
      </c>
      <c r="AP30" s="170">
        <v>131048108.721285</v>
      </c>
      <c r="AQ30" s="170">
        <v>25006864.442940701</v>
      </c>
      <c r="AR30" s="171">
        <v>1956794255.5011139</v>
      </c>
      <c r="AS30" s="171">
        <v>23314898.214000002</v>
      </c>
    </row>
    <row r="31" spans="1:45" x14ac:dyDescent="0.2">
      <c r="A31" s="173"/>
      <c r="B31" s="174">
        <v>12</v>
      </c>
      <c r="C31" s="175">
        <v>589.99999999999898</v>
      </c>
      <c r="D31" s="175">
        <v>965302.11570447602</v>
      </c>
      <c r="E31" s="176">
        <v>1235242387.6436601</v>
      </c>
      <c r="F31" s="176">
        <v>241943.16666666701</v>
      </c>
      <c r="G31" s="176">
        <v>25105939.892629098</v>
      </c>
      <c r="H31" s="176">
        <v>2620157.3098962498</v>
      </c>
      <c r="I31" s="176">
        <v>13722351.4900486</v>
      </c>
      <c r="J31" s="176">
        <v>1602662.4752965099</v>
      </c>
      <c r="K31" s="176">
        <v>221877915.87693375</v>
      </c>
      <c r="L31" s="176">
        <v>6832934.5462518306</v>
      </c>
      <c r="M31" s="176">
        <v>237714539.65656555</v>
      </c>
      <c r="N31" s="176">
        <v>12475001.3952385</v>
      </c>
      <c r="O31" s="176">
        <v>142980674.13783944</v>
      </c>
      <c r="P31" s="176">
        <v>14749312.915525001</v>
      </c>
      <c r="Q31" s="176">
        <v>255697.46309578299</v>
      </c>
      <c r="R31" s="176">
        <v>75725016.0079678</v>
      </c>
      <c r="S31" s="176">
        <v>37195804.286491096</v>
      </c>
      <c r="T31" s="176">
        <v>6532.3708750391306</v>
      </c>
      <c r="U31" s="176"/>
      <c r="V31" s="176"/>
      <c r="W31" s="176">
        <v>13811447.6617202</v>
      </c>
      <c r="X31" s="176">
        <v>1728948.0494165099</v>
      </c>
      <c r="Y31" s="176">
        <v>4157944.5005677696</v>
      </c>
      <c r="Z31" s="176">
        <v>34261201.333264902</v>
      </c>
      <c r="AA31" s="176">
        <v>9254742.7664886191</v>
      </c>
      <c r="AB31" s="176">
        <v>934608.21558484097</v>
      </c>
      <c r="AC31" s="176">
        <v>103932.49448498401</v>
      </c>
      <c r="AD31" s="176">
        <v>4500.1258249999901</v>
      </c>
      <c r="AE31" s="176">
        <v>282029.33563836897</v>
      </c>
      <c r="AF31" s="176">
        <v>994159.57923532906</v>
      </c>
      <c r="AG31" s="176">
        <v>2813180.90537993</v>
      </c>
      <c r="AH31" s="176">
        <v>520602.909235492</v>
      </c>
      <c r="AI31" s="176">
        <v>178544.592035073</v>
      </c>
      <c r="AJ31" s="176">
        <v>153789.626529264</v>
      </c>
      <c r="AK31" s="176">
        <v>228973.38811850199</v>
      </c>
      <c r="AL31" s="176">
        <v>170155.49280541801</v>
      </c>
      <c r="AM31" s="176">
        <v>6727.1259448091996</v>
      </c>
      <c r="AN31" s="177">
        <v>2098920250.8529601</v>
      </c>
      <c r="AO31" s="176">
        <v>5175428.23176785</v>
      </c>
      <c r="AP31" s="176">
        <v>128541456.289141</v>
      </c>
      <c r="AQ31" s="176">
        <v>24361292.021661296</v>
      </c>
      <c r="AR31" s="177">
        <v>2256998427.3955302</v>
      </c>
      <c r="AS31" s="177">
        <v>24733324.942000002</v>
      </c>
    </row>
    <row r="32" spans="1:45" x14ac:dyDescent="0.2">
      <c r="A32" s="163">
        <f>A20+1</f>
        <v>2023</v>
      </c>
      <c r="B32" s="163">
        <v>1</v>
      </c>
      <c r="C32" s="164">
        <v>589.99999999999898</v>
      </c>
      <c r="D32" s="164">
        <v>1025881.3029608401</v>
      </c>
      <c r="E32" s="165">
        <v>1267165906.9023199</v>
      </c>
      <c r="F32" s="165">
        <v>264163.33333333302</v>
      </c>
      <c r="G32" s="165">
        <v>26767109.442998298</v>
      </c>
      <c r="H32" s="165">
        <v>2855739.7821780401</v>
      </c>
      <c r="I32" s="165">
        <v>14113799.7956791</v>
      </c>
      <c r="J32" s="165">
        <v>1676362.25330277</v>
      </c>
      <c r="K32" s="165">
        <v>229895736.27382693</v>
      </c>
      <c r="L32" s="165">
        <v>7418005.8073998094</v>
      </c>
      <c r="M32" s="165">
        <v>235063427.77880153</v>
      </c>
      <c r="N32" s="165">
        <v>12826511.164064402</v>
      </c>
      <c r="O32" s="165">
        <v>139863224.37855604</v>
      </c>
      <c r="P32" s="165">
        <v>14756272.375041502</v>
      </c>
      <c r="Q32" s="165">
        <v>284267.33471104398</v>
      </c>
      <c r="R32" s="165">
        <v>74069117.560421899</v>
      </c>
      <c r="S32" s="165">
        <v>37433654.093998499</v>
      </c>
      <c r="T32" s="165">
        <v>5278.6017389931103</v>
      </c>
      <c r="U32" s="165"/>
      <c r="V32" s="165"/>
      <c r="W32" s="165">
        <v>14729487.657506999</v>
      </c>
      <c r="X32" s="165">
        <v>1692112.16160098</v>
      </c>
      <c r="Y32" s="165">
        <v>4054225.3113932302</v>
      </c>
      <c r="Z32" s="165">
        <v>34137532.6911074</v>
      </c>
      <c r="AA32" s="165">
        <v>9728008.8359767497</v>
      </c>
      <c r="AB32" s="165">
        <v>957934.53576232609</v>
      </c>
      <c r="AC32" s="165">
        <v>107589.622795269</v>
      </c>
      <c r="AD32" s="165">
        <v>4500.1258249999901</v>
      </c>
      <c r="AE32" s="165">
        <v>278342.714628961</v>
      </c>
      <c r="AF32" s="165">
        <v>970440.96311231004</v>
      </c>
      <c r="AG32" s="165">
        <v>2746064.15735177</v>
      </c>
      <c r="AH32" s="165">
        <v>508182.38760637795</v>
      </c>
      <c r="AI32" s="165">
        <v>174661.889075315</v>
      </c>
      <c r="AJ32" s="165">
        <v>144545.061567328</v>
      </c>
      <c r="AK32" s="165">
        <v>340492.73395732202</v>
      </c>
      <c r="AL32" s="165">
        <v>164474.783952092</v>
      </c>
      <c r="AM32" s="165">
        <v>6717.2518846866396</v>
      </c>
      <c r="AN32" s="166">
        <v>2136230361.0664368</v>
      </c>
      <c r="AO32" s="165">
        <v>6543109.0126661099</v>
      </c>
      <c r="AP32" s="165">
        <v>135181390.38706699</v>
      </c>
      <c r="AQ32" s="165">
        <v>26062804.422330599</v>
      </c>
      <c r="AR32" s="166">
        <v>2304017664.8885002</v>
      </c>
      <c r="AS32" s="166">
        <v>28068060.932999998</v>
      </c>
    </row>
    <row r="33" spans="1:45" x14ac:dyDescent="0.2">
      <c r="A33" s="167"/>
      <c r="B33" s="168">
        <v>2</v>
      </c>
      <c r="C33" s="169">
        <v>589.99999999999898</v>
      </c>
      <c r="D33" s="169">
        <v>818512.26729026099</v>
      </c>
      <c r="E33" s="170">
        <v>1030533703.8338801</v>
      </c>
      <c r="F33" s="170">
        <v>238004.04666666698</v>
      </c>
      <c r="G33" s="170">
        <v>23466814.544651899</v>
      </c>
      <c r="H33" s="170">
        <v>2488668.5213212101</v>
      </c>
      <c r="I33" s="170">
        <v>12030406.5126369</v>
      </c>
      <c r="J33" s="170">
        <v>1481707.0667135199</v>
      </c>
      <c r="K33" s="170">
        <v>202140129.50296989</v>
      </c>
      <c r="L33" s="170">
        <v>6639167.21130169</v>
      </c>
      <c r="M33" s="170">
        <v>213689467.30363637</v>
      </c>
      <c r="N33" s="170">
        <v>12141101.7377361</v>
      </c>
      <c r="O33" s="170">
        <v>126210210.24895206</v>
      </c>
      <c r="P33" s="170">
        <v>14382506.1505266</v>
      </c>
      <c r="Q33" s="170">
        <v>233511.747453966</v>
      </c>
      <c r="R33" s="170">
        <v>67495488.932815209</v>
      </c>
      <c r="S33" s="170">
        <v>35255217.6285019</v>
      </c>
      <c r="T33" s="170">
        <v>5923.6019725878596</v>
      </c>
      <c r="U33" s="170"/>
      <c r="V33" s="170"/>
      <c r="W33" s="170">
        <v>13514963.777091399</v>
      </c>
      <c r="X33" s="170">
        <v>1457675.9007089199</v>
      </c>
      <c r="Y33" s="170">
        <v>4277538.5670499699</v>
      </c>
      <c r="Z33" s="170">
        <v>28488390.822080698</v>
      </c>
      <c r="AA33" s="170">
        <v>7950919.5312151397</v>
      </c>
      <c r="AB33" s="170">
        <v>823754.932641636</v>
      </c>
      <c r="AC33" s="170">
        <v>106467.67125306699</v>
      </c>
      <c r="AD33" s="170">
        <v>4500.1258249999901</v>
      </c>
      <c r="AE33" s="170">
        <v>269493.15427201602</v>
      </c>
      <c r="AF33" s="170">
        <v>929429.21749995602</v>
      </c>
      <c r="AG33" s="170">
        <v>2630012.9095815602</v>
      </c>
      <c r="AH33" s="170">
        <v>486706.12310662901</v>
      </c>
      <c r="AI33" s="170">
        <v>160839.503401255</v>
      </c>
      <c r="AJ33" s="170">
        <v>138892.67144142499</v>
      </c>
      <c r="AK33" s="170">
        <v>211724.86258329998</v>
      </c>
      <c r="AL33" s="170">
        <v>150575.65993855998</v>
      </c>
      <c r="AM33" s="170">
        <v>5986.7560681717196</v>
      </c>
      <c r="AN33" s="171">
        <v>1810859003.044786</v>
      </c>
      <c r="AO33" s="170">
        <v>5940671.7590419706</v>
      </c>
      <c r="AP33" s="170">
        <v>119865745.659309</v>
      </c>
      <c r="AQ33" s="170">
        <v>23236017.693696603</v>
      </c>
      <c r="AR33" s="171">
        <v>1959901438.1568334</v>
      </c>
      <c r="AS33" s="171">
        <v>26042263.364</v>
      </c>
    </row>
    <row r="34" spans="1:45" x14ac:dyDescent="0.2">
      <c r="A34" s="167"/>
      <c r="B34" s="168">
        <v>3</v>
      </c>
      <c r="C34" s="169">
        <v>589.99999999999898</v>
      </c>
      <c r="D34" s="169">
        <v>827598.60569793498</v>
      </c>
      <c r="E34" s="170">
        <v>1071684958.8154999</v>
      </c>
      <c r="F34" s="170">
        <v>210451.786666667</v>
      </c>
      <c r="G34" s="170">
        <v>23281111.343366798</v>
      </c>
      <c r="H34" s="170">
        <v>2638996.5629729899</v>
      </c>
      <c r="I34" s="170">
        <v>12484280.2651131</v>
      </c>
      <c r="J34" s="170">
        <v>1496657.66182569</v>
      </c>
      <c r="K34" s="170">
        <v>210371963.36781594</v>
      </c>
      <c r="L34" s="170">
        <v>6925094.6848802092</v>
      </c>
      <c r="M34" s="170">
        <v>223853721.74380323</v>
      </c>
      <c r="N34" s="170">
        <v>12727488.773239801</v>
      </c>
      <c r="O34" s="170">
        <v>131578272.49596864</v>
      </c>
      <c r="P34" s="170">
        <v>15185074.0987527</v>
      </c>
      <c r="Q34" s="170">
        <v>267049.43997529102</v>
      </c>
      <c r="R34" s="170">
        <v>71259475.4467085</v>
      </c>
      <c r="S34" s="170">
        <v>36867330.5457398</v>
      </c>
      <c r="T34" s="170">
        <v>6247.2494128487306</v>
      </c>
      <c r="U34" s="170"/>
      <c r="V34" s="170"/>
      <c r="W34" s="170">
        <v>13654786.379011601</v>
      </c>
      <c r="X34" s="170">
        <v>1553722.68719298</v>
      </c>
      <c r="Y34" s="170">
        <v>5144252.50658591</v>
      </c>
      <c r="Z34" s="170">
        <v>32810817.283520803</v>
      </c>
      <c r="AA34" s="170">
        <v>9155262.1073390096</v>
      </c>
      <c r="AB34" s="170">
        <v>707192.10189660895</v>
      </c>
      <c r="AC34" s="170">
        <v>100141.31729267401</v>
      </c>
      <c r="AD34" s="170">
        <v>4500.1258249999901</v>
      </c>
      <c r="AE34" s="170">
        <v>267693.571906331</v>
      </c>
      <c r="AF34" s="170">
        <v>913348.68705036794</v>
      </c>
      <c r="AG34" s="170">
        <v>2584509.7105438798</v>
      </c>
      <c r="AH34" s="170">
        <v>478285.37143963302</v>
      </c>
      <c r="AI34" s="170">
        <v>169382.12732118199</v>
      </c>
      <c r="AJ34" s="170">
        <v>141853.99196690999</v>
      </c>
      <c r="AK34" s="170">
        <v>224296.63927572098</v>
      </c>
      <c r="AL34" s="170">
        <v>160839.30696801501</v>
      </c>
      <c r="AM34" s="170">
        <v>6604.8383872160503</v>
      </c>
      <c r="AN34" s="171">
        <v>1889743851.6409638</v>
      </c>
      <c r="AO34" s="170">
        <v>5937329.3467777399</v>
      </c>
      <c r="AP34" s="170">
        <v>122831656.033078</v>
      </c>
      <c r="AQ34" s="170">
        <v>23129458.620581802</v>
      </c>
      <c r="AR34" s="171">
        <v>2041642295.6414013</v>
      </c>
      <c r="AS34" s="171">
        <v>25984209.386999998</v>
      </c>
    </row>
    <row r="35" spans="1:45" x14ac:dyDescent="0.2">
      <c r="A35" s="167"/>
      <c r="B35" s="168">
        <v>4</v>
      </c>
      <c r="C35" s="169">
        <v>589.99999999999898</v>
      </c>
      <c r="D35" s="169">
        <v>695493.44088070909</v>
      </c>
      <c r="E35" s="170">
        <v>844566522.14265692</v>
      </c>
      <c r="F35" s="170">
        <v>179649</v>
      </c>
      <c r="G35" s="170">
        <v>20379503.748199098</v>
      </c>
      <c r="H35" s="170">
        <v>2387508.1450711298</v>
      </c>
      <c r="I35" s="170">
        <v>11163399.6331496</v>
      </c>
      <c r="J35" s="170">
        <v>1327939.3338770999</v>
      </c>
      <c r="K35" s="170">
        <v>190412364.94168583</v>
      </c>
      <c r="L35" s="170">
        <v>5968792.2520087203</v>
      </c>
      <c r="M35" s="170">
        <v>209170755.48183632</v>
      </c>
      <c r="N35" s="170">
        <v>11633871.214622</v>
      </c>
      <c r="O35" s="170">
        <v>126784986.933938</v>
      </c>
      <c r="P35" s="170">
        <v>14685380.1145541</v>
      </c>
      <c r="Q35" s="170">
        <v>289525.61901861301</v>
      </c>
      <c r="R35" s="170">
        <v>69345506.96373941</v>
      </c>
      <c r="S35" s="170">
        <v>34967043.396500096</v>
      </c>
      <c r="T35" s="170">
        <v>4862.2011070746394</v>
      </c>
      <c r="U35" s="170"/>
      <c r="V35" s="170"/>
      <c r="W35" s="170">
        <v>10691828.070836</v>
      </c>
      <c r="X35" s="170">
        <v>1646546.0098544399</v>
      </c>
      <c r="Y35" s="170">
        <v>3650930.9661574196</v>
      </c>
      <c r="Z35" s="170">
        <v>32988086.804323699</v>
      </c>
      <c r="AA35" s="170">
        <v>8664858.0574783199</v>
      </c>
      <c r="AB35" s="170">
        <v>579727.37600499706</v>
      </c>
      <c r="AC35" s="170">
        <v>84089.042025986506</v>
      </c>
      <c r="AD35" s="170">
        <v>4500.1258249999901</v>
      </c>
      <c r="AE35" s="170">
        <v>283727.33471343399</v>
      </c>
      <c r="AF35" s="170">
        <v>957810.53335847799</v>
      </c>
      <c r="AG35" s="170">
        <v>2710323.7344334</v>
      </c>
      <c r="AH35" s="170">
        <v>501568.32019499002</v>
      </c>
      <c r="AI35" s="170">
        <v>176320.151818885</v>
      </c>
      <c r="AJ35" s="170">
        <v>152388.37006572398</v>
      </c>
      <c r="AK35" s="170">
        <v>207560.911607824</v>
      </c>
      <c r="AL35" s="170">
        <v>164993.89811347701</v>
      </c>
      <c r="AM35" s="170">
        <v>6624.10093368454</v>
      </c>
      <c r="AN35" s="171">
        <v>1607435578.3705909</v>
      </c>
      <c r="AO35" s="170">
        <v>5629941.6305984799</v>
      </c>
      <c r="AP35" s="170">
        <v>116895965.635888</v>
      </c>
      <c r="AQ35" s="170">
        <v>20056239.007494003</v>
      </c>
      <c r="AR35" s="171">
        <v>1750017724.6445715</v>
      </c>
      <c r="AS35" s="171">
        <v>22498471.697000001</v>
      </c>
    </row>
    <row r="36" spans="1:45" x14ac:dyDescent="0.2">
      <c r="A36" s="167"/>
      <c r="B36" s="168">
        <v>5</v>
      </c>
      <c r="C36" s="169">
        <v>589.99999999999898</v>
      </c>
      <c r="D36" s="169">
        <v>490243.058477137</v>
      </c>
      <c r="E36" s="170">
        <v>772625195.18161595</v>
      </c>
      <c r="F36" s="170">
        <v>168692.5</v>
      </c>
      <c r="G36" s="170">
        <v>18041885.430892397</v>
      </c>
      <c r="H36" s="170">
        <v>2240910.7338093198</v>
      </c>
      <c r="I36" s="170">
        <v>10534051.7940662</v>
      </c>
      <c r="J36" s="170">
        <v>1280589.08567242</v>
      </c>
      <c r="K36" s="170">
        <v>186786251.9795163</v>
      </c>
      <c r="L36" s="170">
        <v>5946687.2165463502</v>
      </c>
      <c r="M36" s="170">
        <v>212128805.20011699</v>
      </c>
      <c r="N36" s="170">
        <v>12010749.699152801</v>
      </c>
      <c r="O36" s="170">
        <v>133275122.3957426</v>
      </c>
      <c r="P36" s="170">
        <v>15776882.927999401</v>
      </c>
      <c r="Q36" s="170">
        <v>819045.27492196602</v>
      </c>
      <c r="R36" s="170">
        <v>71739110.221649587</v>
      </c>
      <c r="S36" s="170">
        <v>37562981.152141698</v>
      </c>
      <c r="T36" s="170">
        <v>366934.89699074201</v>
      </c>
      <c r="U36" s="170"/>
      <c r="V36" s="170"/>
      <c r="W36" s="170">
        <v>9041687.6589922905</v>
      </c>
      <c r="X36" s="170">
        <v>1801329.1512983001</v>
      </c>
      <c r="Y36" s="170">
        <v>4048843.7607457899</v>
      </c>
      <c r="Z36" s="170">
        <v>34789230.537990205</v>
      </c>
      <c r="AA36" s="170">
        <v>9595786.8441083599</v>
      </c>
      <c r="AB36" s="170">
        <v>470998.59904291597</v>
      </c>
      <c r="AC36" s="170">
        <v>62535.289484968504</v>
      </c>
      <c r="AD36" s="170">
        <v>4500.1258249999901</v>
      </c>
      <c r="AE36" s="170">
        <v>285482.44423552096</v>
      </c>
      <c r="AF36" s="170">
        <v>953643.902932383</v>
      </c>
      <c r="AG36" s="170">
        <v>2698533.3886988801</v>
      </c>
      <c r="AH36" s="170">
        <v>499386.41704096802</v>
      </c>
      <c r="AI36" s="170">
        <v>180567.44754238697</v>
      </c>
      <c r="AJ36" s="170">
        <v>151397.192900697</v>
      </c>
      <c r="AK36" s="170">
        <v>396908.20081236097</v>
      </c>
      <c r="AL36" s="170">
        <v>171299.48741210101</v>
      </c>
      <c r="AM36" s="170">
        <v>7005.0401452393498</v>
      </c>
      <c r="AN36" s="171">
        <v>1546953864.2385201</v>
      </c>
      <c r="AO36" s="170">
        <v>6071231.8156080097</v>
      </c>
      <c r="AP36" s="170">
        <v>118069310.15925899</v>
      </c>
      <c r="AQ36" s="170">
        <v>21338254.593869198</v>
      </c>
      <c r="AR36" s="171">
        <v>1692432660.8072565</v>
      </c>
      <c r="AS36" s="171">
        <v>22378737.010000002</v>
      </c>
    </row>
    <row r="37" spans="1:45" x14ac:dyDescent="0.2">
      <c r="A37" s="167"/>
      <c r="B37" s="168">
        <v>6</v>
      </c>
      <c r="C37" s="169">
        <v>589.99999999999898</v>
      </c>
      <c r="D37" s="169">
        <v>392298.016544802</v>
      </c>
      <c r="E37" s="170">
        <v>680273310.30831909</v>
      </c>
      <c r="F37" s="170">
        <v>184959.33333333299</v>
      </c>
      <c r="G37" s="170">
        <v>16314407.975274799</v>
      </c>
      <c r="H37" s="170">
        <v>2004195.6617404101</v>
      </c>
      <c r="I37" s="170">
        <v>9553068.8079269007</v>
      </c>
      <c r="J37" s="170">
        <v>1144237.2854871501</v>
      </c>
      <c r="K37" s="170">
        <v>174711213.57809922</v>
      </c>
      <c r="L37" s="170">
        <v>5515930.6230273396</v>
      </c>
      <c r="M37" s="170">
        <v>201964418.07027844</v>
      </c>
      <c r="N37" s="170">
        <v>11486945.1753345</v>
      </c>
      <c r="O37" s="170">
        <v>129747670.72689405</v>
      </c>
      <c r="P37" s="170">
        <v>15460416.499502501</v>
      </c>
      <c r="Q37" s="170">
        <v>1565769.4521937799</v>
      </c>
      <c r="R37" s="170">
        <v>68370948.856373593</v>
      </c>
      <c r="S37" s="170">
        <v>36530587.125467293</v>
      </c>
      <c r="T37" s="170">
        <v>700424.75232802599</v>
      </c>
      <c r="U37" s="170"/>
      <c r="V37" s="170"/>
      <c r="W37" s="170">
        <v>7287831.8927223496</v>
      </c>
      <c r="X37" s="170">
        <v>1734429.0800670302</v>
      </c>
      <c r="Y37" s="170">
        <v>5507299.9830004796</v>
      </c>
      <c r="Z37" s="170">
        <v>31010116.970982499</v>
      </c>
      <c r="AA37" s="170">
        <v>8806602.8904098701</v>
      </c>
      <c r="AB37" s="170">
        <v>416816.02190063702</v>
      </c>
      <c r="AC37" s="170">
        <v>59993.344484980102</v>
      </c>
      <c r="AD37" s="170">
        <v>4500.1258249999901</v>
      </c>
      <c r="AE37" s="170">
        <v>294144.67926941399</v>
      </c>
      <c r="AF37" s="170">
        <v>972397.53374541504</v>
      </c>
      <c r="AG37" s="170">
        <v>2751600.6801193897</v>
      </c>
      <c r="AH37" s="170">
        <v>509206.96795041405</v>
      </c>
      <c r="AI37" s="170">
        <v>167306.13907225899</v>
      </c>
      <c r="AJ37" s="170">
        <v>144503.91684327103</v>
      </c>
      <c r="AK37" s="170">
        <v>247694.62453644499</v>
      </c>
      <c r="AL37" s="170">
        <v>155935.46933362199</v>
      </c>
      <c r="AM37" s="170">
        <v>6220.1852024671798</v>
      </c>
      <c r="AN37" s="171">
        <v>1415997992.7535903</v>
      </c>
      <c r="AO37" s="170">
        <v>6048611.3074856503</v>
      </c>
      <c r="AP37" s="170">
        <v>133566550.47540098</v>
      </c>
      <c r="AQ37" s="170">
        <v>24518906.904133402</v>
      </c>
      <c r="AR37" s="171">
        <v>1580132061.4406102</v>
      </c>
      <c r="AS37" s="171">
        <v>22163362.182</v>
      </c>
    </row>
    <row r="38" spans="1:45" x14ac:dyDescent="0.2">
      <c r="A38" s="167"/>
      <c r="B38" s="168">
        <v>7</v>
      </c>
      <c r="C38" s="169">
        <v>589.99999999999898</v>
      </c>
      <c r="D38" s="169">
        <v>329356.63229639997</v>
      </c>
      <c r="E38" s="170">
        <v>680885777.55987</v>
      </c>
      <c r="F38" s="170">
        <v>210981.83333333299</v>
      </c>
      <c r="G38" s="170">
        <v>17257156.961345803</v>
      </c>
      <c r="H38" s="170">
        <v>2139373.3706173399</v>
      </c>
      <c r="I38" s="170">
        <v>10623557.6811294</v>
      </c>
      <c r="J38" s="170">
        <v>1557420.3569902999</v>
      </c>
      <c r="K38" s="170">
        <v>196980811.12948948</v>
      </c>
      <c r="L38" s="170">
        <v>5929182.2873746296</v>
      </c>
      <c r="M38" s="170">
        <v>225071228.88614172</v>
      </c>
      <c r="N38" s="170">
        <v>12213642.390135499</v>
      </c>
      <c r="O38" s="170">
        <v>145831228.95375276</v>
      </c>
      <c r="P38" s="170">
        <v>16471396.382684499</v>
      </c>
      <c r="Q38" s="170">
        <v>2866725.5052800002</v>
      </c>
      <c r="R38" s="170">
        <v>74640987.815507099</v>
      </c>
      <c r="S38" s="170">
        <v>38524142.612736896</v>
      </c>
      <c r="T38" s="170">
        <v>735256.02810151805</v>
      </c>
      <c r="U38" s="170"/>
      <c r="V38" s="170"/>
      <c r="W38" s="170">
        <v>6065550.0959431203</v>
      </c>
      <c r="X38" s="170">
        <v>2259288.1812480101</v>
      </c>
      <c r="Y38" s="170">
        <v>6252163.8436209094</v>
      </c>
      <c r="Z38" s="170">
        <v>35777419.265955098</v>
      </c>
      <c r="AA38" s="170">
        <v>9781719.4565195087</v>
      </c>
      <c r="AB38" s="170">
        <v>375454.360872327</v>
      </c>
      <c r="AC38" s="170">
        <v>61898.136984980098</v>
      </c>
      <c r="AD38" s="170">
        <v>4500.1258249999901</v>
      </c>
      <c r="AE38" s="170">
        <v>297894.37953700399</v>
      </c>
      <c r="AF38" s="170">
        <v>974692.94587816298</v>
      </c>
      <c r="AG38" s="170">
        <v>2758096.0252497899</v>
      </c>
      <c r="AH38" s="170">
        <v>510408.98647858802</v>
      </c>
      <c r="AI38" s="170">
        <v>179320.23475894498</v>
      </c>
      <c r="AJ38" s="170">
        <v>150410.696680564</v>
      </c>
      <c r="AK38" s="170">
        <v>209595.513770124</v>
      </c>
      <c r="AL38" s="170">
        <v>170023.20527847498</v>
      </c>
      <c r="AM38" s="170">
        <v>7010.1854050709899</v>
      </c>
      <c r="AN38" s="171">
        <v>1498104262.0267928</v>
      </c>
      <c r="AO38" s="170">
        <v>5990225.1317791399</v>
      </c>
      <c r="AP38" s="170">
        <v>137844367.046875</v>
      </c>
      <c r="AQ38" s="170">
        <v>24587637.1957548</v>
      </c>
      <c r="AR38" s="171">
        <v>1666526491.4012017</v>
      </c>
      <c r="AS38" s="171">
        <v>24538852.638999999</v>
      </c>
    </row>
    <row r="39" spans="1:45" x14ac:dyDescent="0.2">
      <c r="A39" s="167"/>
      <c r="B39" s="168">
        <v>8</v>
      </c>
      <c r="C39" s="169">
        <v>589.99999999999898</v>
      </c>
      <c r="D39" s="169">
        <v>310482.80786330503</v>
      </c>
      <c r="E39" s="170">
        <v>705357800.86614799</v>
      </c>
      <c r="F39" s="170">
        <v>230198</v>
      </c>
      <c r="G39" s="170">
        <v>17612862.374178398</v>
      </c>
      <c r="H39" s="170">
        <v>2170311.2917386503</v>
      </c>
      <c r="I39" s="170">
        <v>10949678.8531377</v>
      </c>
      <c r="J39" s="170">
        <v>1944161.9147206899</v>
      </c>
      <c r="K39" s="170">
        <v>201763582.39779428</v>
      </c>
      <c r="L39" s="170">
        <v>6049565.6257988103</v>
      </c>
      <c r="M39" s="170">
        <v>229742320.94361359</v>
      </c>
      <c r="N39" s="170">
        <v>12562349.7456783</v>
      </c>
      <c r="O39" s="170">
        <v>149560788.01195967</v>
      </c>
      <c r="P39" s="170">
        <v>16618652.944300599</v>
      </c>
      <c r="Q39" s="170">
        <v>3908848.5567900101</v>
      </c>
      <c r="R39" s="170">
        <v>75437778.918747187</v>
      </c>
      <c r="S39" s="170">
        <v>39596904.692323796</v>
      </c>
      <c r="T39" s="170">
        <v>1006187.6170281799</v>
      </c>
      <c r="U39" s="170"/>
      <c r="V39" s="170"/>
      <c r="W39" s="170">
        <v>5127985.8239927702</v>
      </c>
      <c r="X39" s="170">
        <v>2245863.0217235</v>
      </c>
      <c r="Y39" s="170">
        <v>5543831.4626152292</v>
      </c>
      <c r="Z39" s="170">
        <v>34916017.700898305</v>
      </c>
      <c r="AA39" s="170">
        <v>9962592.0474816188</v>
      </c>
      <c r="AB39" s="170">
        <v>411696.97011608101</v>
      </c>
      <c r="AC39" s="170">
        <v>62258.761984980098</v>
      </c>
      <c r="AD39" s="170">
        <v>4500.1258249999901</v>
      </c>
      <c r="AE39" s="170">
        <v>301370.12398638099</v>
      </c>
      <c r="AF39" s="170">
        <v>976054.48316263594</v>
      </c>
      <c r="AG39" s="170">
        <v>2761948.7776354598</v>
      </c>
      <c r="AH39" s="170">
        <v>511121.97087881301</v>
      </c>
      <c r="AI39" s="170">
        <v>179159.887962065</v>
      </c>
      <c r="AJ39" s="170">
        <v>154386.37664906197</v>
      </c>
      <c r="AK39" s="170">
        <v>210753.6466986</v>
      </c>
      <c r="AL39" s="170">
        <v>166698.67961637399</v>
      </c>
      <c r="AM39" s="170">
        <v>6719.0355797293305</v>
      </c>
      <c r="AN39" s="171">
        <v>1538366024.4586282</v>
      </c>
      <c r="AO39" s="170">
        <v>5956389.5895835105</v>
      </c>
      <c r="AP39" s="170">
        <v>136204164.64873099</v>
      </c>
      <c r="AQ39" s="170">
        <v>25616930.9096811</v>
      </c>
      <c r="AR39" s="171">
        <v>1706143509.6066236</v>
      </c>
      <c r="AS39" s="171">
        <v>23590509.795000002</v>
      </c>
    </row>
    <row r="40" spans="1:45" x14ac:dyDescent="0.2">
      <c r="A40" s="167"/>
      <c r="B40" s="168">
        <v>9</v>
      </c>
      <c r="C40" s="169">
        <v>589.99999999999898</v>
      </c>
      <c r="D40" s="169">
        <v>347665.02962139098</v>
      </c>
      <c r="E40" s="170">
        <v>667007635.61344302</v>
      </c>
      <c r="F40" s="170">
        <v>198981.5</v>
      </c>
      <c r="G40" s="170">
        <v>16164591.6070027</v>
      </c>
      <c r="H40" s="170">
        <v>2034204.74639262</v>
      </c>
      <c r="I40" s="170">
        <v>10049245.413019</v>
      </c>
      <c r="J40" s="170">
        <v>1400684.7534312701</v>
      </c>
      <c r="K40" s="170">
        <v>184683398.87665519</v>
      </c>
      <c r="L40" s="170">
        <v>5891779.2282120399</v>
      </c>
      <c r="M40" s="170">
        <v>211238829.25323656</v>
      </c>
      <c r="N40" s="170">
        <v>12214587.950539701</v>
      </c>
      <c r="O40" s="170">
        <v>136703177.74771255</v>
      </c>
      <c r="P40" s="170">
        <v>15932152.159277301</v>
      </c>
      <c r="Q40" s="170">
        <v>2834661.2020839499</v>
      </c>
      <c r="R40" s="170">
        <v>70324189.628507689</v>
      </c>
      <c r="S40" s="170">
        <v>38425302.866316997</v>
      </c>
      <c r="T40" s="170">
        <v>811117.47870321502</v>
      </c>
      <c r="U40" s="170"/>
      <c r="V40" s="170"/>
      <c r="W40" s="170">
        <v>5989401.9140746007</v>
      </c>
      <c r="X40" s="170">
        <v>1739851.57726022</v>
      </c>
      <c r="Y40" s="170">
        <v>5332140.3312556604</v>
      </c>
      <c r="Z40" s="170">
        <v>30654687.970522098</v>
      </c>
      <c r="AA40" s="170">
        <v>9475852.9102334697</v>
      </c>
      <c r="AB40" s="170">
        <v>542083.84199248406</v>
      </c>
      <c r="AC40" s="170">
        <v>64124.886984980098</v>
      </c>
      <c r="AD40" s="170">
        <v>4500.1258249999901</v>
      </c>
      <c r="AE40" s="170">
        <v>319607.86231922102</v>
      </c>
      <c r="AF40" s="170">
        <v>1024718.16177644</v>
      </c>
      <c r="AG40" s="170">
        <v>2899652.7582853301</v>
      </c>
      <c r="AH40" s="170">
        <v>536605.25665063504</v>
      </c>
      <c r="AI40" s="170">
        <v>163024.46082561702</v>
      </c>
      <c r="AJ40" s="170">
        <v>136450.76147880999</v>
      </c>
      <c r="AK40" s="170">
        <v>258376.49492493001</v>
      </c>
      <c r="AL40" s="170">
        <v>154650.10758873701</v>
      </c>
      <c r="AM40" s="170">
        <v>6427.4832294571197</v>
      </c>
      <c r="AN40" s="171">
        <v>1435564951.9593832</v>
      </c>
      <c r="AO40" s="170">
        <v>5456674.5308970399</v>
      </c>
      <c r="AP40" s="170">
        <v>129220263.535353</v>
      </c>
      <c r="AQ40" s="170">
        <v>25119136.111548703</v>
      </c>
      <c r="AR40" s="171">
        <v>1595361026.137182</v>
      </c>
      <c r="AS40" s="171">
        <v>22927589.971999999</v>
      </c>
    </row>
    <row r="41" spans="1:45" x14ac:dyDescent="0.2">
      <c r="A41" s="167"/>
      <c r="B41" s="168">
        <v>10</v>
      </c>
      <c r="C41" s="169">
        <v>589.99999999999898</v>
      </c>
      <c r="D41" s="169">
        <v>545396.26282351906</v>
      </c>
      <c r="E41" s="170">
        <v>839403132.89243102</v>
      </c>
      <c r="F41" s="170">
        <v>174254</v>
      </c>
      <c r="G41" s="170">
        <v>16619484.9226931</v>
      </c>
      <c r="H41" s="170">
        <v>2026079.7606349098</v>
      </c>
      <c r="I41" s="170">
        <v>10257715.373025499</v>
      </c>
      <c r="J41" s="170">
        <v>1225801.1121662101</v>
      </c>
      <c r="K41" s="170">
        <v>180583099.22480109</v>
      </c>
      <c r="L41" s="170">
        <v>5759751.81682947</v>
      </c>
      <c r="M41" s="170">
        <v>208236415.12496698</v>
      </c>
      <c r="N41" s="170">
        <v>12226893.693698298</v>
      </c>
      <c r="O41" s="170">
        <v>132785703.20907395</v>
      </c>
      <c r="P41" s="170">
        <v>15962048.681528</v>
      </c>
      <c r="Q41" s="170">
        <v>1030338.6823890001</v>
      </c>
      <c r="R41" s="170">
        <v>68983700.436442003</v>
      </c>
      <c r="S41" s="170">
        <v>38266429.626840606</v>
      </c>
      <c r="T41" s="170">
        <v>760319.35377807706</v>
      </c>
      <c r="U41" s="170"/>
      <c r="V41" s="170"/>
      <c r="W41" s="170">
        <v>7961307.70772414</v>
      </c>
      <c r="X41" s="170">
        <v>1464620.80919261</v>
      </c>
      <c r="Y41" s="170">
        <v>5387312.5310425907</v>
      </c>
      <c r="Z41" s="170">
        <v>32413988.459744703</v>
      </c>
      <c r="AA41" s="170">
        <v>10094196.8155299</v>
      </c>
      <c r="AB41" s="170">
        <v>576323.15791659011</v>
      </c>
      <c r="AC41" s="170">
        <v>64768.771984980107</v>
      </c>
      <c r="AD41" s="170">
        <v>4500.1258249999901</v>
      </c>
      <c r="AE41" s="170">
        <v>294875.252226729</v>
      </c>
      <c r="AF41" s="170">
        <v>936013.88222979906</v>
      </c>
      <c r="AG41" s="170">
        <v>2648645.5853342498</v>
      </c>
      <c r="AH41" s="170">
        <v>490154.25727572601</v>
      </c>
      <c r="AI41" s="170">
        <v>173258.144410284</v>
      </c>
      <c r="AJ41" s="170">
        <v>149500.08942219301</v>
      </c>
      <c r="AK41" s="170">
        <v>399470.62755923998</v>
      </c>
      <c r="AL41" s="170">
        <v>161495.49876960798</v>
      </c>
      <c r="AM41" s="170">
        <v>6497.0447857907893</v>
      </c>
      <c r="AN41" s="171">
        <v>1598074082.935096</v>
      </c>
      <c r="AO41" s="170">
        <v>5276878.2688505203</v>
      </c>
      <c r="AP41" s="170">
        <v>129769802.79793301</v>
      </c>
      <c r="AQ41" s="170">
        <v>25723025.7956177</v>
      </c>
      <c r="AR41" s="171">
        <v>1758843789.7974973</v>
      </c>
      <c r="AS41" s="171">
        <v>23186317.311999999</v>
      </c>
    </row>
    <row r="42" spans="1:45" x14ac:dyDescent="0.2">
      <c r="A42" s="167"/>
      <c r="B42" s="168">
        <v>11</v>
      </c>
      <c r="C42" s="169">
        <v>589.99999999999898</v>
      </c>
      <c r="D42" s="169">
        <v>769895.40780397702</v>
      </c>
      <c r="E42" s="170">
        <v>1045459161.56216</v>
      </c>
      <c r="F42" s="170">
        <v>195072.33333333299</v>
      </c>
      <c r="G42" s="170">
        <v>18794288.952537801</v>
      </c>
      <c r="H42" s="170">
        <v>2147622.6225079601</v>
      </c>
      <c r="I42" s="170">
        <v>11488687.399780801</v>
      </c>
      <c r="J42" s="170">
        <v>1294309.99948196</v>
      </c>
      <c r="K42" s="170">
        <v>190776952.52513549</v>
      </c>
      <c r="L42" s="170">
        <v>5937050.9218659298</v>
      </c>
      <c r="M42" s="170">
        <v>212237100.00146753</v>
      </c>
      <c r="N42" s="170">
        <v>11733826.0328933</v>
      </c>
      <c r="O42" s="170">
        <v>131095486.27614926</v>
      </c>
      <c r="P42" s="170">
        <v>14679117.0683895</v>
      </c>
      <c r="Q42" s="170">
        <v>307317.44021030999</v>
      </c>
      <c r="R42" s="170">
        <v>69121102.61157231</v>
      </c>
      <c r="S42" s="170">
        <v>36228267.1528503</v>
      </c>
      <c r="T42" s="170">
        <v>255399.207682629</v>
      </c>
      <c r="U42" s="170"/>
      <c r="V42" s="170"/>
      <c r="W42" s="170">
        <v>10062212.0100297</v>
      </c>
      <c r="X42" s="170">
        <v>1480711.87581947</v>
      </c>
      <c r="Y42" s="170">
        <v>4119184.9425860802</v>
      </c>
      <c r="Z42" s="170">
        <v>31243357.038335998</v>
      </c>
      <c r="AA42" s="170">
        <v>8930583.958875481</v>
      </c>
      <c r="AB42" s="170">
        <v>701705.93867340696</v>
      </c>
      <c r="AC42" s="170">
        <v>79914.769484980105</v>
      </c>
      <c r="AD42" s="170">
        <v>4500.1258249999901</v>
      </c>
      <c r="AE42" s="170">
        <v>301375.42113238195</v>
      </c>
      <c r="AF42" s="170">
        <v>947222.01080898498</v>
      </c>
      <c r="AG42" s="170">
        <v>2680361.3118258198</v>
      </c>
      <c r="AH42" s="170">
        <v>496023.52058845997</v>
      </c>
      <c r="AI42" s="170">
        <v>169619.57514795699</v>
      </c>
      <c r="AJ42" s="170">
        <v>141873.44030310799</v>
      </c>
      <c r="AK42" s="170">
        <v>232410.92828231101</v>
      </c>
      <c r="AL42" s="170">
        <v>160706.16537983599</v>
      </c>
      <c r="AM42" s="170">
        <v>6609.48967597516</v>
      </c>
      <c r="AN42" s="171">
        <v>1814279620.0385969</v>
      </c>
      <c r="AO42" s="170">
        <v>5485666.9536647396</v>
      </c>
      <c r="AP42" s="170">
        <v>130304999.671048</v>
      </c>
      <c r="AQ42" s="170">
        <v>24865062.875051498</v>
      </c>
      <c r="AR42" s="171">
        <v>1974935349.5383611</v>
      </c>
      <c r="AS42" s="171">
        <v>23314898.214000002</v>
      </c>
    </row>
    <row r="43" spans="1:45" x14ac:dyDescent="0.2">
      <c r="A43" s="173"/>
      <c r="B43" s="174">
        <v>12</v>
      </c>
      <c r="C43" s="175">
        <v>589.99999999999898</v>
      </c>
      <c r="D43" s="175">
        <v>968644.69054869795</v>
      </c>
      <c r="E43" s="176">
        <v>1241517519.30988</v>
      </c>
      <c r="F43" s="176">
        <v>241943.16666666701</v>
      </c>
      <c r="G43" s="176">
        <v>25314792.0798898</v>
      </c>
      <c r="H43" s="176">
        <v>2667807.0288752499</v>
      </c>
      <c r="I43" s="176">
        <v>13971903.755388599</v>
      </c>
      <c r="J43" s="176">
        <v>1631808.2125687099</v>
      </c>
      <c r="K43" s="176">
        <v>226392218.71458763</v>
      </c>
      <c r="L43" s="176">
        <v>6734106.9576819297</v>
      </c>
      <c r="M43" s="176">
        <v>242555748.68230739</v>
      </c>
      <c r="N43" s="176">
        <v>12294570.2353976</v>
      </c>
      <c r="O43" s="176">
        <v>145944912.05239913</v>
      </c>
      <c r="P43" s="176">
        <v>14535987.4374837</v>
      </c>
      <c r="Q43" s="176">
        <v>260347.53208749602</v>
      </c>
      <c r="R43" s="176">
        <v>77102137.800934896</v>
      </c>
      <c r="S43" s="176">
        <v>36657825.820918299</v>
      </c>
      <c r="T43" s="176">
        <v>6651.1674203025104</v>
      </c>
      <c r="U43" s="176"/>
      <c r="V43" s="176"/>
      <c r="W43" s="176">
        <v>14062620.214333199</v>
      </c>
      <c r="X43" s="176">
        <v>1760390.39387912</v>
      </c>
      <c r="Y43" s="176">
        <v>4097806.4111982505</v>
      </c>
      <c r="Z43" s="176">
        <v>34216853.823212102</v>
      </c>
      <c r="AA43" s="176">
        <v>9120887.553292051</v>
      </c>
      <c r="AB43" s="176">
        <v>842254.72160771699</v>
      </c>
      <c r="AC43" s="176">
        <v>103932.49448498401</v>
      </c>
      <c r="AD43" s="176">
        <v>4500.1258249999901</v>
      </c>
      <c r="AE43" s="176">
        <v>307057.97618448903</v>
      </c>
      <c r="AF43" s="176">
        <v>955666.75574262103</v>
      </c>
      <c r="AG43" s="176">
        <v>2704257.4706461001</v>
      </c>
      <c r="AH43" s="176">
        <v>500445.70679681998</v>
      </c>
      <c r="AI43" s="176">
        <v>181791.57251351897</v>
      </c>
      <c r="AJ43" s="176">
        <v>156586.417568615</v>
      </c>
      <c r="AK43" s="176">
        <v>220107.777005896</v>
      </c>
      <c r="AL43" s="176">
        <v>169209.76767682299</v>
      </c>
      <c r="AM43" s="176">
        <v>6849.4642714416705</v>
      </c>
      <c r="AN43" s="177">
        <v>2118210733.2912755</v>
      </c>
      <c r="AO43" s="176">
        <v>5146258.1243875306</v>
      </c>
      <c r="AP43" s="176">
        <v>127816962.02222101</v>
      </c>
      <c r="AQ43" s="176">
        <v>24223985.218751099</v>
      </c>
      <c r="AR43" s="177">
        <v>2275397938.6566348</v>
      </c>
      <c r="AS43" s="177">
        <v>24733324.942000002</v>
      </c>
    </row>
    <row r="44" spans="1:45" x14ac:dyDescent="0.2">
      <c r="A44" s="163">
        <f>A32+1</f>
        <v>2024</v>
      </c>
      <c r="B44" s="163">
        <v>1</v>
      </c>
      <c r="C44" s="164">
        <v>589.99999999999898</v>
      </c>
      <c r="D44" s="164">
        <v>1026721.4679664701</v>
      </c>
      <c r="E44" s="165">
        <v>1269256980.0220299</v>
      </c>
      <c r="F44" s="165">
        <v>264163.33333333302</v>
      </c>
      <c r="G44" s="165">
        <v>26913757.596598398</v>
      </c>
      <c r="H44" s="165">
        <v>2896886.7318352298</v>
      </c>
      <c r="I44" s="165">
        <v>14317158.593735099</v>
      </c>
      <c r="J44" s="165">
        <v>1700516.1323341699</v>
      </c>
      <c r="K44" s="165">
        <v>233693436.29351833</v>
      </c>
      <c r="L44" s="165">
        <v>7316624.1167648202</v>
      </c>
      <c r="M44" s="165">
        <v>238947744.27335662</v>
      </c>
      <c r="N44" s="165">
        <v>12651211.572701901</v>
      </c>
      <c r="O44" s="165">
        <v>142276779.71827036</v>
      </c>
      <c r="P44" s="165">
        <v>14554598.787868001</v>
      </c>
      <c r="Q44" s="165">
        <v>288363.20289327001</v>
      </c>
      <c r="R44" s="165">
        <v>75136343.037487999</v>
      </c>
      <c r="S44" s="165">
        <v>36922049.326190203</v>
      </c>
      <c r="T44" s="165">
        <v>5354.6585146735206</v>
      </c>
      <c r="U44" s="165"/>
      <c r="V44" s="165"/>
      <c r="W44" s="165">
        <v>14941717.599080101</v>
      </c>
      <c r="X44" s="165">
        <v>1716492.97331297</v>
      </c>
      <c r="Y44" s="165">
        <v>3998816.3204924399</v>
      </c>
      <c r="Z44" s="165">
        <v>33985411.737572998</v>
      </c>
      <c r="AA44" s="165">
        <v>9595056.3945915401</v>
      </c>
      <c r="AB44" s="165">
        <v>865318.98192522791</v>
      </c>
      <c r="AC44" s="165">
        <v>107589.622795269</v>
      </c>
      <c r="AD44" s="165">
        <v>4500.1258249999901</v>
      </c>
      <c r="AE44" s="165">
        <v>302415.517087769</v>
      </c>
      <c r="AF44" s="165">
        <v>932123.91521335498</v>
      </c>
      <c r="AG44" s="165">
        <v>2637638.1161494399</v>
      </c>
      <c r="AH44" s="165">
        <v>488117.23204568302</v>
      </c>
      <c r="AI44" s="165">
        <v>177178.506311123</v>
      </c>
      <c r="AJ44" s="165">
        <v>146627.740251368</v>
      </c>
      <c r="AK44" s="165">
        <v>327048.66379518999</v>
      </c>
      <c r="AL44" s="165">
        <v>162946.27127631402</v>
      </c>
      <c r="AM44" s="165">
        <v>6814.03746258095</v>
      </c>
      <c r="AN44" s="166">
        <v>2148565092.6205869</v>
      </c>
      <c r="AO44" s="165">
        <v>6506420.9487551497</v>
      </c>
      <c r="AP44" s="165">
        <v>134423410.735423</v>
      </c>
      <c r="AQ44" s="165">
        <v>25916666.885496899</v>
      </c>
      <c r="AR44" s="166">
        <v>2315411591.1902623</v>
      </c>
      <c r="AS44" s="166">
        <v>28068060.932999998</v>
      </c>
    </row>
    <row r="45" spans="1:45" x14ac:dyDescent="0.2">
      <c r="A45" s="167"/>
      <c r="B45" s="168">
        <v>2</v>
      </c>
      <c r="C45" s="169">
        <v>589.99999999999898</v>
      </c>
      <c r="D45" s="169">
        <v>850919.59805284208</v>
      </c>
      <c r="E45" s="170">
        <v>1076604552.1444399</v>
      </c>
      <c r="F45" s="170">
        <v>238004.04666666698</v>
      </c>
      <c r="G45" s="170">
        <v>24542371.350325402</v>
      </c>
      <c r="H45" s="170">
        <v>2626927.0380348498</v>
      </c>
      <c r="I45" s="170">
        <v>12698758.342400201</v>
      </c>
      <c r="J45" s="170">
        <v>1564023.62253156</v>
      </c>
      <c r="K45" s="170">
        <v>213861538.67898983</v>
      </c>
      <c r="L45" s="170">
        <v>6808387.4612453198</v>
      </c>
      <c r="M45" s="170">
        <v>226068776.29607886</v>
      </c>
      <c r="N45" s="170">
        <v>12450556.252927899</v>
      </c>
      <c r="O45" s="170">
        <v>133625541.28265023</v>
      </c>
      <c r="P45" s="170">
        <v>14749089.9716819</v>
      </c>
      <c r="Q45" s="170">
        <v>246484.542971569</v>
      </c>
      <c r="R45" s="170">
        <v>71245215.3848373</v>
      </c>
      <c r="S45" s="170">
        <v>36153808.754322097</v>
      </c>
      <c r="T45" s="170">
        <v>6252.6889583858701</v>
      </c>
      <c r="U45" s="170"/>
      <c r="V45" s="170"/>
      <c r="W45" s="170">
        <v>14265790.5060232</v>
      </c>
      <c r="X45" s="170">
        <v>1538657.39991406</v>
      </c>
      <c r="Y45" s="170">
        <v>4386565.2148842802</v>
      </c>
      <c r="Z45" s="170">
        <v>29456387.735665601</v>
      </c>
      <c r="AA45" s="170">
        <v>8153573.9527009502</v>
      </c>
      <c r="AB45" s="170">
        <v>772814.36904778401</v>
      </c>
      <c r="AC45" s="170">
        <v>106467.67125306699</v>
      </c>
      <c r="AD45" s="170">
        <v>4500.1258249999901</v>
      </c>
      <c r="AE45" s="170">
        <v>305919.507581404</v>
      </c>
      <c r="AF45" s="170">
        <v>933900.86827657791</v>
      </c>
      <c r="AG45" s="170">
        <v>2642666.3737165602</v>
      </c>
      <c r="AH45" s="170">
        <v>489047.75361748197</v>
      </c>
      <c r="AI45" s="170">
        <v>169774.97671909601</v>
      </c>
      <c r="AJ45" s="170">
        <v>146608.88377398998</v>
      </c>
      <c r="AK45" s="170">
        <v>212743.508896946</v>
      </c>
      <c r="AL45" s="170">
        <v>155220.000335163</v>
      </c>
      <c r="AM45" s="170">
        <v>6319.3515933774497</v>
      </c>
      <c r="AN45" s="171">
        <v>1898088755.6569397</v>
      </c>
      <c r="AO45" s="170">
        <v>6126149.4624739997</v>
      </c>
      <c r="AP45" s="170">
        <v>123608154.620252</v>
      </c>
      <c r="AQ45" s="170">
        <v>23961485.010111302</v>
      </c>
      <c r="AR45" s="171">
        <v>2051784544.7497771</v>
      </c>
      <c r="AS45" s="171">
        <v>26042263.364</v>
      </c>
    </row>
    <row r="46" spans="1:45" x14ac:dyDescent="0.2">
      <c r="A46" s="167"/>
      <c r="B46" s="168">
        <v>3</v>
      </c>
      <c r="C46" s="169">
        <v>589.99999999999898</v>
      </c>
      <c r="D46" s="169">
        <v>826872.47393766593</v>
      </c>
      <c r="E46" s="170">
        <v>1078131094.06322</v>
      </c>
      <c r="F46" s="170">
        <v>210451.786666667</v>
      </c>
      <c r="G46" s="170">
        <v>23245376.681521799</v>
      </c>
      <c r="H46" s="170">
        <v>2661389.7419858999</v>
      </c>
      <c r="I46" s="170">
        <v>12590215.500780499</v>
      </c>
      <c r="J46" s="170">
        <v>1509357.5354869699</v>
      </c>
      <c r="K46" s="170">
        <v>212697245.05637646</v>
      </c>
      <c r="L46" s="170">
        <v>6791686.3997103097</v>
      </c>
      <c r="M46" s="170">
        <v>226304496.89458227</v>
      </c>
      <c r="N46" s="170">
        <v>12482300.435892699</v>
      </c>
      <c r="O46" s="170">
        <v>133159021.76827416</v>
      </c>
      <c r="P46" s="170">
        <v>14892541.6803707</v>
      </c>
      <c r="Q46" s="170">
        <v>269315.48533456499</v>
      </c>
      <c r="R46" s="170">
        <v>71864147.014846802</v>
      </c>
      <c r="S46" s="170">
        <v>36157100.928571202</v>
      </c>
      <c r="T46" s="170">
        <v>6300.2603854294002</v>
      </c>
      <c r="U46" s="170"/>
      <c r="V46" s="170"/>
      <c r="W46" s="170">
        <v>13770653.932633501</v>
      </c>
      <c r="X46" s="170">
        <v>1566906.78555784</v>
      </c>
      <c r="Y46" s="170">
        <v>5045151.2037715297</v>
      </c>
      <c r="Z46" s="170">
        <v>32460705.261191297</v>
      </c>
      <c r="AA46" s="170">
        <v>8978890.8267141096</v>
      </c>
      <c r="AB46" s="170">
        <v>627597.76068612095</v>
      </c>
      <c r="AC46" s="170">
        <v>100141.31729267401</v>
      </c>
      <c r="AD46" s="170">
        <v>4500.1258249999901</v>
      </c>
      <c r="AE46" s="170">
        <v>290081.90741848003</v>
      </c>
      <c r="AF46" s="170">
        <v>877158.447790512</v>
      </c>
      <c r="AG46" s="170">
        <v>2482101.91588654</v>
      </c>
      <c r="AH46" s="170">
        <v>459333.94328048301</v>
      </c>
      <c r="AI46" s="170">
        <v>170819.41767309399</v>
      </c>
      <c r="AJ46" s="170">
        <v>143057.69260084798</v>
      </c>
      <c r="AK46" s="170">
        <v>215409.18024100698</v>
      </c>
      <c r="AL46" s="170">
        <v>158399.368258887</v>
      </c>
      <c r="AM46" s="170">
        <v>6660.8836774720103</v>
      </c>
      <c r="AN46" s="171">
        <v>1901157073.6784441</v>
      </c>
      <c r="AO46" s="170">
        <v>5917958.6031321697</v>
      </c>
      <c r="AP46" s="170">
        <v>122430913.48005301</v>
      </c>
      <c r="AQ46" s="170">
        <v>23053997.956799898</v>
      </c>
      <c r="AR46" s="171">
        <v>2052559943.7184293</v>
      </c>
      <c r="AS46" s="171">
        <v>25984209.386999998</v>
      </c>
    </row>
    <row r="47" spans="1:45" x14ac:dyDescent="0.2">
      <c r="A47" s="167"/>
      <c r="B47" s="168">
        <v>4</v>
      </c>
      <c r="C47" s="169">
        <v>589.99999999999898</v>
      </c>
      <c r="D47" s="169">
        <v>695291.804854688</v>
      </c>
      <c r="E47" s="170">
        <v>848605648.83844399</v>
      </c>
      <c r="F47" s="170">
        <v>179649</v>
      </c>
      <c r="G47" s="170">
        <v>20312831.475287199</v>
      </c>
      <c r="H47" s="170">
        <v>2407788.49206055</v>
      </c>
      <c r="I47" s="170">
        <v>11258225.537140401</v>
      </c>
      <c r="J47" s="170">
        <v>1339219.3249119101</v>
      </c>
      <c r="K47" s="170">
        <v>192564852.20097253</v>
      </c>
      <c r="L47" s="170">
        <v>5849024.64503178</v>
      </c>
      <c r="M47" s="170">
        <v>211494124.33522835</v>
      </c>
      <c r="N47" s="170">
        <v>11400430.200690901</v>
      </c>
      <c r="O47" s="170">
        <v>128328028.47503912</v>
      </c>
      <c r="P47" s="170">
        <v>14390708.636706101</v>
      </c>
      <c r="Q47" s="170">
        <v>291984.95304356498</v>
      </c>
      <c r="R47" s="170">
        <v>69934552.469734907</v>
      </c>
      <c r="S47" s="170">
        <v>34265407.4651694</v>
      </c>
      <c r="T47" s="170">
        <v>4903.5023800304507</v>
      </c>
      <c r="U47" s="170"/>
      <c r="V47" s="170"/>
      <c r="W47" s="170">
        <v>10782648.277533701</v>
      </c>
      <c r="X47" s="170">
        <v>1660532.35979961</v>
      </c>
      <c r="Y47" s="170">
        <v>3577672.7178229196</v>
      </c>
      <c r="Z47" s="170">
        <v>32622267.7272623</v>
      </c>
      <c r="AA47" s="170">
        <v>8490992.1779966205</v>
      </c>
      <c r="AB47" s="170">
        <v>504719.93331282405</v>
      </c>
      <c r="AC47" s="170">
        <v>84089.042025986506</v>
      </c>
      <c r="AD47" s="170">
        <v>4500.1258249999901</v>
      </c>
      <c r="AE47" s="170">
        <v>308339.29981225997</v>
      </c>
      <c r="AF47" s="170">
        <v>923611.03201687301</v>
      </c>
      <c r="AG47" s="170">
        <v>2613549.1459697299</v>
      </c>
      <c r="AH47" s="170">
        <v>483659.36446522997</v>
      </c>
      <c r="AI47" s="170">
        <v>177817.878169053</v>
      </c>
      <c r="AJ47" s="170">
        <v>153682.81131337499</v>
      </c>
      <c r="AK47" s="170">
        <v>200149.759372834</v>
      </c>
      <c r="AL47" s="170">
        <v>162484.718533846</v>
      </c>
      <c r="AM47" s="170">
        <v>6680.3684131088003</v>
      </c>
      <c r="AN47" s="171">
        <v>1616080658.0963409</v>
      </c>
      <c r="AO47" s="170">
        <v>5612176.4845239501</v>
      </c>
      <c r="AP47" s="170">
        <v>116527103.213983</v>
      </c>
      <c r="AQ47" s="170">
        <v>19992952.025309801</v>
      </c>
      <c r="AR47" s="171">
        <v>1758212889.8201578</v>
      </c>
      <c r="AS47" s="171">
        <v>22498471.697000001</v>
      </c>
    </row>
    <row r="48" spans="1:45" x14ac:dyDescent="0.2">
      <c r="A48" s="167"/>
      <c r="B48" s="168">
        <v>5</v>
      </c>
      <c r="C48" s="169">
        <v>589.99999999999898</v>
      </c>
      <c r="D48" s="169">
        <v>490079.68260748498</v>
      </c>
      <c r="E48" s="170">
        <v>778211034.69786894</v>
      </c>
      <c r="F48" s="170">
        <v>168692.5</v>
      </c>
      <c r="G48" s="170">
        <v>17938106.509832598</v>
      </c>
      <c r="H48" s="170">
        <v>2258989.0282362099</v>
      </c>
      <c r="I48" s="170">
        <v>10619034.0679997</v>
      </c>
      <c r="J48" s="170">
        <v>1290920.0935887001</v>
      </c>
      <c r="K48" s="170">
        <v>188832181.96224916</v>
      </c>
      <c r="L48" s="170">
        <v>5832332.0731479498</v>
      </c>
      <c r="M48" s="170">
        <v>214390877.98836589</v>
      </c>
      <c r="N48" s="170">
        <v>11779782.2791165</v>
      </c>
      <c r="O48" s="170">
        <v>134846216.87124255</v>
      </c>
      <c r="P48" s="170">
        <v>15473492.5454363</v>
      </c>
      <c r="Q48" s="170">
        <v>825652.83023668593</v>
      </c>
      <c r="R48" s="170">
        <v>72317857.396601006</v>
      </c>
      <c r="S48" s="170">
        <v>36840642.824984901</v>
      </c>
      <c r="T48" s="170">
        <v>369895.102858481</v>
      </c>
      <c r="U48" s="170"/>
      <c r="V48" s="170"/>
      <c r="W48" s="170">
        <v>9114630.4537003189</v>
      </c>
      <c r="X48" s="170">
        <v>1815861.17092122</v>
      </c>
      <c r="Y48" s="170">
        <v>3970984.2581357402</v>
      </c>
      <c r="Z48" s="170">
        <v>34398135.9122862</v>
      </c>
      <c r="AA48" s="170">
        <v>9411259.3011891302</v>
      </c>
      <c r="AB48" s="170">
        <v>401901.55572407297</v>
      </c>
      <c r="AC48" s="170">
        <v>62535.289484968504</v>
      </c>
      <c r="AD48" s="170">
        <v>4500.1258249999901</v>
      </c>
      <c r="AE48" s="170">
        <v>311270.55409050599</v>
      </c>
      <c r="AF48" s="170">
        <v>923717.94925059308</v>
      </c>
      <c r="AG48" s="170">
        <v>2613851.6904773102</v>
      </c>
      <c r="AH48" s="170">
        <v>483715.35288407601</v>
      </c>
      <c r="AI48" s="170">
        <v>182024.15504587401</v>
      </c>
      <c r="AJ48" s="170">
        <v>152618.572667133</v>
      </c>
      <c r="AK48" s="170">
        <v>384452.96841700899</v>
      </c>
      <c r="AL48" s="170">
        <v>168615.02927494899</v>
      </c>
      <c r="AM48" s="170">
        <v>7061.5525159943199</v>
      </c>
      <c r="AN48" s="171">
        <v>1556893514.3462634</v>
      </c>
      <c r="AO48" s="170">
        <v>6052734.15690888</v>
      </c>
      <c r="AP48" s="170">
        <v>117709579.898828</v>
      </c>
      <c r="AQ48" s="170">
        <v>21273241.798657298</v>
      </c>
      <c r="AR48" s="171">
        <v>1701929070.2006578</v>
      </c>
      <c r="AS48" s="171">
        <v>22378737.010000002</v>
      </c>
    </row>
    <row r="49" spans="1:45" x14ac:dyDescent="0.2">
      <c r="A49" s="167"/>
      <c r="B49" s="168">
        <v>6</v>
      </c>
      <c r="C49" s="169">
        <v>589.99999999999898</v>
      </c>
      <c r="D49" s="169">
        <v>392013.59388440102</v>
      </c>
      <c r="E49" s="170">
        <v>687245187.28890097</v>
      </c>
      <c r="F49" s="170">
        <v>184959.33333333299</v>
      </c>
      <c r="G49" s="170">
        <v>16206043.612760501</v>
      </c>
      <c r="H49" s="170">
        <v>2018798.9811889899</v>
      </c>
      <c r="I49" s="170">
        <v>9622676.0414817706</v>
      </c>
      <c r="J49" s="170">
        <v>1152574.6264583599</v>
      </c>
      <c r="K49" s="170">
        <v>176518610.2421934</v>
      </c>
      <c r="L49" s="170">
        <v>5411642.5033497298</v>
      </c>
      <c r="M49" s="170">
        <v>203980076.12388372</v>
      </c>
      <c r="N49" s="170">
        <v>11269764.794534499</v>
      </c>
      <c r="O49" s="170">
        <v>131190573.05284022</v>
      </c>
      <c r="P49" s="170">
        <v>15168110.834990501</v>
      </c>
      <c r="Q49" s="170">
        <v>1577178.2342451999</v>
      </c>
      <c r="R49" s="170">
        <v>68869125.1702995</v>
      </c>
      <c r="S49" s="170">
        <v>35839913.782671802</v>
      </c>
      <c r="T49" s="170">
        <v>705528.30913298205</v>
      </c>
      <c r="U49" s="170"/>
      <c r="V49" s="170"/>
      <c r="W49" s="170">
        <v>7340933.7625889601</v>
      </c>
      <c r="X49" s="170">
        <v>1747066.7792700799</v>
      </c>
      <c r="Y49" s="170">
        <v>5403175.0403607106</v>
      </c>
      <c r="Z49" s="170">
        <v>30623837.975442197</v>
      </c>
      <c r="AA49" s="170">
        <v>8640098.9731281493</v>
      </c>
      <c r="AB49" s="170">
        <v>349315.25225361099</v>
      </c>
      <c r="AC49" s="170">
        <v>59993.344484980102</v>
      </c>
      <c r="AD49" s="170">
        <v>4500.1258249999901</v>
      </c>
      <c r="AE49" s="170">
        <v>321232.81240649399</v>
      </c>
      <c r="AF49" s="170">
        <v>944495.60451122397</v>
      </c>
      <c r="AG49" s="170">
        <v>2672646.3792361603</v>
      </c>
      <c r="AH49" s="170">
        <v>494595.80709052901</v>
      </c>
      <c r="AI49" s="170">
        <v>168525.194198073</v>
      </c>
      <c r="AJ49" s="170">
        <v>145556.82644661801</v>
      </c>
      <c r="AK49" s="170">
        <v>240587.28659525802</v>
      </c>
      <c r="AL49" s="170">
        <v>153365.59041875001</v>
      </c>
      <c r="AM49" s="170">
        <v>6265.5077990953296</v>
      </c>
      <c r="AN49" s="171">
        <v>1426669558.7882061</v>
      </c>
      <c r="AO49" s="170">
        <v>6033587.7670659004</v>
      </c>
      <c r="AP49" s="170">
        <v>133234797.88496602</v>
      </c>
      <c r="AQ49" s="170">
        <v>24458006.844566498</v>
      </c>
      <c r="AR49" s="171">
        <v>1590395951.2848046</v>
      </c>
      <c r="AS49" s="171">
        <v>22163362.182</v>
      </c>
    </row>
    <row r="50" spans="1:45" x14ac:dyDescent="0.2">
      <c r="A50" s="167"/>
      <c r="B50" s="168">
        <v>7</v>
      </c>
      <c r="C50" s="169">
        <v>589.99999999999898</v>
      </c>
      <c r="D50" s="169">
        <v>328996.11364471097</v>
      </c>
      <c r="E50" s="170">
        <v>687998916.37552905</v>
      </c>
      <c r="F50" s="170">
        <v>210981.83333333299</v>
      </c>
      <c r="G50" s="170">
        <v>17125622.2400508</v>
      </c>
      <c r="H50" s="170">
        <v>2153826.9720989</v>
      </c>
      <c r="I50" s="170">
        <v>10695330.411943199</v>
      </c>
      <c r="J50" s="170">
        <v>1567942.28527471</v>
      </c>
      <c r="K50" s="170">
        <v>198859713.69693646</v>
      </c>
      <c r="L50" s="170">
        <v>5819341.8900353797</v>
      </c>
      <c r="M50" s="170">
        <v>227148948.75779206</v>
      </c>
      <c r="N50" s="170">
        <v>11987379.936382201</v>
      </c>
      <c r="O50" s="170">
        <v>147359102.25298882</v>
      </c>
      <c r="P50" s="170">
        <v>16166257.387842201</v>
      </c>
      <c r="Q50" s="170">
        <v>2886093.0960799102</v>
      </c>
      <c r="R50" s="170">
        <v>75145262.154382199</v>
      </c>
      <c r="S50" s="170">
        <v>37810467.956326403</v>
      </c>
      <c r="T50" s="170">
        <v>740223.41610542906</v>
      </c>
      <c r="U50" s="170"/>
      <c r="V50" s="170"/>
      <c r="W50" s="170">
        <v>6106528.9381860206</v>
      </c>
      <c r="X50" s="170">
        <v>2274551.9269093503</v>
      </c>
      <c r="Y50" s="170">
        <v>6136340.08791083</v>
      </c>
      <c r="Z50" s="170">
        <v>35350627.215602398</v>
      </c>
      <c r="AA50" s="170">
        <v>9600509.3166233096</v>
      </c>
      <c r="AB50" s="170">
        <v>308323.24771218299</v>
      </c>
      <c r="AC50" s="170">
        <v>61898.136984980098</v>
      </c>
      <c r="AD50" s="170">
        <v>4500.1258249999901</v>
      </c>
      <c r="AE50" s="170">
        <v>324238.92578944098</v>
      </c>
      <c r="AF50" s="170">
        <v>944627.93312936299</v>
      </c>
      <c r="AG50" s="170">
        <v>2673020.8305310598</v>
      </c>
      <c r="AH50" s="170">
        <v>494665.10246826999</v>
      </c>
      <c r="AI50" s="170">
        <v>180531.72184501501</v>
      </c>
      <c r="AJ50" s="170">
        <v>151426.87099508199</v>
      </c>
      <c r="AK50" s="170">
        <v>203130.40922593002</v>
      </c>
      <c r="AL50" s="170">
        <v>167125.14938846702</v>
      </c>
      <c r="AM50" s="170">
        <v>7057.5462012500502</v>
      </c>
      <c r="AN50" s="171">
        <v>1508994100.2620738</v>
      </c>
      <c r="AO50" s="170">
        <v>5975775.3514685398</v>
      </c>
      <c r="AP50" s="170">
        <v>137511855.20014802</v>
      </c>
      <c r="AQ50" s="170">
        <v>24528326.2436588</v>
      </c>
      <c r="AR50" s="171">
        <v>1677010057.0573492</v>
      </c>
      <c r="AS50" s="171">
        <v>24538852.638999999</v>
      </c>
    </row>
    <row r="51" spans="1:45" x14ac:dyDescent="0.2">
      <c r="A51" s="167"/>
      <c r="B51" s="168">
        <v>8</v>
      </c>
      <c r="C51" s="169">
        <v>589.99999999999898</v>
      </c>
      <c r="D51" s="169">
        <v>310230.89413929801</v>
      </c>
      <c r="E51" s="170">
        <v>713086564.06704497</v>
      </c>
      <c r="F51" s="170">
        <v>230198</v>
      </c>
      <c r="G51" s="170">
        <v>17487695.313359901</v>
      </c>
      <c r="H51" s="170">
        <v>2184923.0683812699</v>
      </c>
      <c r="I51" s="170">
        <v>11023398.352418501</v>
      </c>
      <c r="J51" s="170">
        <v>1957251.1244405701</v>
      </c>
      <c r="K51" s="170">
        <v>203678127.31983659</v>
      </c>
      <c r="L51" s="170">
        <v>5937818.9493223</v>
      </c>
      <c r="M51" s="170">
        <v>231853786.11525911</v>
      </c>
      <c r="N51" s="170">
        <v>12330299.889598001</v>
      </c>
      <c r="O51" s="170">
        <v>151144338.6112394</v>
      </c>
      <c r="P51" s="170">
        <v>16311675.658837</v>
      </c>
      <c r="Q51" s="170">
        <v>3935165.1604307201</v>
      </c>
      <c r="R51" s="170">
        <v>75945669.183232293</v>
      </c>
      <c r="S51" s="170">
        <v>38865476.558169104</v>
      </c>
      <c r="T51" s="170">
        <v>1012961.84742386</v>
      </c>
      <c r="U51" s="170"/>
      <c r="V51" s="170"/>
      <c r="W51" s="170">
        <v>5162510.3568429304</v>
      </c>
      <c r="X51" s="170">
        <v>2260983.4558143397</v>
      </c>
      <c r="Y51" s="170">
        <v>5441426.6323822606</v>
      </c>
      <c r="Z51" s="170">
        <v>34494381.049594395</v>
      </c>
      <c r="AA51" s="170">
        <v>9778564.5289355498</v>
      </c>
      <c r="AB51" s="170">
        <v>342951.24517860898</v>
      </c>
      <c r="AC51" s="170">
        <v>62258.761984980098</v>
      </c>
      <c r="AD51" s="170">
        <v>4500.1258249999901</v>
      </c>
      <c r="AE51" s="170">
        <v>327258.264158712</v>
      </c>
      <c r="AF51" s="170">
        <v>944796.04723624594</v>
      </c>
      <c r="AG51" s="170">
        <v>2673496.5442950199</v>
      </c>
      <c r="AH51" s="170">
        <v>494753.13732198498</v>
      </c>
      <c r="AI51" s="170">
        <v>180366.09477496901</v>
      </c>
      <c r="AJ51" s="170">
        <v>155425.79401782699</v>
      </c>
      <c r="AK51" s="170">
        <v>204004.19830691299</v>
      </c>
      <c r="AL51" s="170">
        <v>163845.64586119397</v>
      </c>
      <c r="AM51" s="170">
        <v>6764.2719693286199</v>
      </c>
      <c r="AN51" s="171">
        <v>1549994456.267633</v>
      </c>
      <c r="AO51" s="170">
        <v>5942278.2680138396</v>
      </c>
      <c r="AP51" s="170">
        <v>135881482.470613</v>
      </c>
      <c r="AQ51" s="170">
        <v>25556241.670963999</v>
      </c>
      <c r="AR51" s="171">
        <v>1717374458.6772239</v>
      </c>
      <c r="AS51" s="171">
        <v>23590509.795000002</v>
      </c>
    </row>
    <row r="52" spans="1:45" x14ac:dyDescent="0.2">
      <c r="A52" s="167"/>
      <c r="B52" s="168">
        <v>9</v>
      </c>
      <c r="C52" s="169">
        <v>589.99999999999898</v>
      </c>
      <c r="D52" s="169">
        <v>347218.63445537898</v>
      </c>
      <c r="E52" s="170">
        <v>673570934.3123759</v>
      </c>
      <c r="F52" s="170">
        <v>198981.5</v>
      </c>
      <c r="G52" s="170">
        <v>16039811.407258499</v>
      </c>
      <c r="H52" s="170">
        <v>2047002.6594370399</v>
      </c>
      <c r="I52" s="170">
        <v>10112468.827075999</v>
      </c>
      <c r="J52" s="170">
        <v>1409496.9645466199</v>
      </c>
      <c r="K52" s="170">
        <v>186377242.52050102</v>
      </c>
      <c r="L52" s="170">
        <v>5783443.3501931001</v>
      </c>
      <c r="M52" s="170">
        <v>213113293.49676621</v>
      </c>
      <c r="N52" s="170">
        <v>11989990.5820699</v>
      </c>
      <c r="O52" s="170">
        <v>138156743.95875162</v>
      </c>
      <c r="P52" s="170">
        <v>15639197.582051801</v>
      </c>
      <c r="Q52" s="170">
        <v>2852495.0743325399</v>
      </c>
      <c r="R52" s="170">
        <v>70766624.376229301</v>
      </c>
      <c r="S52" s="170">
        <v>37718752.474165</v>
      </c>
      <c r="T52" s="170">
        <v>816220.51023416396</v>
      </c>
      <c r="U52" s="170"/>
      <c r="V52" s="170"/>
      <c r="W52" s="170">
        <v>6027083.3937881403</v>
      </c>
      <c r="X52" s="170">
        <v>1750797.60874277</v>
      </c>
      <c r="Y52" s="170">
        <v>5234094.88825252</v>
      </c>
      <c r="Z52" s="170">
        <v>30237364.3667855</v>
      </c>
      <c r="AA52" s="170">
        <v>9301614.398360379</v>
      </c>
      <c r="AB52" s="170">
        <v>467070.223234915</v>
      </c>
      <c r="AC52" s="170">
        <v>64124.886984980098</v>
      </c>
      <c r="AD52" s="170">
        <v>4500.1258249999901</v>
      </c>
      <c r="AE52" s="170">
        <v>347188.42095554696</v>
      </c>
      <c r="AF52" s="170">
        <v>993344.88797089597</v>
      </c>
      <c r="AG52" s="170">
        <v>2810875.5673268102</v>
      </c>
      <c r="AH52" s="170">
        <v>520176.28693938296</v>
      </c>
      <c r="AI52" s="170">
        <v>164050.106290981</v>
      </c>
      <c r="AJ52" s="170">
        <v>137309.22225240999</v>
      </c>
      <c r="AK52" s="170">
        <v>250465.91343768098</v>
      </c>
      <c r="AL52" s="170">
        <v>151929.375533107</v>
      </c>
      <c r="AM52" s="170">
        <v>6467.9208361488199</v>
      </c>
      <c r="AN52" s="171">
        <v>1445408965.8239613</v>
      </c>
      <c r="AO52" s="170">
        <v>5443669.2468997799</v>
      </c>
      <c r="AP52" s="170">
        <v>128912283.608025</v>
      </c>
      <c r="AQ52" s="170">
        <v>25059267.871827498</v>
      </c>
      <c r="AR52" s="171">
        <v>1604824186.5507138</v>
      </c>
      <c r="AS52" s="171">
        <v>22927589.971999999</v>
      </c>
    </row>
    <row r="53" spans="1:45" x14ac:dyDescent="0.2">
      <c r="A53" s="167"/>
      <c r="B53" s="168">
        <v>10</v>
      </c>
      <c r="C53" s="169">
        <v>589.99999999999898</v>
      </c>
      <c r="D53" s="169">
        <v>544787.97227515304</v>
      </c>
      <c r="E53" s="170">
        <v>845315076.58318305</v>
      </c>
      <c r="F53" s="170">
        <v>174254</v>
      </c>
      <c r="G53" s="170">
        <v>16469912.180897899</v>
      </c>
      <c r="H53" s="170">
        <v>2036704.39121854</v>
      </c>
      <c r="I53" s="170">
        <v>10311506.165761301</v>
      </c>
      <c r="J53" s="170">
        <v>1232229.13352983</v>
      </c>
      <c r="K53" s="170">
        <v>182129080.38599354</v>
      </c>
      <c r="L53" s="170">
        <v>5653816.6312276097</v>
      </c>
      <c r="M53" s="170">
        <v>209937514.42839658</v>
      </c>
      <c r="N53" s="170">
        <v>12002012.779733999</v>
      </c>
      <c r="O53" s="170">
        <v>134173925.15225504</v>
      </c>
      <c r="P53" s="170">
        <v>15668469.6101654</v>
      </c>
      <c r="Q53" s="170">
        <v>1035741.7114745799</v>
      </c>
      <c r="R53" s="170">
        <v>69345446.478068411</v>
      </c>
      <c r="S53" s="170">
        <v>37562621.293815695</v>
      </c>
      <c r="T53" s="170">
        <v>764306.41905380192</v>
      </c>
      <c r="U53" s="170"/>
      <c r="V53" s="170"/>
      <c r="W53" s="170">
        <v>8003056.2879136298</v>
      </c>
      <c r="X53" s="170">
        <v>1472301.1855258201</v>
      </c>
      <c r="Y53" s="170">
        <v>5288227.3671291592</v>
      </c>
      <c r="Z53" s="170">
        <v>31946174.806790002</v>
      </c>
      <c r="AA53" s="170">
        <v>9908541.1402227692</v>
      </c>
      <c r="AB53" s="170">
        <v>502779.63555707899</v>
      </c>
      <c r="AC53" s="170">
        <v>64768.771984980107</v>
      </c>
      <c r="AD53" s="170">
        <v>4500.1258249999901</v>
      </c>
      <c r="AE53" s="170">
        <v>318371.44842750899</v>
      </c>
      <c r="AF53" s="170">
        <v>902799.39598368399</v>
      </c>
      <c r="AG53" s="170">
        <v>2554658.30156091</v>
      </c>
      <c r="AH53" s="170">
        <v>472761.11584284803</v>
      </c>
      <c r="AI53" s="170">
        <v>174166.69885899298</v>
      </c>
      <c r="AJ53" s="170">
        <v>150284.05817465301</v>
      </c>
      <c r="AK53" s="170">
        <v>385295.39798552298</v>
      </c>
      <c r="AL53" s="170">
        <v>158481.56117844899</v>
      </c>
      <c r="AM53" s="170">
        <v>6531.1148663845997</v>
      </c>
      <c r="AN53" s="171">
        <v>1606671693.7308776</v>
      </c>
      <c r="AO53" s="170">
        <v>5263979.0559490798</v>
      </c>
      <c r="AP53" s="170">
        <v>129452583.36834201</v>
      </c>
      <c r="AQ53" s="170">
        <v>25660146.4246522</v>
      </c>
      <c r="AR53" s="171">
        <v>1767048402.5798206</v>
      </c>
      <c r="AS53" s="171">
        <v>23186317.311999999</v>
      </c>
    </row>
    <row r="54" spans="1:45" x14ac:dyDescent="0.2">
      <c r="A54" s="167"/>
      <c r="B54" s="168">
        <v>11</v>
      </c>
      <c r="C54" s="169">
        <v>589.99999999999898</v>
      </c>
      <c r="D54" s="169">
        <v>769678.86642344296</v>
      </c>
      <c r="E54" s="170">
        <v>1051003321.08088</v>
      </c>
      <c r="F54" s="170">
        <v>195072.33333333299</v>
      </c>
      <c r="G54" s="170">
        <v>18673595.6431784</v>
      </c>
      <c r="H54" s="170">
        <v>2160826.9788421197</v>
      </c>
      <c r="I54" s="170">
        <v>11559323.982133999</v>
      </c>
      <c r="J54" s="170">
        <v>1302267.8828926201</v>
      </c>
      <c r="K54" s="170">
        <v>192552733.87121093</v>
      </c>
      <c r="L54" s="170">
        <v>5829999.20052181</v>
      </c>
      <c r="M54" s="170">
        <v>214154870.02819467</v>
      </c>
      <c r="N54" s="170">
        <v>11522251.921216501</v>
      </c>
      <c r="O54" s="170">
        <v>132649579.17281246</v>
      </c>
      <c r="P54" s="170">
        <v>14414436.038924899</v>
      </c>
      <c r="Q54" s="170">
        <v>309206.93836781103</v>
      </c>
      <c r="R54" s="170">
        <v>69546084.01171571</v>
      </c>
      <c r="S54" s="170">
        <v>35575030.653607294</v>
      </c>
      <c r="T54" s="170">
        <v>256969.493872744</v>
      </c>
      <c r="U54" s="170"/>
      <c r="V54" s="170"/>
      <c r="W54" s="170">
        <v>10124078.108616101</v>
      </c>
      <c r="X54" s="170">
        <v>1489815.82501037</v>
      </c>
      <c r="Y54" s="170">
        <v>4044911.39424669</v>
      </c>
      <c r="Z54" s="170">
        <v>30798946.767205603</v>
      </c>
      <c r="AA54" s="170">
        <v>8769555.4620699808</v>
      </c>
      <c r="AB54" s="170">
        <v>622682.69585825398</v>
      </c>
      <c r="AC54" s="170">
        <v>79914.769484980105</v>
      </c>
      <c r="AD54" s="170">
        <v>4500.1258249999901</v>
      </c>
      <c r="AE54" s="170">
        <v>324841.89386816503</v>
      </c>
      <c r="AF54" s="170">
        <v>913031.61313024303</v>
      </c>
      <c r="AG54" s="170">
        <v>2583612.4840660398</v>
      </c>
      <c r="AH54" s="170">
        <v>478119.33209473605</v>
      </c>
      <c r="AI54" s="170">
        <v>170662.45730426701</v>
      </c>
      <c r="AJ54" s="170">
        <v>142745.72924273901</v>
      </c>
      <c r="AK54" s="170">
        <v>224021.952971158</v>
      </c>
      <c r="AL54" s="170">
        <v>157841.21282767502</v>
      </c>
      <c r="AM54" s="170">
        <v>6650.1271957860599</v>
      </c>
      <c r="AN54" s="171">
        <v>1823411770.0491467</v>
      </c>
      <c r="AO54" s="170">
        <v>5472813.6981554395</v>
      </c>
      <c r="AP54" s="170">
        <v>129999687.031936</v>
      </c>
      <c r="AQ54" s="170">
        <v>24806802.501410998</v>
      </c>
      <c r="AR54" s="171">
        <v>1983691073.2806489</v>
      </c>
      <c r="AS54" s="171">
        <v>23314898.214000002</v>
      </c>
    </row>
    <row r="55" spans="1:45" x14ac:dyDescent="0.2">
      <c r="A55" s="173"/>
      <c r="B55" s="174">
        <v>12</v>
      </c>
      <c r="C55" s="175">
        <v>589.99999999999898</v>
      </c>
      <c r="D55" s="175">
        <v>968906.19920354406</v>
      </c>
      <c r="E55" s="176">
        <v>1244242771.72245</v>
      </c>
      <c r="F55" s="176">
        <v>241943.16666666701</v>
      </c>
      <c r="G55" s="176">
        <v>25204644.652322002</v>
      </c>
      <c r="H55" s="176">
        <v>2682448.4318209202</v>
      </c>
      <c r="I55" s="176">
        <v>14048584.066440601</v>
      </c>
      <c r="J55" s="176">
        <v>1640763.8683982601</v>
      </c>
      <c r="K55" s="176">
        <v>228283275.79754466</v>
      </c>
      <c r="L55" s="176">
        <v>6605533.9946534997</v>
      </c>
      <c r="M55" s="176">
        <v>244540686.20954344</v>
      </c>
      <c r="N55" s="176">
        <v>12059832.454388101</v>
      </c>
      <c r="O55" s="176">
        <v>147598740.18642315</v>
      </c>
      <c r="P55" s="176">
        <v>14258454.724218801</v>
      </c>
      <c r="Q55" s="176">
        <v>261776.36598812899</v>
      </c>
      <c r="R55" s="176">
        <v>77525288.147004694</v>
      </c>
      <c r="S55" s="176">
        <v>35957925.253019102</v>
      </c>
      <c r="T55" s="176">
        <v>6687.6702187454703</v>
      </c>
      <c r="U55" s="176"/>
      <c r="V55" s="176"/>
      <c r="W55" s="176">
        <v>14139798.393564802</v>
      </c>
      <c r="X55" s="176">
        <v>1770051.7317568199</v>
      </c>
      <c r="Y55" s="176">
        <v>4019567.8094778499</v>
      </c>
      <c r="Z55" s="176">
        <v>33733563.472325794</v>
      </c>
      <c r="AA55" s="176">
        <v>8946744.2636850793</v>
      </c>
      <c r="AB55" s="176">
        <v>757899.90132835309</v>
      </c>
      <c r="AC55" s="176">
        <v>103932.49448498401</v>
      </c>
      <c r="AD55" s="176">
        <v>4500.1258249999901</v>
      </c>
      <c r="AE55" s="176">
        <v>330721.79920074699</v>
      </c>
      <c r="AF55" s="176">
        <v>921439.76844032097</v>
      </c>
      <c r="AG55" s="176">
        <v>2607405.1049508797</v>
      </c>
      <c r="AH55" s="176">
        <v>482522.35773283005</v>
      </c>
      <c r="AI55" s="176">
        <v>182789.27723372102</v>
      </c>
      <c r="AJ55" s="176">
        <v>157445.791882658</v>
      </c>
      <c r="AK55" s="176">
        <v>212224.66707929398</v>
      </c>
      <c r="AL55" s="176">
        <v>166076.10524245701</v>
      </c>
      <c r="AM55" s="176">
        <v>6887.0553585310599</v>
      </c>
      <c r="AN55" s="177">
        <v>2124672423.0298741</v>
      </c>
      <c r="AO55" s="176">
        <v>5133517.5133945206</v>
      </c>
      <c r="AP55" s="176">
        <v>127500525.078703</v>
      </c>
      <c r="AQ55" s="176">
        <v>24164013.8055586</v>
      </c>
      <c r="AR55" s="177">
        <v>2281470479.4275303</v>
      </c>
      <c r="AS55" s="177">
        <v>24733324.942000002</v>
      </c>
    </row>
    <row r="56" spans="1:45" x14ac:dyDescent="0.2">
      <c r="A56" s="163">
        <f>A44+1</f>
        <v>2025</v>
      </c>
      <c r="B56" s="163">
        <v>1</v>
      </c>
      <c r="C56" s="164">
        <v>589.99999999999898</v>
      </c>
      <c r="D56" s="164">
        <v>1025567.0016407201</v>
      </c>
      <c r="E56" s="165">
        <v>1277324949.27162</v>
      </c>
      <c r="F56" s="165">
        <v>264163.33333333302</v>
      </c>
      <c r="G56" s="165">
        <v>26714964.472493201</v>
      </c>
      <c r="H56" s="165">
        <v>2901256.0340483002</v>
      </c>
      <c r="I56" s="165">
        <v>14338752.807979399</v>
      </c>
      <c r="J56" s="165">
        <v>1703080.9785253301</v>
      </c>
      <c r="K56" s="165">
        <v>234698790.47910127</v>
      </c>
      <c r="L56" s="165">
        <v>7149228.7785495296</v>
      </c>
      <c r="M56" s="165">
        <v>239935025.05374578</v>
      </c>
      <c r="N56" s="165">
        <v>12361767.451171499</v>
      </c>
      <c r="O56" s="165">
        <v>143382889.89474908</v>
      </c>
      <c r="P56" s="165">
        <v>14221607.5137775</v>
      </c>
      <c r="Q56" s="165">
        <v>288798.133940703</v>
      </c>
      <c r="R56" s="165">
        <v>75249669.315076903</v>
      </c>
      <c r="S56" s="165">
        <v>36077318.3633959</v>
      </c>
      <c r="T56" s="165">
        <v>5362.7348129427301</v>
      </c>
      <c r="U56" s="165"/>
      <c r="V56" s="165"/>
      <c r="W56" s="165">
        <v>14964253.8201396</v>
      </c>
      <c r="X56" s="165">
        <v>1719081.91697604</v>
      </c>
      <c r="Y56" s="165">
        <v>3907328.3337177997</v>
      </c>
      <c r="Z56" s="165">
        <v>33391707.903648</v>
      </c>
      <c r="AA56" s="165">
        <v>9375533.3352222405</v>
      </c>
      <c r="AB56" s="165">
        <v>779357.27022147505</v>
      </c>
      <c r="AC56" s="165">
        <v>107589.622795269</v>
      </c>
      <c r="AD56" s="165">
        <v>4500.1258249999901</v>
      </c>
      <c r="AE56" s="165">
        <v>324510.84401545901</v>
      </c>
      <c r="AF56" s="165">
        <v>896307.06784322904</v>
      </c>
      <c r="AG56" s="165">
        <v>2536286.9113558899</v>
      </c>
      <c r="AH56" s="165">
        <v>469361.33477326197</v>
      </c>
      <c r="AI56" s="165">
        <v>177445.740245825</v>
      </c>
      <c r="AJ56" s="165">
        <v>146848.89522540898</v>
      </c>
      <c r="AK56" s="165">
        <v>314481.823826198</v>
      </c>
      <c r="AL56" s="165">
        <v>159287.81037677801</v>
      </c>
      <c r="AM56" s="165">
        <v>6824.3149058230492</v>
      </c>
      <c r="AN56" s="166">
        <v>2156924488.6890745</v>
      </c>
      <c r="AO56" s="165">
        <v>6494536.9077759292</v>
      </c>
      <c r="AP56" s="165">
        <v>134177885.07172401</v>
      </c>
      <c r="AQ56" s="165">
        <v>25869329.842022799</v>
      </c>
      <c r="AR56" s="166">
        <v>2323466240.5105972</v>
      </c>
      <c r="AS56" s="166">
        <v>28068060.932999998</v>
      </c>
    </row>
    <row r="57" spans="1:45" x14ac:dyDescent="0.2">
      <c r="A57" s="167"/>
      <c r="B57" s="168">
        <v>2</v>
      </c>
      <c r="C57" s="169">
        <v>589.99999999999898</v>
      </c>
      <c r="D57" s="169">
        <v>818988.61857854109</v>
      </c>
      <c r="E57" s="170">
        <v>1040814003.26027</v>
      </c>
      <c r="F57" s="170">
        <v>238004.04666666698</v>
      </c>
      <c r="G57" s="170">
        <v>23420576.198159099</v>
      </c>
      <c r="H57" s="170">
        <v>2530376.6358868103</v>
      </c>
      <c r="I57" s="170">
        <v>12232026.6033806</v>
      </c>
      <c r="J57" s="170">
        <v>1506539.3043384599</v>
      </c>
      <c r="K57" s="170">
        <v>206617280.41099274</v>
      </c>
      <c r="L57" s="170">
        <v>6416611.3580942005</v>
      </c>
      <c r="M57" s="170">
        <v>218349742.59738287</v>
      </c>
      <c r="N57" s="170">
        <v>11734111.9496914</v>
      </c>
      <c r="O57" s="170">
        <v>129538185.22391514</v>
      </c>
      <c r="P57" s="170">
        <v>13900380.7836367</v>
      </c>
      <c r="Q57" s="170">
        <v>237425.219510122</v>
      </c>
      <c r="R57" s="170">
        <v>68626659.902734801</v>
      </c>
      <c r="S57" s="170">
        <v>34073404.489954799</v>
      </c>
      <c r="T57" s="170">
        <v>6022.87685294941</v>
      </c>
      <c r="U57" s="170"/>
      <c r="V57" s="170"/>
      <c r="W57" s="170">
        <v>13741463.872518199</v>
      </c>
      <c r="X57" s="170">
        <v>1482105.3950129698</v>
      </c>
      <c r="Y57" s="170">
        <v>4134148.4075436401</v>
      </c>
      <c r="Z57" s="170">
        <v>27781654.3123927</v>
      </c>
      <c r="AA57" s="170">
        <v>7684391.5731541505</v>
      </c>
      <c r="AB57" s="170">
        <v>667299.27961548907</v>
      </c>
      <c r="AC57" s="170">
        <v>106467.67125306699</v>
      </c>
      <c r="AD57" s="170">
        <v>4500.1258249999901</v>
      </c>
      <c r="AE57" s="170">
        <v>317014.41445214301</v>
      </c>
      <c r="AF57" s="170">
        <v>868085.79710720701</v>
      </c>
      <c r="AG57" s="170">
        <v>2456428.96740166</v>
      </c>
      <c r="AH57" s="170">
        <v>454582.94712367002</v>
      </c>
      <c r="AI57" s="170">
        <v>163535.04616922999</v>
      </c>
      <c r="AJ57" s="170">
        <v>141220.40267729302</v>
      </c>
      <c r="AK57" s="170">
        <v>197750.77288556</v>
      </c>
      <c r="AL57" s="170">
        <v>145930.86157062399</v>
      </c>
      <c r="AM57" s="170">
        <v>6087.0893611869997</v>
      </c>
      <c r="AN57" s="171">
        <v>1831413596.4161093</v>
      </c>
      <c r="AO57" s="170">
        <v>5898327.8443903001</v>
      </c>
      <c r="AP57" s="170">
        <v>119011366.70862401</v>
      </c>
      <c r="AQ57" s="170">
        <v>23070396.0283405</v>
      </c>
      <c r="AR57" s="171">
        <v>1979393686.9974644</v>
      </c>
      <c r="AS57" s="171">
        <v>26042263.364</v>
      </c>
    </row>
    <row r="58" spans="1:45" x14ac:dyDescent="0.2">
      <c r="A58" s="167"/>
      <c r="B58" s="168">
        <v>3</v>
      </c>
      <c r="C58" s="169">
        <v>589.99999999999898</v>
      </c>
      <c r="D58" s="169">
        <v>828341.53328316298</v>
      </c>
      <c r="E58" s="170">
        <v>1084603623.3967898</v>
      </c>
      <c r="F58" s="170">
        <v>210451.786666667</v>
      </c>
      <c r="G58" s="170">
        <v>23086620.810745399</v>
      </c>
      <c r="H58" s="170">
        <v>2670009.32049189</v>
      </c>
      <c r="I58" s="170">
        <v>12630992.072961701</v>
      </c>
      <c r="J58" s="170">
        <v>1514245.9686110201</v>
      </c>
      <c r="K58" s="170">
        <v>214103613.7874279</v>
      </c>
      <c r="L58" s="170">
        <v>6687659.4473249698</v>
      </c>
      <c r="M58" s="170">
        <v>227719152.75028741</v>
      </c>
      <c r="N58" s="170">
        <v>12291111.444428099</v>
      </c>
      <c r="O58" s="170">
        <v>134535355.47233522</v>
      </c>
      <c r="P58" s="170">
        <v>14664435.488019601</v>
      </c>
      <c r="Q58" s="170">
        <v>270187.73111356498</v>
      </c>
      <c r="R58" s="170">
        <v>72096897.087933898</v>
      </c>
      <c r="S58" s="170">
        <v>35603289.578145899</v>
      </c>
      <c r="T58" s="170">
        <v>6320.6653596215201</v>
      </c>
      <c r="U58" s="170"/>
      <c r="V58" s="170"/>
      <c r="W58" s="170">
        <v>13815253.6508855</v>
      </c>
      <c r="X58" s="170">
        <v>1571981.6063691601</v>
      </c>
      <c r="Y58" s="170">
        <v>4967875.5945687797</v>
      </c>
      <c r="Z58" s="170">
        <v>31935273.870197002</v>
      </c>
      <c r="AA58" s="170">
        <v>8841362.8854146302</v>
      </c>
      <c r="AB58" s="170">
        <v>558889.91115751001</v>
      </c>
      <c r="AC58" s="170">
        <v>100141.31729267401</v>
      </c>
      <c r="AD58" s="170">
        <v>4500.1258249999901</v>
      </c>
      <c r="AE58" s="170">
        <v>313473.83439988102</v>
      </c>
      <c r="AF58" s="170">
        <v>851085.06855001103</v>
      </c>
      <c r="AG58" s="170">
        <v>2408321.8767961096</v>
      </c>
      <c r="AH58" s="170">
        <v>445680.32330868195</v>
      </c>
      <c r="AI58" s="170">
        <v>171372.659221204</v>
      </c>
      <c r="AJ58" s="170">
        <v>143521.02083602</v>
      </c>
      <c r="AK58" s="170">
        <v>209006.18057491901</v>
      </c>
      <c r="AL58" s="170">
        <v>155095.32271412201</v>
      </c>
      <c r="AM58" s="170">
        <v>6682.4566206871496</v>
      </c>
      <c r="AN58" s="171">
        <v>1910022416.0466585</v>
      </c>
      <c r="AO58" s="170">
        <v>5893971.1591394898</v>
      </c>
      <c r="AP58" s="170">
        <v>121934660.48522399</v>
      </c>
      <c r="AQ58" s="170">
        <v>22960552.476376399</v>
      </c>
      <c r="AR58" s="171">
        <v>2060811600.1673982</v>
      </c>
      <c r="AS58" s="171">
        <v>25984209.386999998</v>
      </c>
    </row>
    <row r="59" spans="1:45" x14ac:dyDescent="0.2">
      <c r="A59" s="167"/>
      <c r="B59" s="168">
        <v>4</v>
      </c>
      <c r="C59" s="169">
        <v>589.99999999999898</v>
      </c>
      <c r="D59" s="169">
        <v>696087.58066271199</v>
      </c>
      <c r="E59" s="170">
        <v>853295928.18810499</v>
      </c>
      <c r="F59" s="170">
        <v>179649</v>
      </c>
      <c r="G59" s="170">
        <v>20128082.973604999</v>
      </c>
      <c r="H59" s="170">
        <v>2414389.9591959696</v>
      </c>
      <c r="I59" s="170">
        <v>11289092.370390799</v>
      </c>
      <c r="J59" s="170">
        <v>1342891.0811270701</v>
      </c>
      <c r="K59" s="170">
        <v>193802421.54572865</v>
      </c>
      <c r="L59" s="170">
        <v>5759207.0408441992</v>
      </c>
      <c r="M59" s="170">
        <v>212747646.51028287</v>
      </c>
      <c r="N59" s="170">
        <v>11225365.2301229</v>
      </c>
      <c r="O59" s="170">
        <v>129598752.25214107</v>
      </c>
      <c r="P59" s="170">
        <v>14169724.959810799</v>
      </c>
      <c r="Q59" s="170">
        <v>292785.492242879</v>
      </c>
      <c r="R59" s="170">
        <v>70126293.00312531</v>
      </c>
      <c r="S59" s="170">
        <v>33739227.975116</v>
      </c>
      <c r="T59" s="170">
        <v>4916.9463805799005</v>
      </c>
      <c r="U59" s="170"/>
      <c r="V59" s="170"/>
      <c r="W59" s="170">
        <v>10812211.214009</v>
      </c>
      <c r="X59" s="170">
        <v>1665085.06442323</v>
      </c>
      <c r="Y59" s="170">
        <v>3522733.9867380699</v>
      </c>
      <c r="Z59" s="170">
        <v>32063905.7480339</v>
      </c>
      <c r="AA59" s="170">
        <v>8360604.5286214594</v>
      </c>
      <c r="AB59" s="170">
        <v>439298.24924773799</v>
      </c>
      <c r="AC59" s="170">
        <v>84089.042025986506</v>
      </c>
      <c r="AD59" s="170">
        <v>4500.1258249999901</v>
      </c>
      <c r="AE59" s="170">
        <v>334624.05823431903</v>
      </c>
      <c r="AF59" s="170">
        <v>900841.38395124802</v>
      </c>
      <c r="AG59" s="170">
        <v>2549117.7000546698</v>
      </c>
      <c r="AH59" s="170">
        <v>471735.78069374902</v>
      </c>
      <c r="AI59" s="170">
        <v>178305.40391423</v>
      </c>
      <c r="AJ59" s="170">
        <v>154104.16561069401</v>
      </c>
      <c r="AK59" s="170">
        <v>195215.496546429</v>
      </c>
      <c r="AL59" s="170">
        <v>159008.78644584501</v>
      </c>
      <c r="AM59" s="170">
        <v>6698.6840719289294</v>
      </c>
      <c r="AN59" s="171">
        <v>1622715131.5273294</v>
      </c>
      <c r="AO59" s="170">
        <v>5589091.0836304706</v>
      </c>
      <c r="AP59" s="170">
        <v>116047774.93553899</v>
      </c>
      <c r="AQ59" s="170">
        <v>19910712.039838701</v>
      </c>
      <c r="AR59" s="171">
        <v>1764262709.5863378</v>
      </c>
      <c r="AS59" s="171">
        <v>22498471.697000001</v>
      </c>
    </row>
    <row r="60" spans="1:45" x14ac:dyDescent="0.2">
      <c r="A60" s="167"/>
      <c r="B60" s="168">
        <v>5</v>
      </c>
      <c r="C60" s="169">
        <v>589.99999999999898</v>
      </c>
      <c r="D60" s="169">
        <v>490420.48800048203</v>
      </c>
      <c r="E60" s="170">
        <v>786492773.309811</v>
      </c>
      <c r="F60" s="170">
        <v>168692.5</v>
      </c>
      <c r="G60" s="170">
        <v>17686819.732933301</v>
      </c>
      <c r="H60" s="170">
        <v>2258739.1070803702</v>
      </c>
      <c r="I60" s="170">
        <v>10617859.2410152</v>
      </c>
      <c r="J60" s="170">
        <v>1290777.2738415198</v>
      </c>
      <c r="K60" s="170">
        <v>189527283.43098941</v>
      </c>
      <c r="L60" s="170">
        <v>5739001.7700489899</v>
      </c>
      <c r="M60" s="170">
        <v>215046940.95272106</v>
      </c>
      <c r="N60" s="170">
        <v>11591279.526399199</v>
      </c>
      <c r="O60" s="170">
        <v>135781034.49629745</v>
      </c>
      <c r="P60" s="170">
        <v>15225882.201726001</v>
      </c>
      <c r="Q60" s="170">
        <v>825561.48490163404</v>
      </c>
      <c r="R60" s="170">
        <v>72309856.577525213</v>
      </c>
      <c r="S60" s="170">
        <v>36251110.487303697</v>
      </c>
      <c r="T60" s="170">
        <v>369854.17985686596</v>
      </c>
      <c r="U60" s="170"/>
      <c r="V60" s="170"/>
      <c r="W60" s="170">
        <v>9113622.0650142096</v>
      </c>
      <c r="X60" s="170">
        <v>1815660.2748048499</v>
      </c>
      <c r="Y60" s="170">
        <v>3907439.66572145</v>
      </c>
      <c r="Z60" s="170">
        <v>33722651.808556899</v>
      </c>
      <c r="AA60" s="170">
        <v>9260658.1913574692</v>
      </c>
      <c r="AB60" s="170">
        <v>339358.115731364</v>
      </c>
      <c r="AC60" s="170">
        <v>62535.289484968504</v>
      </c>
      <c r="AD60" s="170">
        <v>4500.1258249999901</v>
      </c>
      <c r="AE60" s="170">
        <v>337835.08095892699</v>
      </c>
      <c r="AF60" s="170">
        <v>901874.96880532301</v>
      </c>
      <c r="AG60" s="170">
        <v>2552042.4429594399</v>
      </c>
      <c r="AH60" s="170">
        <v>472277.02909411798</v>
      </c>
      <c r="AI60" s="170">
        <v>182004.01697231398</v>
      </c>
      <c r="AJ60" s="170">
        <v>152601.68785290502</v>
      </c>
      <c r="AK60" s="170">
        <v>375361.88311540597</v>
      </c>
      <c r="AL60" s="170">
        <v>164530.42717138102</v>
      </c>
      <c r="AM60" s="170">
        <v>7060.7712676815499</v>
      </c>
      <c r="AN60" s="171">
        <v>1565046490.6051445</v>
      </c>
      <c r="AO60" s="170">
        <v>6027756.1959515093</v>
      </c>
      <c r="AP60" s="170">
        <v>117223824.9962</v>
      </c>
      <c r="AQ60" s="170">
        <v>21185453.009440899</v>
      </c>
      <c r="AR60" s="171">
        <v>1709483524.8067369</v>
      </c>
      <c r="AS60" s="171">
        <v>22378737.010000002</v>
      </c>
    </row>
    <row r="61" spans="1:45" x14ac:dyDescent="0.2">
      <c r="A61" s="167"/>
      <c r="B61" s="168">
        <v>6</v>
      </c>
      <c r="C61" s="169">
        <v>589.99999999999898</v>
      </c>
      <c r="D61" s="169">
        <v>392162.86049939704</v>
      </c>
      <c r="E61" s="170">
        <v>696677390.21390092</v>
      </c>
      <c r="F61" s="170">
        <v>184959.33333333299</v>
      </c>
      <c r="G61" s="170">
        <v>15964419.5618797</v>
      </c>
      <c r="H61" s="170">
        <v>2016981.3189361501</v>
      </c>
      <c r="I61" s="170">
        <v>9614012.0906997006</v>
      </c>
      <c r="J61" s="170">
        <v>1151536.8850033602</v>
      </c>
      <c r="K61" s="170">
        <v>177068247.25883287</v>
      </c>
      <c r="L61" s="170">
        <v>5326380.1780616203</v>
      </c>
      <c r="M61" s="170">
        <v>204463302.03957683</v>
      </c>
      <c r="N61" s="170">
        <v>11092205.698338201</v>
      </c>
      <c r="O61" s="170">
        <v>132000896.24859954</v>
      </c>
      <c r="P61" s="170">
        <v>14929131.9299319</v>
      </c>
      <c r="Q61" s="170">
        <v>1575758.19323612</v>
      </c>
      <c r="R61" s="170">
        <v>68807117.605220214</v>
      </c>
      <c r="S61" s="170">
        <v>35275243.3733932</v>
      </c>
      <c r="T61" s="170">
        <v>704893.07393236505</v>
      </c>
      <c r="U61" s="170"/>
      <c r="V61" s="170"/>
      <c r="W61" s="170">
        <v>7334324.2198236007</v>
      </c>
      <c r="X61" s="170">
        <v>1745493.7760303002</v>
      </c>
      <c r="Y61" s="170">
        <v>5318046.1229211893</v>
      </c>
      <c r="Z61" s="170">
        <v>29984586.170498997</v>
      </c>
      <c r="AA61" s="170">
        <v>8503971.1840673704</v>
      </c>
      <c r="AB61" s="170">
        <v>287684.22693380102</v>
      </c>
      <c r="AC61" s="170">
        <v>59993.344484980102</v>
      </c>
      <c r="AD61" s="170">
        <v>4500.1258249999901</v>
      </c>
      <c r="AE61" s="170">
        <v>349371.71635228</v>
      </c>
      <c r="AF61" s="170">
        <v>924932.77069101494</v>
      </c>
      <c r="AG61" s="170">
        <v>2617289.2799257403</v>
      </c>
      <c r="AH61" s="170">
        <v>484351.50787296798</v>
      </c>
      <c r="AI61" s="170">
        <v>168373.45948500899</v>
      </c>
      <c r="AJ61" s="170">
        <v>145425.77171975299</v>
      </c>
      <c r="AK61" s="170">
        <v>235604.130417042</v>
      </c>
      <c r="AL61" s="170">
        <v>149524.758682082</v>
      </c>
      <c r="AM61" s="170">
        <v>6259.8665355879702</v>
      </c>
      <c r="AN61" s="171">
        <v>1435564960.2956426</v>
      </c>
      <c r="AO61" s="170">
        <v>6012888.5219318103</v>
      </c>
      <c r="AP61" s="170">
        <v>132777713.33622301</v>
      </c>
      <c r="AQ61" s="170">
        <v>24374099.508051097</v>
      </c>
      <c r="AR61" s="171">
        <v>1598729661.6618488</v>
      </c>
      <c r="AS61" s="171">
        <v>22163362.182</v>
      </c>
    </row>
    <row r="62" spans="1:45" x14ac:dyDescent="0.2">
      <c r="A62" s="167"/>
      <c r="B62" s="168">
        <v>7</v>
      </c>
      <c r="C62" s="169">
        <v>589.99999999999898</v>
      </c>
      <c r="D62" s="169">
        <v>329075.79329423205</v>
      </c>
      <c r="E62" s="170">
        <v>697272599.48364794</v>
      </c>
      <c r="F62" s="170">
        <v>210981.83333333299</v>
      </c>
      <c r="G62" s="170">
        <v>16871846.902963702</v>
      </c>
      <c r="H62" s="170">
        <v>2153105.7792803198</v>
      </c>
      <c r="I62" s="170">
        <v>10691749.160716699</v>
      </c>
      <c r="J62" s="170">
        <v>1567417.2715522801</v>
      </c>
      <c r="K62" s="170">
        <v>199516266.90963578</v>
      </c>
      <c r="L62" s="170">
        <v>5730808.4339548703</v>
      </c>
      <c r="M62" s="170">
        <v>227751967.86074048</v>
      </c>
      <c r="N62" s="170">
        <v>11805008.0814246</v>
      </c>
      <c r="O62" s="170">
        <v>148294877.77369925</v>
      </c>
      <c r="P62" s="170">
        <v>15920309.535752</v>
      </c>
      <c r="Q62" s="170">
        <v>2885126.70943808</v>
      </c>
      <c r="R62" s="170">
        <v>75120100.326566905</v>
      </c>
      <c r="S62" s="170">
        <v>37235232.565890402</v>
      </c>
      <c r="T62" s="170">
        <v>739975.55784255406</v>
      </c>
      <c r="U62" s="170"/>
      <c r="V62" s="170"/>
      <c r="W62" s="170">
        <v>6104484.2127397796</v>
      </c>
      <c r="X62" s="170">
        <v>2273790.3102444899</v>
      </c>
      <c r="Y62" s="170">
        <v>6042983.9308171207</v>
      </c>
      <c r="Z62" s="170">
        <v>34670509.955534399</v>
      </c>
      <c r="AA62" s="170">
        <v>9454450.4862615503</v>
      </c>
      <c r="AB62" s="170">
        <v>246845.805497789</v>
      </c>
      <c r="AC62" s="170">
        <v>61898.136984980098</v>
      </c>
      <c r="AD62" s="170">
        <v>4500.1258249999901</v>
      </c>
      <c r="AE62" s="170">
        <v>351341.473746982</v>
      </c>
      <c r="AF62" s="170">
        <v>922491.95659752004</v>
      </c>
      <c r="AG62" s="170">
        <v>2610382.4897636599</v>
      </c>
      <c r="AH62" s="170">
        <v>483073.34796331398</v>
      </c>
      <c r="AI62" s="170">
        <v>180471.27215104899</v>
      </c>
      <c r="AJ62" s="170">
        <v>151376.16684228001</v>
      </c>
      <c r="AK62" s="170">
        <v>198370.34463983099</v>
      </c>
      <c r="AL62" s="170">
        <v>163023.81153609202</v>
      </c>
      <c r="AM62" s="170">
        <v>7055.1830348011899</v>
      </c>
      <c r="AN62" s="171">
        <v>1518024088.9899144</v>
      </c>
      <c r="AO62" s="170">
        <v>5955962.9278197698</v>
      </c>
      <c r="AP62" s="170">
        <v>137055940.61639702</v>
      </c>
      <c r="AQ62" s="170">
        <v>24447003.643267702</v>
      </c>
      <c r="AR62" s="171">
        <v>1685482996.1773987</v>
      </c>
      <c r="AS62" s="171">
        <v>24538852.638999999</v>
      </c>
    </row>
    <row r="63" spans="1:45" x14ac:dyDescent="0.2">
      <c r="A63" s="167"/>
      <c r="B63" s="168">
        <v>8</v>
      </c>
      <c r="C63" s="169">
        <v>589.99999999999898</v>
      </c>
      <c r="D63" s="169">
        <v>310388.25051970402</v>
      </c>
      <c r="E63" s="170">
        <v>722797018.72426593</v>
      </c>
      <c r="F63" s="170">
        <v>230198</v>
      </c>
      <c r="G63" s="170">
        <v>17246349.342643201</v>
      </c>
      <c r="H63" s="170">
        <v>2185227.28485625</v>
      </c>
      <c r="I63" s="170">
        <v>11024933.188787701</v>
      </c>
      <c r="J63" s="170">
        <v>1957523.6411466899</v>
      </c>
      <c r="K63" s="170">
        <v>204437595.63392895</v>
      </c>
      <c r="L63" s="170">
        <v>5848450.5962398797</v>
      </c>
      <c r="M63" s="170">
        <v>232571384.87429407</v>
      </c>
      <c r="N63" s="170">
        <v>12144720.200565601</v>
      </c>
      <c r="O63" s="170">
        <v>152187277.44350079</v>
      </c>
      <c r="P63" s="170">
        <v>16066173.4631509</v>
      </c>
      <c r="Q63" s="170">
        <v>3935713.0708312802</v>
      </c>
      <c r="R63" s="170">
        <v>75956243.433696002</v>
      </c>
      <c r="S63" s="170">
        <v>38280523.789920196</v>
      </c>
      <c r="T63" s="170">
        <v>1013102.8865693399</v>
      </c>
      <c r="U63" s="170"/>
      <c r="V63" s="170"/>
      <c r="W63" s="170">
        <v>5163229.1559281405</v>
      </c>
      <c r="X63" s="170">
        <v>2261298.2625125102</v>
      </c>
      <c r="Y63" s="170">
        <v>5359529.3329352401</v>
      </c>
      <c r="Z63" s="170">
        <v>33842381.169463903</v>
      </c>
      <c r="AA63" s="170">
        <v>9631390.2525017895</v>
      </c>
      <c r="AB63" s="170">
        <v>280101.96920354298</v>
      </c>
      <c r="AC63" s="170">
        <v>62258.761984980098</v>
      </c>
      <c r="AD63" s="170">
        <v>4500.1258249999901</v>
      </c>
      <c r="AE63" s="170">
        <v>353601.03721547301</v>
      </c>
      <c r="AF63" s="170">
        <v>920845.70402439206</v>
      </c>
      <c r="AG63" s="170">
        <v>2605724.0763651598</v>
      </c>
      <c r="AH63" s="170">
        <v>482211.26918159</v>
      </c>
      <c r="AI63" s="170">
        <v>180391.20794181401</v>
      </c>
      <c r="AJ63" s="170">
        <v>155447.43463660299</v>
      </c>
      <c r="AK63" s="170">
        <v>198832.74296435202</v>
      </c>
      <c r="AL63" s="170">
        <v>159892.560720379</v>
      </c>
      <c r="AM63" s="170">
        <v>6765.21378874739</v>
      </c>
      <c r="AN63" s="171">
        <v>1559861814.1021097</v>
      </c>
      <c r="AO63" s="170">
        <v>5923390.9648976093</v>
      </c>
      <c r="AP63" s="170">
        <v>135449588.400435</v>
      </c>
      <c r="AQ63" s="170">
        <v>25475012.138925798</v>
      </c>
      <c r="AR63" s="171">
        <v>1726709805.6063681</v>
      </c>
      <c r="AS63" s="171">
        <v>23590509.795000002</v>
      </c>
    </row>
    <row r="64" spans="1:45" x14ac:dyDescent="0.2">
      <c r="A64" s="167"/>
      <c r="B64" s="168">
        <v>9</v>
      </c>
      <c r="C64" s="169">
        <v>589.99999999999898</v>
      </c>
      <c r="D64" s="169">
        <v>347250.994167205</v>
      </c>
      <c r="E64" s="170">
        <v>682034498.26538205</v>
      </c>
      <c r="F64" s="170">
        <v>198981.5</v>
      </c>
      <c r="G64" s="170">
        <v>15807513.0201407</v>
      </c>
      <c r="H64" s="170">
        <v>2046249.15197795</v>
      </c>
      <c r="I64" s="170">
        <v>10108746.398745999</v>
      </c>
      <c r="J64" s="170">
        <v>1408978.12473395</v>
      </c>
      <c r="K64" s="170">
        <v>187005149.68150181</v>
      </c>
      <c r="L64" s="170">
        <v>5696673.4190075099</v>
      </c>
      <c r="M64" s="170">
        <v>213695502.29629636</v>
      </c>
      <c r="N64" s="170">
        <v>11810102.824081</v>
      </c>
      <c r="O64" s="170">
        <v>139140293.11209917</v>
      </c>
      <c r="P64" s="170">
        <v>15404560.184255401</v>
      </c>
      <c r="Q64" s="170">
        <v>2851445.0628410401</v>
      </c>
      <c r="R64" s="170">
        <v>70740574.981971696</v>
      </c>
      <c r="S64" s="170">
        <v>37152851.961543903</v>
      </c>
      <c r="T64" s="170">
        <v>815920.05715957307</v>
      </c>
      <c r="U64" s="170"/>
      <c r="V64" s="170"/>
      <c r="W64" s="170">
        <v>6024864.8073721295</v>
      </c>
      <c r="X64" s="170">
        <v>1750153.1351992402</v>
      </c>
      <c r="Y64" s="170">
        <v>5155566.92043602</v>
      </c>
      <c r="Z64" s="170">
        <v>29616275.256340303</v>
      </c>
      <c r="AA64" s="170">
        <v>9162060.7808370702</v>
      </c>
      <c r="AB64" s="170">
        <v>398888.26725504996</v>
      </c>
      <c r="AC64" s="170">
        <v>64124.886984980098</v>
      </c>
      <c r="AD64" s="170">
        <v>4500.1258249999901</v>
      </c>
      <c r="AE64" s="170">
        <v>375367.25885781</v>
      </c>
      <c r="AF64" s="170">
        <v>969613.90249679796</v>
      </c>
      <c r="AG64" s="170">
        <v>2743723.8176520499</v>
      </c>
      <c r="AH64" s="170">
        <v>507749.28795965796</v>
      </c>
      <c r="AI64" s="170">
        <v>163989.71898362398</v>
      </c>
      <c r="AJ64" s="170">
        <v>137258.67833997699</v>
      </c>
      <c r="AK64" s="170">
        <v>244482.28879177599</v>
      </c>
      <c r="AL64" s="170">
        <v>148181.11810373902</v>
      </c>
      <c r="AM64" s="170">
        <v>6465.5399762254801</v>
      </c>
      <c r="AN64" s="171">
        <v>1453739146.8273163</v>
      </c>
      <c r="AO64" s="170">
        <v>5426820.0502769798</v>
      </c>
      <c r="AP64" s="170">
        <v>128513275.45468299</v>
      </c>
      <c r="AQ64" s="170">
        <v>24981704.648853101</v>
      </c>
      <c r="AR64" s="171">
        <v>1612660946.9811294</v>
      </c>
      <c r="AS64" s="171">
        <v>22927589.971999999</v>
      </c>
    </row>
    <row r="65" spans="1:45" x14ac:dyDescent="0.2">
      <c r="A65" s="167"/>
      <c r="B65" s="168">
        <v>10</v>
      </c>
      <c r="C65" s="169">
        <v>589.99999999999898</v>
      </c>
      <c r="D65" s="169">
        <v>544811.05704835395</v>
      </c>
      <c r="E65" s="170">
        <v>853254722.66309607</v>
      </c>
      <c r="F65" s="170">
        <v>174254</v>
      </c>
      <c r="G65" s="170">
        <v>16217742.4019386</v>
      </c>
      <c r="H65" s="170">
        <v>2034766.5096415898</v>
      </c>
      <c r="I65" s="170">
        <v>10301694.983581198</v>
      </c>
      <c r="J65" s="170">
        <v>1231056.69331379</v>
      </c>
      <c r="K65" s="170">
        <v>182739504.99419188</v>
      </c>
      <c r="L65" s="170">
        <v>5567206.5502378801</v>
      </c>
      <c r="M65" s="170">
        <v>210476577.68127176</v>
      </c>
      <c r="N65" s="170">
        <v>11818155.50832</v>
      </c>
      <c r="O65" s="170">
        <v>135219030.51233494</v>
      </c>
      <c r="P65" s="170">
        <v>15428446.363846101</v>
      </c>
      <c r="Q65" s="170">
        <v>1034756.2249259099</v>
      </c>
      <c r="R65" s="170">
        <v>69279465.73793</v>
      </c>
      <c r="S65" s="170">
        <v>36987204.387919702</v>
      </c>
      <c r="T65" s="170">
        <v>763579.19750166102</v>
      </c>
      <c r="U65" s="170"/>
      <c r="V65" s="170"/>
      <c r="W65" s="170">
        <v>7995441.5474502798</v>
      </c>
      <c r="X65" s="170">
        <v>1470900.3217797298</v>
      </c>
      <c r="Y65" s="170">
        <v>5207217.7004856607</v>
      </c>
      <c r="Z65" s="170">
        <v>31278595.033009797</v>
      </c>
      <c r="AA65" s="170">
        <v>9756753.4883373398</v>
      </c>
      <c r="AB65" s="170">
        <v>436066.67862790904</v>
      </c>
      <c r="AC65" s="170">
        <v>64768.771984980107</v>
      </c>
      <c r="AD65" s="170">
        <v>4500.1258249999901</v>
      </c>
      <c r="AE65" s="170">
        <v>341660.97496809904</v>
      </c>
      <c r="AF65" s="170">
        <v>875458.18019783904</v>
      </c>
      <c r="AG65" s="170">
        <v>2477290.6557773501</v>
      </c>
      <c r="AH65" s="170">
        <v>458443.57892277598</v>
      </c>
      <c r="AI65" s="170">
        <v>174000.98289230998</v>
      </c>
      <c r="AJ65" s="170">
        <v>150141.066040448</v>
      </c>
      <c r="AK65" s="170">
        <v>373626.75413786399</v>
      </c>
      <c r="AL65" s="170">
        <v>154473.633280562</v>
      </c>
      <c r="AM65" s="170">
        <v>6524.90064735944</v>
      </c>
      <c r="AN65" s="171">
        <v>1614299429.861465</v>
      </c>
      <c r="AO65" s="170">
        <v>5247766.9831812195</v>
      </c>
      <c r="AP65" s="170">
        <v>129053893.578879</v>
      </c>
      <c r="AQ65" s="170">
        <v>25581117.964118998</v>
      </c>
      <c r="AR65" s="171">
        <v>1774182208.3876443</v>
      </c>
      <c r="AS65" s="171">
        <v>23186317.311999999</v>
      </c>
    </row>
    <row r="66" spans="1:45" x14ac:dyDescent="0.2">
      <c r="A66" s="167"/>
      <c r="B66" s="168">
        <v>11</v>
      </c>
      <c r="C66" s="169">
        <v>589.99999999999898</v>
      </c>
      <c r="D66" s="169">
        <v>769934.71405412001</v>
      </c>
      <c r="E66" s="170">
        <v>1058785084.98816</v>
      </c>
      <c r="F66" s="170">
        <v>195072.33333333299</v>
      </c>
      <c r="G66" s="170">
        <v>18450829.881767601</v>
      </c>
      <c r="H66" s="170">
        <v>2162406.9998172801</v>
      </c>
      <c r="I66" s="170">
        <v>11567776.289759399</v>
      </c>
      <c r="J66" s="170">
        <v>1303220.1158064099</v>
      </c>
      <c r="K66" s="170">
        <v>193477822.26258123</v>
      </c>
      <c r="L66" s="170">
        <v>5742753.5936050899</v>
      </c>
      <c r="M66" s="170">
        <v>215050087.42013109</v>
      </c>
      <c r="N66" s="170">
        <v>11349822.0756303</v>
      </c>
      <c r="O66" s="170">
        <v>133989622.62789807</v>
      </c>
      <c r="P66" s="170">
        <v>14198724.822280899</v>
      </c>
      <c r="Q66" s="170">
        <v>309433.03395670897</v>
      </c>
      <c r="R66" s="170">
        <v>69596936.890060306</v>
      </c>
      <c r="S66" s="170">
        <v>35042652.3403861</v>
      </c>
      <c r="T66" s="170">
        <v>257157.39285506497</v>
      </c>
      <c r="U66" s="170"/>
      <c r="V66" s="170"/>
      <c r="W66" s="170">
        <v>10131480.9483262</v>
      </c>
      <c r="X66" s="170">
        <v>1490905.1950875199</v>
      </c>
      <c r="Y66" s="170">
        <v>3984379.5249655</v>
      </c>
      <c r="Z66" s="170">
        <v>30184496.215444297</v>
      </c>
      <c r="AA66" s="170">
        <v>8638319.5626534503</v>
      </c>
      <c r="AB66" s="170">
        <v>550791.86776438402</v>
      </c>
      <c r="AC66" s="170">
        <v>79914.769484980105</v>
      </c>
      <c r="AD66" s="170">
        <v>4500.1258249999901</v>
      </c>
      <c r="AE66" s="170">
        <v>347700.74533141003</v>
      </c>
      <c r="AF66" s="170">
        <v>883835.12055381795</v>
      </c>
      <c r="AG66" s="170">
        <v>2500994.9474697099</v>
      </c>
      <c r="AH66" s="170">
        <v>462830.258497064</v>
      </c>
      <c r="AI66" s="170">
        <v>170787.247611336</v>
      </c>
      <c r="AJ66" s="170">
        <v>142850.106524459</v>
      </c>
      <c r="AK66" s="170">
        <v>216858.28504025802</v>
      </c>
      <c r="AL66" s="170">
        <v>154100.77885719802</v>
      </c>
      <c r="AM66" s="170">
        <v>6654.9898435407003</v>
      </c>
      <c r="AN66" s="171">
        <v>1832201328.4713633</v>
      </c>
      <c r="AO66" s="170">
        <v>5457068.9036927493</v>
      </c>
      <c r="AP66" s="170">
        <v>129625689.58465901</v>
      </c>
      <c r="AQ66" s="170">
        <v>24735435.554132499</v>
      </c>
      <c r="AR66" s="171">
        <v>1992019522.5138476</v>
      </c>
      <c r="AS66" s="171">
        <v>23314898.214000002</v>
      </c>
    </row>
    <row r="67" spans="1:45" x14ac:dyDescent="0.2">
      <c r="A67" s="173"/>
      <c r="B67" s="174">
        <v>12</v>
      </c>
      <c r="C67" s="175">
        <v>589.99999999999898</v>
      </c>
      <c r="D67" s="175">
        <v>969336.77513497905</v>
      </c>
      <c r="E67" s="176">
        <v>1250063654.0239601</v>
      </c>
      <c r="F67" s="176">
        <v>241943.16666666701</v>
      </c>
      <c r="G67" s="176">
        <v>24984833.9106264</v>
      </c>
      <c r="H67" s="176">
        <v>2685594.5055338996</v>
      </c>
      <c r="I67" s="176">
        <v>14065060.760087999</v>
      </c>
      <c r="J67" s="176">
        <v>1642688.2163239599</v>
      </c>
      <c r="K67" s="176">
        <v>229392272.02840462</v>
      </c>
      <c r="L67" s="176">
        <v>6503867.8383884495</v>
      </c>
      <c r="M67" s="176">
        <v>245611435.08676401</v>
      </c>
      <c r="N67" s="176">
        <v>11874218.874648701</v>
      </c>
      <c r="O67" s="176">
        <v>149158762.32048863</v>
      </c>
      <c r="P67" s="176">
        <v>14039002.0217933</v>
      </c>
      <c r="Q67" s="176">
        <v>262083.386892593</v>
      </c>
      <c r="R67" s="176">
        <v>77616212.642788902</v>
      </c>
      <c r="S67" s="176">
        <v>35404494.742980197</v>
      </c>
      <c r="T67" s="176">
        <v>6695.5137631829602</v>
      </c>
      <c r="U67" s="176"/>
      <c r="V67" s="176"/>
      <c r="W67" s="176">
        <v>14156382.066714</v>
      </c>
      <c r="X67" s="176">
        <v>1772127.7132213099</v>
      </c>
      <c r="Y67" s="176">
        <v>3957702.40853266</v>
      </c>
      <c r="Z67" s="176">
        <v>33101261.789831296</v>
      </c>
      <c r="AA67" s="176">
        <v>8809044.404580351</v>
      </c>
      <c r="AB67" s="176">
        <v>680899.34570190904</v>
      </c>
      <c r="AC67" s="176">
        <v>103932.49448498401</v>
      </c>
      <c r="AD67" s="176">
        <v>4500.1258249999901</v>
      </c>
      <c r="AE67" s="176">
        <v>353539.32481836696</v>
      </c>
      <c r="AF67" s="176">
        <v>891572.24565459299</v>
      </c>
      <c r="AG67" s="176">
        <v>2522888.7490792801</v>
      </c>
      <c r="AH67" s="176">
        <v>466881.89157560904</v>
      </c>
      <c r="AI67" s="176">
        <v>183003.65918913801</v>
      </c>
      <c r="AJ67" s="176">
        <v>157630.450070747</v>
      </c>
      <c r="AK67" s="176">
        <v>205345.62267858002</v>
      </c>
      <c r="AL67" s="176">
        <v>162203.80498967902</v>
      </c>
      <c r="AM67" s="176">
        <v>6895.13274915907</v>
      </c>
      <c r="AN67" s="177">
        <v>2132058557.0449436</v>
      </c>
      <c r="AO67" s="176">
        <v>5118240.4364296095</v>
      </c>
      <c r="AP67" s="176">
        <v>127121090.25071</v>
      </c>
      <c r="AQ67" s="176">
        <v>24092102.976828501</v>
      </c>
      <c r="AR67" s="177">
        <v>2288389990.7089114</v>
      </c>
      <c r="AS67" s="177">
        <v>24733324.942000002</v>
      </c>
    </row>
    <row r="68" spans="1:45" x14ac:dyDescent="0.2">
      <c r="A68" s="163">
        <f>A56+1</f>
        <v>2026</v>
      </c>
      <c r="B68" s="168">
        <v>1</v>
      </c>
      <c r="C68" s="169">
        <v>589.99999999999898</v>
      </c>
      <c r="D68" s="169">
        <v>1023970.56013727</v>
      </c>
      <c r="E68" s="170">
        <v>1282342172.06268</v>
      </c>
      <c r="F68" s="170">
        <v>264163.33333333302</v>
      </c>
      <c r="G68" s="170">
        <v>26443642.854575299</v>
      </c>
      <c r="H68" s="170">
        <v>2897756.50610309</v>
      </c>
      <c r="I68" s="170">
        <v>14321457.241658399</v>
      </c>
      <c r="J68" s="170">
        <v>1701026.70292629</v>
      </c>
      <c r="K68" s="170">
        <v>235249598.17726502</v>
      </c>
      <c r="L68" s="170">
        <v>7023826.7336415797</v>
      </c>
      <c r="M68" s="170">
        <v>240391281.93866742</v>
      </c>
      <c r="N68" s="170">
        <v>12144934.1443811</v>
      </c>
      <c r="O68" s="170">
        <v>144648682.07852176</v>
      </c>
      <c r="P68" s="170">
        <v>13972151.4228692</v>
      </c>
      <c r="Q68" s="170">
        <v>288449.78235490998</v>
      </c>
      <c r="R68" s="170">
        <v>75158902.310184807</v>
      </c>
      <c r="S68" s="170">
        <v>35444499.126845598</v>
      </c>
      <c r="T68" s="170">
        <v>5356.2662213670801</v>
      </c>
      <c r="U68" s="170"/>
      <c r="V68" s="170"/>
      <c r="W68" s="170">
        <v>14946203.7674009</v>
      </c>
      <c r="X68" s="170">
        <v>1717008.3408635</v>
      </c>
      <c r="Y68" s="170">
        <v>3838791.29589839</v>
      </c>
      <c r="Z68" s="170">
        <v>32707245.223388601</v>
      </c>
      <c r="AA68" s="170">
        <v>9211080.4846060798</v>
      </c>
      <c r="AB68" s="170">
        <v>701478.03476579499</v>
      </c>
      <c r="AC68" s="170">
        <v>107589.622795269</v>
      </c>
      <c r="AD68" s="170">
        <v>4500.1258249999901</v>
      </c>
      <c r="AE68" s="170">
        <v>345819.59470743098</v>
      </c>
      <c r="AF68" s="170">
        <v>865264.18891873595</v>
      </c>
      <c r="AG68" s="170">
        <v>2448444.6412994298</v>
      </c>
      <c r="AH68" s="170">
        <v>453105.38007877895</v>
      </c>
      <c r="AI68" s="170">
        <v>177231.70318068401</v>
      </c>
      <c r="AJ68" s="170">
        <v>146671.764421876</v>
      </c>
      <c r="AK68" s="170">
        <v>303589.99720646499</v>
      </c>
      <c r="AL68" s="170">
        <v>155196.15622954001</v>
      </c>
      <c r="AM68" s="170">
        <v>6816.0833397566303</v>
      </c>
      <c r="AN68" s="171">
        <v>2161458497.6472921</v>
      </c>
      <c r="AO68" s="170">
        <v>6476758.4847242795</v>
      </c>
      <c r="AP68" s="170">
        <v>133810580.79139501</v>
      </c>
      <c r="AQ68" s="170">
        <v>25798514.032285299</v>
      </c>
      <c r="AR68" s="171">
        <v>2327544350.9556966</v>
      </c>
      <c r="AS68" s="171">
        <v>28068060.932999998</v>
      </c>
    </row>
    <row r="69" spans="1:45" x14ac:dyDescent="0.2">
      <c r="A69" s="167"/>
      <c r="B69" s="168">
        <v>2</v>
      </c>
      <c r="C69" s="169">
        <v>589.99999999999898</v>
      </c>
      <c r="D69" s="169">
        <v>818026.10410795209</v>
      </c>
      <c r="E69" s="170">
        <v>1045903762.35411</v>
      </c>
      <c r="F69" s="170">
        <v>238004.04666666698</v>
      </c>
      <c r="G69" s="170">
        <v>23190151.606646199</v>
      </c>
      <c r="H69" s="170">
        <v>2529213.70691462</v>
      </c>
      <c r="I69" s="170">
        <v>12226404.9192708</v>
      </c>
      <c r="J69" s="170">
        <v>1505846.9180035898</v>
      </c>
      <c r="K69" s="170">
        <v>207313565.91407061</v>
      </c>
      <c r="L69" s="170">
        <v>6308958.84374147</v>
      </c>
      <c r="M69" s="170">
        <v>218956239.14947939</v>
      </c>
      <c r="N69" s="170">
        <v>11537246.877991701</v>
      </c>
      <c r="O69" s="170">
        <v>130808263.2895921</v>
      </c>
      <c r="P69" s="170">
        <v>13667171.873464599</v>
      </c>
      <c r="Q69" s="170">
        <v>237316.10189396</v>
      </c>
      <c r="R69" s="170">
        <v>68595119.961236</v>
      </c>
      <c r="S69" s="170">
        <v>33501749.536709998</v>
      </c>
      <c r="T69" s="170">
        <v>6020.1088152237498</v>
      </c>
      <c r="U69" s="170"/>
      <c r="V69" s="170"/>
      <c r="W69" s="170">
        <v>13735148.4702057</v>
      </c>
      <c r="X69" s="170">
        <v>1481424.2381925802</v>
      </c>
      <c r="Y69" s="170">
        <v>4064789.1389293699</v>
      </c>
      <c r="Z69" s="170">
        <v>27177068.638487998</v>
      </c>
      <c r="AA69" s="170">
        <v>7555469.3074979205</v>
      </c>
      <c r="AB69" s="170">
        <v>598930.46753376501</v>
      </c>
      <c r="AC69" s="170">
        <v>106467.67125306699</v>
      </c>
      <c r="AD69" s="170">
        <v>4500.1258249999901</v>
      </c>
      <c r="AE69" s="170">
        <v>339843.06472834403</v>
      </c>
      <c r="AF69" s="170">
        <v>843693.26141615002</v>
      </c>
      <c r="AG69" s="170">
        <v>2387405.2240578998</v>
      </c>
      <c r="AH69" s="170">
        <v>441809.51988962101</v>
      </c>
      <c r="AI69" s="170">
        <v>163459.88753851</v>
      </c>
      <c r="AJ69" s="170">
        <v>141155.49957338002</v>
      </c>
      <c r="AK69" s="170">
        <v>192194.12998042401</v>
      </c>
      <c r="AL69" s="170">
        <v>142281.277213906</v>
      </c>
      <c r="AM69" s="170">
        <v>6084.2918122079</v>
      </c>
      <c r="AN69" s="171">
        <v>1836725375.5268502</v>
      </c>
      <c r="AO69" s="170">
        <v>5882326.3987231907</v>
      </c>
      <c r="AP69" s="170">
        <v>118688503.35338199</v>
      </c>
      <c r="AQ69" s="170">
        <v>23007808.8513803</v>
      </c>
      <c r="AR69" s="171">
        <v>1984304014.1303358</v>
      </c>
      <c r="AS69" s="171">
        <v>26042263.364</v>
      </c>
    </row>
    <row r="70" spans="1:45" x14ac:dyDescent="0.2">
      <c r="A70" s="167"/>
      <c r="B70" s="168">
        <v>3</v>
      </c>
      <c r="C70" s="169">
        <v>589.99999999999898</v>
      </c>
      <c r="D70" s="169">
        <v>827473.16719079099</v>
      </c>
      <c r="E70" s="170">
        <v>1090857356.3584201</v>
      </c>
      <c r="F70" s="170">
        <v>210451.786666667</v>
      </c>
      <c r="G70" s="170">
        <v>22780646.0348318</v>
      </c>
      <c r="H70" s="170">
        <v>2661604.9488635701</v>
      </c>
      <c r="I70" s="170">
        <v>12591233.5782625</v>
      </c>
      <c r="J70" s="170">
        <v>1509479.5860522699</v>
      </c>
      <c r="K70" s="170">
        <v>214344345.6414786</v>
      </c>
      <c r="L70" s="170">
        <v>6572310.1605765494</v>
      </c>
      <c r="M70" s="170">
        <v>227814103.73147887</v>
      </c>
      <c r="N70" s="170">
        <v>12079113.368026799</v>
      </c>
      <c r="O70" s="170">
        <v>135615840.8471413</v>
      </c>
      <c r="P70" s="170">
        <v>14411502.1280849</v>
      </c>
      <c r="Q70" s="170">
        <v>269337.26288326201</v>
      </c>
      <c r="R70" s="170">
        <v>71869958.136176094</v>
      </c>
      <c r="S70" s="170">
        <v>34989201.182783701</v>
      </c>
      <c r="T70" s="170">
        <v>6300.7698408258302</v>
      </c>
      <c r="U70" s="170"/>
      <c r="V70" s="170"/>
      <c r="W70" s="170">
        <v>13771767.4634289</v>
      </c>
      <c r="X70" s="170">
        <v>1567033.48970477</v>
      </c>
      <c r="Y70" s="170">
        <v>4882189.27770383</v>
      </c>
      <c r="Z70" s="170">
        <v>31206172.6989788</v>
      </c>
      <c r="AA70" s="170">
        <v>8688866.3489583004</v>
      </c>
      <c r="AB70" s="170">
        <v>493571.99222354003</v>
      </c>
      <c r="AC70" s="170">
        <v>100141.31729267401</v>
      </c>
      <c r="AD70" s="170">
        <v>4500.1258249999901</v>
      </c>
      <c r="AE70" s="170">
        <v>335123.83249314799</v>
      </c>
      <c r="AF70" s="170">
        <v>825552.73750431801</v>
      </c>
      <c r="AG70" s="170">
        <v>2336072.8458881797</v>
      </c>
      <c r="AH70" s="170">
        <v>432310.02934422996</v>
      </c>
      <c r="AI70" s="170">
        <v>170833.23057427999</v>
      </c>
      <c r="AJ70" s="170">
        <v>143069.26061693599</v>
      </c>
      <c r="AK70" s="170">
        <v>202736.04943265099</v>
      </c>
      <c r="AL70" s="170">
        <v>150802.08343224099</v>
      </c>
      <c r="AM70" s="170">
        <v>6661.4222938032199</v>
      </c>
      <c r="AN70" s="171">
        <v>1914728252.894454</v>
      </c>
      <c r="AO70" s="170">
        <v>5877042.30557789</v>
      </c>
      <c r="AP70" s="170">
        <v>121584435.830962</v>
      </c>
      <c r="AQ70" s="170">
        <v>22894604.438954499</v>
      </c>
      <c r="AR70" s="171">
        <v>2065084335.4699485</v>
      </c>
      <c r="AS70" s="171">
        <v>25984209.386999998</v>
      </c>
    </row>
    <row r="71" spans="1:45" x14ac:dyDescent="0.2">
      <c r="A71" s="167"/>
      <c r="B71" s="168">
        <v>4</v>
      </c>
      <c r="C71" s="169">
        <v>589.99999999999898</v>
      </c>
      <c r="D71" s="169">
        <v>695587.14657738095</v>
      </c>
      <c r="E71" s="170">
        <v>857333490.57476091</v>
      </c>
      <c r="F71" s="170">
        <v>179649</v>
      </c>
      <c r="G71" s="170">
        <v>19828112.172674999</v>
      </c>
      <c r="H71" s="170">
        <v>2407162.8871965702</v>
      </c>
      <c r="I71" s="170">
        <v>11255300.3629904</v>
      </c>
      <c r="J71" s="170">
        <v>1338871.36157279</v>
      </c>
      <c r="K71" s="170">
        <v>194119508.50589901</v>
      </c>
      <c r="L71" s="170">
        <v>5664954.4406934502</v>
      </c>
      <c r="M71" s="170">
        <v>212905575.68710729</v>
      </c>
      <c r="N71" s="170">
        <v>11041655.935930599</v>
      </c>
      <c r="O71" s="170">
        <v>130664834.89842184</v>
      </c>
      <c r="P71" s="170">
        <v>13937829.5944573</v>
      </c>
      <c r="Q71" s="170">
        <v>291909.08790531202</v>
      </c>
      <c r="R71" s="170">
        <v>69916381.689232498</v>
      </c>
      <c r="S71" s="170">
        <v>33187066.8978737</v>
      </c>
      <c r="T71" s="170">
        <v>4902.2283250419896</v>
      </c>
      <c r="U71" s="170"/>
      <c r="V71" s="170"/>
      <c r="W71" s="170">
        <v>10779846.670485901</v>
      </c>
      <c r="X71" s="170">
        <v>1660100.9111385199</v>
      </c>
      <c r="Y71" s="170">
        <v>3465082.5018140599</v>
      </c>
      <c r="Z71" s="170">
        <v>31322064.001952898</v>
      </c>
      <c r="AA71" s="170">
        <v>8223778.6235851906</v>
      </c>
      <c r="AB71" s="170">
        <v>376950.07372412103</v>
      </c>
      <c r="AC71" s="170">
        <v>84089.042025986506</v>
      </c>
      <c r="AD71" s="170">
        <v>4500.1258249999901</v>
      </c>
      <c r="AE71" s="170">
        <v>359573.13559204998</v>
      </c>
      <c r="AF71" s="170">
        <v>878994.14444563002</v>
      </c>
      <c r="AG71" s="170">
        <v>2487296.4006414101</v>
      </c>
      <c r="AH71" s="170">
        <v>460295.22659866302</v>
      </c>
      <c r="AI71" s="170">
        <v>177771.67654883102</v>
      </c>
      <c r="AJ71" s="170">
        <v>153642.88059911801</v>
      </c>
      <c r="AK71" s="170">
        <v>190481.122899482</v>
      </c>
      <c r="AL71" s="170">
        <v>154623.13968678602</v>
      </c>
      <c r="AM71" s="170">
        <v>6678.6326830036905</v>
      </c>
      <c r="AN71" s="171">
        <v>1625559150.7818658</v>
      </c>
      <c r="AO71" s="170">
        <v>5572942.9463211996</v>
      </c>
      <c r="AP71" s="170">
        <v>115712486.893878</v>
      </c>
      <c r="AQ71" s="170">
        <v>19853185.528437503</v>
      </c>
      <c r="AR71" s="171">
        <v>1766697766.1505027</v>
      </c>
      <c r="AS71" s="171">
        <v>22498471.697000001</v>
      </c>
    </row>
    <row r="72" spans="1:45" x14ac:dyDescent="0.2">
      <c r="A72" s="167"/>
      <c r="B72" s="168">
        <v>5</v>
      </c>
      <c r="C72" s="169">
        <v>589.99999999999898</v>
      </c>
      <c r="D72" s="169">
        <v>490172.28595801099</v>
      </c>
      <c r="E72" s="170">
        <v>793128904.48785698</v>
      </c>
      <c r="F72" s="170">
        <v>168692.5</v>
      </c>
      <c r="G72" s="170">
        <v>17353553.4022149</v>
      </c>
      <c r="H72" s="170">
        <v>2247862.9579792903</v>
      </c>
      <c r="I72" s="170">
        <v>10566732.743104199</v>
      </c>
      <c r="J72" s="170">
        <v>1284561.9982293099</v>
      </c>
      <c r="K72" s="170">
        <v>189512242.51562408</v>
      </c>
      <c r="L72" s="170">
        <v>5650089.8892260799</v>
      </c>
      <c r="M72" s="170">
        <v>214806060.78592208</v>
      </c>
      <c r="N72" s="170">
        <v>11411700.8287213</v>
      </c>
      <c r="O72" s="170">
        <v>136620853.55276421</v>
      </c>
      <c r="P72" s="170">
        <v>14989994.171370499</v>
      </c>
      <c r="Q72" s="170">
        <v>821586.28928309097</v>
      </c>
      <c r="R72" s="170">
        <v>71961674.364205599</v>
      </c>
      <c r="S72" s="170">
        <v>35689487.657325402</v>
      </c>
      <c r="T72" s="170">
        <v>368073.279533686</v>
      </c>
      <c r="U72" s="170"/>
      <c r="V72" s="170"/>
      <c r="W72" s="170">
        <v>9069738.68241404</v>
      </c>
      <c r="X72" s="170">
        <v>1806917.61311196</v>
      </c>
      <c r="Y72" s="170">
        <v>3846903.3871486699</v>
      </c>
      <c r="Z72" s="170">
        <v>32891828.187404599</v>
      </c>
      <c r="AA72" s="170">
        <v>9117186.8054887895</v>
      </c>
      <c r="AB72" s="170">
        <v>280393.24220388103</v>
      </c>
      <c r="AC72" s="170">
        <v>62535.289484968504</v>
      </c>
      <c r="AD72" s="170">
        <v>4500.1258249999901</v>
      </c>
      <c r="AE72" s="170">
        <v>364067.12992204801</v>
      </c>
      <c r="AF72" s="170">
        <v>883211.98560329399</v>
      </c>
      <c r="AG72" s="170">
        <v>2499231.6577716502</v>
      </c>
      <c r="AH72" s="170">
        <v>462503.946831548</v>
      </c>
      <c r="AI72" s="170">
        <v>181127.641821514</v>
      </c>
      <c r="AJ72" s="170">
        <v>151866.88908621098</v>
      </c>
      <c r="AK72" s="170">
        <v>367594.31802981102</v>
      </c>
      <c r="AL72" s="170">
        <v>159691.82041107299</v>
      </c>
      <c r="AM72" s="170">
        <v>7026.7726527750301</v>
      </c>
      <c r="AN72" s="171">
        <v>1569229159.2045307</v>
      </c>
      <c r="AO72" s="170">
        <v>6010272.2161349999</v>
      </c>
      <c r="AP72" s="170">
        <v>116883808.093787</v>
      </c>
      <c r="AQ72" s="170">
        <v>21124002.9406625</v>
      </c>
      <c r="AR72" s="171">
        <v>1713247242.4551151</v>
      </c>
      <c r="AS72" s="171">
        <v>22378737.010000002</v>
      </c>
    </row>
    <row r="73" spans="1:45" x14ac:dyDescent="0.2">
      <c r="A73" s="167"/>
      <c r="B73" s="168">
        <v>6</v>
      </c>
      <c r="C73" s="169">
        <v>589.99999999999898</v>
      </c>
      <c r="D73" s="169">
        <v>392048.37751869299</v>
      </c>
      <c r="E73" s="170">
        <v>704826229.13895106</v>
      </c>
      <c r="F73" s="170">
        <v>184959.33333333299</v>
      </c>
      <c r="G73" s="170">
        <v>15639941.1734694</v>
      </c>
      <c r="H73" s="170">
        <v>2004492.19075152</v>
      </c>
      <c r="I73" s="170">
        <v>9554482.2238426693</v>
      </c>
      <c r="J73" s="170">
        <v>1144406.58011103</v>
      </c>
      <c r="K73" s="170">
        <v>176856132.97398633</v>
      </c>
      <c r="L73" s="170">
        <v>5245620.8316010898</v>
      </c>
      <c r="M73" s="170">
        <v>203970021.01320505</v>
      </c>
      <c r="N73" s="170">
        <v>10924024.071594199</v>
      </c>
      <c r="O73" s="170">
        <v>132638977.85337526</v>
      </c>
      <c r="P73" s="170">
        <v>14702774.2728405</v>
      </c>
      <c r="Q73" s="170">
        <v>1566001.11423962</v>
      </c>
      <c r="R73" s="170">
        <v>68381064.620138392</v>
      </c>
      <c r="S73" s="170">
        <v>34740395.032524697</v>
      </c>
      <c r="T73" s="170">
        <v>700528.38305786205</v>
      </c>
      <c r="U73" s="170"/>
      <c r="V73" s="170"/>
      <c r="W73" s="170">
        <v>7288910.1574973399</v>
      </c>
      <c r="X73" s="170">
        <v>1734685.69600018</v>
      </c>
      <c r="Y73" s="170">
        <v>5237413.13860982</v>
      </c>
      <c r="Z73" s="170">
        <v>29191030.345731497</v>
      </c>
      <c r="AA73" s="170">
        <v>8375032.7432904392</v>
      </c>
      <c r="AB73" s="170">
        <v>229339.552052577</v>
      </c>
      <c r="AC73" s="170">
        <v>59993.344484980102</v>
      </c>
      <c r="AD73" s="170">
        <v>4500.1258249999901</v>
      </c>
      <c r="AE73" s="170">
        <v>377661.695234399</v>
      </c>
      <c r="AF73" s="170">
        <v>909277.14984793204</v>
      </c>
      <c r="AG73" s="170">
        <v>2572988.4508259501</v>
      </c>
      <c r="AH73" s="170">
        <v>476153.26492783998</v>
      </c>
      <c r="AI73" s="170">
        <v>167330.89270530801</v>
      </c>
      <c r="AJ73" s="170">
        <v>144525.29679353299</v>
      </c>
      <c r="AK73" s="170">
        <v>231616.24172744801</v>
      </c>
      <c r="AL73" s="170">
        <v>144919.08398968499</v>
      </c>
      <c r="AM73" s="170">
        <v>6221.1055045126195</v>
      </c>
      <c r="AN73" s="171">
        <v>1440624287.4695888</v>
      </c>
      <c r="AO73" s="170">
        <v>5998177.4207666302</v>
      </c>
      <c r="AP73" s="170">
        <v>132452860.08703199</v>
      </c>
      <c r="AQ73" s="170">
        <v>24314465.965475801</v>
      </c>
      <c r="AR73" s="171">
        <v>1603389790.9428632</v>
      </c>
      <c r="AS73" s="171">
        <v>22163362.182</v>
      </c>
    </row>
    <row r="74" spans="1:45" x14ac:dyDescent="0.2">
      <c r="A74" s="167"/>
      <c r="B74" s="168">
        <v>7</v>
      </c>
      <c r="C74" s="169">
        <v>589.99999999999898</v>
      </c>
      <c r="D74" s="169">
        <v>329123.25039898796</v>
      </c>
      <c r="E74" s="170">
        <v>705456579.76288104</v>
      </c>
      <c r="F74" s="170">
        <v>210981.83333333299</v>
      </c>
      <c r="G74" s="170">
        <v>16530864.436785599</v>
      </c>
      <c r="H74" s="170">
        <v>2141068.0477048098</v>
      </c>
      <c r="I74" s="170">
        <v>10631972.9956495</v>
      </c>
      <c r="J74" s="170">
        <v>1558654.04748622</v>
      </c>
      <c r="K74" s="170">
        <v>199297071.59844744</v>
      </c>
      <c r="L74" s="170">
        <v>5648791.1380168498</v>
      </c>
      <c r="M74" s="170">
        <v>227259998.21948022</v>
      </c>
      <c r="N74" s="170">
        <v>11636058.9964005</v>
      </c>
      <c r="O74" s="170">
        <v>149001043.25897735</v>
      </c>
      <c r="P74" s="170">
        <v>15692463.717196601</v>
      </c>
      <c r="Q74" s="170">
        <v>2868996.34500184</v>
      </c>
      <c r="R74" s="170">
        <v>74700113.713573307</v>
      </c>
      <c r="S74" s="170">
        <v>36702335.1354715</v>
      </c>
      <c r="T74" s="170">
        <v>735838.45170338103</v>
      </c>
      <c r="U74" s="170"/>
      <c r="V74" s="170"/>
      <c r="W74" s="170">
        <v>6070354.8434040602</v>
      </c>
      <c r="X74" s="170">
        <v>2261077.84730973</v>
      </c>
      <c r="Y74" s="170">
        <v>5956498.8899865905</v>
      </c>
      <c r="Z74" s="170">
        <v>33812127.589011706</v>
      </c>
      <c r="AA74" s="170">
        <v>9319141.7471194994</v>
      </c>
      <c r="AB74" s="170">
        <v>188838.52352848201</v>
      </c>
      <c r="AC74" s="170">
        <v>61898.136984980098</v>
      </c>
      <c r="AD74" s="170">
        <v>4500.1258249999901</v>
      </c>
      <c r="AE74" s="170">
        <v>378515.72803360701</v>
      </c>
      <c r="AF74" s="170">
        <v>904506.85508622206</v>
      </c>
      <c r="AG74" s="170">
        <v>2559489.9115401302</v>
      </c>
      <c r="AH74" s="170">
        <v>473655.246116044</v>
      </c>
      <c r="AI74" s="170">
        <v>179462.28097553298</v>
      </c>
      <c r="AJ74" s="170">
        <v>150529.84257855199</v>
      </c>
      <c r="AK74" s="170">
        <v>194502.87375332299</v>
      </c>
      <c r="AL74" s="170">
        <v>158089.606745016</v>
      </c>
      <c r="AM74" s="170">
        <v>7015.7384332370893</v>
      </c>
      <c r="AN74" s="171">
        <v>1523082750.7349405</v>
      </c>
      <c r="AO74" s="170">
        <v>5941419.5470545599</v>
      </c>
      <c r="AP74" s="170">
        <v>136721274.87809798</v>
      </c>
      <c r="AQ74" s="170">
        <v>24387308.496259298</v>
      </c>
      <c r="AR74" s="171">
        <v>1690132753.6563523</v>
      </c>
      <c r="AS74" s="171">
        <v>24538852.638999999</v>
      </c>
    </row>
    <row r="75" spans="1:45" x14ac:dyDescent="0.2">
      <c r="A75" s="167"/>
      <c r="B75" s="168">
        <v>8</v>
      </c>
      <c r="C75" s="169">
        <v>589.99999999999898</v>
      </c>
      <c r="D75" s="169">
        <v>310665.37493697304</v>
      </c>
      <c r="E75" s="170">
        <v>731553276.66846502</v>
      </c>
      <c r="F75" s="170">
        <v>230198</v>
      </c>
      <c r="G75" s="170">
        <v>16908977.1788176</v>
      </c>
      <c r="H75" s="170">
        <v>2173198.6156766503</v>
      </c>
      <c r="I75" s="170">
        <v>10964246.0122298</v>
      </c>
      <c r="J75" s="170">
        <v>1946748.3755925</v>
      </c>
      <c r="K75" s="170">
        <v>204213327.04902571</v>
      </c>
      <c r="L75" s="170">
        <v>5768932.1381693995</v>
      </c>
      <c r="M75" s="170">
        <v>232075228.18448773</v>
      </c>
      <c r="N75" s="170">
        <v>11979594.5133166</v>
      </c>
      <c r="O75" s="170">
        <v>152935130.71877572</v>
      </c>
      <c r="P75" s="170">
        <v>15847729.736926399</v>
      </c>
      <c r="Q75" s="170">
        <v>3914048.78408045</v>
      </c>
      <c r="R75" s="170">
        <v>75538139.316691488</v>
      </c>
      <c r="S75" s="170">
        <v>37760042.651229903</v>
      </c>
      <c r="T75" s="170">
        <v>1007526.22204941</v>
      </c>
      <c r="U75" s="170"/>
      <c r="V75" s="170"/>
      <c r="W75" s="170">
        <v>5134807.9588080402</v>
      </c>
      <c r="X75" s="170">
        <v>2248850.8576568901</v>
      </c>
      <c r="Y75" s="170">
        <v>5286658.4927827194</v>
      </c>
      <c r="Z75" s="170">
        <v>33002907.167961698</v>
      </c>
      <c r="AA75" s="170">
        <v>9500437.0556933302</v>
      </c>
      <c r="AB75" s="170">
        <v>221139.00360168199</v>
      </c>
      <c r="AC75" s="170">
        <v>62258.761984980098</v>
      </c>
      <c r="AD75" s="170">
        <v>4500.1258249999901</v>
      </c>
      <c r="AE75" s="170">
        <v>379979.35225359601</v>
      </c>
      <c r="AF75" s="170">
        <v>901253.35281473806</v>
      </c>
      <c r="AG75" s="170">
        <v>2550283.4514738503</v>
      </c>
      <c r="AH75" s="170">
        <v>471951.51284915605</v>
      </c>
      <c r="AI75" s="170">
        <v>179398.23747220798</v>
      </c>
      <c r="AJ75" s="170">
        <v>154591.768144142</v>
      </c>
      <c r="AK75" s="170">
        <v>194602.28294796598</v>
      </c>
      <c r="AL75" s="170">
        <v>155058.41325136699</v>
      </c>
      <c r="AM75" s="170">
        <v>6727.9744044700401</v>
      </c>
      <c r="AN75" s="171">
        <v>1565583005.3103976</v>
      </c>
      <c r="AO75" s="170">
        <v>5908957.9783872291</v>
      </c>
      <c r="AP75" s="170">
        <v>135119550.74230897</v>
      </c>
      <c r="AQ75" s="170">
        <v>25412939.500342302</v>
      </c>
      <c r="AR75" s="171">
        <v>1732024453.531436</v>
      </c>
      <c r="AS75" s="171">
        <v>23590509.795000002</v>
      </c>
    </row>
    <row r="76" spans="1:45" x14ac:dyDescent="0.2">
      <c r="A76" s="167"/>
      <c r="B76" s="168">
        <v>9</v>
      </c>
      <c r="C76" s="169">
        <v>589.99999999999898</v>
      </c>
      <c r="D76" s="169">
        <v>347621.03886893799</v>
      </c>
      <c r="E76" s="170">
        <v>689767150.20229602</v>
      </c>
      <c r="F76" s="170">
        <v>198981.5</v>
      </c>
      <c r="G76" s="170">
        <v>15480386.353033701</v>
      </c>
      <c r="H76" s="170">
        <v>2033020.0663774202</v>
      </c>
      <c r="I76" s="170">
        <v>10043392.9341917</v>
      </c>
      <c r="J76" s="170">
        <v>1399869.02274441</v>
      </c>
      <c r="K76" s="170">
        <v>186649378.00565931</v>
      </c>
      <c r="L76" s="170">
        <v>5621234.3863951005</v>
      </c>
      <c r="M76" s="170">
        <v>213067921.04060504</v>
      </c>
      <c r="N76" s="170">
        <v>11653705.8066341</v>
      </c>
      <c r="O76" s="170">
        <v>139842553.74475548</v>
      </c>
      <c r="P76" s="170">
        <v>15200563.038439998</v>
      </c>
      <c r="Q76" s="170">
        <v>2833010.35229513</v>
      </c>
      <c r="R76" s="170">
        <v>70283234.231964603</v>
      </c>
      <c r="S76" s="170">
        <v>36660849.874603301</v>
      </c>
      <c r="T76" s="170">
        <v>810645.10016378493</v>
      </c>
      <c r="U76" s="170"/>
      <c r="V76" s="170"/>
      <c r="W76" s="170">
        <v>5985913.8066148199</v>
      </c>
      <c r="X76" s="170">
        <v>1738838.3226226799</v>
      </c>
      <c r="Y76" s="170">
        <v>5087293.5699314103</v>
      </c>
      <c r="Z76" s="170">
        <v>28818789.565710101</v>
      </c>
      <c r="AA76" s="170">
        <v>9040730.8482247703</v>
      </c>
      <c r="AB76" s="170">
        <v>335350.483231925</v>
      </c>
      <c r="AC76" s="170">
        <v>64124.886984980098</v>
      </c>
      <c r="AD76" s="170">
        <v>4500.1258249999901</v>
      </c>
      <c r="AE76" s="170">
        <v>403992.99738597102</v>
      </c>
      <c r="AF76" s="170">
        <v>951138.37292303506</v>
      </c>
      <c r="AG76" s="170">
        <v>2691443.4714186299</v>
      </c>
      <c r="AH76" s="170">
        <v>498074.367909936</v>
      </c>
      <c r="AI76" s="170">
        <v>162929.51865174199</v>
      </c>
      <c r="AJ76" s="170">
        <v>136371.29529406599</v>
      </c>
      <c r="AK76" s="170">
        <v>239823.795606806</v>
      </c>
      <c r="AL76" s="170">
        <v>143554.66031285201</v>
      </c>
      <c r="AM76" s="170">
        <v>6423.7399922321101</v>
      </c>
      <c r="AN76" s="171">
        <v>1458203400.5276694</v>
      </c>
      <c r="AO76" s="170">
        <v>5413491.4204035103</v>
      </c>
      <c r="AP76" s="170">
        <v>128197638.32898299</v>
      </c>
      <c r="AQ76" s="170">
        <v>24920347.925802</v>
      </c>
      <c r="AR76" s="171">
        <v>1616734878.202858</v>
      </c>
      <c r="AS76" s="171">
        <v>22927589.971999999</v>
      </c>
    </row>
    <row r="77" spans="1:45" x14ac:dyDescent="0.2">
      <c r="A77" s="167"/>
      <c r="B77" s="168">
        <v>10</v>
      </c>
      <c r="C77" s="169">
        <v>589.99999999999898</v>
      </c>
      <c r="D77" s="169">
        <v>545432.85083252995</v>
      </c>
      <c r="E77" s="170">
        <v>860516314.61841106</v>
      </c>
      <c r="F77" s="170">
        <v>174254</v>
      </c>
      <c r="G77" s="170">
        <v>15857873.911040099</v>
      </c>
      <c r="H77" s="170">
        <v>2019058.8392688702</v>
      </c>
      <c r="I77" s="170">
        <v>10222169.5794055</v>
      </c>
      <c r="J77" s="170">
        <v>1221553.3755340499</v>
      </c>
      <c r="K77" s="170">
        <v>182285825.1264956</v>
      </c>
      <c r="L77" s="170">
        <v>5491796.5207271501</v>
      </c>
      <c r="M77" s="170">
        <v>209693529.01401508</v>
      </c>
      <c r="N77" s="170">
        <v>11658073.886127099</v>
      </c>
      <c r="O77" s="170">
        <v>135980109.11969283</v>
      </c>
      <c r="P77" s="170">
        <v>15219461.914445201</v>
      </c>
      <c r="Q77" s="170">
        <v>1026768.2766182099</v>
      </c>
      <c r="R77" s="170">
        <v>68744653.018016994</v>
      </c>
      <c r="S77" s="170">
        <v>36486197.976671502</v>
      </c>
      <c r="T77" s="170">
        <v>757684.63894617802</v>
      </c>
      <c r="U77" s="170"/>
      <c r="V77" s="170"/>
      <c r="W77" s="170">
        <v>7933719.5957095902</v>
      </c>
      <c r="X77" s="170">
        <v>1459545.4968913901</v>
      </c>
      <c r="Y77" s="170">
        <v>5136683.86328761</v>
      </c>
      <c r="Z77" s="170">
        <v>30404870.628818098</v>
      </c>
      <c r="AA77" s="170">
        <v>9624594.3773280792</v>
      </c>
      <c r="AB77" s="170">
        <v>374515.09997011902</v>
      </c>
      <c r="AC77" s="170">
        <v>64768.771984980107</v>
      </c>
      <c r="AD77" s="170">
        <v>4500.1258249999901</v>
      </c>
      <c r="AE77" s="170">
        <v>364788.53492629901</v>
      </c>
      <c r="AF77" s="170">
        <v>852545.70703979908</v>
      </c>
      <c r="AG77" s="170">
        <v>2412455.05661448</v>
      </c>
      <c r="AH77" s="170">
        <v>446445.20317606599</v>
      </c>
      <c r="AI77" s="170">
        <v>172657.757480033</v>
      </c>
      <c r="AJ77" s="170">
        <v>148982.03066041903</v>
      </c>
      <c r="AK77" s="170">
        <v>363848.20255316701</v>
      </c>
      <c r="AL77" s="170">
        <v>149453.79173009301</v>
      </c>
      <c r="AM77" s="170">
        <v>6474.5307459000796</v>
      </c>
      <c r="AN77" s="171">
        <v>1617822195.4409897</v>
      </c>
      <c r="AO77" s="170">
        <v>5234709.2769683003</v>
      </c>
      <c r="AP77" s="170">
        <v>128732776.45737</v>
      </c>
      <c r="AQ77" s="170">
        <v>25517465.990995198</v>
      </c>
      <c r="AR77" s="171">
        <v>1777307147.1663232</v>
      </c>
      <c r="AS77" s="171">
        <v>23186317.311999999</v>
      </c>
    </row>
    <row r="78" spans="1:45" x14ac:dyDescent="0.2">
      <c r="A78" s="167"/>
      <c r="B78" s="168">
        <v>11</v>
      </c>
      <c r="C78" s="169">
        <v>589.99999999999898</v>
      </c>
      <c r="D78" s="169">
        <v>770890.14626210101</v>
      </c>
      <c r="E78" s="170">
        <v>1066242648.7756399</v>
      </c>
      <c r="F78" s="170">
        <v>195072.33333333299</v>
      </c>
      <c r="G78" s="170">
        <v>18084553.710322</v>
      </c>
      <c r="H78" s="170">
        <v>2146990.5426445096</v>
      </c>
      <c r="I78" s="170">
        <v>11485306.0943844</v>
      </c>
      <c r="J78" s="170">
        <v>1293929.0632414999</v>
      </c>
      <c r="K78" s="170">
        <v>193053220.67431179</v>
      </c>
      <c r="L78" s="170">
        <v>5668727.2996955803</v>
      </c>
      <c r="M78" s="170">
        <v>214356496.99167722</v>
      </c>
      <c r="N78" s="170">
        <v>11203518.5208814</v>
      </c>
      <c r="O78" s="170">
        <v>134943167.93018165</v>
      </c>
      <c r="P78" s="170">
        <v>14015697.819693699</v>
      </c>
      <c r="Q78" s="170">
        <v>307226.99174715398</v>
      </c>
      <c r="R78" s="170">
        <v>69100759.159867898</v>
      </c>
      <c r="S78" s="170">
        <v>34590939.126640201</v>
      </c>
      <c r="T78" s="170">
        <v>255324.03958995501</v>
      </c>
      <c r="U78" s="170"/>
      <c r="V78" s="170"/>
      <c r="W78" s="170">
        <v>10059250.539272901</v>
      </c>
      <c r="X78" s="170">
        <v>1480276.0785101701</v>
      </c>
      <c r="Y78" s="170">
        <v>3933019.3464458198</v>
      </c>
      <c r="Z78" s="170">
        <v>29336871.8344463</v>
      </c>
      <c r="AA78" s="170">
        <v>8526968.3140919004</v>
      </c>
      <c r="AB78" s="170">
        <v>484668.87318891002</v>
      </c>
      <c r="AC78" s="170">
        <v>79914.769484980105</v>
      </c>
      <c r="AD78" s="170">
        <v>4500.1258249999901</v>
      </c>
      <c r="AE78" s="170">
        <v>370145.36276171601</v>
      </c>
      <c r="AF78" s="170">
        <v>858773.70800395298</v>
      </c>
      <c r="AG78" s="170">
        <v>2430078.4782029102</v>
      </c>
      <c r="AH78" s="170">
        <v>449706.56632981001</v>
      </c>
      <c r="AI78" s="170">
        <v>169569.65338014998</v>
      </c>
      <c r="AJ78" s="170">
        <v>141831.68466883799</v>
      </c>
      <c r="AK78" s="170">
        <v>210709.20268330802</v>
      </c>
      <c r="AL78" s="170">
        <v>149173.78781922598</v>
      </c>
      <c r="AM78" s="170">
        <v>6607.5443969079306</v>
      </c>
      <c r="AN78" s="171">
        <v>1836407125.089627</v>
      </c>
      <c r="AO78" s="170">
        <v>5444304.0842185505</v>
      </c>
      <c r="AP78" s="170">
        <v>129322477.630409</v>
      </c>
      <c r="AQ78" s="170">
        <v>24677576.037414499</v>
      </c>
      <c r="AR78" s="171">
        <v>1995851482.8416691</v>
      </c>
      <c r="AS78" s="171">
        <v>23314898.214000002</v>
      </c>
    </row>
    <row r="79" spans="1:45" x14ac:dyDescent="0.2">
      <c r="A79" s="173"/>
      <c r="B79" s="174">
        <v>12</v>
      </c>
      <c r="C79" s="175">
        <v>589.99999999999898</v>
      </c>
      <c r="D79" s="175">
        <v>970449.12403076293</v>
      </c>
      <c r="E79" s="176">
        <v>1254742482.0081701</v>
      </c>
      <c r="F79" s="176">
        <v>241943.16666666701</v>
      </c>
      <c r="G79" s="176">
        <v>24584648.493634999</v>
      </c>
      <c r="H79" s="176">
        <v>2669220.2586268499</v>
      </c>
      <c r="I79" s="176">
        <v>13979305.1565619</v>
      </c>
      <c r="J79" s="176">
        <v>1632672.63787757</v>
      </c>
      <c r="K79" s="176">
        <v>229009612.84023315</v>
      </c>
      <c r="L79" s="176">
        <v>6418667.2294021202</v>
      </c>
      <c r="M79" s="176">
        <v>244995114.0359813</v>
      </c>
      <c r="N79" s="176">
        <v>11718666.716379799</v>
      </c>
      <c r="O79" s="176">
        <v>150365754.34467795</v>
      </c>
      <c r="P79" s="176">
        <v>13855091.224166499</v>
      </c>
      <c r="Q79" s="176">
        <v>260485.44718934601</v>
      </c>
      <c r="R79" s="176">
        <v>77142981.47286199</v>
      </c>
      <c r="S79" s="176">
        <v>34940696.1868117</v>
      </c>
      <c r="T79" s="176">
        <v>6654.6907739707103</v>
      </c>
      <c r="U79" s="176"/>
      <c r="V79" s="176"/>
      <c r="W79" s="176">
        <v>14070069.6711556</v>
      </c>
      <c r="X79" s="176">
        <v>1761322.93362137</v>
      </c>
      <c r="Y79" s="176">
        <v>3905856.54330714</v>
      </c>
      <c r="Z79" s="176">
        <v>32231671.981115501</v>
      </c>
      <c r="AA79" s="176">
        <v>8693646.0037352499</v>
      </c>
      <c r="AB79" s="176">
        <v>610180.12548343302</v>
      </c>
      <c r="AC79" s="176">
        <v>103932.49448498401</v>
      </c>
      <c r="AD79" s="176">
        <v>4500.1258249999901</v>
      </c>
      <c r="AE79" s="176">
        <v>375814.86203808797</v>
      </c>
      <c r="AF79" s="176">
        <v>865631.96419943694</v>
      </c>
      <c r="AG79" s="176">
        <v>2449485.3378020297</v>
      </c>
      <c r="AH79" s="176">
        <v>453297.96976465703</v>
      </c>
      <c r="AI79" s="176">
        <v>181887.87380371202</v>
      </c>
      <c r="AJ79" s="176">
        <v>156669.366815546</v>
      </c>
      <c r="AK79" s="176">
        <v>199371.094788296</v>
      </c>
      <c r="AL79" s="176">
        <v>157172.55455696801</v>
      </c>
      <c r="AM79" s="176">
        <v>6853.0926698176199</v>
      </c>
      <c r="AN79" s="177">
        <v>2133762399.0292134</v>
      </c>
      <c r="AO79" s="176">
        <v>5105789.6600743402</v>
      </c>
      <c r="AP79" s="176">
        <v>126811851.893425</v>
      </c>
      <c r="AQ79" s="176">
        <v>24033495.846151903</v>
      </c>
      <c r="AR79" s="177">
        <v>2289713536.4288645</v>
      </c>
      <c r="AS79" s="177">
        <v>24733324.942000002</v>
      </c>
    </row>
    <row r="80" spans="1:45" x14ac:dyDescent="0.2">
      <c r="A80" s="163">
        <f>A68+1</f>
        <v>2027</v>
      </c>
      <c r="B80" s="168">
        <v>1</v>
      </c>
      <c r="C80" s="169">
        <v>589.99999999999898</v>
      </c>
      <c r="D80" s="169">
        <v>1024304.20429683</v>
      </c>
      <c r="E80" s="170">
        <v>1288021105.67641</v>
      </c>
      <c r="F80" s="170">
        <v>264163.33333333302</v>
      </c>
      <c r="G80" s="170">
        <v>26050808.362014998</v>
      </c>
      <c r="H80" s="170">
        <v>2878567.2157393303</v>
      </c>
      <c r="I80" s="170">
        <v>14226618.8379265</v>
      </c>
      <c r="J80" s="170">
        <v>1689762.30053423</v>
      </c>
      <c r="K80" s="170">
        <v>234688964.93941054</v>
      </c>
      <c r="L80" s="170">
        <v>6926142.1005686801</v>
      </c>
      <c r="M80" s="170">
        <v>239635832.51894408</v>
      </c>
      <c r="N80" s="170">
        <v>11976027.153850401</v>
      </c>
      <c r="O80" s="170">
        <v>145859578.58094659</v>
      </c>
      <c r="P80" s="170">
        <v>13777832.2096055</v>
      </c>
      <c r="Q80" s="170">
        <v>286539.63337679103</v>
      </c>
      <c r="R80" s="170">
        <v>74661191.064669713</v>
      </c>
      <c r="S80" s="170">
        <v>34951550.906030901</v>
      </c>
      <c r="T80" s="170">
        <v>5320.7963854540303</v>
      </c>
      <c r="U80" s="170"/>
      <c r="V80" s="170"/>
      <c r="W80" s="170">
        <v>14847228.2174109</v>
      </c>
      <c r="X80" s="170">
        <v>1705638.10615246</v>
      </c>
      <c r="Y80" s="170">
        <v>3785402.8890649499</v>
      </c>
      <c r="Z80" s="170">
        <v>31904061.192326497</v>
      </c>
      <c r="AA80" s="170">
        <v>9082976.3824598696</v>
      </c>
      <c r="AB80" s="170">
        <v>635005.83957671595</v>
      </c>
      <c r="AC80" s="170">
        <v>107589.622795269</v>
      </c>
      <c r="AD80" s="170">
        <v>4500.1258249999901</v>
      </c>
      <c r="AE80" s="170">
        <v>364281.71585067298</v>
      </c>
      <c r="AF80" s="170">
        <v>839067.12870179291</v>
      </c>
      <c r="AG80" s="170">
        <v>2374314.6212114301</v>
      </c>
      <c r="AH80" s="170">
        <v>439386.99316462997</v>
      </c>
      <c r="AI80" s="170">
        <v>176058.05363254799</v>
      </c>
      <c r="AJ80" s="170">
        <v>145700.48644536998</v>
      </c>
      <c r="AK80" s="170">
        <v>294398.39360153797</v>
      </c>
      <c r="AL80" s="170">
        <v>150617.54043617402</v>
      </c>
      <c r="AM80" s="170">
        <v>6770.9464201863602</v>
      </c>
      <c r="AN80" s="171">
        <v>2163787898.0891194</v>
      </c>
      <c r="AO80" s="170">
        <v>6462624.92944034</v>
      </c>
      <c r="AP80" s="170">
        <v>133518579.90149699</v>
      </c>
      <c r="AQ80" s="170">
        <v>25742216.622836001</v>
      </c>
      <c r="AR80" s="171">
        <v>2329511319.5428929</v>
      </c>
      <c r="AS80" s="171">
        <v>28068060.932999998</v>
      </c>
    </row>
    <row r="81" spans="1:45" x14ac:dyDescent="0.2">
      <c r="A81" s="167"/>
      <c r="B81" s="168">
        <v>2</v>
      </c>
      <c r="C81" s="169">
        <v>589.99999999999898</v>
      </c>
      <c r="D81" s="169">
        <v>818396.61267744703</v>
      </c>
      <c r="E81" s="170">
        <v>1051330776.0745599</v>
      </c>
      <c r="F81" s="170">
        <v>238004.04666666698</v>
      </c>
      <c r="G81" s="170">
        <v>22878401.615065798</v>
      </c>
      <c r="H81" s="170">
        <v>2515065.5483048898</v>
      </c>
      <c r="I81" s="170">
        <v>12158011.6808697</v>
      </c>
      <c r="J81" s="170">
        <v>1497423.36685027</v>
      </c>
      <c r="K81" s="170">
        <v>207098234.9975538</v>
      </c>
      <c r="L81" s="170">
        <v>6225845.0872033797</v>
      </c>
      <c r="M81" s="170">
        <v>218522203.72571635</v>
      </c>
      <c r="N81" s="170">
        <v>11385256.0421205</v>
      </c>
      <c r="O81" s="170">
        <v>132063148.62974043</v>
      </c>
      <c r="P81" s="170">
        <v>13487121.563454701</v>
      </c>
      <c r="Q81" s="170">
        <v>235988.58028475201</v>
      </c>
      <c r="R81" s="170">
        <v>68211405.989414901</v>
      </c>
      <c r="S81" s="170">
        <v>33060399.969600998</v>
      </c>
      <c r="T81" s="170">
        <v>5986.4329521945801</v>
      </c>
      <c r="U81" s="170"/>
      <c r="V81" s="170"/>
      <c r="W81" s="170">
        <v>13658315.4771876</v>
      </c>
      <c r="X81" s="170">
        <v>1473137.30497182</v>
      </c>
      <c r="Y81" s="170">
        <v>4011239.9078693604</v>
      </c>
      <c r="Z81" s="170">
        <v>26534620.430831898</v>
      </c>
      <c r="AA81" s="170">
        <v>7455934.1144323898</v>
      </c>
      <c r="AB81" s="170">
        <v>544632.11184757599</v>
      </c>
      <c r="AC81" s="170">
        <v>106467.67125306699</v>
      </c>
      <c r="AD81" s="170">
        <v>4500.1258249999901</v>
      </c>
      <c r="AE81" s="170">
        <v>357783.07427689299</v>
      </c>
      <c r="AF81" s="170">
        <v>824098.50335357699</v>
      </c>
      <c r="AG81" s="170">
        <v>2331957.7884766199</v>
      </c>
      <c r="AH81" s="170">
        <v>431548.50318143098</v>
      </c>
      <c r="AI81" s="170">
        <v>162545.50991636599</v>
      </c>
      <c r="AJ81" s="170">
        <v>140365.890379369</v>
      </c>
      <c r="AK81" s="170">
        <v>187730.42539696998</v>
      </c>
      <c r="AL81" s="170">
        <v>138516.64040228998</v>
      </c>
      <c r="AM81" s="170">
        <v>6050.2569161642796</v>
      </c>
      <c r="AN81" s="171">
        <v>1840101703.6995549</v>
      </c>
      <c r="AO81" s="170">
        <v>5868426.8690848099</v>
      </c>
      <c r="AP81" s="170">
        <v>118408050.64500201</v>
      </c>
      <c r="AQ81" s="170">
        <v>22953442.993492298</v>
      </c>
      <c r="AR81" s="171">
        <v>1987331624.207134</v>
      </c>
      <c r="AS81" s="171">
        <v>26042263.364</v>
      </c>
    </row>
    <row r="82" spans="1:45" x14ac:dyDescent="0.2">
      <c r="A82" s="167"/>
      <c r="B82" s="168">
        <v>3</v>
      </c>
      <c r="C82" s="169">
        <v>589.99999999999898</v>
      </c>
      <c r="D82" s="169">
        <v>827770.168766296</v>
      </c>
      <c r="E82" s="170">
        <v>1097286371.6780698</v>
      </c>
      <c r="F82" s="170">
        <v>210451.786666667</v>
      </c>
      <c r="G82" s="170">
        <v>22416582.552459098</v>
      </c>
      <c r="H82" s="170">
        <v>2639342.0123920999</v>
      </c>
      <c r="I82" s="170">
        <v>12485914.479960499</v>
      </c>
      <c r="J82" s="170">
        <v>1496853.57701828</v>
      </c>
      <c r="K82" s="170">
        <v>213645474.1413424</v>
      </c>
      <c r="L82" s="170">
        <v>6481143.1334492899</v>
      </c>
      <c r="M82" s="170">
        <v>226820066.52960193</v>
      </c>
      <c r="N82" s="170">
        <v>11911559.368110301</v>
      </c>
      <c r="O82" s="170">
        <v>136705349.36465579</v>
      </c>
      <c r="P82" s="170">
        <v>14211594.6719005</v>
      </c>
      <c r="Q82" s="170">
        <v>267084.39722957701</v>
      </c>
      <c r="R82" s="170">
        <v>71268803.440819696</v>
      </c>
      <c r="S82" s="170">
        <v>34503852.595231399</v>
      </c>
      <c r="T82" s="170">
        <v>6248.0671890864696</v>
      </c>
      <c r="U82" s="170"/>
      <c r="V82" s="170"/>
      <c r="W82" s="170">
        <v>13656573.815224599</v>
      </c>
      <c r="X82" s="170">
        <v>1553926.07230052</v>
      </c>
      <c r="Y82" s="170">
        <v>4814466.5635521598</v>
      </c>
      <c r="Z82" s="170">
        <v>30477658.616436798</v>
      </c>
      <c r="AA82" s="170">
        <v>8568339.761687329</v>
      </c>
      <c r="AB82" s="170">
        <v>445481.23649175698</v>
      </c>
      <c r="AC82" s="170">
        <v>100141.31729267401</v>
      </c>
      <c r="AD82" s="170">
        <v>4500.1258249999901</v>
      </c>
      <c r="AE82" s="170">
        <v>349259.43093895301</v>
      </c>
      <c r="AF82" s="170">
        <v>804465.59664855199</v>
      </c>
      <c r="AG82" s="170">
        <v>2276402.4033923</v>
      </c>
      <c r="AH82" s="170">
        <v>421267.509505097</v>
      </c>
      <c r="AI82" s="170">
        <v>169404.29974774399</v>
      </c>
      <c r="AJ82" s="170">
        <v>141872.56091080702</v>
      </c>
      <c r="AK82" s="170">
        <v>197557.55091073702</v>
      </c>
      <c r="AL82" s="170">
        <v>146710.78809218699</v>
      </c>
      <c r="AM82" s="170">
        <v>6605.7029724967497</v>
      </c>
      <c r="AN82" s="171">
        <v>1917319685.3167915</v>
      </c>
      <c r="AO82" s="170">
        <v>5861033.97828882</v>
      </c>
      <c r="AP82" s="170">
        <v>121253255.05314301</v>
      </c>
      <c r="AQ82" s="170">
        <v>22832242.403434601</v>
      </c>
      <c r="AR82" s="171">
        <v>2067266216.751658</v>
      </c>
      <c r="AS82" s="171">
        <v>25984209.386999998</v>
      </c>
    </row>
    <row r="83" spans="1:45" x14ac:dyDescent="0.2">
      <c r="A83" s="167"/>
      <c r="B83" s="168">
        <v>4</v>
      </c>
      <c r="C83" s="169">
        <v>589.99999999999898</v>
      </c>
      <c r="D83" s="169">
        <v>695955.294918495</v>
      </c>
      <c r="E83" s="170">
        <v>861184801.11613905</v>
      </c>
      <c r="F83" s="170">
        <v>179649</v>
      </c>
      <c r="G83" s="170">
        <v>19515934.519953601</v>
      </c>
      <c r="H83" s="170">
        <v>2388515.3907846101</v>
      </c>
      <c r="I83" s="170">
        <v>11168109.265848199</v>
      </c>
      <c r="J83" s="170">
        <v>1328499.56702419</v>
      </c>
      <c r="K83" s="170">
        <v>193685781.25915676</v>
      </c>
      <c r="L83" s="170">
        <v>5587005.1311889105</v>
      </c>
      <c r="M83" s="170">
        <v>212145680.3660813</v>
      </c>
      <c r="N83" s="170">
        <v>10889723.6538614</v>
      </c>
      <c r="O83" s="170">
        <v>131783246.25474474</v>
      </c>
      <c r="P83" s="170">
        <v>13746046.1998592</v>
      </c>
      <c r="Q83" s="170">
        <v>289647.76454481698</v>
      </c>
      <c r="R83" s="170">
        <v>69374762.5559275</v>
      </c>
      <c r="S83" s="170">
        <v>32730415.5732686</v>
      </c>
      <c r="T83" s="170">
        <v>4864.25238017009</v>
      </c>
      <c r="U83" s="170"/>
      <c r="V83" s="170"/>
      <c r="W83" s="170">
        <v>10696338.7561779</v>
      </c>
      <c r="X83" s="170">
        <v>1647240.6572900501</v>
      </c>
      <c r="Y83" s="170">
        <v>3417403.25015892</v>
      </c>
      <c r="Z83" s="170">
        <v>30652181.963034999</v>
      </c>
      <c r="AA83" s="170">
        <v>8110620.1027289797</v>
      </c>
      <c r="AB83" s="170">
        <v>335836.05644988304</v>
      </c>
      <c r="AC83" s="170">
        <v>84089.042025986506</v>
      </c>
      <c r="AD83" s="170">
        <v>4500.1258249999901</v>
      </c>
      <c r="AE83" s="170">
        <v>374205.028269973</v>
      </c>
      <c r="AF83" s="170">
        <v>861923.95872256206</v>
      </c>
      <c r="AG83" s="170">
        <v>2438992.7665665299</v>
      </c>
      <c r="AH83" s="170">
        <v>451356.23075309198</v>
      </c>
      <c r="AI83" s="170">
        <v>176394.538043487</v>
      </c>
      <c r="AJ83" s="170">
        <v>152452.659912378</v>
      </c>
      <c r="AK83" s="170">
        <v>186781.95361015302</v>
      </c>
      <c r="AL83" s="170">
        <v>150839.062868907</v>
      </c>
      <c r="AM83" s="170">
        <v>6626.8955198663007</v>
      </c>
      <c r="AN83" s="171">
        <v>1626447010.2136405</v>
      </c>
      <c r="AO83" s="170">
        <v>5557463.08285522</v>
      </c>
      <c r="AP83" s="170">
        <v>115391074.398599</v>
      </c>
      <c r="AQ83" s="170">
        <v>19798039.691793401</v>
      </c>
      <c r="AR83" s="171">
        <v>1767193587.386888</v>
      </c>
      <c r="AS83" s="171">
        <v>22498471.697000001</v>
      </c>
    </row>
    <row r="84" spans="1:45" x14ac:dyDescent="0.2">
      <c r="A84" s="167"/>
      <c r="B84" s="168">
        <v>5</v>
      </c>
      <c r="C84" s="169">
        <v>589.99999999999898</v>
      </c>
      <c r="D84" s="169">
        <v>490386.33531664195</v>
      </c>
      <c r="E84" s="170">
        <v>799361206.38757694</v>
      </c>
      <c r="F84" s="170">
        <v>168692.5</v>
      </c>
      <c r="G84" s="170">
        <v>17046973.906788297</v>
      </c>
      <c r="H84" s="170">
        <v>2226721.2278763899</v>
      </c>
      <c r="I84" s="170">
        <v>10467349.899977099</v>
      </c>
      <c r="J84" s="170">
        <v>1272480.36177073</v>
      </c>
      <c r="K84" s="170">
        <v>188799451.5674406</v>
      </c>
      <c r="L84" s="170">
        <v>5574076.7757779006</v>
      </c>
      <c r="M84" s="170">
        <v>213674658.58353788</v>
      </c>
      <c r="N84" s="170">
        <v>11258174.2606955</v>
      </c>
      <c r="O84" s="170">
        <v>137507653.84961042</v>
      </c>
      <c r="P84" s="170">
        <v>14788327.2687415</v>
      </c>
      <c r="Q84" s="170">
        <v>813859.05861602305</v>
      </c>
      <c r="R84" s="170">
        <v>71284856.281608507</v>
      </c>
      <c r="S84" s="170">
        <v>35209341.477814697</v>
      </c>
      <c r="T84" s="170">
        <v>364611.45553486602</v>
      </c>
      <c r="U84" s="170"/>
      <c r="V84" s="170"/>
      <c r="W84" s="170">
        <v>8984435.4540091399</v>
      </c>
      <c r="X84" s="170">
        <v>1789923.0875520399</v>
      </c>
      <c r="Y84" s="170">
        <v>3795149.3249435597</v>
      </c>
      <c r="Z84" s="170">
        <v>32196213.599604003</v>
      </c>
      <c r="AA84" s="170">
        <v>8994529.3312607594</v>
      </c>
      <c r="AB84" s="170">
        <v>246125.24917978101</v>
      </c>
      <c r="AC84" s="170">
        <v>62535.289484968504</v>
      </c>
      <c r="AD84" s="170">
        <v>4500.1258249999901</v>
      </c>
      <c r="AE84" s="170">
        <v>377363.009476443</v>
      </c>
      <c r="AF84" s="170">
        <v>869197.88466534391</v>
      </c>
      <c r="AG84" s="170">
        <v>2459575.8500038199</v>
      </c>
      <c r="AH84" s="170">
        <v>455165.30435301503</v>
      </c>
      <c r="AI84" s="170">
        <v>179424.089697052</v>
      </c>
      <c r="AJ84" s="170">
        <v>150438.54187793098</v>
      </c>
      <c r="AK84" s="170">
        <v>361761.62558330997</v>
      </c>
      <c r="AL84" s="170">
        <v>155851.69554744399</v>
      </c>
      <c r="AM84" s="170">
        <v>6960.6840460865997</v>
      </c>
      <c r="AN84" s="171">
        <v>1571398561.3457935</v>
      </c>
      <c r="AO84" s="170">
        <v>5993390.8854866903</v>
      </c>
      <c r="AP84" s="170">
        <v>116555511.114731</v>
      </c>
      <c r="AQ84" s="170">
        <v>21064670.972752601</v>
      </c>
      <c r="AR84" s="171">
        <v>1715012134.3187637</v>
      </c>
      <c r="AS84" s="171">
        <v>22378737.010000002</v>
      </c>
    </row>
    <row r="85" spans="1:45" x14ac:dyDescent="0.2">
      <c r="A85" s="167"/>
      <c r="B85" s="168">
        <v>6</v>
      </c>
      <c r="C85" s="169">
        <v>589.99999999999898</v>
      </c>
      <c r="D85" s="169">
        <v>392126.26978947403</v>
      </c>
      <c r="E85" s="170">
        <v>712287867.69008207</v>
      </c>
      <c r="F85" s="170">
        <v>184959.33333333299</v>
      </c>
      <c r="G85" s="170">
        <v>15370048.566689</v>
      </c>
      <c r="H85" s="170">
        <v>1984213.8761466399</v>
      </c>
      <c r="I85" s="170">
        <v>9457824.9271389302</v>
      </c>
      <c r="J85" s="170">
        <v>1132829.2655300801</v>
      </c>
      <c r="K85" s="170">
        <v>176117847.65654385</v>
      </c>
      <c r="L85" s="170">
        <v>5174543.4404142294</v>
      </c>
      <c r="M85" s="170">
        <v>202764481.47821808</v>
      </c>
      <c r="N85" s="170">
        <v>10776005.151203701</v>
      </c>
      <c r="O85" s="170">
        <v>133396715.92397398</v>
      </c>
      <c r="P85" s="170">
        <v>14503553.8426814</v>
      </c>
      <c r="Q85" s="170">
        <v>1550158.7660316001</v>
      </c>
      <c r="R85" s="170">
        <v>67689292.036647499</v>
      </c>
      <c r="S85" s="170">
        <v>34269667.786507003</v>
      </c>
      <c r="T85" s="170">
        <v>693441.53332762304</v>
      </c>
      <c r="U85" s="170"/>
      <c r="V85" s="170"/>
      <c r="W85" s="170">
        <v>7215172.37294403</v>
      </c>
      <c r="X85" s="170">
        <v>1717136.8612148</v>
      </c>
      <c r="Y85" s="170">
        <v>5166446.9604564998</v>
      </c>
      <c r="Z85" s="170">
        <v>28594850.254155099</v>
      </c>
      <c r="AA85" s="170">
        <v>8261552.2807088597</v>
      </c>
      <c r="AB85" s="170">
        <v>200098.96419959402</v>
      </c>
      <c r="AC85" s="170">
        <v>59993.344484980102</v>
      </c>
      <c r="AD85" s="170">
        <v>4500.1258249999901</v>
      </c>
      <c r="AE85" s="170">
        <v>389886.53223205399</v>
      </c>
      <c r="AF85" s="170">
        <v>898043.90087355103</v>
      </c>
      <c r="AG85" s="170">
        <v>2541201.6409614696</v>
      </c>
      <c r="AH85" s="170">
        <v>470270.84703600901</v>
      </c>
      <c r="AI85" s="170">
        <v>165638.10063505301</v>
      </c>
      <c r="AJ85" s="170">
        <v>143063.21604796301</v>
      </c>
      <c r="AK85" s="170">
        <v>228754.844726248</v>
      </c>
      <c r="AL85" s="170">
        <v>141631.72340562299</v>
      </c>
      <c r="AM85" s="170">
        <v>6158.1700961370207</v>
      </c>
      <c r="AN85" s="171">
        <v>1443950567.6842618</v>
      </c>
      <c r="AO85" s="170">
        <v>5983986.7787636099</v>
      </c>
      <c r="AP85" s="170">
        <v>132139499.713052</v>
      </c>
      <c r="AQ85" s="170">
        <v>24256942.178197298</v>
      </c>
      <c r="AR85" s="171">
        <v>1606330996.3542747</v>
      </c>
      <c r="AS85" s="171">
        <v>22163362.182</v>
      </c>
    </row>
    <row r="86" spans="1:45" x14ac:dyDescent="0.2">
      <c r="A86" s="167"/>
      <c r="B86" s="168">
        <v>7</v>
      </c>
      <c r="C86" s="169">
        <v>589.99999999999898</v>
      </c>
      <c r="D86" s="169">
        <v>329150.95363062801</v>
      </c>
      <c r="E86" s="170">
        <v>712631943.41298199</v>
      </c>
      <c r="F86" s="170">
        <v>210981.83333333299</v>
      </c>
      <c r="G86" s="170">
        <v>16280333.9477921</v>
      </c>
      <c r="H86" s="170">
        <v>2121810.8055738597</v>
      </c>
      <c r="I86" s="170">
        <v>10536346.6662919</v>
      </c>
      <c r="J86" s="170">
        <v>1544635.1663847999</v>
      </c>
      <c r="K86" s="170">
        <v>198566358.52126706</v>
      </c>
      <c r="L86" s="170">
        <v>5574263.9693758702</v>
      </c>
      <c r="M86" s="170">
        <v>226080761.37783301</v>
      </c>
      <c r="N86" s="170">
        <v>11482538.975930199</v>
      </c>
      <c r="O86" s="170">
        <v>149856621.13212374</v>
      </c>
      <c r="P86" s="170">
        <v>15485425.633955499</v>
      </c>
      <c r="Q86" s="170">
        <v>2843191.95389539</v>
      </c>
      <c r="R86" s="170">
        <v>74028244.279748604</v>
      </c>
      <c r="S86" s="170">
        <v>36218103.898499399</v>
      </c>
      <c r="T86" s="170">
        <v>729220.15704016201</v>
      </c>
      <c r="U86" s="170"/>
      <c r="V86" s="170"/>
      <c r="W86" s="170">
        <v>6015756.72207601</v>
      </c>
      <c r="X86" s="170">
        <v>2240741.21035452</v>
      </c>
      <c r="Y86" s="170">
        <v>5877911.9876852799</v>
      </c>
      <c r="Z86" s="170">
        <v>33233610.8603542</v>
      </c>
      <c r="AA86" s="170">
        <v>9196189.9098843597</v>
      </c>
      <c r="AB86" s="170">
        <v>164051.09100622599</v>
      </c>
      <c r="AC86" s="170">
        <v>61898.136984980098</v>
      </c>
      <c r="AD86" s="170">
        <v>4500.1258249999901</v>
      </c>
      <c r="AE86" s="170">
        <v>386512.59574044897</v>
      </c>
      <c r="AF86" s="170">
        <v>890272.55501332192</v>
      </c>
      <c r="AG86" s="170">
        <v>2519211.0046091899</v>
      </c>
      <c r="AH86" s="170">
        <v>466201.293869683</v>
      </c>
      <c r="AI86" s="170">
        <v>177848.157313362</v>
      </c>
      <c r="AJ86" s="170">
        <v>149175.94370103799</v>
      </c>
      <c r="AK86" s="170">
        <v>191441.96575193299</v>
      </c>
      <c r="AL86" s="170">
        <v>155006.63930199802</v>
      </c>
      <c r="AM86" s="170">
        <v>6952.6373216768798</v>
      </c>
      <c r="AN86" s="171">
        <v>1526257805.5224512</v>
      </c>
      <c r="AO86" s="170">
        <v>5927521.7554212604</v>
      </c>
      <c r="AP86" s="170">
        <v>136401465.14659402</v>
      </c>
      <c r="AQ86" s="170">
        <v>24330263.251550701</v>
      </c>
      <c r="AR86" s="171">
        <v>1692917055.676017</v>
      </c>
      <c r="AS86" s="171">
        <v>24538852.638999999</v>
      </c>
    </row>
    <row r="87" spans="1:45" x14ac:dyDescent="0.2">
      <c r="A87" s="167"/>
      <c r="B87" s="168">
        <v>8</v>
      </c>
      <c r="C87" s="169">
        <v>589.99999999999898</v>
      </c>
      <c r="D87" s="169">
        <v>310737.75889643701</v>
      </c>
      <c r="E87" s="170">
        <v>739092235.86845899</v>
      </c>
      <c r="F87" s="170">
        <v>230198</v>
      </c>
      <c r="G87" s="170">
        <v>16676249.023906799</v>
      </c>
      <c r="H87" s="170">
        <v>2153580.2050925698</v>
      </c>
      <c r="I87" s="170">
        <v>10865266.987274999</v>
      </c>
      <c r="J87" s="170">
        <v>1929174.22997103</v>
      </c>
      <c r="K87" s="170">
        <v>203436351.6648939</v>
      </c>
      <c r="L87" s="170">
        <v>5693017.6576958103</v>
      </c>
      <c r="M87" s="170">
        <v>230847534.14263412</v>
      </c>
      <c r="N87" s="170">
        <v>11821952.7397645</v>
      </c>
      <c r="O87" s="170">
        <v>153806996.24806789</v>
      </c>
      <c r="P87" s="170">
        <v>15639186.4327497</v>
      </c>
      <c r="Q87" s="170">
        <v>3878714.9606837803</v>
      </c>
      <c r="R87" s="170">
        <v>74856223.627447799</v>
      </c>
      <c r="S87" s="170">
        <v>37263151.033877894</v>
      </c>
      <c r="T87" s="170">
        <v>998430.84394830198</v>
      </c>
      <c r="U87" s="170"/>
      <c r="V87" s="170"/>
      <c r="W87" s="170">
        <v>5088453.8105587196</v>
      </c>
      <c r="X87" s="170">
        <v>2228549.50132911</v>
      </c>
      <c r="Y87" s="170">
        <v>5217090.3433733098</v>
      </c>
      <c r="Z87" s="170">
        <v>32489211.987479601</v>
      </c>
      <c r="AA87" s="170">
        <v>9375418.9889036212</v>
      </c>
      <c r="AB87" s="170">
        <v>199758.77008935501</v>
      </c>
      <c r="AC87" s="170">
        <v>62258.761984980098</v>
      </c>
      <c r="AD87" s="170">
        <v>4500.1258249999901</v>
      </c>
      <c r="AE87" s="170">
        <v>384140.81178239203</v>
      </c>
      <c r="AF87" s="170">
        <v>884809.51399590296</v>
      </c>
      <c r="AG87" s="170">
        <v>2503752.1959867999</v>
      </c>
      <c r="AH87" s="170">
        <v>463340.51064499404</v>
      </c>
      <c r="AI87" s="170">
        <v>177778.73143377999</v>
      </c>
      <c r="AJ87" s="170">
        <v>153196.200910438</v>
      </c>
      <c r="AK87" s="170">
        <v>191051.662509685</v>
      </c>
      <c r="AL87" s="170">
        <v>152352.527405103</v>
      </c>
      <c r="AM87" s="170">
        <v>6667.2380487067194</v>
      </c>
      <c r="AN87" s="171">
        <v>1569081923.107626</v>
      </c>
      <c r="AO87" s="170">
        <v>5895335.0505791102</v>
      </c>
      <c r="AP87" s="170">
        <v>134808036.615459</v>
      </c>
      <c r="AQ87" s="170">
        <v>25354350.720142599</v>
      </c>
      <c r="AR87" s="171">
        <v>1735139645.4938066</v>
      </c>
      <c r="AS87" s="171">
        <v>23590509.795000002</v>
      </c>
    </row>
    <row r="88" spans="1:45" x14ac:dyDescent="0.2">
      <c r="A88" s="167"/>
      <c r="B88" s="168">
        <v>9</v>
      </c>
      <c r="C88" s="169">
        <v>589.99999999999898</v>
      </c>
      <c r="D88" s="169">
        <v>347539.961193397</v>
      </c>
      <c r="E88" s="170">
        <v>695966205.17018795</v>
      </c>
      <c r="F88" s="170">
        <v>198981.5</v>
      </c>
      <c r="G88" s="170">
        <v>15278765.726230999</v>
      </c>
      <c r="H88" s="170">
        <v>2013856.8266657901</v>
      </c>
      <c r="I88" s="170">
        <v>9948723.9491191898</v>
      </c>
      <c r="J88" s="170">
        <v>1386673.86245485</v>
      </c>
      <c r="K88" s="170">
        <v>185896832.92739895</v>
      </c>
      <c r="L88" s="170">
        <v>5546082.8382777898</v>
      </c>
      <c r="M88" s="170">
        <v>211894571.69524547</v>
      </c>
      <c r="N88" s="170">
        <v>11497904.789905101</v>
      </c>
      <c r="O88" s="170">
        <v>140785643.97524974</v>
      </c>
      <c r="P88" s="170">
        <v>14997343.2888138</v>
      </c>
      <c r="Q88" s="170">
        <v>2806306.4070737199</v>
      </c>
      <c r="R88" s="170">
        <v>69620744.723095089</v>
      </c>
      <c r="S88" s="170">
        <v>36170722.718539298</v>
      </c>
      <c r="T88" s="170">
        <v>803003.962413884</v>
      </c>
      <c r="U88" s="170"/>
      <c r="V88" s="170"/>
      <c r="W88" s="170">
        <v>5929490.6049620407</v>
      </c>
      <c r="X88" s="170">
        <v>1722448.0389519499</v>
      </c>
      <c r="Y88" s="170">
        <v>5019280.3968047099</v>
      </c>
      <c r="Z88" s="170">
        <v>28397068.024192501</v>
      </c>
      <c r="AA88" s="170">
        <v>8919863.282018939</v>
      </c>
      <c r="AB88" s="170">
        <v>316079.015695101</v>
      </c>
      <c r="AC88" s="170">
        <v>64124.886984980098</v>
      </c>
      <c r="AD88" s="170">
        <v>4500.1258249999901</v>
      </c>
      <c r="AE88" s="170">
        <v>406143.81622699002</v>
      </c>
      <c r="AF88" s="170">
        <v>935490.06412735605</v>
      </c>
      <c r="AG88" s="170">
        <v>2647163.3332748604</v>
      </c>
      <c r="AH88" s="170">
        <v>489879.95400114299</v>
      </c>
      <c r="AI88" s="170">
        <v>161393.74560470699</v>
      </c>
      <c r="AJ88" s="170">
        <v>135085.859963286</v>
      </c>
      <c r="AK88" s="170">
        <v>235878.16906387301</v>
      </c>
      <c r="AL88" s="170">
        <v>141293.044154231</v>
      </c>
      <c r="AM88" s="170">
        <v>6363.1898425546797</v>
      </c>
      <c r="AN88" s="171">
        <v>1460692039.8735592</v>
      </c>
      <c r="AO88" s="170">
        <v>5401013.0673921499</v>
      </c>
      <c r="AP88" s="170">
        <v>127902136.72713999</v>
      </c>
      <c r="AQ88" s="170">
        <v>24862905.348648898</v>
      </c>
      <c r="AR88" s="171">
        <v>1618858095.0167401</v>
      </c>
      <c r="AS88" s="171">
        <v>22927589.971999999</v>
      </c>
    </row>
    <row r="89" spans="1:45" x14ac:dyDescent="0.2">
      <c r="A89" s="167"/>
      <c r="B89" s="168">
        <v>10</v>
      </c>
      <c r="C89" s="169">
        <v>589.99999999999898</v>
      </c>
      <c r="D89" s="169">
        <v>545102.84867194004</v>
      </c>
      <c r="E89" s="170">
        <v>865578678.03364396</v>
      </c>
      <c r="F89" s="170">
        <v>174254</v>
      </c>
      <c r="G89" s="170">
        <v>15654645.0568591</v>
      </c>
      <c r="H89" s="170">
        <v>1998111.4889531899</v>
      </c>
      <c r="I89" s="170">
        <v>10116116.5199297</v>
      </c>
      <c r="J89" s="170">
        <v>1208879.9922779799</v>
      </c>
      <c r="K89" s="170">
        <v>181522554.88094169</v>
      </c>
      <c r="L89" s="170">
        <v>5414315.1909815595</v>
      </c>
      <c r="M89" s="170">
        <v>208449891.1242657</v>
      </c>
      <c r="N89" s="170">
        <v>11493595.274517899</v>
      </c>
      <c r="O89" s="170">
        <v>137096897.78871882</v>
      </c>
      <c r="P89" s="170">
        <v>15004737.253272301</v>
      </c>
      <c r="Q89" s="170">
        <v>1016115.7516075301</v>
      </c>
      <c r="R89" s="170">
        <v>68031440.356210709</v>
      </c>
      <c r="S89" s="170">
        <v>35971430.3362602</v>
      </c>
      <c r="T89" s="170">
        <v>749823.80534780398</v>
      </c>
      <c r="U89" s="170"/>
      <c r="V89" s="170"/>
      <c r="W89" s="170">
        <v>7851408.7682857001</v>
      </c>
      <c r="X89" s="170">
        <v>1444402.99077397</v>
      </c>
      <c r="Y89" s="170">
        <v>5064212.6610666001</v>
      </c>
      <c r="Z89" s="170">
        <v>29985141.6958143</v>
      </c>
      <c r="AA89" s="170">
        <v>9488805.2293137889</v>
      </c>
      <c r="AB89" s="170">
        <v>357255.03173576802</v>
      </c>
      <c r="AC89" s="170">
        <v>64768.771984980107</v>
      </c>
      <c r="AD89" s="170">
        <v>4500.1258249999901</v>
      </c>
      <c r="AE89" s="170">
        <v>361133.20647835202</v>
      </c>
      <c r="AF89" s="170">
        <v>831815.01967800001</v>
      </c>
      <c r="AG89" s="170">
        <v>2353793.27327536</v>
      </c>
      <c r="AH89" s="170">
        <v>435589.34424111998</v>
      </c>
      <c r="AI89" s="170">
        <v>170866.46618117997</v>
      </c>
      <c r="AJ89" s="170">
        <v>147436.37051110098</v>
      </c>
      <c r="AK89" s="170">
        <v>355000.79030066502</v>
      </c>
      <c r="AL89" s="170">
        <v>147271.961788588</v>
      </c>
      <c r="AM89" s="170">
        <v>6407.3587244481705</v>
      </c>
      <c r="AN89" s="171">
        <v>1619096988.7684393</v>
      </c>
      <c r="AO89" s="170">
        <v>5222469.7527543707</v>
      </c>
      <c r="AP89" s="170">
        <v>128431780.193546</v>
      </c>
      <c r="AQ89" s="170">
        <v>25457802.382884402</v>
      </c>
      <c r="AR89" s="171">
        <v>1778209041.0976243</v>
      </c>
      <c r="AS89" s="171">
        <v>23186317.311999999</v>
      </c>
    </row>
    <row r="90" spans="1:45" x14ac:dyDescent="0.2">
      <c r="A90" s="167"/>
      <c r="B90" s="168">
        <v>11</v>
      </c>
      <c r="C90" s="169">
        <v>589.99999999999898</v>
      </c>
      <c r="D90" s="169">
        <v>770347.14387390402</v>
      </c>
      <c r="E90" s="170">
        <v>1071045443.4797801</v>
      </c>
      <c r="F90" s="170">
        <v>195072.33333333299</v>
      </c>
      <c r="G90" s="170">
        <v>17891615.946836099</v>
      </c>
      <c r="H90" s="170">
        <v>2126385.0645298599</v>
      </c>
      <c r="I90" s="170">
        <v>11375077.2793676</v>
      </c>
      <c r="J90" s="170">
        <v>1281510.7379322101</v>
      </c>
      <c r="K90" s="170">
        <v>192324040.58434892</v>
      </c>
      <c r="L90" s="170">
        <v>5589912.5748044094</v>
      </c>
      <c r="M90" s="170">
        <v>213227760.23064974</v>
      </c>
      <c r="N90" s="170">
        <v>11047751.241322199</v>
      </c>
      <c r="O90" s="170">
        <v>136305441.82877377</v>
      </c>
      <c r="P90" s="170">
        <v>13820831.6161498</v>
      </c>
      <c r="Q90" s="170">
        <v>304278.418416748</v>
      </c>
      <c r="R90" s="170">
        <v>68437573.108372495</v>
      </c>
      <c r="S90" s="170">
        <v>34110006.598603494</v>
      </c>
      <c r="T90" s="170">
        <v>252873.59846996999</v>
      </c>
      <c r="U90" s="170"/>
      <c r="V90" s="170"/>
      <c r="W90" s="170">
        <v>9962708.1173479799</v>
      </c>
      <c r="X90" s="170">
        <v>1466069.3106024701</v>
      </c>
      <c r="Y90" s="170">
        <v>3878336.90691509</v>
      </c>
      <c r="Z90" s="170">
        <v>29003118.120925102</v>
      </c>
      <c r="AA90" s="170">
        <v>8408414.2496077996</v>
      </c>
      <c r="AB90" s="170">
        <v>467601.72766493401</v>
      </c>
      <c r="AC90" s="170">
        <v>79914.769484980105</v>
      </c>
      <c r="AD90" s="170">
        <v>4500.1258249999901</v>
      </c>
      <c r="AE90" s="170">
        <v>362859.22941657098</v>
      </c>
      <c r="AF90" s="170">
        <v>835790.649109366</v>
      </c>
      <c r="AG90" s="170">
        <v>2365043.1420457098</v>
      </c>
      <c r="AH90" s="170">
        <v>437671.22756371903</v>
      </c>
      <c r="AI90" s="170">
        <v>167942.22945245501</v>
      </c>
      <c r="AJ90" s="170">
        <v>140470.47249004201</v>
      </c>
      <c r="AK90" s="170">
        <v>205070.066354649</v>
      </c>
      <c r="AL90" s="170">
        <v>147426.142581511</v>
      </c>
      <c r="AM90" s="170">
        <v>6544.1293008663906</v>
      </c>
      <c r="AN90" s="171">
        <v>1838045992.4022529</v>
      </c>
      <c r="AO90" s="170">
        <v>5432259.16644309</v>
      </c>
      <c r="AP90" s="170">
        <v>129036366.01991101</v>
      </c>
      <c r="AQ90" s="170">
        <v>24622979.642784402</v>
      </c>
      <c r="AR90" s="171">
        <v>1997137597.2313914</v>
      </c>
      <c r="AS90" s="171">
        <v>23314898.214000002</v>
      </c>
    </row>
    <row r="91" spans="1:45" x14ac:dyDescent="0.2">
      <c r="A91" s="173"/>
      <c r="B91" s="174">
        <v>12</v>
      </c>
      <c r="C91" s="175">
        <v>589.99999999999898</v>
      </c>
      <c r="D91" s="175">
        <v>969617.86390953499</v>
      </c>
      <c r="E91" s="176">
        <v>1255960843.30178</v>
      </c>
      <c r="F91" s="176">
        <v>241943.16666666701</v>
      </c>
      <c r="G91" s="176">
        <v>24382020.599100098</v>
      </c>
      <c r="H91" s="176">
        <v>2647220.4126174501</v>
      </c>
      <c r="I91" s="176">
        <v>13864087.028807601</v>
      </c>
      <c r="J91" s="176">
        <v>1619216.0688660799</v>
      </c>
      <c r="K91" s="176">
        <v>228314011.19672674</v>
      </c>
      <c r="L91" s="176">
        <v>6326219.29510043</v>
      </c>
      <c r="M91" s="176">
        <v>243944547.23912504</v>
      </c>
      <c r="N91" s="176">
        <v>11549882.996648001</v>
      </c>
      <c r="O91" s="176">
        <v>152049716.98894921</v>
      </c>
      <c r="P91" s="176">
        <v>13655536.6254535</v>
      </c>
      <c r="Q91" s="176">
        <v>258338.51318967401</v>
      </c>
      <c r="R91" s="176">
        <v>76507165.186205089</v>
      </c>
      <c r="S91" s="176">
        <v>34437446.046231598</v>
      </c>
      <c r="T91" s="176">
        <v>6599.8424819294596</v>
      </c>
      <c r="U91" s="176"/>
      <c r="V91" s="176"/>
      <c r="W91" s="176">
        <v>13954103.4577618</v>
      </c>
      <c r="X91" s="176">
        <v>1746806.0224795199</v>
      </c>
      <c r="Y91" s="176">
        <v>3849600.5705012297</v>
      </c>
      <c r="Z91" s="176">
        <v>31966016.939004</v>
      </c>
      <c r="AA91" s="176">
        <v>8568431.5961532798</v>
      </c>
      <c r="AB91" s="176">
        <v>595306.25071602804</v>
      </c>
      <c r="AC91" s="176">
        <v>103932.49448498401</v>
      </c>
      <c r="AD91" s="176">
        <v>4500.1258249999901</v>
      </c>
      <c r="AE91" s="176">
        <v>366653.92256254901</v>
      </c>
      <c r="AF91" s="176">
        <v>844531.14346787194</v>
      </c>
      <c r="AG91" s="176">
        <v>2389776.1852577901</v>
      </c>
      <c r="AH91" s="176">
        <v>442248.28630382003</v>
      </c>
      <c r="AI91" s="176">
        <v>180388.74490952402</v>
      </c>
      <c r="AJ91" s="176">
        <v>155378.09010910199</v>
      </c>
      <c r="AK91" s="176">
        <v>194511.18445206599</v>
      </c>
      <c r="AL91" s="176">
        <v>155877.13055215499</v>
      </c>
      <c r="AM91" s="176">
        <v>6796.6091394919004</v>
      </c>
      <c r="AN91" s="177">
        <v>2132259861.1255386</v>
      </c>
      <c r="AO91" s="176">
        <v>5093975.0804881994</v>
      </c>
      <c r="AP91" s="176">
        <v>126518414.674815</v>
      </c>
      <c r="AQ91" s="176">
        <v>23977883.361441001</v>
      </c>
      <c r="AR91" s="177">
        <v>2287850134.2422829</v>
      </c>
      <c r="AS91" s="177">
        <v>24733324.942000002</v>
      </c>
    </row>
    <row r="93" spans="1:45" s="304" customFormat="1" x14ac:dyDescent="0.2">
      <c r="A93" s="304" t="s">
        <v>317</v>
      </c>
      <c r="B93" s="305">
        <f>SUM(C93:AS93)</f>
        <v>10449077215.241684</v>
      </c>
      <c r="E93" s="305">
        <f>SUM(E18:E28)</f>
        <v>10046181941.363493</v>
      </c>
      <c r="F93" s="305">
        <f t="shared" ref="F93:J93" si="0">SUM(F18:F28)</f>
        <v>2323096.833333333</v>
      </c>
      <c r="G93" s="305">
        <f t="shared" si="0"/>
        <v>218624822.1143131</v>
      </c>
      <c r="H93" s="305">
        <f t="shared" si="0"/>
        <v>24897559.479969379</v>
      </c>
      <c r="I93" s="305">
        <f t="shared" si="0"/>
        <v>122608607.58844332</v>
      </c>
      <c r="J93" s="305">
        <f t="shared" si="0"/>
        <v>15696274.544963891</v>
      </c>
      <c r="Q93" s="305">
        <f t="shared" ref="Q93" si="1">SUM(Q18:Q28)</f>
        <v>13306158.689422794</v>
      </c>
      <c r="T93" s="305">
        <f t="shared" ref="T93" si="2">SUM(T18:T28)</f>
        <v>3809018.5065605263</v>
      </c>
      <c r="AJ93" s="305">
        <f t="shared" ref="AJ93" si="3">SUM(AJ18:AJ28)</f>
        <v>1559392.1837498171</v>
      </c>
      <c r="AM93" s="305">
        <f t="shared" ref="AM93" si="4">SUM(AM18:AM28)</f>
        <v>70343.937434144696</v>
      </c>
    </row>
    <row r="94" spans="1:45" s="304" customFormat="1" x14ac:dyDescent="0.2">
      <c r="A94" s="304" t="s">
        <v>318</v>
      </c>
      <c r="B94" s="305">
        <f>SUM(C94:AS94)</f>
        <v>11272232726.180796</v>
      </c>
      <c r="E94" s="305">
        <f>SUM(E29:E40)</f>
        <v>10827384882.775105</v>
      </c>
      <c r="F94" s="305">
        <f t="shared" ref="F94:J94" si="5">SUM(F29:F40)</f>
        <v>2497350.833333333</v>
      </c>
      <c r="G94" s="305">
        <f t="shared" si="5"/>
        <v>239606965.00904211</v>
      </c>
      <c r="H94" s="305">
        <f t="shared" si="5"/>
        <v>27676010.907511722</v>
      </c>
      <c r="I94" s="305">
        <f t="shared" si="5"/>
        <v>136565125.01887771</v>
      </c>
      <c r="J94" s="305">
        <f t="shared" si="5"/>
        <v>17385582.49991519</v>
      </c>
      <c r="Q94" s="305">
        <f t="shared" ref="Q94" si="6">SUM(Q29:Q40)</f>
        <v>14637804.269834988</v>
      </c>
      <c r="T94" s="305">
        <f t="shared" ref="T94" si="7">SUM(T29:T40)</f>
        <v>4645537.4060924817</v>
      </c>
      <c r="AJ94" s="305">
        <f t="shared" ref="AJ94" si="8">SUM(AJ29:AJ40)</f>
        <v>1754563.1148266839</v>
      </c>
      <c r="AM94" s="305">
        <f t="shared" ref="AM94" si="9">SUM(AM29:AM40)</f>
        <v>78904.346256224235</v>
      </c>
    </row>
  </sheetData>
  <printOptions horizontalCentered="1"/>
  <pageMargins left="0.75" right="0.75" top="1" bottom="1" header="0.5" footer="0.5"/>
  <pageSetup scale="48" fitToWidth="6" orientation="landscape" cellComments="asDisplayed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workbookViewId="0">
      <pane ySplit="4" topLeftCell="A5" activePane="bottomLeft" state="frozen"/>
      <selection activeCell="A3" sqref="A3:C3"/>
      <selection pane="bottomLeft" activeCell="F25" sqref="F25"/>
    </sheetView>
  </sheetViews>
  <sheetFormatPr defaultColWidth="9.140625" defaultRowHeight="11.25" x14ac:dyDescent="0.2"/>
  <cols>
    <col min="1" max="1" width="4" style="68" bestFit="1" customWidth="1"/>
    <col min="2" max="2" width="48.28515625" style="68" bestFit="1" customWidth="1"/>
    <col min="3" max="3" width="1.85546875" style="68" bestFit="1" customWidth="1"/>
    <col min="4" max="4" width="25" style="68" bestFit="1" customWidth="1"/>
    <col min="5" max="5" width="10.28515625" style="68" bestFit="1" customWidth="1"/>
    <col min="6" max="6" width="10.5703125" style="68" bestFit="1" customWidth="1"/>
    <col min="7" max="7" width="10" style="68" bestFit="1" customWidth="1"/>
    <col min="8" max="8" width="9.5703125" style="68" bestFit="1" customWidth="1"/>
    <col min="9" max="9" width="12.85546875" style="68" bestFit="1" customWidth="1"/>
    <col min="10" max="10" width="9.85546875" style="68" bestFit="1" customWidth="1"/>
    <col min="11" max="11" width="8.5703125" style="68" bestFit="1" customWidth="1"/>
    <col min="12" max="12" width="9.140625" style="68" bestFit="1" customWidth="1"/>
    <col min="13" max="13" width="8.7109375" style="68" bestFit="1" customWidth="1"/>
    <col min="14" max="14" width="10.5703125" style="68" bestFit="1" customWidth="1"/>
    <col min="15" max="16" width="8.5703125" style="68" bestFit="1" customWidth="1"/>
    <col min="17" max="16384" width="9.140625" style="68"/>
  </cols>
  <sheetData>
    <row r="1" spans="1:16" x14ac:dyDescent="0.2">
      <c r="A1" s="348" t="str">
        <f>'Sch 194 Summary'!A1:D1</f>
        <v>Puget Sound Energy</v>
      </c>
      <c r="B1" s="349"/>
      <c r="C1" s="349"/>
      <c r="D1" s="349"/>
      <c r="E1" s="349"/>
      <c r="H1" s="243" t="s">
        <v>314</v>
      </c>
      <c r="I1" s="246"/>
      <c r="J1" s="240"/>
      <c r="K1" s="242"/>
    </row>
    <row r="2" spans="1:16" x14ac:dyDescent="0.2">
      <c r="A2" s="348" t="str">
        <f>'Sch 194 Summary'!A2:D2</f>
        <v>Proposed Schedule 194</v>
      </c>
      <c r="B2" s="349"/>
      <c r="C2" s="349"/>
      <c r="D2" s="349"/>
      <c r="E2" s="349"/>
    </row>
    <row r="3" spans="1:16" x14ac:dyDescent="0.2">
      <c r="A3" s="350" t="s">
        <v>227</v>
      </c>
      <c r="B3" s="351"/>
      <c r="C3" s="351"/>
      <c r="D3" s="351"/>
      <c r="E3" s="351"/>
    </row>
    <row r="4" spans="1:16" x14ac:dyDescent="0.2">
      <c r="A4" s="348" t="str">
        <f>'Sch 194 Summary'!A3:D3</f>
        <v>BPA Residential and Farm Energy Exchange Benefits</v>
      </c>
      <c r="B4" s="349"/>
      <c r="C4" s="349"/>
      <c r="D4" s="349"/>
      <c r="E4" s="349"/>
    </row>
    <row r="5" spans="1:16" x14ac:dyDescent="0.2">
      <c r="A5" s="239"/>
      <c r="B5" s="240" t="s">
        <v>231</v>
      </c>
      <c r="C5" s="240"/>
      <c r="D5" s="241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3"/>
    </row>
    <row r="6" spans="1:16" x14ac:dyDescent="0.2">
      <c r="A6" s="239" t="s">
        <v>232</v>
      </c>
      <c r="B6" s="244" t="s">
        <v>233</v>
      </c>
      <c r="C6" s="245"/>
      <c r="D6" s="241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</row>
    <row r="7" spans="1:16" x14ac:dyDescent="0.2">
      <c r="A7" s="239" t="s">
        <v>234</v>
      </c>
      <c r="B7" s="243"/>
      <c r="C7" s="246"/>
      <c r="D7" s="240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</row>
    <row r="8" spans="1:16" x14ac:dyDescent="0.2">
      <c r="A8" s="239"/>
      <c r="B8" s="247" t="s">
        <v>235</v>
      </c>
      <c r="C8" s="247"/>
      <c r="D8" s="248"/>
      <c r="E8" s="248"/>
      <c r="F8" s="249">
        <v>2022</v>
      </c>
      <c r="G8" s="249">
        <v>2023</v>
      </c>
      <c r="H8" s="248" t="s">
        <v>62</v>
      </c>
      <c r="I8" s="248"/>
      <c r="J8" s="248"/>
      <c r="K8" s="248"/>
      <c r="L8" s="248" t="s">
        <v>236</v>
      </c>
      <c r="M8" s="248" t="s">
        <v>237</v>
      </c>
      <c r="N8" s="248" t="s">
        <v>236</v>
      </c>
      <c r="O8" s="248" t="s">
        <v>236</v>
      </c>
      <c r="P8" s="248" t="s">
        <v>236</v>
      </c>
    </row>
    <row r="9" spans="1:16" x14ac:dyDescent="0.2">
      <c r="A9" s="239"/>
      <c r="B9" s="243"/>
      <c r="C9" s="243"/>
      <c r="D9" s="248"/>
      <c r="E9" s="248" t="s">
        <v>238</v>
      </c>
      <c r="F9" s="248" t="s">
        <v>239</v>
      </c>
      <c r="G9" s="248" t="s">
        <v>239</v>
      </c>
      <c r="H9" s="248" t="s">
        <v>239</v>
      </c>
      <c r="I9" s="248" t="s">
        <v>240</v>
      </c>
      <c r="J9" s="248" t="s">
        <v>241</v>
      </c>
      <c r="K9" s="248" t="s">
        <v>237</v>
      </c>
      <c r="L9" s="248" t="s">
        <v>242</v>
      </c>
      <c r="M9" s="248" t="s">
        <v>243</v>
      </c>
      <c r="N9" s="250" t="s">
        <v>244</v>
      </c>
      <c r="O9" s="248" t="s">
        <v>245</v>
      </c>
      <c r="P9" s="248" t="s">
        <v>246</v>
      </c>
    </row>
    <row r="10" spans="1:16" x14ac:dyDescent="0.2">
      <c r="A10" s="239"/>
      <c r="B10" s="243"/>
      <c r="C10" s="243"/>
      <c r="D10" s="248" t="s">
        <v>247</v>
      </c>
      <c r="E10" s="248" t="s">
        <v>248</v>
      </c>
      <c r="F10" s="248" t="s">
        <v>249</v>
      </c>
      <c r="G10" s="248" t="s">
        <v>249</v>
      </c>
      <c r="H10" s="248" t="s">
        <v>249</v>
      </c>
      <c r="I10" s="248" t="s">
        <v>250</v>
      </c>
      <c r="J10" s="248" t="s">
        <v>251</v>
      </c>
      <c r="K10" s="248" t="s">
        <v>251</v>
      </c>
      <c r="L10" s="248" t="s">
        <v>252</v>
      </c>
      <c r="M10" s="248" t="s">
        <v>252</v>
      </c>
      <c r="N10" s="248" t="s">
        <v>253</v>
      </c>
      <c r="O10" s="248" t="s">
        <v>248</v>
      </c>
      <c r="P10" s="248" t="s">
        <v>250</v>
      </c>
    </row>
    <row r="11" spans="1:16" x14ac:dyDescent="0.2">
      <c r="A11" s="239"/>
      <c r="B11" s="251"/>
      <c r="C11" s="251"/>
      <c r="D11" s="252" t="s">
        <v>254</v>
      </c>
      <c r="E11" s="252" t="s">
        <v>255</v>
      </c>
      <c r="F11" s="252" t="s">
        <v>256</v>
      </c>
      <c r="G11" s="252" t="s">
        <v>257</v>
      </c>
      <c r="H11" s="252" t="s">
        <v>258</v>
      </c>
      <c r="I11" s="252" t="s">
        <v>259</v>
      </c>
      <c r="J11" s="252" t="s">
        <v>260</v>
      </c>
      <c r="K11" s="252" t="s">
        <v>261</v>
      </c>
      <c r="L11" s="252" t="s">
        <v>262</v>
      </c>
      <c r="M11" s="252" t="s">
        <v>263</v>
      </c>
      <c r="N11" s="252" t="s">
        <v>264</v>
      </c>
      <c r="O11" s="252" t="s">
        <v>265</v>
      </c>
      <c r="P11" s="252" t="s">
        <v>266</v>
      </c>
    </row>
    <row r="12" spans="1:16" x14ac:dyDescent="0.2">
      <c r="A12" s="239"/>
      <c r="B12" s="243" t="s">
        <v>148</v>
      </c>
      <c r="C12" s="243">
        <v>1</v>
      </c>
      <c r="D12" s="243">
        <v>62.93</v>
      </c>
      <c r="E12" s="253">
        <v>49.542532000000001</v>
      </c>
      <c r="F12" s="254">
        <v>3971.4598799999999</v>
      </c>
      <c r="G12" s="254">
        <v>3971.4598799999999</v>
      </c>
      <c r="H12" s="254">
        <v>3971.4598799999999</v>
      </c>
      <c r="I12" s="255">
        <v>53167.79205678383</v>
      </c>
      <c r="J12" s="243"/>
      <c r="K12" s="243"/>
      <c r="L12" s="255">
        <v>35222.455332884689</v>
      </c>
      <c r="M12" s="46">
        <v>0</v>
      </c>
      <c r="N12" s="253">
        <v>8.8688936555201181</v>
      </c>
      <c r="O12" s="253">
        <v>58.411425655520119</v>
      </c>
      <c r="P12" s="255">
        <v>17945.336723899145</v>
      </c>
    </row>
    <row r="13" spans="1:16" x14ac:dyDescent="0.2">
      <c r="A13" s="243"/>
      <c r="B13" s="243" t="s">
        <v>149</v>
      </c>
      <c r="C13" s="243">
        <v>1</v>
      </c>
      <c r="D13" s="243">
        <v>58.17</v>
      </c>
      <c r="E13" s="253">
        <v>49.542532000000001</v>
      </c>
      <c r="F13" s="254">
        <v>6857.0739599999997</v>
      </c>
      <c r="G13" s="254">
        <v>6857.0739599999997</v>
      </c>
      <c r="H13" s="254">
        <v>6857.0739599999997</v>
      </c>
      <c r="I13" s="255">
        <v>59159.186163533283</v>
      </c>
      <c r="J13" s="243"/>
      <c r="K13" s="243"/>
      <c r="L13" s="255">
        <v>39191.617924427075</v>
      </c>
      <c r="M13" s="46">
        <v>0</v>
      </c>
      <c r="N13" s="253">
        <v>5.7155017071490182</v>
      </c>
      <c r="O13" s="253">
        <v>55.258033707149018</v>
      </c>
      <c r="P13" s="255">
        <v>19967.568239106215</v>
      </c>
    </row>
    <row r="14" spans="1:16" x14ac:dyDescent="0.2">
      <c r="A14" s="243"/>
      <c r="B14" s="243" t="s">
        <v>150</v>
      </c>
      <c r="C14" s="243">
        <v>1</v>
      </c>
      <c r="D14" s="243">
        <v>68.34</v>
      </c>
      <c r="E14" s="253">
        <v>49.542532000000001</v>
      </c>
      <c r="F14" s="254">
        <v>714.12396000000001</v>
      </c>
      <c r="G14" s="254">
        <v>714.12396000000001</v>
      </c>
      <c r="H14" s="254">
        <v>714.12396000000001</v>
      </c>
      <c r="I14" s="255">
        <v>13423.722286133281</v>
      </c>
      <c r="J14" s="243"/>
      <c r="K14" s="243"/>
      <c r="L14" s="255">
        <v>8892.9112971139493</v>
      </c>
      <c r="M14" s="46">
        <v>0</v>
      </c>
      <c r="N14" s="253">
        <v>12.452895848941896</v>
      </c>
      <c r="O14" s="253">
        <v>61.995427848941901</v>
      </c>
      <c r="P14" s="255">
        <v>4530.81098901933</v>
      </c>
    </row>
    <row r="15" spans="1:16" x14ac:dyDescent="0.2">
      <c r="A15" s="243"/>
      <c r="B15" s="243" t="s">
        <v>151</v>
      </c>
      <c r="C15" s="243">
        <v>1</v>
      </c>
      <c r="D15" s="243">
        <v>77.61</v>
      </c>
      <c r="E15" s="253">
        <v>49.542532000000001</v>
      </c>
      <c r="F15" s="254">
        <v>9147.1569599999984</v>
      </c>
      <c r="G15" s="254">
        <v>9147.1569599999984</v>
      </c>
      <c r="H15" s="254">
        <v>9147.1569599999984</v>
      </c>
      <c r="I15" s="255">
        <v>256737.53526577723</v>
      </c>
      <c r="J15" s="243"/>
      <c r="K15" s="243"/>
      <c r="L15" s="255">
        <v>170082.78919154275</v>
      </c>
      <c r="M15" s="46">
        <v>0</v>
      </c>
      <c r="N15" s="253">
        <v>18.594060420664604</v>
      </c>
      <c r="O15" s="253">
        <v>68.136592420664613</v>
      </c>
      <c r="P15" s="255">
        <v>86654.746074234426</v>
      </c>
    </row>
    <row r="16" spans="1:16" x14ac:dyDescent="0.2">
      <c r="A16" s="243"/>
      <c r="B16" s="243" t="s">
        <v>152</v>
      </c>
      <c r="C16" s="243">
        <v>1</v>
      </c>
      <c r="D16" s="243">
        <v>70.09</v>
      </c>
      <c r="E16" s="253">
        <v>49.542532000000001</v>
      </c>
      <c r="F16" s="256">
        <v>8412.7886400000007</v>
      </c>
      <c r="G16" s="256">
        <v>8412.7886400000007</v>
      </c>
      <c r="H16" s="256">
        <v>8412.7886400000007</v>
      </c>
      <c r="I16" s="255">
        <v>172861.50537116354</v>
      </c>
      <c r="J16" s="243"/>
      <c r="K16" s="243"/>
      <c r="L16" s="255">
        <v>114516.82336570061</v>
      </c>
      <c r="M16" s="46">
        <v>0</v>
      </c>
      <c r="N16" s="253">
        <v>13.612231124078329</v>
      </c>
      <c r="O16" s="253">
        <v>63.154763124078329</v>
      </c>
      <c r="P16" s="255">
        <v>58344.682005462957</v>
      </c>
    </row>
    <row r="17" spans="1:16" x14ac:dyDescent="0.2">
      <c r="A17" s="243"/>
      <c r="B17" s="243" t="s">
        <v>153</v>
      </c>
      <c r="C17" s="243">
        <v>1</v>
      </c>
      <c r="D17" s="243">
        <v>67.28</v>
      </c>
      <c r="E17" s="253">
        <v>49.542532000000001</v>
      </c>
      <c r="F17" s="254">
        <v>11952.44184</v>
      </c>
      <c r="G17" s="254">
        <v>11952.44184</v>
      </c>
      <c r="H17" s="254">
        <v>11952.44184</v>
      </c>
      <c r="I17" s="255">
        <v>212006.0546588611</v>
      </c>
      <c r="J17" s="243"/>
      <c r="K17" s="243"/>
      <c r="L17" s="255">
        <v>140449.19869058323</v>
      </c>
      <c r="M17" s="46">
        <v>0</v>
      </c>
      <c r="N17" s="253">
        <v>11.750669910859255</v>
      </c>
      <c r="O17" s="253">
        <v>61.293201910859253</v>
      </c>
      <c r="P17" s="255">
        <v>71556.855968277931</v>
      </c>
    </row>
    <row r="18" spans="1:16" x14ac:dyDescent="0.2">
      <c r="A18" s="243"/>
      <c r="B18" s="257" t="s">
        <v>154</v>
      </c>
      <c r="C18" s="257">
        <v>0</v>
      </c>
      <c r="D18" s="257">
        <v>0</v>
      </c>
      <c r="E18" s="258">
        <v>0</v>
      </c>
      <c r="F18" s="259">
        <v>0</v>
      </c>
      <c r="G18" s="259">
        <v>0</v>
      </c>
      <c r="H18" s="259">
        <v>0</v>
      </c>
      <c r="I18" s="260">
        <v>0</v>
      </c>
      <c r="J18" s="257"/>
      <c r="K18" s="257"/>
      <c r="L18" s="260">
        <v>0</v>
      </c>
      <c r="M18" s="257"/>
      <c r="N18" s="258">
        <v>0</v>
      </c>
      <c r="O18" s="258">
        <v>0</v>
      </c>
      <c r="P18" s="260">
        <v>0</v>
      </c>
    </row>
    <row r="19" spans="1:16" x14ac:dyDescent="0.2">
      <c r="A19" s="243"/>
      <c r="B19" s="243" t="s">
        <v>155</v>
      </c>
      <c r="C19" s="243">
        <v>0</v>
      </c>
      <c r="D19" s="243">
        <v>0</v>
      </c>
      <c r="E19" s="261">
        <v>0</v>
      </c>
      <c r="F19" s="254">
        <v>0</v>
      </c>
      <c r="G19" s="254">
        <v>0</v>
      </c>
      <c r="H19" s="254">
        <v>0</v>
      </c>
      <c r="I19" s="46">
        <v>0</v>
      </c>
      <c r="J19" s="243"/>
      <c r="K19" s="243"/>
      <c r="L19" s="46">
        <v>0</v>
      </c>
      <c r="M19" s="243"/>
      <c r="N19" s="261">
        <v>0</v>
      </c>
      <c r="O19" s="261">
        <v>0</v>
      </c>
      <c r="P19" s="46">
        <v>0</v>
      </c>
    </row>
    <row r="20" spans="1:16" x14ac:dyDescent="0.2">
      <c r="A20" s="243"/>
      <c r="B20" s="243" t="s">
        <v>156</v>
      </c>
      <c r="C20" s="243">
        <v>1</v>
      </c>
      <c r="D20" s="261">
        <v>55.83</v>
      </c>
      <c r="E20" s="253">
        <v>49.717416</v>
      </c>
      <c r="F20" s="254">
        <v>3714.5686102874629</v>
      </c>
      <c r="G20" s="254">
        <v>3730.5686399999995</v>
      </c>
      <c r="H20" s="254">
        <v>3722.568625143731</v>
      </c>
      <c r="I20" s="255">
        <v>22754.51341695556</v>
      </c>
      <c r="J20" s="243"/>
      <c r="K20" s="243"/>
      <c r="L20" s="255">
        <v>15074.348613052491</v>
      </c>
      <c r="M20" s="243"/>
      <c r="N20" s="253">
        <v>4.0494481448197508</v>
      </c>
      <c r="O20" s="253">
        <v>53.766864144819749</v>
      </c>
      <c r="P20" s="255">
        <v>7680.1648039030761</v>
      </c>
    </row>
    <row r="21" spans="1:16" x14ac:dyDescent="0.2">
      <c r="A21" s="243"/>
      <c r="B21" s="262" t="s">
        <v>14</v>
      </c>
      <c r="C21" s="262"/>
      <c r="D21" s="262"/>
      <c r="E21" s="262"/>
      <c r="F21" s="263">
        <v>44769.61385028746</v>
      </c>
      <c r="G21" s="263">
        <v>44785.613879999997</v>
      </c>
      <c r="H21" s="263">
        <v>44777.613865143729</v>
      </c>
      <c r="I21" s="264">
        <v>790110.30921920796</v>
      </c>
      <c r="J21" s="265">
        <v>259000</v>
      </c>
      <c r="K21" s="265">
        <v>0</v>
      </c>
      <c r="L21" s="264">
        <v>523430.14441530488</v>
      </c>
      <c r="M21" s="265">
        <v>0</v>
      </c>
      <c r="N21" s="262"/>
      <c r="O21" s="262"/>
      <c r="P21" s="264">
        <v>266680.16480390308</v>
      </c>
    </row>
    <row r="22" spans="1:16" x14ac:dyDescent="0.2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</row>
    <row r="23" spans="1:16" x14ac:dyDescent="0.2">
      <c r="A23" s="243"/>
      <c r="B23" s="266" t="s">
        <v>267</v>
      </c>
      <c r="C23" s="267">
        <v>2</v>
      </c>
      <c r="D23" s="268" t="s">
        <v>268</v>
      </c>
      <c r="E23" s="269">
        <v>-947.53119998495094</v>
      </c>
      <c r="F23" s="243"/>
      <c r="G23" s="243"/>
      <c r="H23" s="270" t="s">
        <v>269</v>
      </c>
      <c r="I23" s="271">
        <v>767355.79580225237</v>
      </c>
      <c r="J23" s="265">
        <v>259000</v>
      </c>
      <c r="K23" s="265">
        <v>259000</v>
      </c>
      <c r="L23" s="272">
        <v>508355.79580225237</v>
      </c>
      <c r="M23" s="243" t="s">
        <v>270</v>
      </c>
      <c r="N23" s="243"/>
      <c r="O23" s="243" t="s">
        <v>271</v>
      </c>
      <c r="P23" s="273">
        <v>259000</v>
      </c>
    </row>
    <row r="24" spans="1:16" x14ac:dyDescent="0.2">
      <c r="A24" s="243"/>
      <c r="B24" s="243"/>
      <c r="C24" s="243"/>
      <c r="D24" s="243"/>
      <c r="E24" s="243"/>
      <c r="F24" s="243"/>
      <c r="G24" s="243"/>
      <c r="H24" s="270" t="s">
        <v>272</v>
      </c>
      <c r="I24" s="274">
        <v>22754.51341695556</v>
      </c>
      <c r="J24" s="275"/>
      <c r="K24" s="276">
        <v>7680.1648039030697</v>
      </c>
      <c r="L24" s="277">
        <v>15074.348613052491</v>
      </c>
      <c r="M24" s="243" t="s">
        <v>273</v>
      </c>
      <c r="N24" s="243"/>
      <c r="O24" s="243" t="s">
        <v>274</v>
      </c>
      <c r="P24" s="278">
        <v>7680.1648039030761</v>
      </c>
    </row>
    <row r="25" spans="1:16" x14ac:dyDescent="0.2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</row>
    <row r="26" spans="1:16" ht="12" thickBot="1" x14ac:dyDescent="0.25">
      <c r="A26" s="243"/>
      <c r="B26" s="247" t="s">
        <v>275</v>
      </c>
      <c r="C26" s="247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</row>
    <row r="27" spans="1:16" x14ac:dyDescent="0.2">
      <c r="A27" s="243"/>
      <c r="B27" s="243"/>
      <c r="C27" s="243"/>
      <c r="D27" s="250" t="s">
        <v>236</v>
      </c>
      <c r="E27" s="279"/>
      <c r="F27" s="279"/>
      <c r="G27" s="279"/>
      <c r="H27" s="250" t="s">
        <v>276</v>
      </c>
      <c r="I27" s="250" t="s">
        <v>276</v>
      </c>
      <c r="J27" s="250" t="s">
        <v>276</v>
      </c>
      <c r="K27" s="250"/>
      <c r="L27" s="250" t="s">
        <v>276</v>
      </c>
      <c r="M27" s="279"/>
      <c r="N27" s="310"/>
      <c r="O27" s="311">
        <v>2022</v>
      </c>
      <c r="P27" s="312">
        <v>2023</v>
      </c>
    </row>
    <row r="28" spans="1:16" x14ac:dyDescent="0.2">
      <c r="A28" s="243"/>
      <c r="B28" s="243"/>
      <c r="C28" s="243"/>
      <c r="D28" s="250" t="s">
        <v>246</v>
      </c>
      <c r="E28" s="250" t="s">
        <v>277</v>
      </c>
      <c r="F28" s="250" t="s">
        <v>278</v>
      </c>
      <c r="G28" s="250" t="s">
        <v>279</v>
      </c>
      <c r="H28" s="250" t="s">
        <v>242</v>
      </c>
      <c r="I28" s="250" t="s">
        <v>244</v>
      </c>
      <c r="J28" s="250" t="s">
        <v>245</v>
      </c>
      <c r="K28" s="250"/>
      <c r="L28" s="250" t="s">
        <v>246</v>
      </c>
      <c r="M28" s="279"/>
      <c r="N28" s="313"/>
      <c r="O28" s="308" t="s">
        <v>246</v>
      </c>
      <c r="P28" s="314" t="s">
        <v>246</v>
      </c>
    </row>
    <row r="29" spans="1:16" x14ac:dyDescent="0.2">
      <c r="A29" s="243"/>
      <c r="B29" s="243"/>
      <c r="C29" s="243"/>
      <c r="D29" s="250" t="s">
        <v>250</v>
      </c>
      <c r="E29" s="250" t="s">
        <v>280</v>
      </c>
      <c r="F29" s="250" t="s">
        <v>280</v>
      </c>
      <c r="G29" s="250" t="s">
        <v>250</v>
      </c>
      <c r="H29" s="250" t="s">
        <v>252</v>
      </c>
      <c r="I29" s="250" t="s">
        <v>253</v>
      </c>
      <c r="J29" s="250" t="s">
        <v>248</v>
      </c>
      <c r="K29" s="250"/>
      <c r="L29" s="250" t="s">
        <v>250</v>
      </c>
      <c r="M29" s="279"/>
      <c r="N29" s="313"/>
      <c r="O29" s="308" t="s">
        <v>250</v>
      </c>
      <c r="P29" s="314" t="s">
        <v>250</v>
      </c>
    </row>
    <row r="30" spans="1:16" x14ac:dyDescent="0.2">
      <c r="A30" s="243"/>
      <c r="B30" s="251"/>
      <c r="C30" s="251"/>
      <c r="D30" s="280" t="s">
        <v>281</v>
      </c>
      <c r="E30" s="280" t="s">
        <v>282</v>
      </c>
      <c r="F30" s="280" t="s">
        <v>283</v>
      </c>
      <c r="G30" s="280" t="s">
        <v>284</v>
      </c>
      <c r="H30" s="280" t="s">
        <v>285</v>
      </c>
      <c r="I30" s="280" t="s">
        <v>286</v>
      </c>
      <c r="J30" s="280" t="s">
        <v>287</v>
      </c>
      <c r="K30" s="280"/>
      <c r="L30" s="280" t="s">
        <v>288</v>
      </c>
      <c r="M30" s="279"/>
      <c r="N30" s="313"/>
      <c r="O30" s="309" t="s">
        <v>289</v>
      </c>
      <c r="P30" s="315" t="s">
        <v>290</v>
      </c>
    </row>
    <row r="31" spans="1:16" x14ac:dyDescent="0.2">
      <c r="A31" s="243"/>
      <c r="B31" s="243" t="s">
        <v>148</v>
      </c>
      <c r="C31" s="243"/>
      <c r="D31" s="255">
        <v>17945.336723899145</v>
      </c>
      <c r="E31" s="46">
        <v>2004.778</v>
      </c>
      <c r="F31" s="273">
        <v>0</v>
      </c>
      <c r="G31" s="278">
        <v>15940.558723899145</v>
      </c>
      <c r="H31" s="278">
        <v>37227.233332884687</v>
      </c>
      <c r="I31" s="253">
        <v>9.3736898918099332</v>
      </c>
      <c r="J31" s="281">
        <v>58.92</v>
      </c>
      <c r="K31" s="243"/>
      <c r="L31" s="278">
        <v>15925.554118799992</v>
      </c>
      <c r="M31" s="243"/>
      <c r="N31" s="316" t="s">
        <v>291</v>
      </c>
      <c r="O31" s="278">
        <v>15925.554118799992</v>
      </c>
      <c r="P31" s="317">
        <v>15925.554118799992</v>
      </c>
    </row>
    <row r="32" spans="1:16" x14ac:dyDescent="0.2">
      <c r="A32" s="243"/>
      <c r="B32" s="243" t="s">
        <v>149</v>
      </c>
      <c r="C32" s="243"/>
      <c r="D32" s="255">
        <v>19967.568239106215</v>
      </c>
      <c r="E32" s="46">
        <v>0</v>
      </c>
      <c r="F32" s="273">
        <v>0</v>
      </c>
      <c r="G32" s="278">
        <v>19967.568239106215</v>
      </c>
      <c r="H32" s="278">
        <v>39191.617924427068</v>
      </c>
      <c r="I32" s="253">
        <v>5.7155017071490173</v>
      </c>
      <c r="J32" s="281">
        <v>55.26</v>
      </c>
      <c r="K32" s="243"/>
      <c r="L32" s="278">
        <v>19954.085223600025</v>
      </c>
      <c r="M32" s="243"/>
      <c r="N32" s="316" t="s">
        <v>292</v>
      </c>
      <c r="O32" s="278">
        <v>19954.085223600025</v>
      </c>
      <c r="P32" s="317">
        <v>19954.085223600025</v>
      </c>
    </row>
    <row r="33" spans="1:16" x14ac:dyDescent="0.2">
      <c r="A33" s="243"/>
      <c r="B33" s="243" t="s">
        <v>150</v>
      </c>
      <c r="C33" s="243"/>
      <c r="D33" s="255">
        <v>4530.81098901933</v>
      </c>
      <c r="E33" s="46">
        <v>0</v>
      </c>
      <c r="F33" s="278">
        <v>67.567592644389535</v>
      </c>
      <c r="G33" s="278">
        <v>4598.3785816637192</v>
      </c>
      <c r="H33" s="278">
        <v>8825.343704469562</v>
      </c>
      <c r="I33" s="253">
        <v>12.35827979286616</v>
      </c>
      <c r="J33" s="281">
        <v>61.9</v>
      </c>
      <c r="K33" s="243"/>
      <c r="L33" s="278">
        <v>4598.958302400004</v>
      </c>
      <c r="M33" s="243"/>
      <c r="N33" s="316" t="s">
        <v>293</v>
      </c>
      <c r="O33" s="278">
        <v>4598.958302400004</v>
      </c>
      <c r="P33" s="317">
        <v>4598.958302400004</v>
      </c>
    </row>
    <row r="34" spans="1:16" x14ac:dyDescent="0.2">
      <c r="A34" s="243"/>
      <c r="B34" s="243" t="s">
        <v>151</v>
      </c>
      <c r="C34" s="243"/>
      <c r="D34" s="255">
        <v>86654.746074234426</v>
      </c>
      <c r="E34" s="46">
        <v>0</v>
      </c>
      <c r="F34" s="273">
        <v>0</v>
      </c>
      <c r="G34" s="278">
        <v>86654.746074234426</v>
      </c>
      <c r="H34" s="278">
        <v>170082.7891915428</v>
      </c>
      <c r="I34" s="253">
        <v>18.594060420664611</v>
      </c>
      <c r="J34" s="281">
        <v>68.14</v>
      </c>
      <c r="K34" s="243"/>
      <c r="L34" s="278">
        <v>86623.576411199974</v>
      </c>
      <c r="M34" s="243"/>
      <c r="N34" s="316" t="s">
        <v>151</v>
      </c>
      <c r="O34" s="278">
        <v>86623.576411199974</v>
      </c>
      <c r="P34" s="317">
        <v>86623.576411199974</v>
      </c>
    </row>
    <row r="35" spans="1:16" x14ac:dyDescent="0.2">
      <c r="A35" s="243"/>
      <c r="B35" s="243" t="s">
        <v>152</v>
      </c>
      <c r="C35" s="243"/>
      <c r="D35" s="255">
        <v>58344.682005462957</v>
      </c>
      <c r="E35" s="46">
        <v>0</v>
      </c>
      <c r="F35" s="278">
        <v>870.08919954191936</v>
      </c>
      <c r="G35" s="278">
        <v>59214.771205004879</v>
      </c>
      <c r="H35" s="278">
        <v>113646.73416615865</v>
      </c>
      <c r="I35" s="253">
        <v>13.508806536016653</v>
      </c>
      <c r="J35" s="281">
        <v>63.05</v>
      </c>
      <c r="K35" s="243"/>
      <c r="L35" s="278">
        <v>59226.032025600056</v>
      </c>
      <c r="M35" s="243"/>
      <c r="N35" s="316" t="s">
        <v>294</v>
      </c>
      <c r="O35" s="278">
        <v>59226.032025600056</v>
      </c>
      <c r="P35" s="317">
        <v>59226.032025600056</v>
      </c>
    </row>
    <row r="36" spans="1:16" x14ac:dyDescent="0.2">
      <c r="A36" s="243"/>
      <c r="B36" s="243" t="s">
        <v>153</v>
      </c>
      <c r="C36" s="243"/>
      <c r="D36" s="255">
        <v>71556.855968277931</v>
      </c>
      <c r="E36" s="46">
        <v>0</v>
      </c>
      <c r="F36" s="278">
        <v>1067.1212078136912</v>
      </c>
      <c r="G36" s="278">
        <v>72623.977176091619</v>
      </c>
      <c r="H36" s="278">
        <v>139382.0774827695</v>
      </c>
      <c r="I36" s="253">
        <v>11.661389308443562</v>
      </c>
      <c r="J36" s="281">
        <v>61.2</v>
      </c>
      <c r="K36" s="243"/>
      <c r="L36" s="278">
        <v>72670.84638719997</v>
      </c>
      <c r="M36" s="243"/>
      <c r="N36" s="318" t="s">
        <v>295</v>
      </c>
      <c r="O36" s="303">
        <v>72670.84638719997</v>
      </c>
      <c r="P36" s="319">
        <v>72670.84638719997</v>
      </c>
    </row>
    <row r="37" spans="1:16" ht="12" thickBot="1" x14ac:dyDescent="0.25">
      <c r="A37" s="243"/>
      <c r="B37" s="243" t="s">
        <v>14</v>
      </c>
      <c r="C37" s="243"/>
      <c r="D37" s="282">
        <v>259000</v>
      </c>
      <c r="E37" s="282">
        <v>2004.778</v>
      </c>
      <c r="F37" s="282">
        <v>2004.778</v>
      </c>
      <c r="G37" s="264">
        <v>259000</v>
      </c>
      <c r="H37" s="264">
        <v>508355.79580225225</v>
      </c>
      <c r="I37" s="282"/>
      <c r="J37" s="282"/>
      <c r="K37" s="282"/>
      <c r="L37" s="264">
        <v>258999.05246880002</v>
      </c>
      <c r="M37" s="243"/>
      <c r="N37" s="320" t="s">
        <v>271</v>
      </c>
      <c r="O37" s="321">
        <v>258999.05246880002</v>
      </c>
      <c r="P37" s="322">
        <v>258999.05246880002</v>
      </c>
    </row>
    <row r="38" spans="1:16" x14ac:dyDescent="0.2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</row>
    <row r="39" spans="1:16" x14ac:dyDescent="0.2">
      <c r="A39" s="24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 t="s">
        <v>296</v>
      </c>
      <c r="O39" s="273">
        <v>0</v>
      </c>
      <c r="P39" s="273">
        <v>0</v>
      </c>
    </row>
    <row r="40" spans="1:16" x14ac:dyDescent="0.2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 t="s">
        <v>155</v>
      </c>
      <c r="O40" s="273">
        <v>0</v>
      </c>
      <c r="P40" s="273">
        <v>0</v>
      </c>
    </row>
    <row r="41" spans="1:16" x14ac:dyDescent="0.2">
      <c r="A41" s="243"/>
      <c r="B41" s="247" t="s">
        <v>297</v>
      </c>
      <c r="C41" s="247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 t="s">
        <v>298</v>
      </c>
      <c r="O41" s="278">
        <v>7663.6596864111343</v>
      </c>
      <c r="P41" s="278">
        <v>7696.6699213950187</v>
      </c>
    </row>
    <row r="42" spans="1:16" x14ac:dyDescent="0.2">
      <c r="A42" s="243"/>
      <c r="B42" s="243"/>
      <c r="C42" s="243"/>
      <c r="D42" s="283" t="s">
        <v>291</v>
      </c>
      <c r="E42" s="283" t="s">
        <v>309</v>
      </c>
      <c r="F42" s="283" t="s">
        <v>293</v>
      </c>
      <c r="G42" s="283" t="s">
        <v>151</v>
      </c>
      <c r="H42" s="283" t="s">
        <v>294</v>
      </c>
      <c r="I42" s="283" t="s">
        <v>295</v>
      </c>
      <c r="J42" s="284" t="s">
        <v>14</v>
      </c>
      <c r="K42" s="243"/>
      <c r="L42" s="243"/>
      <c r="M42" s="243"/>
      <c r="N42" s="243" t="s">
        <v>274</v>
      </c>
      <c r="O42" s="264">
        <v>7663.6596864111343</v>
      </c>
      <c r="P42" s="264">
        <v>7696.6699213950187</v>
      </c>
    </row>
    <row r="43" spans="1:16" x14ac:dyDescent="0.2">
      <c r="A43" s="243"/>
      <c r="B43" s="243"/>
      <c r="C43" s="243"/>
      <c r="D43" s="46">
        <v>2004.778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284"/>
      <c r="K43" s="243"/>
      <c r="L43" s="243"/>
      <c r="M43" s="243"/>
      <c r="N43" s="243" t="s">
        <v>299</v>
      </c>
      <c r="O43" s="278">
        <v>266662.71215521113</v>
      </c>
      <c r="P43" s="278">
        <v>266695.72239019501</v>
      </c>
    </row>
    <row r="44" spans="1:16" x14ac:dyDescent="0.2">
      <c r="A44" s="243"/>
      <c r="B44" s="243"/>
      <c r="C44" s="243"/>
      <c r="D44" s="284" t="s">
        <v>300</v>
      </c>
      <c r="E44" s="284" t="s">
        <v>301</v>
      </c>
      <c r="F44" s="284" t="s">
        <v>302</v>
      </c>
      <c r="G44" s="284" t="s">
        <v>303</v>
      </c>
      <c r="H44" s="284" t="s">
        <v>304</v>
      </c>
      <c r="I44" s="284" t="s">
        <v>305</v>
      </c>
      <c r="J44" s="284" t="s">
        <v>306</v>
      </c>
      <c r="K44" s="243"/>
      <c r="L44" s="243"/>
      <c r="M44" s="243"/>
      <c r="N44" s="243"/>
      <c r="O44" s="243"/>
      <c r="P44" s="243"/>
    </row>
    <row r="45" spans="1:16" x14ac:dyDescent="0.2">
      <c r="A45" s="243"/>
      <c r="B45" s="243" t="s">
        <v>148</v>
      </c>
      <c r="C45" s="243"/>
      <c r="D45" s="46"/>
      <c r="E45" s="46">
        <v>0</v>
      </c>
      <c r="F45" s="46">
        <v>0</v>
      </c>
      <c r="G45" s="46"/>
      <c r="H45" s="46"/>
      <c r="I45" s="46"/>
      <c r="J45" s="46">
        <v>0</v>
      </c>
      <c r="K45" s="243"/>
      <c r="L45" s="243"/>
      <c r="M45" s="243"/>
      <c r="N45" s="243" t="s">
        <v>157</v>
      </c>
      <c r="O45" s="273">
        <v>0</v>
      </c>
      <c r="P45" s="273">
        <v>0</v>
      </c>
    </row>
    <row r="46" spans="1:16" x14ac:dyDescent="0.2">
      <c r="A46" s="243"/>
      <c r="B46" s="243" t="s">
        <v>149</v>
      </c>
      <c r="C46" s="243"/>
      <c r="D46" s="46"/>
      <c r="E46" s="46"/>
      <c r="F46" s="46"/>
      <c r="G46" s="46"/>
      <c r="H46" s="46"/>
      <c r="I46" s="46"/>
      <c r="J46" s="46">
        <v>0</v>
      </c>
      <c r="K46" s="243"/>
      <c r="L46" s="243"/>
      <c r="M46" s="243"/>
      <c r="N46" s="243" t="s">
        <v>307</v>
      </c>
      <c r="O46" s="264">
        <v>266662.71215521113</v>
      </c>
      <c r="P46" s="264">
        <v>266695.72239019501</v>
      </c>
    </row>
    <row r="47" spans="1:16" x14ac:dyDescent="0.2">
      <c r="A47" s="243"/>
      <c r="B47" s="243" t="s">
        <v>150</v>
      </c>
      <c r="C47" s="243"/>
      <c r="D47" s="255">
        <v>67.567592644389535</v>
      </c>
      <c r="E47" s="46">
        <v>0</v>
      </c>
      <c r="F47" s="46"/>
      <c r="G47" s="46">
        <v>0</v>
      </c>
      <c r="H47" s="46">
        <v>0</v>
      </c>
      <c r="I47" s="46">
        <v>0</v>
      </c>
      <c r="J47" s="255">
        <v>67.567592644389535</v>
      </c>
      <c r="K47" s="243"/>
      <c r="L47" s="243"/>
      <c r="M47" s="243"/>
      <c r="N47" s="243"/>
      <c r="O47" s="243"/>
      <c r="P47" s="243"/>
    </row>
    <row r="48" spans="1:16" x14ac:dyDescent="0.2">
      <c r="A48" s="243"/>
      <c r="B48" s="243" t="s">
        <v>151</v>
      </c>
      <c r="C48" s="243"/>
      <c r="D48" s="46"/>
      <c r="E48" s="46">
        <v>0</v>
      </c>
      <c r="F48" s="46">
        <v>0</v>
      </c>
      <c r="G48" s="46"/>
      <c r="H48" s="46"/>
      <c r="I48" s="46"/>
      <c r="J48" s="46">
        <v>0</v>
      </c>
      <c r="K48" s="243"/>
      <c r="L48" s="243"/>
      <c r="M48" s="243"/>
      <c r="N48" s="243"/>
      <c r="O48" s="243"/>
      <c r="P48" s="243"/>
    </row>
    <row r="49" spans="1:16" x14ac:dyDescent="0.2">
      <c r="A49" s="243"/>
      <c r="B49" s="243" t="s">
        <v>152</v>
      </c>
      <c r="C49" s="243"/>
      <c r="D49" s="255">
        <v>870.08919954191936</v>
      </c>
      <c r="E49" s="46">
        <v>0</v>
      </c>
      <c r="F49" s="46">
        <v>0</v>
      </c>
      <c r="G49" s="46">
        <v>0</v>
      </c>
      <c r="H49" s="46"/>
      <c r="I49" s="46"/>
      <c r="J49" s="255">
        <v>870.08919954191936</v>
      </c>
      <c r="K49" s="243"/>
      <c r="L49" s="243"/>
      <c r="M49" s="243"/>
      <c r="N49" s="243"/>
      <c r="O49" s="243"/>
      <c r="P49" s="243"/>
    </row>
    <row r="50" spans="1:16" x14ac:dyDescent="0.2">
      <c r="A50" s="243"/>
      <c r="B50" s="243" t="s">
        <v>153</v>
      </c>
      <c r="C50" s="243"/>
      <c r="D50" s="285">
        <v>1067.1212078136912</v>
      </c>
      <c r="E50" s="286">
        <v>0</v>
      </c>
      <c r="F50" s="286">
        <v>0</v>
      </c>
      <c r="G50" s="286">
        <v>0</v>
      </c>
      <c r="H50" s="286">
        <v>0</v>
      </c>
      <c r="I50" s="286"/>
      <c r="J50" s="285">
        <v>1067.1212078136912</v>
      </c>
      <c r="K50" s="243"/>
      <c r="L50" s="243"/>
      <c r="M50" s="243"/>
      <c r="N50" s="243"/>
      <c r="O50" s="243"/>
      <c r="P50" s="243"/>
    </row>
    <row r="51" spans="1:16" x14ac:dyDescent="0.2">
      <c r="A51" s="243"/>
      <c r="B51" s="243"/>
      <c r="C51" s="243"/>
      <c r="D51" s="273">
        <v>2004.778</v>
      </c>
      <c r="E51" s="273">
        <v>0</v>
      </c>
      <c r="F51" s="273">
        <v>0</v>
      </c>
      <c r="G51" s="273">
        <v>0</v>
      </c>
      <c r="H51" s="273">
        <v>0</v>
      </c>
      <c r="I51" s="273">
        <v>0</v>
      </c>
      <c r="J51" s="273">
        <v>2004.778</v>
      </c>
      <c r="K51" s="243"/>
      <c r="L51" s="243"/>
      <c r="M51" s="243"/>
      <c r="N51" s="243"/>
      <c r="O51" s="243"/>
      <c r="P51" s="243"/>
    </row>
    <row r="52" spans="1:16" x14ac:dyDescent="0.2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</row>
    <row r="53" spans="1:16" x14ac:dyDescent="0.2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</row>
    <row r="54" spans="1:16" x14ac:dyDescent="0.2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</row>
    <row r="55" spans="1:16" x14ac:dyDescent="0.2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</row>
    <row r="56" spans="1:16" x14ac:dyDescent="0.2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</row>
    <row r="57" spans="1:16" x14ac:dyDescent="0.2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</row>
    <row r="58" spans="1:16" x14ac:dyDescent="0.2">
      <c r="A58" s="243"/>
      <c r="B58" s="243"/>
      <c r="C58" s="243"/>
      <c r="D58" s="243" t="s">
        <v>308</v>
      </c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</row>
    <row r="59" spans="1:16" x14ac:dyDescent="0.2">
      <c r="A59" s="243"/>
      <c r="B59" s="287"/>
      <c r="C59" s="288"/>
      <c r="D59" s="288">
        <v>1</v>
      </c>
      <c r="E59" s="288">
        <v>2</v>
      </c>
      <c r="F59" s="288">
        <v>3</v>
      </c>
      <c r="G59" s="288">
        <v>4</v>
      </c>
      <c r="H59" s="288">
        <v>5</v>
      </c>
      <c r="I59" s="288">
        <v>6</v>
      </c>
      <c r="J59" s="288">
        <v>7</v>
      </c>
      <c r="K59" s="289">
        <v>8</v>
      </c>
      <c r="L59" s="243"/>
      <c r="M59" s="243"/>
      <c r="N59" s="243"/>
      <c r="O59" s="243"/>
      <c r="P59" s="243"/>
    </row>
    <row r="60" spans="1:16" x14ac:dyDescent="0.2">
      <c r="A60" s="243"/>
      <c r="B60" s="290" t="s">
        <v>148</v>
      </c>
      <c r="C60" s="291"/>
      <c r="D60" s="292">
        <v>16004.983316400005</v>
      </c>
      <c r="E60" s="292">
        <v>15925.554118799992</v>
      </c>
      <c r="F60" s="292">
        <v>15941.43995832001</v>
      </c>
      <c r="G60" s="292">
        <v>15940.645666343984</v>
      </c>
      <c r="H60" s="292">
        <v>15940.566237146388</v>
      </c>
      <c r="I60" s="292">
        <v>15940.558294226648</v>
      </c>
      <c r="J60" s="292">
        <v>15940.55869137264</v>
      </c>
      <c r="K60" s="293">
        <v>15940.558731087214</v>
      </c>
      <c r="L60" s="243"/>
      <c r="M60" s="243"/>
      <c r="N60" s="243"/>
      <c r="O60" s="243"/>
      <c r="P60" s="243"/>
    </row>
    <row r="61" spans="1:16" x14ac:dyDescent="0.2">
      <c r="A61" s="243"/>
      <c r="B61" s="290" t="s">
        <v>149</v>
      </c>
      <c r="C61" s="291"/>
      <c r="D61" s="292">
        <v>19679.802265200029</v>
      </c>
      <c r="E61" s="292">
        <v>19954.085223600025</v>
      </c>
      <c r="F61" s="292">
        <v>19967.799371519992</v>
      </c>
      <c r="G61" s="292">
        <v>19967.799371519992</v>
      </c>
      <c r="H61" s="292">
        <v>19967.593659301223</v>
      </c>
      <c r="I61" s="292">
        <v>19967.566231005356</v>
      </c>
      <c r="J61" s="292">
        <v>19967.568288127568</v>
      </c>
      <c r="K61" s="293">
        <v>19967.568219556822</v>
      </c>
      <c r="L61" s="243"/>
      <c r="M61" s="243"/>
      <c r="N61" s="243"/>
      <c r="O61" s="243"/>
      <c r="P61" s="243"/>
    </row>
    <row r="62" spans="1:16" x14ac:dyDescent="0.2">
      <c r="A62" s="243"/>
      <c r="B62" s="290" t="s">
        <v>150</v>
      </c>
      <c r="C62" s="291"/>
      <c r="D62" s="292">
        <v>4598.958302400004</v>
      </c>
      <c r="E62" s="292">
        <v>4598.958302400004</v>
      </c>
      <c r="F62" s="292">
        <v>4598.2441784399998</v>
      </c>
      <c r="G62" s="292">
        <v>4598.3870032320046</v>
      </c>
      <c r="H62" s="292">
        <v>4598.3798619924028</v>
      </c>
      <c r="I62" s="292">
        <v>4598.3784337444813</v>
      </c>
      <c r="J62" s="292">
        <v>4598.3785765692746</v>
      </c>
      <c r="K62" s="293">
        <v>4598.3785837105152</v>
      </c>
      <c r="L62" s="243"/>
      <c r="M62" s="243"/>
      <c r="N62" s="243"/>
      <c r="O62" s="243"/>
      <c r="P62" s="243"/>
    </row>
    <row r="63" spans="1:16" x14ac:dyDescent="0.2">
      <c r="A63" s="243"/>
      <c r="B63" s="290" t="s">
        <v>151</v>
      </c>
      <c r="C63" s="291"/>
      <c r="D63" s="292">
        <v>86989.462689600026</v>
      </c>
      <c r="E63" s="292">
        <v>86623.576411199974</v>
      </c>
      <c r="F63" s="292">
        <v>86651.017882079977</v>
      </c>
      <c r="G63" s="292">
        <v>86654.676744863973</v>
      </c>
      <c r="H63" s="292">
        <v>86654.7682164336</v>
      </c>
      <c r="I63" s="292">
        <v>86654.749922119721</v>
      </c>
      <c r="J63" s="292">
        <v>86654.746263256893</v>
      </c>
      <c r="K63" s="293">
        <v>86654.746080313736</v>
      </c>
      <c r="L63" s="243"/>
      <c r="M63" s="243"/>
      <c r="N63" s="243"/>
      <c r="O63" s="243"/>
      <c r="P63" s="243"/>
    </row>
    <row r="64" spans="1:16" x14ac:dyDescent="0.2">
      <c r="A64" s="243"/>
      <c r="B64" s="290" t="s">
        <v>152</v>
      </c>
      <c r="C64" s="291"/>
      <c r="D64" s="292">
        <v>58805.392593600023</v>
      </c>
      <c r="E64" s="292">
        <v>59226.032025600056</v>
      </c>
      <c r="F64" s="292">
        <v>59217.619236960018</v>
      </c>
      <c r="G64" s="292">
        <v>59215.095400368053</v>
      </c>
      <c r="H64" s="292">
        <v>59214.758888822405</v>
      </c>
      <c r="I64" s="292">
        <v>59214.767301611086</v>
      </c>
      <c r="J64" s="292">
        <v>59214.771508005397</v>
      </c>
      <c r="K64" s="293">
        <v>59214.77117149382</v>
      </c>
      <c r="L64" s="243"/>
      <c r="M64" s="243"/>
      <c r="N64" s="243"/>
      <c r="O64" s="243"/>
      <c r="P64" s="243"/>
    </row>
    <row r="65" spans="1:16" x14ac:dyDescent="0.2">
      <c r="A65" s="243"/>
      <c r="B65" s="290" t="s">
        <v>153</v>
      </c>
      <c r="C65" s="291"/>
      <c r="D65" s="294">
        <v>72670.84638719997</v>
      </c>
      <c r="E65" s="294">
        <v>72670.84638719997</v>
      </c>
      <c r="F65" s="294">
        <v>72623.036619840001</v>
      </c>
      <c r="G65" s="294">
        <v>72624.231864024041</v>
      </c>
      <c r="H65" s="294">
        <v>72623.992815187245</v>
      </c>
      <c r="I65" s="294">
        <v>72623.98086274536</v>
      </c>
      <c r="J65" s="294">
        <v>72623.977277012847</v>
      </c>
      <c r="K65" s="295">
        <v>72623.977157488422</v>
      </c>
      <c r="L65" s="243"/>
      <c r="M65" s="243"/>
      <c r="N65" s="243"/>
      <c r="O65" s="243"/>
      <c r="P65" s="243"/>
    </row>
    <row r="66" spans="1:16" x14ac:dyDescent="0.2">
      <c r="A66" s="243"/>
      <c r="B66" s="290"/>
      <c r="C66" s="291"/>
      <c r="D66" s="292">
        <v>258749.44555440007</v>
      </c>
      <c r="E66" s="292">
        <v>258999.05246880002</v>
      </c>
      <c r="F66" s="292">
        <v>258999.15724715998</v>
      </c>
      <c r="G66" s="292">
        <v>259000.83605035205</v>
      </c>
      <c r="H66" s="292">
        <v>259000.05967888329</v>
      </c>
      <c r="I66" s="292">
        <v>259000.00104545266</v>
      </c>
      <c r="J66" s="292">
        <v>259000.00060434459</v>
      </c>
      <c r="K66" s="293">
        <v>258999.9999436505</v>
      </c>
      <c r="L66" s="243"/>
      <c r="M66" s="243"/>
      <c r="N66" s="243"/>
      <c r="O66" s="243"/>
      <c r="P66" s="243"/>
    </row>
    <row r="67" spans="1:16" x14ac:dyDescent="0.2">
      <c r="A67" s="243"/>
      <c r="B67" s="290"/>
      <c r="C67" s="291"/>
      <c r="D67" s="291"/>
      <c r="E67" s="291"/>
      <c r="F67" s="291"/>
      <c r="G67" s="291"/>
      <c r="H67" s="291"/>
      <c r="I67" s="291"/>
      <c r="J67" s="291"/>
      <c r="K67" s="296"/>
      <c r="L67" s="243"/>
      <c r="M67" s="243"/>
      <c r="N67" s="243"/>
      <c r="O67" s="243"/>
      <c r="P67" s="243"/>
    </row>
    <row r="68" spans="1:16" x14ac:dyDescent="0.2">
      <c r="A68" s="243"/>
      <c r="B68" s="290"/>
      <c r="C68" s="291"/>
      <c r="D68" s="297">
        <v>-250554.44559993339</v>
      </c>
      <c r="E68" s="297">
        <v>-947.53119998495094</v>
      </c>
      <c r="F68" s="297">
        <v>-842.75284002069384</v>
      </c>
      <c r="G68" s="297">
        <v>836.05035205255263</v>
      </c>
      <c r="H68" s="297">
        <v>59.678883291780949</v>
      </c>
      <c r="I68" s="297">
        <v>1.0454526636749506</v>
      </c>
      <c r="J68" s="297">
        <v>0.60434459010139108</v>
      </c>
      <c r="K68" s="298">
        <v>-5.6349497754126787E-2</v>
      </c>
      <c r="L68" s="243"/>
      <c r="M68" s="243"/>
      <c r="N68" s="243"/>
      <c r="O68" s="243"/>
      <c r="P68" s="243"/>
    </row>
    <row r="69" spans="1:16" x14ac:dyDescent="0.2">
      <c r="A69" s="243"/>
      <c r="B69" s="290"/>
      <c r="C69" s="291"/>
      <c r="D69" s="291"/>
      <c r="E69" s="291"/>
      <c r="F69" s="291"/>
      <c r="G69" s="291"/>
      <c r="H69" s="291"/>
      <c r="I69" s="291"/>
      <c r="J69" s="291"/>
      <c r="K69" s="296"/>
      <c r="L69" s="243"/>
      <c r="M69" s="243"/>
      <c r="N69" s="243"/>
      <c r="O69" s="243"/>
      <c r="P69" s="243"/>
    </row>
    <row r="70" spans="1:16" x14ac:dyDescent="0.2">
      <c r="A70" s="243"/>
      <c r="B70" s="299"/>
      <c r="C70" s="300">
        <v>2</v>
      </c>
      <c r="D70" s="301">
        <v>999</v>
      </c>
      <c r="E70" s="301">
        <v>2</v>
      </c>
      <c r="F70" s="301">
        <v>3</v>
      </c>
      <c r="G70" s="301">
        <v>4</v>
      </c>
      <c r="H70" s="301">
        <v>5</v>
      </c>
      <c r="I70" s="301">
        <v>6</v>
      </c>
      <c r="J70" s="301">
        <v>7</v>
      </c>
      <c r="K70" s="302">
        <v>8</v>
      </c>
      <c r="L70" s="243"/>
      <c r="M70" s="243"/>
      <c r="N70" s="243"/>
      <c r="O70" s="243"/>
      <c r="P70" s="243"/>
    </row>
    <row r="71" spans="1:16" x14ac:dyDescent="0.2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</row>
  </sheetData>
  <mergeCells count="4">
    <mergeCell ref="A1:E1"/>
    <mergeCell ref="A2:E2"/>
    <mergeCell ref="A4:E4"/>
    <mergeCell ref="A3:E3"/>
  </mergeCells>
  <conditionalFormatting sqref="C6">
    <cfRule type="expression" dxfId="1" priority="2" stopIfTrue="1">
      <formula>B5 &gt; 30</formula>
    </cfRule>
  </conditionalFormatting>
  <conditionalFormatting sqref="B6">
    <cfRule type="expression" dxfId="0" priority="1" stopIfTrue="1">
      <formula>A5 &gt; 30</formula>
    </cfRule>
  </conditionalFormatting>
  <pageMargins left="0.7" right="0.7" top="0.75" bottom="0.75" header="0.3" footer="0.3"/>
  <pageSetup scale="57" orientation="landscape" r:id="rId1"/>
  <headerFooter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90A2D487E3FB47A4FDC6B46225EE10" ma:contentTypeVersion="36" ma:contentTypeDescription="" ma:contentTypeScope="" ma:versionID="54800c75e094d3bf139823bd19e590b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2021-09-30T07:00:00+00:00</OpenedDate>
    <SignificantOrder xmlns="dc463f71-b30c-4ab2-9473-d307f9d35888">false</SignificantOrder>
    <Date1 xmlns="dc463f71-b30c-4ab2-9473-d307f9d35888">2021-09-30T07:00:00+00:00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D87DF79-DA95-4C54-85F9-5765B9E20203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2025E2F-F274-4010-90EA-E32F50A748D9}"/>
</file>

<file path=customXml/itemProps3.xml><?xml version="1.0" encoding="utf-8"?>
<ds:datastoreItem xmlns:ds="http://schemas.openxmlformats.org/officeDocument/2006/customXml" ds:itemID="{E5054C8D-3278-4EAF-89CE-1513FC555F5B}"/>
</file>

<file path=customXml/itemProps4.xml><?xml version="1.0" encoding="utf-8"?>
<ds:datastoreItem xmlns:ds="http://schemas.openxmlformats.org/officeDocument/2006/customXml" ds:itemID="{2213A12F-4406-4905-96FF-0789708D8F43}"/>
</file>

<file path=customXml/itemProps5.xml><?xml version="1.0" encoding="utf-8"?>
<ds:datastoreItem xmlns:ds="http://schemas.openxmlformats.org/officeDocument/2006/customXml" ds:itemID="{E0E4844E-6D28-4CCA-973E-24D8F7E79F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Sch 194 Summary</vt:lpstr>
      <vt:lpstr>Rate Impact</vt:lpstr>
      <vt:lpstr>Typical Residential Bill </vt:lpstr>
      <vt:lpstr>Sch 194</vt:lpstr>
      <vt:lpstr>Workpapers -&gt; </vt:lpstr>
      <vt:lpstr>186 - 253 Balance</vt:lpstr>
      <vt:lpstr>F2019 Res Exch Load</vt:lpstr>
      <vt:lpstr>F2021 Electric Delivered Sales</vt:lpstr>
      <vt:lpstr>Utility Spec PFx RAM 2022</vt:lpstr>
      <vt:lpstr>2019 GRC Conversion Factor</vt:lpstr>
      <vt:lpstr>'186 - 253 Balance'!Print_Area</vt:lpstr>
      <vt:lpstr>'2019 GRC Conversion Factor'!Print_Area</vt:lpstr>
      <vt:lpstr>'F2019 Res Exch Load'!Print_Area</vt:lpstr>
      <vt:lpstr>'Rate Impact'!Print_Area</vt:lpstr>
      <vt:lpstr>'Sch 194'!Print_Area</vt:lpstr>
      <vt:lpstr>'Sch 194 Summary'!Print_Area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cp:lastPrinted>2019-09-03T16:45:16Z</cp:lastPrinted>
  <dcterms:created xsi:type="dcterms:W3CDTF">2009-07-10T18:09:41Z</dcterms:created>
  <dcterms:modified xsi:type="dcterms:W3CDTF">2021-09-14T01:01:00Z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0x0101006E56B4D1795A2E4DB2F0B01679ED314A00E890A2D487E3FB47A4FDC6B46225EE10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