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660" windowWidth="15180" windowHeight="6510" firstSheet="1" activeTab="1"/>
  </bookViews>
  <sheets>
    <sheet name="WUTC_LYNNWOOD_SF" sheetId="1" state="hidden" r:id="rId1"/>
    <sheet name="WUTC_KENT_MF" sheetId="2" r:id="rId2"/>
    <sheet name="Value" sheetId="3" r:id="rId3"/>
    <sheet name="Commodity Tonnages" sheetId="4" r:id="rId4"/>
    <sheet name="Pricing" sheetId="5" r:id="rId5"/>
    <sheet name="Multi_Family" sheetId="6" r:id="rId6"/>
    <sheet name="RSA" sheetId="7" r:id="rId7"/>
  </sheets>
  <externalReferences>
    <externalReference r:id="rId10"/>
    <externalReference r:id="rId11"/>
  </externalReferences>
  <definedNames>
    <definedName name="_xlfn.IFERROR" hidden="1">#NAME?</definedName>
    <definedName name="color">#REF!</definedName>
    <definedName name="_xlnm.Print_Area" localSheetId="3">'Commodity Tonnages'!$A$1:$N$21</definedName>
    <definedName name="_xlnm.Print_Area" localSheetId="5">'Multi_Family'!$A$7:$N$102</definedName>
    <definedName name="_xlnm.Print_Area" localSheetId="4">'Pricing'!$A$1:$L$20</definedName>
    <definedName name="_xlnm.Print_Area" localSheetId="1">'WUTC_KENT_MF'!$A$1:$I$68</definedName>
    <definedName name="_xlnm.Print_Area" localSheetId="0">'WUTC_LYNNWOOD_SF'!$A$1:$K$82</definedName>
    <definedName name="_xlnm.Print_Titles" localSheetId="5">'Multi_Family'!$A:$B,'Multi_Family'!$1:$6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Johnson, Carla</author>
  </authors>
  <commentList>
    <comment ref="F38"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4"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8" authorId="1">
      <text>
        <r>
          <rPr>
            <b/>
            <sz val="9"/>
            <rFont val="Tahoma"/>
            <family val="2"/>
          </rPr>
          <t>Johnson, Carla:</t>
        </r>
        <r>
          <rPr>
            <sz val="9"/>
            <rFont val="Tahoma"/>
            <family val="2"/>
          </rPr>
          <t xml:space="preserve">
copy from RSA Workbook
Multifamily Tab
4176 Yards column K</t>
        </r>
      </text>
    </comment>
  </commentList>
</comments>
</file>

<file path=xl/comments3.xml><?xml version="1.0" encoding="utf-8"?>
<comments xmlns="http://schemas.openxmlformats.org/spreadsheetml/2006/main">
  <authors>
    <author>Johnson, Carla</author>
  </authors>
  <commentList>
    <comment ref="Q7" authorId="0">
      <text>
        <r>
          <rPr>
            <b/>
            <sz val="9"/>
            <rFont val="Tahoma"/>
            <family val="2"/>
          </rPr>
          <t>Johnson, Carla:</t>
        </r>
        <r>
          <rPr>
            <sz val="9"/>
            <rFont val="Tahoma"/>
            <family val="2"/>
          </rPr>
          <t xml:space="preserve">
copy from RSA Workbook/MF Tab/column M - 176 Commodity Value</t>
        </r>
      </text>
    </comment>
  </commentList>
</comments>
</file>

<file path=xl/comments6.xml><?xml version="1.0" encoding="utf-8"?>
<comments xmlns="http://schemas.openxmlformats.org/spreadsheetml/2006/main">
  <authors>
    <author>Alex Brenner</author>
    <author>Johnson, Carla</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Johnson, Carla:</t>
        </r>
        <r>
          <rPr>
            <sz val="9"/>
            <rFont val="Tahoma"/>
            <family val="2"/>
          </rPr>
          <t xml:space="preserve">
RSA Workbook/Multifamily/4176 Tons column L</t>
        </r>
      </text>
    </comment>
  </commentList>
</comments>
</file>

<file path=xl/sharedStrings.xml><?xml version="1.0" encoding="utf-8"?>
<sst xmlns="http://schemas.openxmlformats.org/spreadsheetml/2006/main" count="226" uniqueCount="110">
  <si>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</si>
  <si>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</si>
  <si>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</si>
  <si>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</si>
  <si>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</si>
  <si>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</si>
  <si>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</si>
  <si>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</si>
  <si>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</si>
  <si>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</si>
  <si>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</si>
  <si>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</si>
  <si>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</si>
  <si>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</si>
  <si>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</si>
  <si>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</si>
  <si>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</si>
  <si>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</si>
  <si>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</si>
  <si>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</si>
  <si>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</si>
  <si>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</si>
  <si>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</si>
  <si>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</si>
  <si>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</si>
  <si>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</si>
  <si>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</si>
  <si>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</si>
  <si>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</si>
  <si>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</si>
  <si>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</si>
  <si>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</si>
  <si>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</si>
  <si>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</si>
  <si>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</si>
  <si>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</si>
  <si>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</si>
  <si>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</si>
  <si>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</si>
  <si>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</si>
  <si>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</si>
  <si>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</si>
  <si>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</si>
  <si>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</si>
  <si>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</si>
  <si>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</si>
  <si>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</si>
  <si>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</si>
  <si>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</si>
  <si>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</si>
  <si>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</si>
  <si>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</si>
  <si>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</si>
  <si>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</si>
  <si>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</si>
  <si>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</si>
  <si>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</si>
  <si>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</si>
  <si>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</si>
  <si>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</si>
  <si>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</si>
  <si>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</si>
  <si>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</si>
  <si>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Multi-Family</t>
  </si>
  <si>
    <t>Yards</t>
  </si>
  <si>
    <t>per Yard</t>
  </si>
  <si>
    <t>Total yards</t>
  </si>
  <si>
    <t>Monthly Base Credit per Yard</t>
  </si>
  <si>
    <t>.</t>
  </si>
  <si>
    <t>Compacted</t>
  </si>
  <si>
    <t>Monthly Average</t>
  </si>
  <si>
    <t>Kent-Meridian Disposal</t>
  </si>
  <si>
    <t>3.5x Compaction</t>
  </si>
  <si>
    <t>TG-12______</t>
  </si>
  <si>
    <t>For use in Budget Calculation</t>
  </si>
  <si>
    <t>Total Trailing 12 Mo. Commodity Value / Customer</t>
  </si>
  <si>
    <t>Base Credit to be Passed Back</t>
  </si>
  <si>
    <t>Budget total Revenue</t>
  </si>
  <si>
    <t>Budget Revenue Passed Back</t>
  </si>
  <si>
    <t>% of Revenue Passed Back</t>
  </si>
  <si>
    <t>% Passed Back</t>
  </si>
  <si>
    <t>Kent-Meridian - Multi Family</t>
  </si>
  <si>
    <t xml:space="preserve"> True-up Computation</t>
  </si>
  <si>
    <t>Projected Credit</t>
  </si>
  <si>
    <t>Material Shrinkage</t>
  </si>
  <si>
    <t>Shrinkage</t>
  </si>
  <si>
    <t>Prior six months</t>
  </si>
  <si>
    <t>Current six months</t>
  </si>
  <si>
    <t>Total twelve months</t>
  </si>
  <si>
    <t>Total Annual Yards</t>
  </si>
  <si>
    <t>12 month running average "BASE CREDIT"</t>
  </si>
  <si>
    <t>Underspent RSA per King County report</t>
  </si>
  <si>
    <t>Allocation to Divisions:</t>
  </si>
  <si>
    <t>SF portion</t>
  </si>
  <si>
    <t>MF portion</t>
  </si>
  <si>
    <t>Bellevue</t>
  </si>
  <si>
    <t>Kent</t>
  </si>
  <si>
    <t>SeaTac</t>
  </si>
  <si>
    <t>RSA Rev breakdown:</t>
  </si>
  <si>
    <t>SF $</t>
  </si>
  <si>
    <t>MF $</t>
  </si>
  <si>
    <t>SF %</t>
  </si>
  <si>
    <t>MF %</t>
  </si>
  <si>
    <t>Credit per customer</t>
  </si>
  <si>
    <t>use for 6 month calculation</t>
  </si>
  <si>
    <t>Unspent RSA dollars</t>
  </si>
  <si>
    <t>Total Passback at end of 2 year plan year 2021</t>
  </si>
  <si>
    <t>8/1/21 - 7/31/22 Adjusted Credit</t>
  </si>
  <si>
    <t>2020/2021 Monthly True-up Amount</t>
  </si>
  <si>
    <t>Bellevue SF RSA Unspent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</si>
</sst>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00_);_(* \(#,##0.00\);_(* &quot;-&quot;_);_(@_)"/>
    <numFmt numFmtId="167" formatCode="_(* #,##0.000_);_(* \(#,##0.000\);_(* &quot;-&quot;_);_(@_)"/>
    <numFmt numFmtId="168" formatCode="mmmm"/>
    <numFmt numFmtId="169" formatCode="#,##0.000"/>
    <numFmt numFmtId="170" formatCode="mmmm\-yy"/>
    <numFmt numFmtId="171" formatCode="&quot;Yes&quot;;&quot;Yes&quot;;&quot;No&quot;"/>
    <numFmt numFmtId="172" formatCode="&quot;True&quot;;&quot;True&quot;;&quot;False&quot;"/>
    <numFmt numFmtId="173" formatCode="&quot;On&quot;;&quot;On&quot;;&quot;Off&quot;"/>
    <numFmt numFmtId="174" formatCode="[$€-2]\ #,##0.00_);[Red]\([$€-2]\ #,##0.00\)"/>
    <numFmt numFmtId="175" formatCode="_(* #,##0.0000_);_(* \(#,##0.0000\);_(* &quot;-&quot;_);_(@_)"/>
    <numFmt numFmtId="176" formatCode="&quot;$&quot;#,##0.00"/>
    <numFmt numFmtId="177" formatCode="0.000"/>
  </numFmts>
  <fonts count="59">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8"/>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3">
    <xf numFmtId="0" fontId="0" fillId="0" borderId="0" xfId="0" applyAlignment="1">
      <alignment/>
    </xf>
    <xf numFmtId="0" fontId="1" fillId="0" borderId="0" xfId="59" applyFont="1">
      <alignment/>
      <protection/>
    </xf>
    <xf numFmtId="0" fontId="7" fillId="0" borderId="0" xfId="59" applyFont="1">
      <alignment/>
      <protection/>
    </xf>
    <xf numFmtId="0" fontId="7" fillId="0" borderId="0" xfId="59" applyFont="1" applyAlignment="1">
      <alignment horizontal="center"/>
      <protection/>
    </xf>
    <xf numFmtId="0" fontId="8" fillId="0" borderId="0" xfId="59" applyFont="1" applyAlignment="1">
      <alignment horizontal="center"/>
      <protection/>
    </xf>
    <xf numFmtId="0" fontId="6" fillId="0" borderId="0" xfId="59">
      <alignment/>
      <protection/>
    </xf>
    <xf numFmtId="0" fontId="9" fillId="0" borderId="0" xfId="59" applyFont="1">
      <alignment/>
      <protection/>
    </xf>
    <xf numFmtId="14" fontId="7" fillId="0" borderId="0" xfId="59" applyNumberFormat="1" applyFont="1" applyAlignment="1">
      <alignment horizontal="center"/>
      <protection/>
    </xf>
    <xf numFmtId="0" fontId="10" fillId="0" borderId="0" xfId="59" applyFont="1">
      <alignment/>
      <protection/>
    </xf>
    <xf numFmtId="0" fontId="11" fillId="0" borderId="0" xfId="59" applyFont="1">
      <alignment/>
      <protection/>
    </xf>
    <xf numFmtId="0" fontId="11" fillId="0" borderId="0" xfId="59" applyFont="1" applyAlignment="1">
      <alignment horizontal="center"/>
      <protection/>
    </xf>
    <xf numFmtId="0" fontId="9" fillId="0" borderId="0" xfId="59" applyFont="1" applyAlignment="1">
      <alignment horizontal="center"/>
      <protection/>
    </xf>
    <xf numFmtId="166" fontId="9" fillId="0" borderId="0" xfId="59" applyNumberFormat="1" applyFont="1" applyAlignment="1">
      <alignment horizontal="center"/>
      <protection/>
    </xf>
    <xf numFmtId="1" fontId="7" fillId="0" borderId="0" xfId="59" applyNumberFormat="1" applyFont="1">
      <alignment/>
      <protection/>
    </xf>
    <xf numFmtId="41" fontId="7" fillId="0" borderId="0" xfId="59" applyNumberFormat="1" applyFont="1">
      <alignment/>
      <protection/>
    </xf>
    <xf numFmtId="166" fontId="9" fillId="0" borderId="0" xfId="59" applyNumberFormat="1" applyFont="1">
      <alignment/>
      <protection/>
    </xf>
    <xf numFmtId="166" fontId="7" fillId="0" borderId="0" xfId="59" applyNumberFormat="1" applyFont="1">
      <alignment/>
      <protection/>
    </xf>
    <xf numFmtId="168" fontId="7" fillId="0" borderId="0" xfId="59" applyNumberFormat="1" applyFont="1" applyAlignment="1">
      <alignment horizontal="right"/>
      <protection/>
    </xf>
    <xf numFmtId="166" fontId="7" fillId="0" borderId="0" xfId="59" applyNumberFormat="1" applyFont="1" applyFill="1" applyAlignment="1">
      <alignment horizontal="center"/>
      <protection/>
    </xf>
    <xf numFmtId="41" fontId="12" fillId="0" borderId="0" xfId="59" applyNumberFormat="1" applyFont="1">
      <alignment/>
      <protection/>
    </xf>
    <xf numFmtId="41" fontId="13" fillId="0" borderId="0" xfId="59" applyNumberFormat="1" applyFont="1" applyAlignment="1">
      <alignment horizontal="left"/>
      <protection/>
    </xf>
    <xf numFmtId="41" fontId="7" fillId="0" borderId="10" xfId="59" applyNumberFormat="1" applyFont="1" applyBorder="1">
      <alignment/>
      <protection/>
    </xf>
    <xf numFmtId="166" fontId="7" fillId="0" borderId="10" xfId="59" applyNumberFormat="1" applyFont="1" applyBorder="1">
      <alignment/>
      <protection/>
    </xf>
    <xf numFmtId="167" fontId="7" fillId="0" borderId="0" xfId="59" applyNumberFormat="1" applyFont="1">
      <alignment/>
      <protection/>
    </xf>
    <xf numFmtId="17" fontId="7" fillId="0" borderId="0" xfId="59" applyNumberFormat="1" applyFont="1" applyAlignment="1">
      <alignment horizontal="right"/>
      <protection/>
    </xf>
    <xf numFmtId="166" fontId="6" fillId="0" borderId="0" xfId="59" applyNumberFormat="1">
      <alignment/>
      <protection/>
    </xf>
    <xf numFmtId="168" fontId="7" fillId="0" borderId="0" xfId="59" applyNumberFormat="1" applyFont="1">
      <alignment/>
      <protection/>
    </xf>
    <xf numFmtId="41" fontId="7" fillId="0" borderId="11" xfId="59" applyNumberFormat="1" applyFont="1" applyBorder="1">
      <alignment/>
      <protection/>
    </xf>
    <xf numFmtId="166" fontId="7" fillId="0" borderId="11" xfId="59" applyNumberFormat="1" applyFont="1" applyBorder="1">
      <alignment/>
      <protection/>
    </xf>
    <xf numFmtId="41" fontId="9" fillId="0" borderId="12" xfId="59" applyNumberFormat="1" applyFont="1" applyBorder="1">
      <alignment/>
      <protection/>
    </xf>
    <xf numFmtId="41" fontId="7" fillId="0" borderId="12" xfId="59" applyNumberFormat="1" applyFont="1" applyBorder="1">
      <alignment/>
      <protection/>
    </xf>
    <xf numFmtId="41" fontId="10" fillId="0" borderId="0" xfId="59" applyNumberFormat="1" applyFont="1">
      <alignment/>
      <protection/>
    </xf>
    <xf numFmtId="41" fontId="7" fillId="0" borderId="0" xfId="59" applyNumberFormat="1" applyFont="1" applyAlignment="1">
      <alignment horizontal="right"/>
      <protection/>
    </xf>
    <xf numFmtId="1" fontId="10" fillId="0" borderId="0" xfId="59" applyNumberFormat="1" applyFont="1">
      <alignment/>
      <protection/>
    </xf>
    <xf numFmtId="167" fontId="12" fillId="0" borderId="0" xfId="59" applyNumberFormat="1" applyFont="1">
      <alignment/>
      <protection/>
    </xf>
    <xf numFmtId="41" fontId="7" fillId="0" borderId="0" xfId="59" applyNumberFormat="1" applyFont="1" applyBorder="1">
      <alignment/>
      <protection/>
    </xf>
    <xf numFmtId="41" fontId="7" fillId="0" borderId="13" xfId="59" applyNumberFormat="1" applyFont="1" applyBorder="1">
      <alignment/>
      <protection/>
    </xf>
    <xf numFmtId="41" fontId="7" fillId="0" borderId="14" xfId="59" applyNumberFormat="1" applyFont="1" applyBorder="1">
      <alignment/>
      <protection/>
    </xf>
    <xf numFmtId="41" fontId="7" fillId="0" borderId="15" xfId="59" applyNumberFormat="1" applyFont="1" applyBorder="1">
      <alignment/>
      <protection/>
    </xf>
    <xf numFmtId="167" fontId="7" fillId="0" borderId="11" xfId="59" applyNumberFormat="1" applyFont="1" applyBorder="1">
      <alignment/>
      <protection/>
    </xf>
    <xf numFmtId="167" fontId="7" fillId="0" borderId="15" xfId="59" applyNumberFormat="1" applyFont="1" applyBorder="1">
      <alignment/>
      <protection/>
    </xf>
    <xf numFmtId="166" fontId="7" fillId="0" borderId="0" xfId="59" applyNumberFormat="1" applyFont="1" applyFill="1" applyBorder="1">
      <alignment/>
      <protection/>
    </xf>
    <xf numFmtId="166" fontId="14" fillId="0" borderId="0" xfId="59" applyNumberFormat="1" applyFont="1" applyFill="1" applyBorder="1" applyAlignment="1">
      <alignment horizontal="centerContinuous"/>
      <protection/>
    </xf>
    <xf numFmtId="166" fontId="7" fillId="0" borderId="0" xfId="59" applyNumberFormat="1" applyFont="1" applyFill="1" applyBorder="1" applyAlignment="1">
      <alignment horizontal="centerContinuous"/>
      <protection/>
    </xf>
    <xf numFmtId="166" fontId="7" fillId="0" borderId="0" xfId="59" applyNumberFormat="1" applyFont="1" applyAlignment="1">
      <alignment horizontal="centerContinuous"/>
      <protection/>
    </xf>
    <xf numFmtId="168" fontId="7" fillId="0" borderId="0" xfId="59" applyNumberFormat="1" applyFont="1" applyFill="1" applyBorder="1" applyAlignment="1">
      <alignment horizontal="right"/>
      <protection/>
    </xf>
    <xf numFmtId="41" fontId="12" fillId="0" borderId="0" xfId="59" applyNumberFormat="1" applyFont="1" applyFill="1" applyBorder="1" applyAlignment="1">
      <alignment horizontal="center"/>
      <protection/>
    </xf>
    <xf numFmtId="166" fontId="7" fillId="0" borderId="0" xfId="59" applyNumberFormat="1" applyFont="1" applyFill="1" applyBorder="1" applyAlignment="1">
      <alignment horizontal="center"/>
      <protection/>
    </xf>
    <xf numFmtId="41" fontId="13" fillId="0" borderId="0" xfId="59" applyNumberFormat="1" applyFont="1" applyFill="1" applyBorder="1" applyAlignment="1">
      <alignment horizontal="left"/>
      <protection/>
    </xf>
    <xf numFmtId="41" fontId="7" fillId="0" borderId="0" xfId="59" applyNumberFormat="1" applyFont="1" applyFill="1" applyBorder="1">
      <alignment/>
      <protection/>
    </xf>
    <xf numFmtId="41" fontId="12" fillId="0" borderId="0" xfId="59" applyNumberFormat="1" applyFont="1" applyFill="1" applyBorder="1">
      <alignment/>
      <protection/>
    </xf>
    <xf numFmtId="1" fontId="7" fillId="0" borderId="0" xfId="59" applyNumberFormat="1" applyFont="1" applyFill="1" applyBorder="1">
      <alignment/>
      <protection/>
    </xf>
    <xf numFmtId="0" fontId="6" fillId="0" borderId="0" xfId="59" applyFill="1" applyBorder="1">
      <alignment/>
      <protection/>
    </xf>
    <xf numFmtId="166" fontId="6" fillId="0" borderId="0" xfId="59" applyNumberFormat="1" applyFill="1" applyBorder="1">
      <alignment/>
      <protection/>
    </xf>
    <xf numFmtId="168" fontId="7" fillId="0" borderId="0" xfId="59" applyNumberFormat="1" applyFont="1" applyFill="1" applyBorder="1">
      <alignment/>
      <protection/>
    </xf>
    <xf numFmtId="167" fontId="7" fillId="0" borderId="0" xfId="59" applyNumberFormat="1" applyFont="1" applyFill="1" applyBorder="1">
      <alignment/>
      <protection/>
    </xf>
    <xf numFmtId="166" fontId="7" fillId="0" borderId="13" xfId="59" applyNumberFormat="1" applyFont="1" applyBorder="1">
      <alignment/>
      <protection/>
    </xf>
    <xf numFmtId="166" fontId="7" fillId="0" borderId="15" xfId="59" applyNumberFormat="1" applyFont="1" applyBorder="1">
      <alignment/>
      <protection/>
    </xf>
    <xf numFmtId="2" fontId="6" fillId="0" borderId="0" xfId="59"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2" applyAlignment="1">
      <alignment/>
    </xf>
    <xf numFmtId="40" fontId="7" fillId="0" borderId="0" xfId="0" applyNumberFormat="1" applyFont="1" applyAlignment="1">
      <alignment/>
    </xf>
    <xf numFmtId="43" fontId="7" fillId="0" borderId="0" xfId="42" applyFont="1" applyAlignment="1">
      <alignment/>
    </xf>
    <xf numFmtId="170" fontId="7" fillId="0" borderId="0" xfId="59" applyNumberFormat="1" applyFont="1" applyAlignment="1">
      <alignment horizontal="right"/>
      <protection/>
    </xf>
    <xf numFmtId="168" fontId="7" fillId="0" borderId="0" xfId="59" applyNumberFormat="1" applyFont="1" applyAlignment="1">
      <alignment horizontal="right" wrapText="1"/>
      <protection/>
    </xf>
    <xf numFmtId="17" fontId="7" fillId="0" borderId="0" xfId="59" applyNumberFormat="1" applyFont="1" applyFill="1" applyBorder="1" applyAlignment="1">
      <alignment horizontal="right"/>
      <protection/>
    </xf>
    <xf numFmtId="168" fontId="7" fillId="0" borderId="0" xfId="59" applyNumberFormat="1" applyFont="1" applyFill="1" applyBorder="1" applyAlignment="1">
      <alignment horizontal="right" wrapText="1"/>
      <protection/>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2"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2" applyNumberFormat="1" applyFont="1" applyAlignment="1">
      <alignment/>
    </xf>
    <xf numFmtId="10" fontId="9" fillId="33" borderId="0" xfId="62" applyNumberFormat="1" applyFont="1" applyFill="1" applyAlignment="1">
      <alignment/>
    </xf>
    <xf numFmtId="9" fontId="7" fillId="0" borderId="0" xfId="62"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3" fontId="9" fillId="0" borderId="13" xfId="42" applyFont="1" applyBorder="1" applyAlignment="1">
      <alignment/>
    </xf>
    <xf numFmtId="44" fontId="7" fillId="0" borderId="0" xfId="0" applyNumberFormat="1" applyFont="1" applyAlignment="1">
      <alignment/>
    </xf>
    <xf numFmtId="166" fontId="7" fillId="0" borderId="0" xfId="59" applyNumberFormat="1" applyFont="1" applyBorder="1">
      <alignment/>
      <protection/>
    </xf>
    <xf numFmtId="0" fontId="11" fillId="0" borderId="0" xfId="59" applyFont="1" applyBorder="1">
      <alignment/>
      <protection/>
    </xf>
    <xf numFmtId="0" fontId="11" fillId="0" borderId="0" xfId="59" applyFont="1" applyBorder="1" applyAlignment="1">
      <alignment horizontal="center"/>
      <protection/>
    </xf>
    <xf numFmtId="0" fontId="9" fillId="0" borderId="0" xfId="59" applyFont="1" applyBorder="1" applyAlignment="1">
      <alignment horizontal="center"/>
      <protection/>
    </xf>
    <xf numFmtId="166" fontId="9" fillId="0" borderId="0" xfId="59" applyNumberFormat="1" applyFont="1" applyBorder="1" applyAlignment="1">
      <alignment horizontal="center"/>
      <protection/>
    </xf>
    <xf numFmtId="166" fontId="9" fillId="0" borderId="0" xfId="59" applyNumberFormat="1" applyFont="1" applyBorder="1">
      <alignment/>
      <protection/>
    </xf>
    <xf numFmtId="168" fontId="7" fillId="0" borderId="0" xfId="59" applyNumberFormat="1" applyFont="1" applyBorder="1" applyAlignment="1">
      <alignment horizontal="right"/>
      <protection/>
    </xf>
    <xf numFmtId="41" fontId="12" fillId="0" borderId="0" xfId="59" applyNumberFormat="1" applyFont="1" applyBorder="1">
      <alignment/>
      <protection/>
    </xf>
    <xf numFmtId="41" fontId="13" fillId="0" borderId="0" xfId="59" applyNumberFormat="1" applyFont="1" applyBorder="1" applyAlignment="1">
      <alignment horizontal="left"/>
      <protection/>
    </xf>
    <xf numFmtId="0" fontId="6" fillId="0" borderId="0" xfId="59" applyBorder="1">
      <alignment/>
      <protection/>
    </xf>
    <xf numFmtId="166" fontId="6" fillId="0" borderId="0" xfId="59" applyNumberFormat="1" applyBorder="1">
      <alignment/>
      <protection/>
    </xf>
    <xf numFmtId="168" fontId="7" fillId="0" borderId="0" xfId="59" applyNumberFormat="1" applyFont="1" applyBorder="1">
      <alignment/>
      <protection/>
    </xf>
    <xf numFmtId="167" fontId="7" fillId="0" borderId="0" xfId="59"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2" applyNumberFormat="1" applyFont="1" applyFill="1" applyAlignment="1">
      <alignment/>
    </xf>
    <xf numFmtId="43" fontId="9" fillId="0" borderId="0" xfId="42" applyFont="1" applyAlignment="1">
      <alignment/>
    </xf>
    <xf numFmtId="166" fontId="7" fillId="0" borderId="0" xfId="59" applyNumberFormat="1" applyFont="1" applyAlignment="1">
      <alignment horizontal="right"/>
      <protection/>
    </xf>
    <xf numFmtId="40" fontId="7" fillId="0" borderId="10" xfId="0" applyNumberFormat="1" applyFont="1" applyBorder="1" applyAlignment="1">
      <alignment/>
    </xf>
    <xf numFmtId="4" fontId="7" fillId="0" borderId="10" xfId="0"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43" fontId="7" fillId="0" borderId="10" xfId="42" applyFont="1" applyBorder="1" applyAlignment="1">
      <alignment/>
    </xf>
    <xf numFmtId="44" fontId="12" fillId="0" borderId="0" xfId="44" applyFont="1" applyAlignment="1">
      <alignment horizontal="center"/>
    </xf>
    <xf numFmtId="44" fontId="7" fillId="0" borderId="10" xfId="44" applyFont="1" applyBorder="1" applyAlignment="1">
      <alignment/>
    </xf>
    <xf numFmtId="44" fontId="6" fillId="0" borderId="0" xfId="44" applyFont="1" applyAlignment="1">
      <alignment/>
    </xf>
    <xf numFmtId="44" fontId="7" fillId="0" borderId="11" xfId="44" applyFont="1" applyBorder="1" applyAlignment="1">
      <alignment/>
    </xf>
    <xf numFmtId="164" fontId="1" fillId="0" borderId="0" xfId="62" applyNumberFormat="1" applyFont="1" applyAlignment="1">
      <alignment/>
    </xf>
    <xf numFmtId="0" fontId="17" fillId="0" borderId="16" xfId="59" applyFont="1" applyBorder="1" applyAlignment="1">
      <alignment horizontal="center"/>
      <protection/>
    </xf>
    <xf numFmtId="0" fontId="7" fillId="0" borderId="0" xfId="59" applyFont="1" applyBorder="1">
      <alignment/>
      <protection/>
    </xf>
    <xf numFmtId="166" fontId="17" fillId="0" borderId="17" xfId="59" applyNumberFormat="1" applyFont="1" applyBorder="1" applyAlignment="1">
      <alignment horizontal="center"/>
      <protection/>
    </xf>
    <xf numFmtId="166" fontId="18" fillId="0" borderId="17" xfId="59" applyNumberFormat="1" applyFont="1" applyFill="1" applyBorder="1" applyAlignment="1">
      <alignment horizontal="center"/>
      <protection/>
    </xf>
    <xf numFmtId="41" fontId="13" fillId="0" borderId="17" xfId="59" applyNumberFormat="1" applyFont="1" applyBorder="1">
      <alignment/>
      <protection/>
    </xf>
    <xf numFmtId="167" fontId="9" fillId="0" borderId="17" xfId="59" applyNumberFormat="1" applyFont="1" applyBorder="1">
      <alignment/>
      <protection/>
    </xf>
    <xf numFmtId="164" fontId="7" fillId="0" borderId="0" xfId="62" applyNumberFormat="1" applyFont="1" applyAlignment="1">
      <alignment/>
    </xf>
    <xf numFmtId="166" fontId="7" fillId="35" borderId="0" xfId="59" applyNumberFormat="1" applyFont="1" applyFill="1">
      <alignment/>
      <protection/>
    </xf>
    <xf numFmtId="0" fontId="9" fillId="0" borderId="0" xfId="0" applyFont="1" applyAlignment="1">
      <alignment/>
    </xf>
    <xf numFmtId="4" fontId="9" fillId="0" borderId="0" xfId="0" applyNumberFormat="1" applyFont="1" applyAlignment="1">
      <alignment/>
    </xf>
    <xf numFmtId="4" fontId="9" fillId="0" borderId="10" xfId="0" applyNumberFormat="1" applyFont="1" applyBorder="1" applyAlignment="1">
      <alignment/>
    </xf>
    <xf numFmtId="2" fontId="9" fillId="0" borderId="0" xfId="0" applyNumberFormat="1" applyFont="1" applyAlignment="1">
      <alignment/>
    </xf>
    <xf numFmtId="4" fontId="7" fillId="0" borderId="0" xfId="60" applyNumberFormat="1" applyFont="1" applyFill="1" applyBorder="1" applyAlignment="1">
      <alignment/>
    </xf>
    <xf numFmtId="0" fontId="1" fillId="0" borderId="0" xfId="0" applyFont="1" applyAlignment="1">
      <alignment/>
    </xf>
    <xf numFmtId="166" fontId="7" fillId="36" borderId="0" xfId="59" applyNumberFormat="1" applyFont="1" applyFill="1">
      <alignment/>
      <protection/>
    </xf>
    <xf numFmtId="9" fontId="7" fillId="36" borderId="18" xfId="62" applyFont="1" applyFill="1" applyBorder="1" applyAlignment="1">
      <alignment/>
    </xf>
    <xf numFmtId="44" fontId="0" fillId="35" borderId="0" xfId="0" applyNumberFormat="1" applyFill="1" applyAlignment="1">
      <alignment/>
    </xf>
    <xf numFmtId="41" fontId="12" fillId="35" borderId="0" xfId="59" applyNumberFormat="1" applyFont="1" applyFill="1" applyAlignment="1">
      <alignment horizontal="center"/>
      <protection/>
    </xf>
    <xf numFmtId="168" fontId="7" fillId="0" borderId="0" xfId="59" applyNumberFormat="1" applyFont="1" applyFill="1" applyAlignment="1">
      <alignment horizontal="right"/>
      <protection/>
    </xf>
    <xf numFmtId="164" fontId="57" fillId="37" borderId="19" xfId="62" applyNumberFormat="1" applyFont="1" applyFill="1" applyBorder="1" applyAlignment="1">
      <alignment/>
    </xf>
    <xf numFmtId="175" fontId="7" fillId="0" borderId="11" xfId="59" applyNumberFormat="1" applyFont="1" applyBorder="1">
      <alignment/>
      <protection/>
    </xf>
    <xf numFmtId="167" fontId="7" fillId="36" borderId="15" xfId="59" applyNumberFormat="1" applyFont="1" applyFill="1" applyBorder="1">
      <alignment/>
      <protection/>
    </xf>
    <xf numFmtId="166" fontId="12" fillId="0" borderId="0" xfId="59" applyNumberFormat="1" applyFont="1">
      <alignment/>
      <protection/>
    </xf>
    <xf numFmtId="37" fontId="7" fillId="0" borderId="11" xfId="59" applyNumberFormat="1" applyFont="1" applyBorder="1">
      <alignment/>
      <protection/>
    </xf>
    <xf numFmtId="43" fontId="7" fillId="0" borderId="0" xfId="59" applyNumberFormat="1" applyFont="1">
      <alignment/>
      <protection/>
    </xf>
    <xf numFmtId="0" fontId="1" fillId="0" borderId="20" xfId="0" applyFont="1" applyBorder="1" applyAlignment="1">
      <alignment/>
    </xf>
    <xf numFmtId="0" fontId="1" fillId="0" borderId="21" xfId="0" applyFont="1" applyBorder="1" applyAlignment="1">
      <alignment/>
    </xf>
    <xf numFmtId="176" fontId="1" fillId="0" borderId="22" xfId="0" applyNumberFormat="1" applyFont="1" applyBorder="1" applyAlignment="1">
      <alignment/>
    </xf>
    <xf numFmtId="176" fontId="0" fillId="0" borderId="0" xfId="0" applyNumberFormat="1" applyAlignment="1">
      <alignment/>
    </xf>
    <xf numFmtId="176" fontId="0" fillId="32" borderId="18" xfId="0" applyNumberFormat="1" applyFill="1" applyBorder="1" applyAlignment="1">
      <alignment/>
    </xf>
    <xf numFmtId="0" fontId="0" fillId="0" borderId="0" xfId="0" applyFont="1" applyAlignment="1">
      <alignment/>
    </xf>
    <xf numFmtId="10" fontId="0" fillId="0" borderId="0" xfId="0" applyNumberFormat="1" applyAlignment="1">
      <alignment/>
    </xf>
    <xf numFmtId="41" fontId="0" fillId="0" borderId="0" xfId="0" applyNumberFormat="1" applyAlignment="1">
      <alignment/>
    </xf>
    <xf numFmtId="166" fontId="7" fillId="32" borderId="21" xfId="59" applyNumberFormat="1" applyFont="1" applyFill="1" applyBorder="1">
      <alignment/>
      <protection/>
    </xf>
    <xf numFmtId="166" fontId="7" fillId="32" borderId="22" xfId="59" applyNumberFormat="1" applyFont="1" applyFill="1" applyBorder="1">
      <alignment/>
      <protection/>
    </xf>
    <xf numFmtId="44" fontId="7" fillId="34" borderId="18" xfId="44" applyFont="1" applyFill="1" applyBorder="1" applyAlignment="1">
      <alignment/>
    </xf>
    <xf numFmtId="44" fontId="7" fillId="34" borderId="18" xfId="44" applyFont="1" applyFill="1" applyBorder="1" applyAlignment="1">
      <alignment horizontal="center"/>
    </xf>
    <xf numFmtId="44" fontId="58" fillId="34" borderId="18" xfId="44" applyFont="1" applyFill="1" applyBorder="1" applyAlignment="1">
      <alignment/>
    </xf>
    <xf numFmtId="44" fontId="58" fillId="34" borderId="18" xfId="44" applyFont="1" applyFill="1" applyBorder="1" applyAlignment="1">
      <alignment horizontal="center"/>
    </xf>
    <xf numFmtId="39" fontId="7" fillId="35" borderId="11" xfId="59" applyNumberFormat="1" applyFont="1" applyFill="1" applyBorder="1">
      <alignment/>
      <protection/>
    </xf>
    <xf numFmtId="176" fontId="1" fillId="0" borderId="0" xfId="0" applyNumberFormat="1" applyFont="1" applyAlignment="1">
      <alignment/>
    </xf>
    <xf numFmtId="176" fontId="0" fillId="0" borderId="18" xfId="0" applyNumberFormat="1" applyBorder="1" applyAlignment="1">
      <alignment/>
    </xf>
    <xf numFmtId="44" fontId="0" fillId="0" borderId="18" xfId="44" applyFont="1" applyBorder="1" applyAlignment="1">
      <alignment/>
    </xf>
    <xf numFmtId="10" fontId="0" fillId="0" borderId="18" xfId="0" applyNumberFormat="1" applyBorder="1" applyAlignment="1">
      <alignment/>
    </xf>
    <xf numFmtId="44" fontId="0" fillId="0" borderId="18" xfId="0" applyNumberFormat="1" applyBorder="1" applyAlignment="1">
      <alignment/>
    </xf>
    <xf numFmtId="44" fontId="0" fillId="0" borderId="0" xfId="0" applyNumberFormat="1" applyAlignment="1">
      <alignment/>
    </xf>
    <xf numFmtId="177" fontId="0" fillId="0" borderId="0" xfId="0" applyNumberForma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98REC_CR"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robinkr\AppData\Local\Microsoft\Windows\INetCache\Content.Outlook\HL9IO13Q\EastSide%20Single%20Family%20Commodity%20Credit%20Template%20-%20June%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LYNNWOOD_SF"/>
      <sheetName val="WUTC_AW of Bellevue_SF"/>
      <sheetName val="Value"/>
      <sheetName val="Commodity Tonnages"/>
      <sheetName val="Pricing"/>
      <sheetName val="Single Family"/>
      <sheetName val="RSA"/>
      <sheetName val="Rec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32</v>
      </c>
      <c r="B1" s="2"/>
      <c r="C1" s="2"/>
      <c r="D1" s="2"/>
      <c r="E1" s="2"/>
      <c r="F1" s="2"/>
      <c r="G1" s="3"/>
      <c r="H1" s="2"/>
      <c r="I1" s="2"/>
      <c r="J1" s="1" t="s">
        <v>33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8">
        <v>39264</v>
      </c>
      <c r="B8" s="19">
        <v>16678</v>
      </c>
      <c r="C8" s="20"/>
      <c r="D8" s="18">
        <v>35119.9</v>
      </c>
      <c r="E8" s="14"/>
      <c r="F8" s="16">
        <f>ROUND(D8/B8,2)</f>
        <v>2.11</v>
      </c>
      <c r="G8" s="14"/>
      <c r="H8" s="14"/>
      <c r="I8" s="14"/>
      <c r="J8" s="14">
        <f>+B8</f>
        <v>16678</v>
      </c>
      <c r="K8" s="13">
        <v>2007</v>
      </c>
    </row>
    <row r="9" spans="1:11" s="16" customFormat="1" ht="11.25">
      <c r="A9" s="78">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35</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9" t="s">
        <v>36</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37</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38</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39</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40</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42</v>
      </c>
      <c r="C55" s="14"/>
      <c r="D55" s="14"/>
      <c r="E55" s="14"/>
      <c r="F55" s="32"/>
      <c r="G55" s="14"/>
      <c r="H55" s="14"/>
      <c r="I55" s="23"/>
      <c r="J55" s="14"/>
      <c r="K55" s="14"/>
    </row>
    <row r="56" spans="2:11" s="16" customFormat="1" ht="12" thickBot="1">
      <c r="B56" s="31"/>
      <c r="C56" s="14"/>
      <c r="D56" s="14"/>
      <c r="E56" s="14"/>
      <c r="F56" s="32" t="s">
        <v>41</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43</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80"/>
      <c r="B64" s="46"/>
      <c r="C64" s="48"/>
      <c r="D64" s="47"/>
      <c r="E64" s="41"/>
      <c r="F64" s="41"/>
    </row>
    <row r="65" spans="1:6" s="16" customFormat="1" ht="11.25">
      <c r="A65" s="80"/>
      <c r="B65" s="46"/>
      <c r="C65" s="49"/>
      <c r="D65" s="47"/>
      <c r="E65" s="41"/>
      <c r="F65" s="41"/>
    </row>
    <row r="66" spans="1:25" s="14" customFormat="1" ht="11.25">
      <c r="A66" s="80"/>
      <c r="B66" s="49"/>
      <c r="C66" s="49"/>
      <c r="D66" s="41"/>
      <c r="E66" s="49"/>
      <c r="F66" s="41"/>
      <c r="X66" s="16"/>
      <c r="Y66" s="16"/>
    </row>
    <row r="67" spans="1:6" s="16" customFormat="1" ht="11.25">
      <c r="A67" s="80"/>
      <c r="B67" s="49"/>
      <c r="C67" s="48"/>
      <c r="D67" s="41"/>
      <c r="E67" s="41"/>
      <c r="F67" s="41"/>
    </row>
    <row r="68" spans="1:6" s="16" customFormat="1" ht="11.25">
      <c r="A68" s="80"/>
      <c r="B68" s="49"/>
      <c r="C68" s="49"/>
      <c r="D68" s="41"/>
      <c r="E68" s="41"/>
      <c r="F68" s="41"/>
    </row>
    <row r="69" spans="1:6" s="16" customFormat="1" ht="11.25">
      <c r="A69" s="80"/>
      <c r="B69" s="50"/>
      <c r="C69" s="49"/>
      <c r="D69" s="41"/>
      <c r="E69" s="41"/>
      <c r="F69" s="41"/>
    </row>
    <row r="70" spans="1:6" s="16" customFormat="1" ht="11.25">
      <c r="A70" s="80"/>
      <c r="B70" s="50"/>
      <c r="C70" s="49"/>
      <c r="D70" s="41"/>
      <c r="E70" s="41"/>
      <c r="F70" s="41"/>
    </row>
    <row r="71" spans="1:6" s="16" customFormat="1" ht="11.25">
      <c r="A71" s="80"/>
      <c r="B71" s="50"/>
      <c r="C71" s="49"/>
      <c r="D71" s="41"/>
      <c r="E71" s="41"/>
      <c r="F71" s="41"/>
    </row>
    <row r="72" spans="1:6" s="16" customFormat="1" ht="11.25">
      <c r="A72" s="80"/>
      <c r="B72" s="50"/>
      <c r="C72" s="49"/>
      <c r="D72" s="41"/>
      <c r="E72" s="41"/>
      <c r="F72" s="41"/>
    </row>
    <row r="73" spans="1:25" s="16" customFormat="1" ht="11.25">
      <c r="A73" s="80"/>
      <c r="B73" s="50"/>
      <c r="C73" s="49"/>
      <c r="D73" s="41"/>
      <c r="E73" s="41"/>
      <c r="F73" s="41"/>
      <c r="Y73" s="14"/>
    </row>
    <row r="74" spans="1:6" s="16" customFormat="1" ht="11.25">
      <c r="A74" s="80"/>
      <c r="B74" s="50"/>
      <c r="C74" s="49"/>
      <c r="D74" s="41"/>
      <c r="E74" s="41"/>
      <c r="F74" s="41"/>
    </row>
    <row r="75" spans="1:6" s="16" customFormat="1" ht="11.25">
      <c r="A75" s="80"/>
      <c r="B75" s="50"/>
      <c r="C75" s="49"/>
      <c r="D75" s="41"/>
      <c r="E75" s="41"/>
      <c r="F75" s="41"/>
    </row>
    <row r="76" spans="1:6" s="16" customFormat="1" ht="11.25">
      <c r="A76" s="80"/>
      <c r="B76" s="50"/>
      <c r="C76" s="49"/>
      <c r="D76" s="41"/>
      <c r="E76" s="41"/>
      <c r="F76" s="41"/>
    </row>
    <row r="77" spans="1:27" s="16" customFormat="1" ht="11.25">
      <c r="A77" s="80"/>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80"/>
      <c r="B78" s="50"/>
      <c r="C78" s="49"/>
      <c r="D78" s="41"/>
      <c r="E78" s="41"/>
      <c r="F78" s="41"/>
    </row>
    <row r="79" spans="1:6" s="16" customFormat="1" ht="11.25">
      <c r="A79" s="45"/>
      <c r="B79" s="49"/>
      <c r="C79" s="49"/>
      <c r="D79" s="41"/>
      <c r="E79" s="41"/>
      <c r="F79" s="41"/>
    </row>
    <row r="80" spans="1:6" s="16" customFormat="1" ht="11.25">
      <c r="A80" s="81"/>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6"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99"/>
  <sheetViews>
    <sheetView showGridLines="0" tabSelected="1" zoomScalePageLayoutView="0" workbookViewId="0" topLeftCell="A1">
      <pane ySplit="4" topLeftCell="A44" activePane="bottomLeft" state="frozen"/>
      <selection pane="topLeft" activeCell="A1" sqref="A1"/>
      <selection pane="bottomLeft" activeCell="F80" sqref="F80"/>
    </sheetView>
  </sheetViews>
  <sheetFormatPr defaultColWidth="9.140625" defaultRowHeight="12.75" outlineLevelRow="1"/>
  <cols>
    <col min="1" max="1" width="25.851562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9.00390625" style="5" bestFit="1" customWidth="1"/>
    <col min="10" max="10" width="10.8515625" style="5" customWidth="1"/>
    <col min="11" max="11" width="7.140625" style="5" customWidth="1"/>
    <col min="12" max="14" width="9.57421875" style="5"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71</v>
      </c>
      <c r="B1" s="2"/>
      <c r="C1" s="2"/>
      <c r="D1" s="2"/>
      <c r="E1" s="2"/>
      <c r="F1" s="2"/>
      <c r="G1" s="3"/>
      <c r="H1" s="2"/>
      <c r="I1" s="2"/>
      <c r="J1" s="1" t="s">
        <v>73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2021</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63</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36" t="str">
        <f>"Total "&amp;F5</f>
        <v>Total Commodity</v>
      </c>
      <c r="P5" s="137"/>
      <c r="Q5" s="2"/>
      <c r="R5" s="2"/>
      <c r="S5" s="2"/>
      <c r="T5" s="2"/>
      <c r="U5" s="2"/>
      <c r="V5" s="13"/>
      <c r="W5" s="14"/>
      <c r="X5" s="14"/>
      <c r="Y5" s="14"/>
      <c r="AA5" s="14"/>
    </row>
    <row r="6" spans="1:16" s="16" customFormat="1" ht="11.25">
      <c r="A6" s="15"/>
      <c r="B6" s="12"/>
      <c r="C6" s="12"/>
      <c r="D6" s="12" t="s">
        <v>2</v>
      </c>
      <c r="E6" s="12"/>
      <c r="F6" s="12" t="s">
        <v>3</v>
      </c>
      <c r="G6" s="12"/>
      <c r="H6" s="12"/>
      <c r="I6" s="12"/>
      <c r="J6" s="12"/>
      <c r="K6" s="12"/>
      <c r="O6" s="138" t="str">
        <f>+F6</f>
        <v>Revenue</v>
      </c>
      <c r="P6" s="107"/>
    </row>
    <row r="7" spans="1:16" s="16" customFormat="1" ht="11.25">
      <c r="A7" s="15" t="s">
        <v>5</v>
      </c>
      <c r="B7" s="12" t="s">
        <v>64</v>
      </c>
      <c r="C7" s="12"/>
      <c r="D7" s="12" t="s">
        <v>3</v>
      </c>
      <c r="E7" s="12"/>
      <c r="F7" s="12" t="s">
        <v>65</v>
      </c>
      <c r="G7" s="12"/>
      <c r="H7" s="12"/>
      <c r="I7" s="12"/>
      <c r="J7" s="12" t="s">
        <v>66</v>
      </c>
      <c r="K7" s="12"/>
      <c r="O7" s="138" t="str">
        <f>+F7</f>
        <v>per Yard</v>
      </c>
      <c r="P7" s="107"/>
    </row>
    <row r="8" spans="1:16" s="16" customFormat="1" ht="11.25">
      <c r="A8" s="154">
        <f>+Multi_Family!C6</f>
        <v>43982</v>
      </c>
      <c r="B8" s="153">
        <v>332.11</v>
      </c>
      <c r="C8" s="12"/>
      <c r="D8" s="131">
        <f>VLOOKUP(A8,Value!$A$6:$O$17,15,)</f>
        <v>16.70240573400001</v>
      </c>
      <c r="E8" s="12"/>
      <c r="F8" s="16">
        <f aca="true" t="shared" si="0" ref="F8:F13">ROUND(D8/B8,2)</f>
        <v>0.05</v>
      </c>
      <c r="G8" s="12"/>
      <c r="H8" s="12"/>
      <c r="I8" s="12"/>
      <c r="J8" s="14">
        <f>+B8</f>
        <v>332.11</v>
      </c>
      <c r="K8" s="13">
        <f>YEAR(A8)</f>
        <v>2020</v>
      </c>
      <c r="O8" s="139">
        <f>VLOOKUP(A8,Value!$A$7:$O$18,13,FALSE)</f>
        <v>33.40481146800002</v>
      </c>
      <c r="P8" s="107"/>
    </row>
    <row r="9" spans="1:16" s="16" customFormat="1" ht="11.25">
      <c r="A9" s="17">
        <f>EOMONTH(A8,1)</f>
        <v>44012</v>
      </c>
      <c r="B9" s="153">
        <v>344.02</v>
      </c>
      <c r="C9" s="20"/>
      <c r="D9" s="131">
        <f>VLOOKUP(A9,Value!$A$6:$O$17,15,)</f>
        <v>4.002576434999995</v>
      </c>
      <c r="E9" s="14"/>
      <c r="F9" s="16">
        <f t="shared" si="0"/>
        <v>0.01</v>
      </c>
      <c r="G9" s="14"/>
      <c r="H9" s="14"/>
      <c r="I9" s="14"/>
      <c r="J9" s="14">
        <f>+B9</f>
        <v>344.02</v>
      </c>
      <c r="K9" s="13">
        <f>YEAR(A9)</f>
        <v>2020</v>
      </c>
      <c r="M9" s="16">
        <v>392.13</v>
      </c>
      <c r="O9" s="139">
        <f>VLOOKUP(A9,Value!$A$7:$O$18,13,FALSE)</f>
        <v>8.00515286999999</v>
      </c>
      <c r="P9" s="107"/>
    </row>
    <row r="10" spans="1:16" s="16" customFormat="1" ht="11.25">
      <c r="A10" s="17">
        <f>EOMONTH(A9,1)</f>
        <v>44043</v>
      </c>
      <c r="B10" s="153">
        <v>344.02</v>
      </c>
      <c r="C10" s="14"/>
      <c r="D10" s="131">
        <f>VLOOKUP(A10,Value!$A$6:$O$17,15,)</f>
        <v>-5.106034269000006</v>
      </c>
      <c r="E10" s="14"/>
      <c r="F10" s="16">
        <f t="shared" si="0"/>
        <v>-0.01</v>
      </c>
      <c r="G10" s="14"/>
      <c r="H10" s="14"/>
      <c r="I10" s="14"/>
      <c r="J10" s="14">
        <f>+B10</f>
        <v>344.02</v>
      </c>
      <c r="K10" s="13">
        <f>YEAR(A10)</f>
        <v>2020</v>
      </c>
      <c r="M10" s="16">
        <v>392.13</v>
      </c>
      <c r="O10" s="139">
        <f>VLOOKUP(A10,Value!$A$7:$O$18,13,FALSE)</f>
        <v>-10.212068538000011</v>
      </c>
      <c r="P10" s="107"/>
    </row>
    <row r="11" spans="1:16" s="16" customFormat="1" ht="11.25">
      <c r="A11" s="17">
        <f>EOMONTH(A10,1)</f>
        <v>44074</v>
      </c>
      <c r="B11" s="153">
        <v>344.02</v>
      </c>
      <c r="C11" s="14"/>
      <c r="D11" s="131">
        <f>VLOOKUP(A11,Value!$A$6:$O$17,15,)</f>
        <v>2.694005525999998</v>
      </c>
      <c r="E11" s="14"/>
      <c r="F11" s="16">
        <f t="shared" si="0"/>
        <v>0.01</v>
      </c>
      <c r="G11" s="23"/>
      <c r="H11" s="14"/>
      <c r="I11" s="14"/>
      <c r="J11" s="14">
        <f aca="true" t="shared" si="1" ref="J11:J20">+B11</f>
        <v>344.02</v>
      </c>
      <c r="K11" s="13">
        <f aca="true" t="shared" si="2" ref="K11:K22">YEAR(A11)</f>
        <v>2020</v>
      </c>
      <c r="M11" s="16">
        <v>372.46000000000004</v>
      </c>
      <c r="O11" s="139">
        <f>VLOOKUP(A11,Value!$A$7:$O$18,13,FALSE)</f>
        <v>5.388011051999996</v>
      </c>
      <c r="P11" s="107"/>
    </row>
    <row r="12" spans="1:16" s="16" customFormat="1" ht="11.25">
      <c r="A12" s="17">
        <f aca="true" t="shared" si="3" ref="A12:A22">EOMONTH(A11,1)</f>
        <v>44104</v>
      </c>
      <c r="B12" s="153">
        <v>344.02</v>
      </c>
      <c r="C12" s="14"/>
      <c r="D12" s="131">
        <f>VLOOKUP(A12,Value!$A$6:$O$17,15,)</f>
        <v>18.609720633000016</v>
      </c>
      <c r="E12" s="14"/>
      <c r="F12" s="16">
        <f t="shared" si="0"/>
        <v>0.05</v>
      </c>
      <c r="G12" s="23"/>
      <c r="H12" s="14"/>
      <c r="I12" s="14"/>
      <c r="J12" s="14">
        <f t="shared" si="1"/>
        <v>344.02</v>
      </c>
      <c r="K12" s="13">
        <f t="shared" si="2"/>
        <v>2020</v>
      </c>
      <c r="M12" s="16">
        <v>375.15</v>
      </c>
      <c r="O12" s="139">
        <f>VLOOKUP(A12,Value!$A$7:$O$18,13,FALSE)</f>
        <v>37.21944126600003</v>
      </c>
      <c r="P12" s="107"/>
    </row>
    <row r="13" spans="1:16" s="16" customFormat="1" ht="11.25">
      <c r="A13" s="17">
        <f t="shared" si="3"/>
        <v>44135</v>
      </c>
      <c r="B13" s="153">
        <v>344.02</v>
      </c>
      <c r="C13" s="14"/>
      <c r="D13" s="131">
        <f>VLOOKUP(A13,Value!$A$6:$O$17,15,)</f>
        <v>5.025399723</v>
      </c>
      <c r="E13" s="14"/>
      <c r="F13" s="16">
        <f t="shared" si="0"/>
        <v>0.01</v>
      </c>
      <c r="G13" s="23"/>
      <c r="H13" s="14"/>
      <c r="I13" s="14"/>
      <c r="J13" s="14">
        <f t="shared" si="1"/>
        <v>344.02</v>
      </c>
      <c r="K13" s="13">
        <f t="shared" si="2"/>
        <v>2020</v>
      </c>
      <c r="O13" s="139">
        <f>VLOOKUP(A13,Value!$A$7:$O$18,13,FALSE)</f>
        <v>10.050799446</v>
      </c>
      <c r="P13" s="107"/>
    </row>
    <row r="14" spans="1:16" s="16" customFormat="1" ht="11.25">
      <c r="A14" s="17"/>
      <c r="B14" s="131"/>
      <c r="C14" s="14"/>
      <c r="D14" s="131"/>
      <c r="E14" s="14"/>
      <c r="G14" s="23"/>
      <c r="H14" s="14"/>
      <c r="I14" s="14"/>
      <c r="J14" s="14"/>
      <c r="K14" s="13"/>
      <c r="O14" s="139"/>
      <c r="P14" s="107"/>
    </row>
    <row r="15" spans="1:16" s="16" customFormat="1" ht="11.25">
      <c r="A15" s="17" t="s">
        <v>86</v>
      </c>
      <c r="B15" s="14">
        <f>SUM(B8:B13)</f>
        <v>2052.21</v>
      </c>
      <c r="C15" s="14"/>
      <c r="D15" s="101">
        <f>SUM(D8:D13)</f>
        <v>41.92807378200001</v>
      </c>
      <c r="E15" s="14"/>
      <c r="G15" s="23"/>
      <c r="H15" s="14"/>
      <c r="I15" s="14"/>
      <c r="J15" s="14"/>
      <c r="K15" s="13"/>
      <c r="O15" s="139"/>
      <c r="P15" s="107"/>
    </row>
    <row r="16" spans="1:16" s="16" customFormat="1" ht="11.25">
      <c r="A16" s="17"/>
      <c r="B16" s="131"/>
      <c r="C16" s="14"/>
      <c r="D16" s="131"/>
      <c r="E16" s="14"/>
      <c r="G16" s="23"/>
      <c r="H16" s="14"/>
      <c r="I16" s="14"/>
      <c r="J16" s="14"/>
      <c r="K16" s="13"/>
      <c r="O16" s="139"/>
      <c r="P16" s="107"/>
    </row>
    <row r="17" spans="1:16" s="16" customFormat="1" ht="11.25">
      <c r="A17" s="17">
        <f>EOMONTH(A13,1)</f>
        <v>44165</v>
      </c>
      <c r="B17" s="153">
        <v>357.01</v>
      </c>
      <c r="C17" s="14"/>
      <c r="D17" s="131">
        <f>VLOOKUP(A17,Value!$A$6:$O$17,15,)</f>
        <v>15.317363523999994</v>
      </c>
      <c r="E17" s="14"/>
      <c r="F17" s="16">
        <f aca="true" t="shared" si="4" ref="F17:F22">ROUND(D17/B17,2)</f>
        <v>0.04</v>
      </c>
      <c r="G17" s="23"/>
      <c r="H17" s="14"/>
      <c r="I17" s="14"/>
      <c r="J17" s="14">
        <f t="shared" si="1"/>
        <v>357.01</v>
      </c>
      <c r="K17" s="13">
        <f t="shared" si="2"/>
        <v>2020</v>
      </c>
      <c r="O17" s="139">
        <f>VLOOKUP(A17,Value!$A$7:$O$18,13,FALSE)</f>
        <v>30.634727047999988</v>
      </c>
      <c r="P17" s="107"/>
    </row>
    <row r="18" spans="1:25" s="16" customFormat="1" ht="11.25">
      <c r="A18" s="17">
        <f t="shared" si="3"/>
        <v>44196</v>
      </c>
      <c r="B18" s="153">
        <v>331.03</v>
      </c>
      <c r="C18" s="14"/>
      <c r="D18" s="131">
        <f>VLOOKUP(A18,Value!$A$6:$O$17,15,)</f>
        <v>33.12880078300001</v>
      </c>
      <c r="E18" s="14"/>
      <c r="F18" s="16">
        <f t="shared" si="4"/>
        <v>0.1</v>
      </c>
      <c r="G18" s="23"/>
      <c r="H18" s="14"/>
      <c r="I18" s="14"/>
      <c r="J18" s="14">
        <f t="shared" si="1"/>
        <v>331.03</v>
      </c>
      <c r="K18" s="13">
        <f t="shared" si="2"/>
        <v>2020</v>
      </c>
      <c r="O18" s="139">
        <f>VLOOKUP(A18,Value!$A$7:$O$18,13,FALSE)</f>
        <v>66.25760156600002</v>
      </c>
      <c r="P18" s="107"/>
      <c r="X18" s="14"/>
      <c r="Y18" s="14"/>
    </row>
    <row r="19" spans="1:27" s="16" customFormat="1" ht="11.25">
      <c r="A19" s="17">
        <f t="shared" si="3"/>
        <v>44227</v>
      </c>
      <c r="B19" s="153">
        <v>333.19</v>
      </c>
      <c r="C19" s="14"/>
      <c r="D19" s="131">
        <f>VLOOKUP(A19,Value!$A$6:$O$17,15,)</f>
        <v>16.221204439999994</v>
      </c>
      <c r="E19" s="14"/>
      <c r="F19" s="16">
        <f t="shared" si="4"/>
        <v>0.05</v>
      </c>
      <c r="G19" s="23"/>
      <c r="H19" s="14"/>
      <c r="I19" s="14"/>
      <c r="J19" s="14">
        <f t="shared" si="1"/>
        <v>333.19</v>
      </c>
      <c r="K19" s="13">
        <f t="shared" si="2"/>
        <v>2021</v>
      </c>
      <c r="L19" s="14"/>
      <c r="M19" s="14"/>
      <c r="N19" s="14"/>
      <c r="O19" s="139">
        <f>VLOOKUP(A19,Value!$A$7:$O$18,13,FALSE)</f>
        <v>32.44240887999999</v>
      </c>
      <c r="P19" s="107"/>
      <c r="Q19" s="14"/>
      <c r="R19" s="14"/>
      <c r="S19" s="14"/>
      <c r="T19" s="14"/>
      <c r="U19" s="14"/>
      <c r="V19" s="14"/>
      <c r="W19" s="14"/>
      <c r="Y19" s="14"/>
      <c r="AA19" s="14"/>
    </row>
    <row r="20" spans="1:16" s="16" customFormat="1" ht="11.25">
      <c r="A20" s="17">
        <f t="shared" si="3"/>
        <v>44255</v>
      </c>
      <c r="B20" s="153">
        <v>331.03</v>
      </c>
      <c r="C20" s="14"/>
      <c r="D20" s="131">
        <f>VLOOKUP(A20,Value!$A$6:$O$17,15,)</f>
        <v>9.96597440399998</v>
      </c>
      <c r="E20" s="14"/>
      <c r="F20" s="16">
        <f t="shared" si="4"/>
        <v>0.03</v>
      </c>
      <c r="G20" s="23"/>
      <c r="H20" s="14"/>
      <c r="I20" s="14"/>
      <c r="J20" s="14">
        <f t="shared" si="1"/>
        <v>331.03</v>
      </c>
      <c r="K20" s="13">
        <f t="shared" si="2"/>
        <v>2021</v>
      </c>
      <c r="O20" s="139">
        <f>VLOOKUP(A20,Value!$A$7:$O$18,13,FALSE)</f>
        <v>19.93194880799996</v>
      </c>
      <c r="P20" s="107"/>
    </row>
    <row r="21" spans="1:16" s="16" customFormat="1" ht="11.25">
      <c r="A21" s="17">
        <f t="shared" si="3"/>
        <v>44286</v>
      </c>
      <c r="B21" s="153">
        <v>367.83</v>
      </c>
      <c r="C21" s="14"/>
      <c r="D21" s="131">
        <f>VLOOKUP(A21,Value!$A$6:$O$17,15,)</f>
        <v>48.89357762800002</v>
      </c>
      <c r="E21" s="14"/>
      <c r="F21" s="16">
        <f t="shared" si="4"/>
        <v>0.13</v>
      </c>
      <c r="G21" s="23"/>
      <c r="H21" s="20"/>
      <c r="I21" s="14"/>
      <c r="J21" s="14">
        <f>+B21</f>
        <v>367.83</v>
      </c>
      <c r="K21" s="13">
        <f t="shared" si="2"/>
        <v>2021</v>
      </c>
      <c r="O21" s="139">
        <f>VLOOKUP(A21,Value!$A$7:$O$18,13,FALSE)</f>
        <v>97.78715525600003</v>
      </c>
      <c r="P21" s="35"/>
    </row>
    <row r="22" spans="1:16" s="16" customFormat="1" ht="11.25">
      <c r="A22" s="17">
        <f t="shared" si="3"/>
        <v>44316</v>
      </c>
      <c r="B22" s="153">
        <v>367.83</v>
      </c>
      <c r="C22" s="14"/>
      <c r="D22" s="131">
        <f>VLOOKUP(A22,Value!$A$6:$O$18,15,)</f>
        <v>80.73780528000002</v>
      </c>
      <c r="E22" s="14"/>
      <c r="F22" s="16">
        <f t="shared" si="4"/>
        <v>0.22</v>
      </c>
      <c r="G22" s="23"/>
      <c r="H22" s="20"/>
      <c r="I22" s="14"/>
      <c r="J22" s="14">
        <f>+B22</f>
        <v>367.83</v>
      </c>
      <c r="K22" s="13">
        <f t="shared" si="2"/>
        <v>2021</v>
      </c>
      <c r="O22" s="139">
        <f>VLOOKUP(A22,Value!$A$7:$O$18,13,FALSE)</f>
        <v>161.47561056000004</v>
      </c>
      <c r="P22" s="107"/>
    </row>
    <row r="23" spans="1:16" s="16" customFormat="1" ht="11.25">
      <c r="A23" s="17"/>
      <c r="B23" s="14"/>
      <c r="C23" s="14"/>
      <c r="D23" s="97"/>
      <c r="E23" s="14"/>
      <c r="G23" s="14"/>
      <c r="H23" s="14"/>
      <c r="I23" s="14"/>
      <c r="J23" s="14"/>
      <c r="K23" s="13"/>
      <c r="O23" s="139"/>
      <c r="P23" s="107"/>
    </row>
    <row r="24" spans="1:15" s="16" customFormat="1" ht="11.25">
      <c r="A24" s="17" t="s">
        <v>87</v>
      </c>
      <c r="B24" s="21">
        <f>SUM(B17:B22)</f>
        <v>2087.92</v>
      </c>
      <c r="D24" s="132">
        <f>SUM(D17:D22)</f>
        <v>204.264726059</v>
      </c>
      <c r="E24" s="14"/>
      <c r="G24" s="14"/>
      <c r="H24" s="14"/>
      <c r="I24" s="14"/>
      <c r="J24" s="14"/>
      <c r="K24" s="13"/>
      <c r="O24" s="140"/>
    </row>
    <row r="25" spans="1:16" s="16" customFormat="1" ht="12.75">
      <c r="A25" s="5"/>
      <c r="B25" s="5"/>
      <c r="C25" s="5"/>
      <c r="D25" s="133"/>
      <c r="E25" s="5"/>
      <c r="F25" s="5"/>
      <c r="G25" s="5"/>
      <c r="H25" s="5"/>
      <c r="I25" s="5"/>
      <c r="J25" s="5"/>
      <c r="K25" s="5"/>
      <c r="O25" s="140"/>
      <c r="P25" s="112" t="s">
        <v>74</v>
      </c>
    </row>
    <row r="26" spans="1:16" s="16" customFormat="1" ht="13.5" thickBot="1">
      <c r="A26" s="26" t="s">
        <v>88</v>
      </c>
      <c r="B26" s="159">
        <f>B15+B24</f>
        <v>4140.13</v>
      </c>
      <c r="C26" s="20" t="s">
        <v>9</v>
      </c>
      <c r="D26" s="134">
        <f>D15+D24</f>
        <v>246.192799841</v>
      </c>
      <c r="E26" s="20" t="s">
        <v>10</v>
      </c>
      <c r="F26" s="23">
        <f>ROUND(D26/B26,3)</f>
        <v>0.059</v>
      </c>
      <c r="H26" s="14"/>
      <c r="I26" s="14"/>
      <c r="J26" s="27">
        <f>SUM(J8:J25)</f>
        <v>4140.13</v>
      </c>
      <c r="K26" s="20" t="s">
        <v>12</v>
      </c>
      <c r="O26" s="140">
        <f>SUM(O8:O25)</f>
        <v>492.385599682</v>
      </c>
      <c r="P26" s="116"/>
    </row>
    <row r="27" spans="2:16" s="16" customFormat="1" ht="12" thickTop="1">
      <c r="B27" s="14"/>
      <c r="C27" s="20"/>
      <c r="D27" s="14"/>
      <c r="E27" s="14"/>
      <c r="F27" s="14"/>
      <c r="G27" s="14"/>
      <c r="H27" s="14"/>
      <c r="I27" s="14"/>
      <c r="J27" s="14"/>
      <c r="K27" s="14"/>
      <c r="O27" s="141">
        <f>ROUND(O26/J26,3)</f>
        <v>0.119</v>
      </c>
      <c r="P27" s="107" t="s">
        <v>75</v>
      </c>
    </row>
    <row r="28" spans="2:16" s="16" customFormat="1" ht="11.25">
      <c r="B28" s="14"/>
      <c r="C28" s="14"/>
      <c r="D28" s="14"/>
      <c r="E28" s="14"/>
      <c r="F28" s="14"/>
      <c r="G28" s="14"/>
      <c r="H28" s="14"/>
      <c r="I28" s="14"/>
      <c r="J28" s="14"/>
      <c r="K28" s="14"/>
      <c r="O28" s="35"/>
      <c r="P28" s="107"/>
    </row>
    <row r="29" spans="2:16" s="16" customFormat="1" ht="11.25">
      <c r="B29" s="14"/>
      <c r="C29" s="14"/>
      <c r="D29" s="14"/>
      <c r="E29" s="14"/>
      <c r="F29" s="14"/>
      <c r="G29" s="14"/>
      <c r="H29" s="14"/>
      <c r="I29" s="14"/>
      <c r="J29" s="14"/>
      <c r="K29" s="14"/>
      <c r="O29" s="35"/>
      <c r="P29" s="107"/>
    </row>
    <row r="30" spans="2:16" s="16" customFormat="1" ht="12" thickBot="1">
      <c r="B30" s="29" t="s">
        <v>13</v>
      </c>
      <c r="C30" s="30"/>
      <c r="D30" s="30"/>
      <c r="E30" s="30"/>
      <c r="F30" s="14"/>
      <c r="G30" s="14"/>
      <c r="H30" s="14"/>
      <c r="I30" s="14"/>
      <c r="J30" s="14"/>
      <c r="K30" s="14"/>
      <c r="O30" s="107"/>
      <c r="P30" s="107" t="s">
        <v>76</v>
      </c>
    </row>
    <row r="31" spans="1:25" s="16" customFormat="1" ht="12" thickTop="1">
      <c r="A31" s="6"/>
      <c r="B31" s="31"/>
      <c r="C31" s="14"/>
      <c r="D31" s="14"/>
      <c r="E31" s="14"/>
      <c r="F31" s="14"/>
      <c r="G31" s="14"/>
      <c r="H31" s="14"/>
      <c r="I31" s="14"/>
      <c r="J31" s="14"/>
      <c r="K31" s="14"/>
      <c r="X31" s="14"/>
      <c r="Y31" s="14"/>
    </row>
    <row r="32" spans="1:11" s="16" customFormat="1" ht="11.25">
      <c r="A32" s="8"/>
      <c r="B32" s="31"/>
      <c r="C32" s="14"/>
      <c r="D32" s="14"/>
      <c r="E32" s="14"/>
      <c r="F32" s="32" t="s">
        <v>14</v>
      </c>
      <c r="G32" s="160">
        <f>D26</f>
        <v>246.192799841</v>
      </c>
      <c r="H32" s="20" t="s">
        <v>10</v>
      </c>
      <c r="I32" s="14"/>
      <c r="J32" s="14"/>
      <c r="K32" s="14"/>
    </row>
    <row r="33" spans="1:27" s="13" customFormat="1" ht="12" thickBot="1">
      <c r="A33" s="33"/>
      <c r="B33" s="31"/>
      <c r="C33" s="14"/>
      <c r="D33" s="14"/>
      <c r="E33" s="14"/>
      <c r="F33" s="14"/>
      <c r="G33" s="14"/>
      <c r="H33" s="20"/>
      <c r="I33" s="14"/>
      <c r="J33" s="14"/>
      <c r="K33" s="14"/>
      <c r="O33" s="16"/>
      <c r="P33" s="16"/>
      <c r="W33" s="14"/>
      <c r="X33" s="16"/>
      <c r="Y33" s="16"/>
      <c r="AA33" s="14"/>
    </row>
    <row r="34" spans="1:16" s="16" customFormat="1" ht="11.25" hidden="1" outlineLevel="1">
      <c r="A34" s="16" t="s">
        <v>104</v>
      </c>
      <c r="B34" s="14" t="s">
        <v>67</v>
      </c>
      <c r="C34" s="14"/>
      <c r="D34" s="14"/>
      <c r="E34" s="14"/>
      <c r="F34" s="158"/>
      <c r="G34" s="14"/>
      <c r="H34" s="14"/>
      <c r="I34" s="14"/>
      <c r="J34" s="14"/>
      <c r="K34" s="14"/>
      <c r="O34" s="16">
        <f>Value!M20</f>
        <v>492.385599682</v>
      </c>
      <c r="P34" s="13" t="s">
        <v>77</v>
      </c>
    </row>
    <row r="35" spans="2:16" s="16" customFormat="1" ht="11.25" hidden="1" outlineLevel="1">
      <c r="B35" s="14"/>
      <c r="C35" s="14" t="str">
        <f>"Yards from "&amp;TEXT($A$17,"mm/yy")&amp;" - "&amp;TEXT($A$19,"mm/yy")</f>
        <v>Yards from 11/20 - 01/21</v>
      </c>
      <c r="D35" s="14"/>
      <c r="E35" s="14"/>
      <c r="F35" s="14">
        <f>SUM(B8:B13)</f>
        <v>2052.21</v>
      </c>
      <c r="G35" s="20" t="s">
        <v>8</v>
      </c>
      <c r="H35" s="14"/>
      <c r="I35" s="14"/>
      <c r="J35" s="14"/>
      <c r="K35" s="14"/>
      <c r="O35" s="16">
        <f>Value!O20</f>
        <v>246.192799841</v>
      </c>
      <c r="P35" s="16" t="s">
        <v>78</v>
      </c>
    </row>
    <row r="36" spans="2:15" s="16" customFormat="1" ht="11.25" hidden="1" outlineLevel="1">
      <c r="B36" s="14"/>
      <c r="C36" s="14" t="s">
        <v>16</v>
      </c>
      <c r="D36" s="14"/>
      <c r="E36" s="14"/>
      <c r="F36" s="21">
        <f>F34*F35</f>
        <v>0</v>
      </c>
      <c r="G36" s="20"/>
      <c r="H36" s="14"/>
      <c r="I36" s="14"/>
      <c r="J36" s="14"/>
      <c r="K36" s="14"/>
      <c r="O36" s="142">
        <f>+O35/O34</f>
        <v>0.5</v>
      </c>
    </row>
    <row r="37" spans="2:11" s="16" customFormat="1" ht="12" hidden="1" outlineLevel="1" thickBot="1">
      <c r="B37" s="14"/>
      <c r="C37" s="14"/>
      <c r="D37" s="14"/>
      <c r="E37" s="14"/>
      <c r="F37" s="35"/>
      <c r="G37" s="20"/>
      <c r="H37" s="14"/>
      <c r="I37" s="14"/>
      <c r="J37" s="14"/>
      <c r="K37" s="14"/>
    </row>
    <row r="38" spans="2:16" s="16" customFormat="1" ht="12" collapsed="1" thickBot="1">
      <c r="B38" s="14" t="s">
        <v>67</v>
      </c>
      <c r="C38" s="14"/>
      <c r="D38" s="14"/>
      <c r="E38" s="14"/>
      <c r="F38" s="34">
        <v>0.079</v>
      </c>
      <c r="G38" s="14"/>
      <c r="H38" s="14"/>
      <c r="I38" s="14"/>
      <c r="J38" s="14"/>
      <c r="K38" s="14"/>
      <c r="L38" s="14"/>
      <c r="M38" s="14"/>
      <c r="N38" s="14"/>
      <c r="O38" s="169"/>
      <c r="P38" s="170"/>
    </row>
    <row r="39" spans="2:14" s="16" customFormat="1" ht="11.25">
      <c r="B39" s="14"/>
      <c r="C39" s="14" t="str">
        <f>"Yards from "&amp;TEXT($A$8,"mm/yy")&amp;" - "&amp;TEXT($A$22,"mm/yy")</f>
        <v>Yards from 05/20 - 04/21</v>
      </c>
      <c r="D39" s="14"/>
      <c r="E39" s="14"/>
      <c r="F39" s="14">
        <f>B26</f>
        <v>4140.13</v>
      </c>
      <c r="G39" s="20" t="s">
        <v>9</v>
      </c>
      <c r="H39" s="14"/>
      <c r="I39" s="14"/>
      <c r="J39" s="14"/>
      <c r="K39" s="14"/>
      <c r="L39" s="14"/>
      <c r="M39" s="14"/>
      <c r="N39" s="14"/>
    </row>
    <row r="40" spans="2:11" s="16" customFormat="1" ht="11.25">
      <c r="B40" s="14"/>
      <c r="C40" s="14" t="s">
        <v>16</v>
      </c>
      <c r="D40" s="14"/>
      <c r="E40" s="14"/>
      <c r="F40" s="21">
        <f>F38*F39</f>
        <v>327.07027</v>
      </c>
      <c r="G40" s="20"/>
      <c r="H40" s="14"/>
      <c r="I40" s="14"/>
      <c r="J40" s="14"/>
      <c r="K40" s="14"/>
    </row>
    <row r="41" spans="2:11" s="16" customFormat="1" ht="11.25">
      <c r="B41" s="14"/>
      <c r="C41" s="14"/>
      <c r="D41" s="14"/>
      <c r="E41" s="14"/>
      <c r="F41" s="36"/>
      <c r="G41" s="20"/>
      <c r="H41" s="14"/>
      <c r="I41" s="14"/>
      <c r="J41" s="14"/>
      <c r="K41" s="14"/>
    </row>
    <row r="42" spans="2:11" s="16" customFormat="1" ht="12" thickBot="1">
      <c r="B42" s="14"/>
      <c r="C42" s="14" t="s">
        <v>17</v>
      </c>
      <c r="D42" s="14"/>
      <c r="E42" s="14"/>
      <c r="F42" s="27">
        <f>+F36+F40</f>
        <v>327.07027</v>
      </c>
      <c r="G42" s="37">
        <f>+F42</f>
        <v>327.07027</v>
      </c>
      <c r="H42" s="14"/>
      <c r="I42" s="14"/>
      <c r="J42" s="14"/>
      <c r="K42" s="14"/>
    </row>
    <row r="43" spans="2:11" s="16" customFormat="1" ht="12" thickTop="1">
      <c r="B43" s="14"/>
      <c r="C43" s="14"/>
      <c r="D43" s="14"/>
      <c r="E43" s="14"/>
      <c r="F43" s="14"/>
      <c r="G43" s="14"/>
      <c r="H43" s="14"/>
      <c r="I43" s="14"/>
      <c r="J43" s="14"/>
      <c r="K43" s="14"/>
    </row>
    <row r="44" spans="2:11" s="16" customFormat="1" ht="11.25">
      <c r="B44" s="14"/>
      <c r="C44" s="14"/>
      <c r="D44" s="14"/>
      <c r="E44" s="14"/>
      <c r="F44" s="14"/>
      <c r="G44" s="14"/>
      <c r="H44" s="14"/>
      <c r="I44" s="14"/>
      <c r="J44" s="14"/>
      <c r="K44" s="14"/>
    </row>
    <row r="45" spans="2:11" s="16" customFormat="1" ht="12" thickBot="1">
      <c r="B45" s="14"/>
      <c r="C45" s="14"/>
      <c r="D45" s="14"/>
      <c r="E45" s="14"/>
      <c r="F45" s="32" t="str">
        <f>IF(G45&lt;=0,"Excess","Deficient")&amp;" Commodity Credits"</f>
        <v>Excess Commodity Credits</v>
      </c>
      <c r="G45" s="38">
        <f>+G32-G42</f>
        <v>-80.87747015899998</v>
      </c>
      <c r="H45" s="14"/>
      <c r="I45" s="14"/>
      <c r="J45" s="14"/>
      <c r="K45" s="14"/>
    </row>
    <row r="46" spans="2:25" s="16" customFormat="1" ht="12" thickTop="1">
      <c r="B46" s="14"/>
      <c r="C46" s="14"/>
      <c r="D46" s="14"/>
      <c r="E46" s="14"/>
      <c r="F46" s="14"/>
      <c r="G46" s="14"/>
      <c r="H46" s="14"/>
      <c r="I46" s="14"/>
      <c r="J46" s="14"/>
      <c r="K46" s="14"/>
      <c r="Y46" s="14"/>
    </row>
    <row r="47" spans="2:11" s="16" customFormat="1" ht="11.25">
      <c r="B47" s="14"/>
      <c r="C47" s="14"/>
      <c r="D47" s="14"/>
      <c r="E47" s="14"/>
      <c r="F47" s="14"/>
      <c r="G47" s="14"/>
      <c r="H47" s="14"/>
      <c r="I47" s="14"/>
      <c r="J47" s="14"/>
      <c r="K47" s="14"/>
    </row>
    <row r="48" spans="2:11" s="16" customFormat="1" ht="12" thickBot="1">
      <c r="B48" s="29" t="str">
        <f>$K$22+1&amp;" Recycle Adjustment Calculation"</f>
        <v>2022 Recycle Adjustment Calculation</v>
      </c>
      <c r="C48" s="30"/>
      <c r="D48" s="30"/>
      <c r="E48" s="30"/>
      <c r="F48" s="30"/>
      <c r="G48" s="14"/>
      <c r="H48" s="14"/>
      <c r="I48" s="14"/>
      <c r="J48" s="14"/>
      <c r="K48" s="14"/>
    </row>
    <row r="49" spans="2:27" s="16" customFormat="1" ht="12" thickTop="1">
      <c r="B49" s="31"/>
      <c r="C49" s="14"/>
      <c r="D49" s="14"/>
      <c r="E49" s="14"/>
      <c r="F49" s="14"/>
      <c r="G49" s="14"/>
      <c r="H49" s="14"/>
      <c r="I49" s="14"/>
      <c r="J49" s="14"/>
      <c r="K49" s="14"/>
      <c r="L49" s="14"/>
      <c r="M49" s="14"/>
      <c r="N49" s="14"/>
      <c r="O49" s="14"/>
      <c r="P49" s="14"/>
      <c r="Q49" s="14"/>
      <c r="R49" s="14"/>
      <c r="S49" s="14"/>
      <c r="T49" s="14"/>
      <c r="U49" s="14"/>
      <c r="V49" s="14"/>
      <c r="W49" s="14"/>
      <c r="AA49" s="14"/>
    </row>
    <row r="50" spans="2:11" s="16" customFormat="1" ht="11.25">
      <c r="B50" s="14" t="s">
        <v>82</v>
      </c>
      <c r="C50" s="14"/>
      <c r="D50" s="14"/>
      <c r="E50" s="14"/>
      <c r="F50" s="14"/>
      <c r="G50" s="14"/>
      <c r="H50" s="14"/>
      <c r="I50" s="14"/>
      <c r="J50" s="14"/>
      <c r="K50" s="14"/>
    </row>
    <row r="51" spans="2:11" s="16" customFormat="1" ht="11.25">
      <c r="B51" s="14"/>
      <c r="C51" s="14"/>
      <c r="D51" s="14"/>
      <c r="E51" s="14"/>
      <c r="F51" s="32" t="s">
        <v>89</v>
      </c>
      <c r="G51" s="14">
        <f>+J26</f>
        <v>4140.13</v>
      </c>
      <c r="H51" s="20" t="s">
        <v>12</v>
      </c>
      <c r="I51" s="14"/>
      <c r="J51" s="14"/>
      <c r="K51" s="14"/>
    </row>
    <row r="52" spans="2:11" s="16" customFormat="1" ht="11.25">
      <c r="B52" s="14"/>
      <c r="C52" s="14"/>
      <c r="D52" s="14"/>
      <c r="E52" s="14"/>
      <c r="F52" s="32" t="str">
        <f>F45</f>
        <v>Excess Commodity Credits</v>
      </c>
      <c r="G52" s="14">
        <f>+G45</f>
        <v>-80.87747015899998</v>
      </c>
      <c r="H52" s="14"/>
      <c r="I52" s="14"/>
      <c r="J52" s="14"/>
      <c r="K52" s="14"/>
    </row>
    <row r="53" spans="2:11" s="16" customFormat="1" ht="11.25">
      <c r="B53" s="14"/>
      <c r="C53" s="14"/>
      <c r="D53" s="14"/>
      <c r="E53" s="14"/>
      <c r="F53" s="32"/>
      <c r="G53" s="14"/>
      <c r="H53" s="14"/>
      <c r="I53" s="14"/>
      <c r="J53" s="14"/>
      <c r="K53" s="14"/>
    </row>
    <row r="54" spans="2:11" s="16" customFormat="1" ht="12" thickBot="1">
      <c r="B54" s="14"/>
      <c r="C54" s="14"/>
      <c r="D54" s="14"/>
      <c r="E54" s="14"/>
      <c r="F54" s="32" t="s">
        <v>108</v>
      </c>
      <c r="G54" s="156">
        <f>ROUND(G52/G51,2)</f>
        <v>-0.02</v>
      </c>
      <c r="H54" s="14"/>
      <c r="I54" s="23">
        <f>+G54</f>
        <v>-0.02</v>
      </c>
      <c r="J54" s="14"/>
      <c r="K54" s="14"/>
    </row>
    <row r="55" spans="2:25" s="16" customFormat="1" ht="12" thickTop="1">
      <c r="B55" s="14"/>
      <c r="C55" s="14"/>
      <c r="D55" s="14"/>
      <c r="E55" s="14"/>
      <c r="F55" s="32"/>
      <c r="G55" s="14"/>
      <c r="H55" s="14"/>
      <c r="I55" s="23"/>
      <c r="J55" s="14"/>
      <c r="K55" s="14"/>
      <c r="O55" s="150" t="s">
        <v>79</v>
      </c>
      <c r="Y55" s="14"/>
    </row>
    <row r="56" spans="2:15" s="16" customFormat="1" ht="11.25">
      <c r="B56" s="14" t="s">
        <v>83</v>
      </c>
      <c r="C56" s="14"/>
      <c r="D56" s="14"/>
      <c r="E56" s="14"/>
      <c r="F56" s="32"/>
      <c r="G56" s="14"/>
      <c r="H56" s="14"/>
      <c r="I56" s="23"/>
      <c r="J56" s="14"/>
      <c r="K56" s="14"/>
      <c r="O56" s="151">
        <f>+'[1]WUTC_AW of Kent_MF'!$O$56</f>
        <v>0.5</v>
      </c>
    </row>
    <row r="57" spans="2:11" s="16" customFormat="1" ht="12" thickBot="1">
      <c r="B57" s="31"/>
      <c r="C57" s="14"/>
      <c r="D57" s="14"/>
      <c r="E57" s="14"/>
      <c r="F57" s="32" t="s">
        <v>90</v>
      </c>
      <c r="G57" s="157">
        <f>F26</f>
        <v>0.059</v>
      </c>
      <c r="H57" s="14"/>
      <c r="I57" s="23">
        <f>+G57</f>
        <v>0.059</v>
      </c>
      <c r="J57" s="20" t="s">
        <v>11</v>
      </c>
      <c r="K57" s="14"/>
    </row>
    <row r="58" spans="2:25" s="14" customFormat="1" ht="12" thickTop="1">
      <c r="B58" s="31"/>
      <c r="I58" s="23"/>
      <c r="X58" s="16"/>
      <c r="Y58" s="16"/>
    </row>
    <row r="59" spans="2:10" s="16" customFormat="1" ht="12" thickBot="1">
      <c r="B59" s="14"/>
      <c r="C59" s="14"/>
      <c r="D59" s="14"/>
      <c r="E59" s="14"/>
      <c r="F59" s="14"/>
      <c r="G59" s="32" t="s">
        <v>107</v>
      </c>
      <c r="H59" s="27"/>
      <c r="I59" s="28">
        <f>+I54+I57</f>
        <v>0.03899999999999999</v>
      </c>
      <c r="J59" s="14"/>
    </row>
    <row r="60" s="16" customFormat="1" ht="12" thickTop="1">
      <c r="I60" s="23"/>
    </row>
    <row r="61" spans="7:9" s="16" customFormat="1" ht="11.25">
      <c r="G61" s="125" t="s">
        <v>69</v>
      </c>
      <c r="I61" s="16">
        <f>+I59*3.5</f>
        <v>0.13649999999999998</v>
      </c>
    </row>
    <row r="62" spans="1:7" s="16" customFormat="1" ht="11.25">
      <c r="A62" s="107"/>
      <c r="B62" s="107"/>
      <c r="C62" s="107"/>
      <c r="D62" s="107"/>
      <c r="E62" s="107"/>
      <c r="F62" s="107"/>
      <c r="G62" s="125"/>
    </row>
    <row r="63" spans="1:7" s="16" customFormat="1" ht="11.25">
      <c r="A63" s="108"/>
      <c r="B63" s="109"/>
      <c r="C63" s="110"/>
      <c r="D63" s="110"/>
      <c r="E63" s="110"/>
      <c r="F63" s="111"/>
      <c r="G63" s="125"/>
    </row>
    <row r="64" spans="1:9" s="16" customFormat="1" ht="11.25">
      <c r="A64" s="113"/>
      <c r="B64" s="125" t="s">
        <v>106</v>
      </c>
      <c r="C64" s="35"/>
      <c r="D64" s="107"/>
      <c r="E64" s="35"/>
      <c r="F64" s="107"/>
      <c r="G64" s="125" t="s">
        <v>105</v>
      </c>
      <c r="I64" s="77">
        <f>+RSA!E24</f>
        <v>0.00754910306525499</v>
      </c>
    </row>
    <row r="65" spans="1:6" s="16" customFormat="1" ht="11.25">
      <c r="A65" s="113"/>
      <c r="B65" s="114"/>
      <c r="C65" s="35"/>
      <c r="D65" s="107"/>
      <c r="E65" s="35"/>
      <c r="F65" s="107"/>
    </row>
    <row r="66" spans="1:25" s="16" customFormat="1" ht="12" thickBot="1">
      <c r="A66" s="113"/>
      <c r="B66" s="114"/>
      <c r="C66" s="35"/>
      <c r="D66" s="107"/>
      <c r="E66" s="35"/>
      <c r="F66" s="107"/>
      <c r="G66" s="32" t="str">
        <f>G59</f>
        <v>8/1/21 - 7/31/22 Adjusted Credit</v>
      </c>
      <c r="H66" s="27"/>
      <c r="I66" s="175">
        <f>+I59+I64</f>
        <v>0.04654910306525498</v>
      </c>
      <c r="Y66" s="14"/>
    </row>
    <row r="67" spans="1:6" s="16" customFormat="1" ht="12" thickTop="1">
      <c r="A67" s="113"/>
      <c r="B67" s="114"/>
      <c r="C67" s="35"/>
      <c r="D67" s="107"/>
      <c r="E67" s="35"/>
      <c r="F67" s="107"/>
    </row>
    <row r="68" spans="1:9" s="16" customFormat="1" ht="11.25">
      <c r="A68" s="113"/>
      <c r="B68" s="114"/>
      <c r="C68" s="35"/>
      <c r="D68" s="107"/>
      <c r="E68" s="35"/>
      <c r="F68" s="107"/>
      <c r="G68" s="125" t="s">
        <v>72</v>
      </c>
      <c r="I68" s="143">
        <f>+I66*3.5</f>
        <v>0.16292186072839243</v>
      </c>
    </row>
    <row r="69" spans="1:7" s="16" customFormat="1" ht="11.25">
      <c r="A69" s="113"/>
      <c r="B69" s="114"/>
      <c r="C69" s="35"/>
      <c r="D69" s="107"/>
      <c r="E69" s="35"/>
      <c r="F69" s="107"/>
      <c r="G69" s="125"/>
    </row>
    <row r="70" spans="1:27" s="16" customFormat="1" ht="11.25">
      <c r="A70" s="113"/>
      <c r="B70" s="114"/>
      <c r="C70" s="35"/>
      <c r="D70" s="107"/>
      <c r="E70" s="35"/>
      <c r="F70" s="107"/>
      <c r="J70" s="14"/>
      <c r="K70" s="13"/>
      <c r="L70" s="14"/>
      <c r="M70" s="14"/>
      <c r="N70" s="14"/>
      <c r="O70" s="14"/>
      <c r="P70" s="14"/>
      <c r="Q70" s="14"/>
      <c r="R70" s="14"/>
      <c r="S70" s="14"/>
      <c r="T70" s="14"/>
      <c r="U70" s="14"/>
      <c r="V70" s="13"/>
      <c r="W70" s="14"/>
      <c r="AA70" s="14"/>
    </row>
    <row r="71" spans="1:6" s="16" customFormat="1" ht="11.25">
      <c r="A71" s="113"/>
      <c r="B71" s="114"/>
      <c r="C71" s="35"/>
      <c r="D71" s="107"/>
      <c r="E71" s="35"/>
      <c r="F71" s="107"/>
    </row>
    <row r="72" spans="1:6" s="16" customFormat="1" ht="11.25">
      <c r="A72" s="113"/>
      <c r="B72" s="114"/>
      <c r="C72" s="35"/>
      <c r="D72" s="107"/>
      <c r="E72" s="35"/>
      <c r="F72" s="107"/>
    </row>
    <row r="73" spans="1:6" s="16" customFormat="1" ht="11.25">
      <c r="A73" s="113"/>
      <c r="B73" s="35"/>
      <c r="C73" s="35"/>
      <c r="D73" s="107"/>
      <c r="E73" s="35"/>
      <c r="F73" s="107"/>
    </row>
    <row r="74" spans="1:6" s="16" customFormat="1" ht="11.25">
      <c r="A74" s="113"/>
      <c r="B74" s="35"/>
      <c r="C74" s="115"/>
      <c r="D74" s="107"/>
      <c r="E74" s="35"/>
      <c r="F74" s="107"/>
    </row>
    <row r="75" spans="1:25" s="16" customFormat="1" ht="12.75">
      <c r="A75" s="116"/>
      <c r="B75" s="116"/>
      <c r="C75" s="116"/>
      <c r="D75" s="117"/>
      <c r="E75" s="116"/>
      <c r="F75" s="116"/>
      <c r="Y75" s="14"/>
    </row>
    <row r="76" spans="1:6" s="16" customFormat="1" ht="11.25">
      <c r="A76" s="118"/>
      <c r="B76" s="35"/>
      <c r="C76" s="115"/>
      <c r="D76" s="107"/>
      <c r="E76" s="115"/>
      <c r="F76" s="119"/>
    </row>
    <row r="77" s="16" customFormat="1" ht="11.25"/>
    <row r="78" s="16" customFormat="1" ht="11.25"/>
    <row r="79" s="16" customFormat="1" ht="11.25">
      <c r="B79" s="8"/>
    </row>
    <row r="80" spans="2:25" s="14" customFormat="1" ht="11.25">
      <c r="B80" s="31"/>
      <c r="X80" s="16"/>
      <c r="Y80" s="16"/>
    </row>
    <row r="81" s="16" customFormat="1" ht="11.25"/>
    <row r="82" s="16" customFormat="1" ht="11.25"/>
    <row r="83" s="16" customFormat="1" ht="11.25"/>
    <row r="84" s="16" customFormat="1" ht="11.25"/>
    <row r="85" s="16" customFormat="1" ht="11.25"/>
    <row r="86" s="16" customFormat="1" ht="11.25"/>
    <row r="87" s="16" customFormat="1" ht="11.25"/>
    <row r="88" s="16" customFormat="1" ht="11.25"/>
    <row r="89" s="16" customFormat="1" ht="11.25">
      <c r="A89" s="6"/>
    </row>
    <row r="90" s="16" customFormat="1" ht="12.75">
      <c r="AA90" s="5"/>
    </row>
    <row r="91" s="16" customFormat="1" ht="12.75">
      <c r="AA91" s="5"/>
    </row>
    <row r="92" s="16" customFormat="1" ht="12.75">
      <c r="AA92" s="5"/>
    </row>
    <row r="93" s="16" customFormat="1" ht="12.75">
      <c r="AA93" s="5"/>
    </row>
    <row r="94" spans="7:27" s="16" customFormat="1" ht="12.75">
      <c r="G94" s="56"/>
      <c r="I94" s="56"/>
      <c r="J94" s="56"/>
      <c r="L94" s="56"/>
      <c r="M94" s="56"/>
      <c r="N94" s="56"/>
      <c r="O94" s="56"/>
      <c r="P94" s="56"/>
      <c r="Q94" s="56"/>
      <c r="R94" s="56"/>
      <c r="S94" s="56"/>
      <c r="T94" s="56"/>
      <c r="U94" s="56"/>
      <c r="V94" s="56"/>
      <c r="W94" s="56"/>
      <c r="X94" s="56"/>
      <c r="Y94" s="56"/>
      <c r="AA94" s="5"/>
    </row>
    <row r="95" s="16" customFormat="1" ht="12.75">
      <c r="AA95" s="5"/>
    </row>
    <row r="96" spans="7:27" s="16" customFormat="1" ht="13.5" thickBot="1">
      <c r="G96" s="57"/>
      <c r="I96" s="57"/>
      <c r="J96" s="57"/>
      <c r="L96" s="57"/>
      <c r="M96" s="57"/>
      <c r="N96" s="57"/>
      <c r="O96" s="57"/>
      <c r="P96" s="57"/>
      <c r="Q96" s="57"/>
      <c r="R96" s="57"/>
      <c r="S96" s="57"/>
      <c r="T96" s="57"/>
      <c r="U96" s="57"/>
      <c r="V96" s="57"/>
      <c r="W96" s="57"/>
      <c r="X96" s="57"/>
      <c r="Y96" s="57"/>
      <c r="AA96" s="5"/>
    </row>
    <row r="97" ht="13.5" thickTop="1"/>
    <row r="98" spans="23:25" ht="12.75">
      <c r="W98" s="58"/>
      <c r="X98" s="58"/>
      <c r="Y98" s="58"/>
    </row>
    <row r="99" spans="23:27" ht="12.75">
      <c r="W99" s="58"/>
      <c r="AA99" s="58"/>
    </row>
  </sheetData>
  <sheetProtection/>
  <printOptions horizontalCentered="1"/>
  <pageMargins left="0.25" right="0.25" top="0.25" bottom="0.25" header="0" footer="0"/>
  <pageSetup fitToHeight="1" fitToWidth="1" horizontalDpi="1200" verticalDpi="1200" orientation="portrait" scale="96" r:id="rId3"/>
  <headerFooter alignWithMargins="0">
    <oddFooter>&amp;R&amp;"Helv,Regular"&amp;6\\SERVER1\DPUBLIC\EXCEL\WUTC\&amp;F, &amp;A, &amp;D, &amp;T, 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20"/>
  <sheetViews>
    <sheetView zoomScalePageLayoutView="0" workbookViewId="0" topLeftCell="A1">
      <selection activeCell="U23" sqref="U23"/>
    </sheetView>
  </sheetViews>
  <sheetFormatPr defaultColWidth="9.140625" defaultRowHeight="12.75"/>
  <cols>
    <col min="2" max="2" width="6.57421875" style="0" customWidth="1"/>
    <col min="3" max="4" width="10.7109375" style="0" customWidth="1"/>
    <col min="5" max="5" width="10.28125" style="0" bestFit="1" customWidth="1"/>
    <col min="6" max="13" width="10.7109375" style="0" customWidth="1"/>
    <col min="14" max="14" width="3.7109375" style="73" customWidth="1"/>
    <col min="15" max="15" width="10.7109375" style="0" customWidth="1"/>
    <col min="16" max="16" width="14.57421875" style="0" bestFit="1" customWidth="1"/>
  </cols>
  <sheetData>
    <row r="1" spans="1:2" ht="12.75">
      <c r="A1" s="59" t="str">
        <f>"Commodity Value Timeframe:  "&amp;TEXT(A7,"mmmm")&amp;" - "&amp;TEXT(A18,"mmmm")</f>
        <v>Commodity Value Timeframe:  May - April</v>
      </c>
      <c r="B1" s="60"/>
    </row>
    <row r="2" spans="1:2" ht="13.5" customHeight="1">
      <c r="A2" s="61" t="str">
        <f>WUTC_KENT_MF!A1</f>
        <v>Kent-Meridian Disposal</v>
      </c>
      <c r="B2" s="61"/>
    </row>
    <row r="3" spans="1:2" ht="13.5" customHeight="1">
      <c r="A3" s="61"/>
      <c r="B3" s="61"/>
    </row>
    <row r="4" spans="2:15" ht="12.75">
      <c r="B4" s="71"/>
      <c r="C4" s="63" t="s">
        <v>21</v>
      </c>
      <c r="D4" s="63" t="s">
        <v>22</v>
      </c>
      <c r="E4" s="63" t="s">
        <v>85</v>
      </c>
      <c r="F4" s="63" t="s">
        <v>50</v>
      </c>
      <c r="G4" s="63" t="s">
        <v>53</v>
      </c>
      <c r="H4" s="63" t="s">
        <v>24</v>
      </c>
      <c r="I4" s="63" t="s">
        <v>25</v>
      </c>
      <c r="J4" s="63" t="s">
        <v>26</v>
      </c>
      <c r="K4" s="63" t="s">
        <v>27</v>
      </c>
      <c r="L4" s="63" t="s">
        <v>28</v>
      </c>
      <c r="M4" s="63" t="s">
        <v>29</v>
      </c>
      <c r="N4"/>
      <c r="O4" s="74"/>
    </row>
    <row r="5" spans="2:15" ht="12.75">
      <c r="B5" s="71"/>
      <c r="C5" s="71"/>
      <c r="D5" s="71"/>
      <c r="E5" s="71"/>
      <c r="F5" s="71"/>
      <c r="G5" s="71"/>
      <c r="H5" s="71"/>
      <c r="I5" s="71"/>
      <c r="J5" s="71"/>
      <c r="K5" s="71"/>
      <c r="L5" s="71"/>
      <c r="M5" s="71"/>
      <c r="N5"/>
      <c r="O5" s="74" t="str">
        <f>+TEXT(P20,"00.0%")&amp;" of"</f>
        <v>50.0% of</v>
      </c>
    </row>
    <row r="6" spans="2:17" ht="12.75">
      <c r="B6" s="71"/>
      <c r="C6" s="71"/>
      <c r="D6" s="71"/>
      <c r="E6" s="71"/>
      <c r="F6" s="71"/>
      <c r="G6" s="71"/>
      <c r="H6" s="71"/>
      <c r="I6" s="71"/>
      <c r="J6" s="71"/>
      <c r="K6" s="71"/>
      <c r="L6" s="71"/>
      <c r="M6" s="71"/>
      <c r="N6"/>
      <c r="O6" s="74" t="s">
        <v>29</v>
      </c>
      <c r="P6" s="63" t="s">
        <v>80</v>
      </c>
      <c r="Q6" s="149"/>
    </row>
    <row r="7" spans="1:18" ht="12.75">
      <c r="A7" s="66">
        <f>+Pricing!A7</f>
        <v>43982</v>
      </c>
      <c r="B7" s="71"/>
      <c r="C7" s="76">
        <f>'Commodity Tonnages'!C7*Pricing!C7</f>
        <v>28.842209760000003</v>
      </c>
      <c r="D7" s="76">
        <f>'Commodity Tonnages'!D7*Pricing!D7</f>
        <v>-0.1764378</v>
      </c>
      <c r="E7" s="76">
        <f>'Commodity Tonnages'!E7*Pricing!E7</f>
        <v>0</v>
      </c>
      <c r="F7" s="76">
        <f>'Commodity Tonnages'!F7*Pricing!F7</f>
        <v>4.498951632</v>
      </c>
      <c r="G7" s="76">
        <f>'Commodity Tonnages'!G7*Pricing!G7</f>
        <v>0.50430408</v>
      </c>
      <c r="H7" s="76">
        <f>'Commodity Tonnages'!H7*Pricing!H7</f>
        <v>17.783659824000004</v>
      </c>
      <c r="I7" s="76">
        <f>'Commodity Tonnages'!I7*Pricing!I7</f>
        <v>5.820755640000002</v>
      </c>
      <c r="J7" s="76">
        <f>'Commodity Tonnages'!J7*Pricing!J7</f>
        <v>5.820755640000002</v>
      </c>
      <c r="K7" s="76">
        <f>'Commodity Tonnages'!K7*Pricing!K7</f>
        <v>81.80223307200002</v>
      </c>
      <c r="L7" s="76">
        <f>'Commodity Tonnages'!L7*Pricing!L7</f>
        <v>-111.49162038</v>
      </c>
      <c r="M7" s="145">
        <f>SUM(C7:L7)</f>
        <v>33.40481146800002</v>
      </c>
      <c r="N7"/>
      <c r="O7" s="148">
        <f>M7*P7</f>
        <v>16.70240573400001</v>
      </c>
      <c r="P7" s="155">
        <v>0.5</v>
      </c>
      <c r="Q7" s="152"/>
      <c r="R7" s="75"/>
    </row>
    <row r="8" spans="1:18" ht="12.75">
      <c r="A8" s="66">
        <f>+Pricing!A8</f>
        <v>44012</v>
      </c>
      <c r="B8" s="71"/>
      <c r="C8" s="76">
        <f>'Commodity Tonnages'!C8*Pricing!C8</f>
        <v>43.569981</v>
      </c>
      <c r="D8" s="76">
        <f>'Commodity Tonnages'!D8*Pricing!D8</f>
        <v>-1.28912355</v>
      </c>
      <c r="E8" s="76">
        <f>'Commodity Tonnages'!E8*Pricing!E8</f>
        <v>0</v>
      </c>
      <c r="F8" s="76">
        <f>'Commodity Tonnages'!F8*Pricing!F8</f>
        <v>7.056953279999999</v>
      </c>
      <c r="G8" s="76">
        <f>'Commodity Tonnages'!G8*Pricing!G8</f>
        <v>0.7886970000000001</v>
      </c>
      <c r="H8" s="76">
        <f>'Commodity Tonnages'!H8*Pricing!H8</f>
        <v>19.031290199999997</v>
      </c>
      <c r="I8" s="76">
        <f>'Commodity Tonnages'!I8*Pricing!I8</f>
        <v>7.063057169999999</v>
      </c>
      <c r="J8" s="76">
        <f>'Commodity Tonnages'!J8*Pricing!J8</f>
        <v>7.063057169999999</v>
      </c>
      <c r="K8" s="76">
        <f>'Commodity Tonnages'!K8*Pricing!K8</f>
        <v>84.44007</v>
      </c>
      <c r="L8" s="76">
        <f>'Commodity Tonnages'!L8*Pricing!L8</f>
        <v>-159.7188294</v>
      </c>
      <c r="M8" s="145">
        <f aca="true" t="shared" si="0" ref="M8:M18">SUM(C8:L8)</f>
        <v>8.00515286999999</v>
      </c>
      <c r="N8"/>
      <c r="O8" s="148">
        <f aca="true" t="shared" si="1" ref="O8:O18">M8*P8</f>
        <v>4.002576434999995</v>
      </c>
      <c r="P8" s="155">
        <v>0.5</v>
      </c>
      <c r="Q8" s="152"/>
      <c r="R8" s="75"/>
    </row>
    <row r="9" spans="1:18" ht="12.75">
      <c r="A9" s="66">
        <f>+Pricing!A9</f>
        <v>44043</v>
      </c>
      <c r="B9" s="67"/>
      <c r="C9" s="76">
        <f>'Commodity Tonnages'!C9*Pricing!C9</f>
        <v>31.159652040000008</v>
      </c>
      <c r="D9" s="76">
        <f>'Commodity Tonnages'!D9*Pricing!D9</f>
        <v>-3.706719390000001</v>
      </c>
      <c r="E9" s="76">
        <f>'Commodity Tonnages'!E9*Pricing!E9</f>
        <v>0</v>
      </c>
      <c r="F9" s="76">
        <f>'Commodity Tonnages'!F9*Pricing!F9</f>
        <v>4.9512860640000005</v>
      </c>
      <c r="G9" s="76">
        <f>'Commodity Tonnages'!G9*Pricing!G9</f>
        <v>0.5226757200000001</v>
      </c>
      <c r="H9" s="76">
        <f>'Commodity Tonnages'!H9*Pricing!H9</f>
        <v>7.339246272</v>
      </c>
      <c r="I9" s="76">
        <f>'Commodity Tonnages'!I9*Pricing!I9</f>
        <v>4.54144221</v>
      </c>
      <c r="J9" s="76">
        <f>'Commodity Tonnages'!J9*Pricing!J9</f>
        <v>4.54144221</v>
      </c>
      <c r="K9" s="76">
        <f>'Commodity Tonnages'!K9*Pricing!K9</f>
        <v>55.927906056</v>
      </c>
      <c r="L9" s="76">
        <f>'Commodity Tonnages'!L9*Pricing!L9</f>
        <v>-115.48899972000001</v>
      </c>
      <c r="M9" s="145">
        <f t="shared" si="0"/>
        <v>-10.212068538000011</v>
      </c>
      <c r="N9" s="72"/>
      <c r="O9" s="148">
        <f t="shared" si="1"/>
        <v>-5.106034269000006</v>
      </c>
      <c r="P9" s="155">
        <v>0.5</v>
      </c>
      <c r="Q9" s="152"/>
      <c r="R9" s="75"/>
    </row>
    <row r="10" spans="1:18" ht="12.75">
      <c r="A10" s="66">
        <f>+Pricing!A10</f>
        <v>44074</v>
      </c>
      <c r="B10" s="67"/>
      <c r="C10" s="76">
        <f>'Commodity Tonnages'!C10*Pricing!C10</f>
        <v>36.71797464</v>
      </c>
      <c r="D10" s="76">
        <f>'Commodity Tonnages'!D10*Pricing!D10</f>
        <v>-5.87060298</v>
      </c>
      <c r="E10" s="76">
        <f>'Commodity Tonnages'!E10*Pricing!E10</f>
        <v>0</v>
      </c>
      <c r="F10" s="76">
        <f>'Commodity Tonnages'!F10*Pricing!F10</f>
        <v>5.531138663999999</v>
      </c>
      <c r="G10" s="76">
        <f>'Commodity Tonnages'!G10*Pricing!G10</f>
        <v>0.65721516</v>
      </c>
      <c r="H10" s="76">
        <f>'Commodity Tonnages'!H10*Pricing!H10</f>
        <v>11.970688608000001</v>
      </c>
      <c r="I10" s="76">
        <f>'Commodity Tonnages'!I10*Pricing!I10</f>
        <v>5.447707008000001</v>
      </c>
      <c r="J10" s="76">
        <f>'Commodity Tonnages'!J10*Pricing!J10</f>
        <v>5.447707008000001</v>
      </c>
      <c r="K10" s="76">
        <f>'Commodity Tonnages'!K10*Pricing!K10</f>
        <v>66.100657824</v>
      </c>
      <c r="L10" s="76">
        <f>'Commodity Tonnages'!L10*Pricing!L10</f>
        <v>-120.61447488</v>
      </c>
      <c r="M10" s="145">
        <f t="shared" si="0"/>
        <v>5.388011051999996</v>
      </c>
      <c r="N10" s="72"/>
      <c r="O10" s="148">
        <f t="shared" si="1"/>
        <v>2.694005525999998</v>
      </c>
      <c r="P10" s="155">
        <v>0.5</v>
      </c>
      <c r="Q10" s="152"/>
      <c r="R10" s="75"/>
    </row>
    <row r="11" spans="1:18" ht="12.75">
      <c r="A11" s="66">
        <f>+Pricing!A11</f>
        <v>44104</v>
      </c>
      <c r="B11" s="67"/>
      <c r="C11" s="76">
        <f>'Commodity Tonnages'!C11*Pricing!C11</f>
        <v>36.87325776</v>
      </c>
      <c r="D11" s="76">
        <f>'Commodity Tonnages'!D11*Pricing!D11</f>
        <v>-5.15147523</v>
      </c>
      <c r="E11" s="76">
        <f>'Commodity Tonnages'!E11*Pricing!E11</f>
        <v>0</v>
      </c>
      <c r="F11" s="76">
        <f>'Commodity Tonnages'!F11*Pricing!F11</f>
        <v>6.734113176000001</v>
      </c>
      <c r="G11" s="76">
        <f>'Commodity Tonnages'!G11*Pricing!G11</f>
        <v>0.8093660400000001</v>
      </c>
      <c r="H11" s="76">
        <f>'Commodity Tonnages'!H11*Pricing!H11</f>
        <v>30.926447712000005</v>
      </c>
      <c r="I11" s="76">
        <f>'Commodity Tonnages'!I11*Pricing!I11</f>
        <v>6.411197562000001</v>
      </c>
      <c r="J11" s="76">
        <f>'Commodity Tonnages'!J11*Pricing!J11</f>
        <v>6.411197562000001</v>
      </c>
      <c r="K11" s="76">
        <f>'Commodity Tonnages'!K11*Pricing!K11</f>
        <v>71.75125346400002</v>
      </c>
      <c r="L11" s="76">
        <f>'Commodity Tonnages'!L11*Pricing!L11</f>
        <v>-117.54591677999998</v>
      </c>
      <c r="M11" s="145">
        <f t="shared" si="0"/>
        <v>37.21944126600003</v>
      </c>
      <c r="N11" s="72"/>
      <c r="O11" s="148">
        <f t="shared" si="1"/>
        <v>18.609720633000016</v>
      </c>
      <c r="P11" s="155">
        <v>0.5</v>
      </c>
      <c r="Q11" s="152"/>
      <c r="R11" s="75"/>
    </row>
    <row r="12" spans="1:18" ht="12.75">
      <c r="A12" s="66">
        <f>+Pricing!A12</f>
        <v>44135</v>
      </c>
      <c r="B12" s="67"/>
      <c r="C12" s="76">
        <f>'Commodity Tonnages'!C12*Pricing!C12</f>
        <v>32.56804692</v>
      </c>
      <c r="D12" s="76">
        <f>'Commodity Tonnages'!D12*Pricing!D12</f>
        <v>-12.60953199</v>
      </c>
      <c r="E12" s="76">
        <f>'Commodity Tonnages'!E12*Pricing!E12</f>
        <v>0</v>
      </c>
      <c r="F12" s="76">
        <f>'Commodity Tonnages'!F12*Pricing!F12</f>
        <v>5.67761508</v>
      </c>
      <c r="G12" s="76">
        <f>'Commodity Tonnages'!G12*Pricing!G12</f>
        <v>0.6399741600000001</v>
      </c>
      <c r="H12" s="76">
        <f>'Commodity Tonnages'!H12*Pricing!H12</f>
        <v>26.578742039999998</v>
      </c>
      <c r="I12" s="76">
        <f>'Commodity Tonnages'!I12*Pricing!I12</f>
        <v>6.033135726000001</v>
      </c>
      <c r="J12" s="76">
        <f>'Commodity Tonnages'!J12*Pricing!J12</f>
        <v>6.033135726000001</v>
      </c>
      <c r="K12" s="76">
        <f>'Commodity Tonnages'!K12*Pricing!K12</f>
        <v>59.293226663999995</v>
      </c>
      <c r="L12" s="76">
        <f>'Commodity Tonnages'!L12*Pricing!L12</f>
        <v>-114.16354488</v>
      </c>
      <c r="M12" s="145">
        <f t="shared" si="0"/>
        <v>10.050799446</v>
      </c>
      <c r="N12" s="72"/>
      <c r="O12" s="148">
        <f t="shared" si="1"/>
        <v>5.025399723</v>
      </c>
      <c r="P12" s="155">
        <v>0.5</v>
      </c>
      <c r="Q12" s="152"/>
      <c r="R12" s="75"/>
    </row>
    <row r="13" spans="1:18" ht="12.75">
      <c r="A13" s="66">
        <f>+Pricing!A13</f>
        <v>44165</v>
      </c>
      <c r="B13" s="67"/>
      <c r="C13" s="76">
        <f>'Commodity Tonnages'!C13*Pricing!C13</f>
        <v>37.70239672</v>
      </c>
      <c r="D13" s="76">
        <f>'Commodity Tonnages'!D13*Pricing!D13</f>
        <v>-11.017324560000002</v>
      </c>
      <c r="E13" s="76">
        <f>'Commodity Tonnages'!E13*Pricing!E13</f>
        <v>0</v>
      </c>
      <c r="F13" s="76">
        <f>'Commodity Tonnages'!F13*Pricing!F13</f>
        <v>6.546854832000001</v>
      </c>
      <c r="G13" s="76">
        <f>'Commodity Tonnages'!G13*Pricing!G13</f>
        <v>0.84003472</v>
      </c>
      <c r="H13" s="76">
        <f>'Commodity Tonnages'!H13*Pricing!H13</f>
        <v>29.673568191999998</v>
      </c>
      <c r="I13" s="76">
        <f>'Commodity Tonnages'!I13*Pricing!I13</f>
        <v>8.789204344</v>
      </c>
      <c r="J13" s="76">
        <f>'Commodity Tonnages'!J13*Pricing!J13</f>
        <v>8.789204344</v>
      </c>
      <c r="K13" s="76">
        <f>'Commodity Tonnages'!K13*Pricing!K13</f>
        <v>67.59380145600001</v>
      </c>
      <c r="L13" s="76">
        <f>'Commodity Tonnages'!L13*Pricing!L13</f>
        <v>-118.283013</v>
      </c>
      <c r="M13" s="145">
        <f t="shared" si="0"/>
        <v>30.634727047999988</v>
      </c>
      <c r="N13" s="72"/>
      <c r="O13" s="148">
        <f t="shared" si="1"/>
        <v>15.317363523999994</v>
      </c>
      <c r="P13" s="155">
        <v>0.5</v>
      </c>
      <c r="Q13" s="152"/>
      <c r="R13" s="75"/>
    </row>
    <row r="14" spans="1:18" ht="12.75">
      <c r="A14" s="66">
        <f>+Pricing!A14</f>
        <v>44196</v>
      </c>
      <c r="B14" s="67"/>
      <c r="C14" s="76">
        <f>'Commodity Tonnages'!C14*Pricing!C14</f>
        <v>41.74535144000001</v>
      </c>
      <c r="D14" s="76">
        <f>'Commodity Tonnages'!D14*Pricing!D14</f>
        <v>-8.420261850000001</v>
      </c>
      <c r="E14" s="76">
        <f>'Commodity Tonnages'!E14*Pricing!E14</f>
        <v>0</v>
      </c>
      <c r="F14" s="76">
        <f>'Commodity Tonnages'!F14*Pricing!F14</f>
        <v>9.113500032000001</v>
      </c>
      <c r="G14" s="76">
        <f>'Commodity Tonnages'!G14*Pricing!G14</f>
        <v>1.16089792</v>
      </c>
      <c r="H14" s="76">
        <f>'Commodity Tonnages'!H14*Pricing!H14</f>
        <v>34.201159200000006</v>
      </c>
      <c r="I14" s="76">
        <f>'Commodity Tonnages'!I14*Pricing!I14</f>
        <v>9.819775263999999</v>
      </c>
      <c r="J14" s="76">
        <f>'Commodity Tonnages'!J14*Pricing!J14</f>
        <v>9.819775263999999</v>
      </c>
      <c r="K14" s="76">
        <f>'Commodity Tonnages'!K14*Pricing!K14</f>
        <v>88.29121953600001</v>
      </c>
      <c r="L14" s="76">
        <f>'Commodity Tonnages'!L14*Pricing!L14</f>
        <v>-119.47381524000001</v>
      </c>
      <c r="M14" s="145">
        <f t="shared" si="0"/>
        <v>66.25760156600002</v>
      </c>
      <c r="N14" s="72"/>
      <c r="O14" s="148">
        <f t="shared" si="1"/>
        <v>33.12880078300001</v>
      </c>
      <c r="P14" s="155">
        <v>0.5</v>
      </c>
      <c r="Q14" s="152"/>
      <c r="R14" s="75"/>
    </row>
    <row r="15" spans="1:18" ht="12.75">
      <c r="A15" s="66">
        <f>+Pricing!A15</f>
        <v>44227</v>
      </c>
      <c r="B15" s="67"/>
      <c r="C15" s="76">
        <f>'Commodity Tonnages'!C15*Pricing!C15</f>
        <v>73.81225756799999</v>
      </c>
      <c r="D15" s="76">
        <f>'Commodity Tonnages'!D15*Pricing!D15</f>
        <v>-29.9965176</v>
      </c>
      <c r="E15" s="76">
        <f>'Commodity Tonnages'!E15*Pricing!E15</f>
        <v>0</v>
      </c>
      <c r="F15" s="76">
        <f>'Commodity Tonnages'!F15*Pricing!F15</f>
        <v>11.879192472000002</v>
      </c>
      <c r="G15" s="76">
        <f>'Commodity Tonnages'!G15*Pricing!G15</f>
        <v>1.3264374479999999</v>
      </c>
      <c r="H15" s="76">
        <f>'Commodity Tonnages'!H15*Pricing!H15</f>
        <v>19.377823136000004</v>
      </c>
      <c r="I15" s="76">
        <f>'Commodity Tonnages'!I15*Pricing!I15</f>
        <v>12.721504432000001</v>
      </c>
      <c r="J15" s="76">
        <f>'Commodity Tonnages'!J15*Pricing!J15</f>
        <v>12.721504432000001</v>
      </c>
      <c r="K15" s="76">
        <f>'Commodity Tonnages'!K15*Pricing!K15</f>
        <v>121.61793459200001</v>
      </c>
      <c r="L15" s="76">
        <f>'Commodity Tonnages'!L15*Pricing!L15</f>
        <v>-191.01772760000003</v>
      </c>
      <c r="M15" s="145">
        <f t="shared" si="0"/>
        <v>32.44240887999999</v>
      </c>
      <c r="N15" s="72"/>
      <c r="O15" s="148">
        <f t="shared" si="1"/>
        <v>16.221204439999994</v>
      </c>
      <c r="P15" s="155">
        <v>0.5</v>
      </c>
      <c r="Q15" s="152"/>
      <c r="R15" s="75"/>
    </row>
    <row r="16" spans="1:18" ht="12.75">
      <c r="A16" s="66">
        <f>+Pricing!A16</f>
        <v>44255</v>
      </c>
      <c r="B16" s="67"/>
      <c r="C16" s="76">
        <f>'Commodity Tonnages'!C16*Pricing!C16</f>
        <v>61.24460809599999</v>
      </c>
      <c r="D16" s="76">
        <f>'Commodity Tonnages'!D16*Pricing!D16</f>
        <v>-18.2685976</v>
      </c>
      <c r="E16" s="76">
        <f>'Commodity Tonnages'!E16*Pricing!E16</f>
        <v>0</v>
      </c>
      <c r="F16" s="76">
        <f>'Commodity Tonnages'!F16*Pricing!F16</f>
        <v>7.58327892</v>
      </c>
      <c r="G16" s="76">
        <f>'Commodity Tonnages'!G16*Pricing!G16</f>
        <v>0.7898898000000001</v>
      </c>
      <c r="H16" s="76">
        <f>'Commodity Tonnages'!H16*Pricing!H16</f>
        <v>7.520366832</v>
      </c>
      <c r="I16" s="76">
        <f>'Commodity Tonnages'!I16*Pricing!I16</f>
        <v>7.797214024000001</v>
      </c>
      <c r="J16" s="76">
        <f>'Commodity Tonnages'!J16*Pricing!J16</f>
        <v>7.797214024000001</v>
      </c>
      <c r="K16" s="76">
        <f>'Commodity Tonnages'!K16*Pricing!K16</f>
        <v>97.28721631199998</v>
      </c>
      <c r="L16" s="76">
        <f>'Commodity Tonnages'!L16*Pricing!L16</f>
        <v>-151.8192416</v>
      </c>
      <c r="M16" s="145">
        <f t="shared" si="0"/>
        <v>19.93194880799996</v>
      </c>
      <c r="N16" s="72"/>
      <c r="O16" s="148">
        <f t="shared" si="1"/>
        <v>9.96597440399998</v>
      </c>
      <c r="P16" s="155">
        <v>0.5</v>
      </c>
      <c r="Q16" s="152"/>
      <c r="R16" s="75"/>
    </row>
    <row r="17" spans="1:18" ht="12.75">
      <c r="A17" s="66">
        <f>+Pricing!A17</f>
        <v>44286</v>
      </c>
      <c r="B17" s="67"/>
      <c r="C17" s="76">
        <f>'Commodity Tonnages'!C17*Pricing!C17</f>
        <v>82.66996835999998</v>
      </c>
      <c r="D17" s="76">
        <f>'Commodity Tonnages'!D17*Pricing!D17</f>
        <v>-9.498263599999998</v>
      </c>
      <c r="E17" s="76">
        <f>'Commodity Tonnages'!E17*Pricing!E17</f>
        <v>0</v>
      </c>
      <c r="F17" s="76">
        <f>'Commodity Tonnages'!F17*Pricing!F17</f>
        <v>12.154139087999999</v>
      </c>
      <c r="G17" s="76">
        <f>'Commodity Tonnages'!G17*Pricing!G17</f>
        <v>1.3659275279999998</v>
      </c>
      <c r="H17" s="76">
        <f>'Commodity Tonnages'!H17*Pricing!H17</f>
        <v>44.03570707199999</v>
      </c>
      <c r="I17" s="76">
        <f>'Commodity Tonnages'!I17*Pricing!I17</f>
        <v>17.721157048</v>
      </c>
      <c r="J17" s="76">
        <f>'Commodity Tonnages'!J17*Pricing!J17</f>
        <v>17.721157048</v>
      </c>
      <c r="K17" s="76">
        <f>'Commodity Tonnages'!K17*Pricing!K17</f>
        <v>129.439668512</v>
      </c>
      <c r="L17" s="76">
        <f>'Commodity Tonnages'!L17*Pricing!L17</f>
        <v>-197.82230579999995</v>
      </c>
      <c r="M17" s="145">
        <f t="shared" si="0"/>
        <v>97.78715525600003</v>
      </c>
      <c r="N17" s="72"/>
      <c r="O17" s="148">
        <f t="shared" si="1"/>
        <v>48.89357762800002</v>
      </c>
      <c r="P17" s="155">
        <v>0.5</v>
      </c>
      <c r="Q17" s="152"/>
      <c r="R17" s="75"/>
    </row>
    <row r="18" spans="1:18" ht="12.75">
      <c r="A18" s="66">
        <f>+Pricing!A18</f>
        <v>44316</v>
      </c>
      <c r="B18" s="67"/>
      <c r="C18" s="76">
        <f>'Commodity Tonnages'!C18*Pricing!C18</f>
        <v>97.664738688</v>
      </c>
      <c r="D18" s="76">
        <f>'Commodity Tonnages'!D18*Pricing!D18</f>
        <v>-19.9624128</v>
      </c>
      <c r="E18" s="76">
        <f>'Commodity Tonnages'!E18*Pricing!E18</f>
        <v>0</v>
      </c>
      <c r="F18" s="76">
        <f>'Commodity Tonnages'!F18*Pricing!F18</f>
        <v>11.881305216</v>
      </c>
      <c r="G18" s="76">
        <f>'Commodity Tonnages'!G18*Pricing!G18</f>
        <v>1.3633804799999996</v>
      </c>
      <c r="H18" s="76">
        <f>'Commodity Tonnages'!H18*Pricing!H18</f>
        <v>62.877154559999994</v>
      </c>
      <c r="I18" s="76">
        <f>'Commodity Tonnages'!I18*Pricing!I18</f>
        <v>25.486192512</v>
      </c>
      <c r="J18" s="76">
        <f>'Commodity Tonnages'!J18*Pricing!J18</f>
        <v>25.486192512</v>
      </c>
      <c r="K18" s="76">
        <f>'Commodity Tonnages'!K18*Pricing!K18</f>
        <v>153.722798592</v>
      </c>
      <c r="L18" s="76">
        <f>'Commodity Tonnages'!L18*Pricing!L18</f>
        <v>-197.04373919999998</v>
      </c>
      <c r="M18" s="145">
        <f t="shared" si="0"/>
        <v>161.47561056000004</v>
      </c>
      <c r="N18" s="72"/>
      <c r="O18" s="148">
        <f t="shared" si="1"/>
        <v>80.73780528000002</v>
      </c>
      <c r="P18" s="155">
        <v>0.5</v>
      </c>
      <c r="Q18" s="152"/>
      <c r="R18" s="75"/>
    </row>
    <row r="19" spans="1:15" ht="6.75" customHeight="1">
      <c r="A19" s="67"/>
      <c r="B19" s="67"/>
      <c r="C19" s="76"/>
      <c r="D19" s="76"/>
      <c r="E19" s="76"/>
      <c r="F19" s="76"/>
      <c r="G19" s="76"/>
      <c r="H19" s="76"/>
      <c r="I19" s="76"/>
      <c r="J19" s="76"/>
      <c r="K19" s="76"/>
      <c r="L19" s="76"/>
      <c r="M19" s="145"/>
      <c r="N19"/>
      <c r="O19" s="72"/>
    </row>
    <row r="20" spans="1:17" ht="12.75">
      <c r="A20" s="70" t="s">
        <v>31</v>
      </c>
      <c r="B20" s="67"/>
      <c r="C20" s="126">
        <f aca="true" t="shared" si="2" ref="C20:L20">SUM(C7:C19)</f>
        <v>604.5704429919999</v>
      </c>
      <c r="D20" s="126">
        <f t="shared" si="2"/>
        <v>-125.96726895000002</v>
      </c>
      <c r="E20" s="126">
        <f t="shared" si="2"/>
        <v>0</v>
      </c>
      <c r="F20" s="126">
        <f t="shared" si="2"/>
        <v>93.608328456</v>
      </c>
      <c r="G20" s="126">
        <f t="shared" si="2"/>
        <v>10.768800056</v>
      </c>
      <c r="H20" s="126">
        <f t="shared" si="2"/>
        <v>311.315853648</v>
      </c>
      <c r="I20" s="126">
        <f t="shared" si="2"/>
        <v>117.65234294</v>
      </c>
      <c r="J20" s="126">
        <f t="shared" si="2"/>
        <v>117.65234294</v>
      </c>
      <c r="K20" s="126">
        <f t="shared" si="2"/>
        <v>1077.26798608</v>
      </c>
      <c r="L20" s="126">
        <f t="shared" si="2"/>
        <v>-1714.4832284799998</v>
      </c>
      <c r="M20" s="146">
        <f>SUM(C20:L20)</f>
        <v>492.385599682</v>
      </c>
      <c r="N20" s="68"/>
      <c r="O20" s="127">
        <f>SUM(O7:O19)</f>
        <v>246.192799841</v>
      </c>
      <c r="P20" s="135">
        <f>+O20/M20</f>
        <v>0.5</v>
      </c>
      <c r="Q20" s="73"/>
    </row>
    <row r="21" spans="1:15" ht="12.75">
      <c r="A21" s="67"/>
      <c r="B21" s="67"/>
      <c r="C21" s="72"/>
      <c r="D21" s="72"/>
      <c r="E21" s="72"/>
      <c r="F21" s="72"/>
      <c r="G21" s="72"/>
      <c r="H21" s="72"/>
      <c r="I21" s="72"/>
      <c r="J21" s="72"/>
      <c r="K21" s="72"/>
      <c r="L21" s="72"/>
      <c r="M21" s="145"/>
      <c r="N21"/>
      <c r="O21" s="73"/>
    </row>
    <row r="22" spans="1:15" ht="12.75">
      <c r="A22" s="67"/>
      <c r="B22" s="67"/>
      <c r="C22" s="67"/>
      <c r="D22" s="67"/>
      <c r="E22" s="67"/>
      <c r="F22" s="67"/>
      <c r="G22" s="67"/>
      <c r="H22" s="67"/>
      <c r="I22" s="67"/>
      <c r="J22" s="67"/>
      <c r="K22" s="67"/>
      <c r="L22" s="67"/>
      <c r="M22" s="147"/>
      <c r="N22"/>
      <c r="O22" s="73"/>
    </row>
    <row r="23" spans="1:11" ht="12.75">
      <c r="A23" s="67"/>
      <c r="B23" s="67"/>
      <c r="C23" s="67"/>
      <c r="D23" s="67"/>
      <c r="E23" s="67"/>
      <c r="F23" s="67"/>
      <c r="G23" s="67"/>
      <c r="H23" s="67"/>
      <c r="I23" s="67"/>
      <c r="J23" s="67"/>
      <c r="K23" s="67"/>
    </row>
    <row r="24" spans="1:11" ht="12.75">
      <c r="A24" s="67"/>
      <c r="B24" s="67"/>
      <c r="C24" s="67"/>
      <c r="D24" s="67"/>
      <c r="E24" s="67"/>
      <c r="F24" s="67"/>
      <c r="G24" s="67"/>
      <c r="H24" s="67"/>
      <c r="I24" s="67"/>
      <c r="J24" s="67"/>
      <c r="K24" s="67"/>
    </row>
    <row r="25" spans="1:11" ht="12.75">
      <c r="A25" s="67"/>
      <c r="B25" s="67"/>
      <c r="C25" s="67"/>
      <c r="D25" s="67"/>
      <c r="E25" s="67"/>
      <c r="F25" s="67"/>
      <c r="G25" s="67"/>
      <c r="H25" s="67"/>
      <c r="I25" s="67"/>
      <c r="J25" s="67"/>
      <c r="K25" s="67"/>
    </row>
    <row r="26" spans="1:11" ht="12.75">
      <c r="A26" s="67"/>
      <c r="B26" s="67"/>
      <c r="C26" s="67"/>
      <c r="D26" s="67"/>
      <c r="E26" s="67"/>
      <c r="F26" s="67"/>
      <c r="G26" s="67"/>
      <c r="H26" s="67"/>
      <c r="I26" s="67"/>
      <c r="J26" s="67"/>
      <c r="K26" s="67"/>
    </row>
    <row r="27" spans="1:11" ht="12.75">
      <c r="A27" s="67"/>
      <c r="B27" s="67"/>
      <c r="C27" s="67"/>
      <c r="D27" s="67"/>
      <c r="E27" s="67"/>
      <c r="F27" s="67"/>
      <c r="G27" s="67"/>
      <c r="H27" s="67"/>
      <c r="I27" s="67"/>
      <c r="J27" s="67"/>
      <c r="K27" s="67"/>
    </row>
    <row r="28" spans="1:11" ht="12.75">
      <c r="A28" s="67"/>
      <c r="B28" s="67"/>
      <c r="C28" s="67"/>
      <c r="D28" s="67"/>
      <c r="E28" s="67"/>
      <c r="F28" s="67"/>
      <c r="G28" s="67"/>
      <c r="H28" s="67"/>
      <c r="I28" s="67"/>
      <c r="J28" s="67"/>
      <c r="K28" s="67"/>
    </row>
    <row r="29" spans="1:11" ht="12.75">
      <c r="A29" s="67"/>
      <c r="B29" s="67"/>
      <c r="C29" s="67"/>
      <c r="D29" s="67"/>
      <c r="E29" s="67"/>
      <c r="F29" s="67"/>
      <c r="G29" s="67"/>
      <c r="H29" s="67"/>
      <c r="I29" s="67"/>
      <c r="J29" s="67"/>
      <c r="K29" s="67"/>
    </row>
    <row r="30" spans="1:11" ht="12.75">
      <c r="A30" s="67"/>
      <c r="B30" s="67"/>
      <c r="C30" s="67"/>
      <c r="D30" s="67"/>
      <c r="E30" s="67"/>
      <c r="F30" s="67"/>
      <c r="G30" s="67"/>
      <c r="H30" s="67"/>
      <c r="I30" s="67"/>
      <c r="J30" s="67"/>
      <c r="K30" s="67"/>
    </row>
    <row r="31" spans="1:11" ht="12.75">
      <c r="A31" s="67"/>
      <c r="B31" s="67"/>
      <c r="C31" s="67"/>
      <c r="D31" s="67"/>
      <c r="E31" s="67"/>
      <c r="F31" s="67"/>
      <c r="G31" s="67"/>
      <c r="H31" s="67"/>
      <c r="I31" s="67"/>
      <c r="J31" s="67"/>
      <c r="K31" s="67"/>
    </row>
    <row r="32" spans="1:11" ht="12.75">
      <c r="A32" s="67"/>
      <c r="B32" s="67"/>
      <c r="C32" s="67"/>
      <c r="D32" s="67"/>
      <c r="E32" s="67"/>
      <c r="F32" s="67"/>
      <c r="G32" s="67"/>
      <c r="H32" s="67"/>
      <c r="I32" s="67"/>
      <c r="J32" s="67"/>
      <c r="K32" s="67"/>
    </row>
    <row r="33" spans="1:11" ht="12.75">
      <c r="A33" s="67"/>
      <c r="B33" s="67"/>
      <c r="C33" s="67"/>
      <c r="D33" s="67"/>
      <c r="E33" s="67"/>
      <c r="F33" s="67"/>
      <c r="G33" s="67"/>
      <c r="H33" s="67"/>
      <c r="I33" s="67"/>
      <c r="J33" s="67"/>
      <c r="K33" s="67"/>
    </row>
    <row r="34" spans="1:11" ht="12.75">
      <c r="A34" s="67"/>
      <c r="B34" s="67"/>
      <c r="C34" s="67"/>
      <c r="D34" s="67"/>
      <c r="E34" s="67"/>
      <c r="F34" s="67"/>
      <c r="G34" s="67"/>
      <c r="H34" s="67"/>
      <c r="I34" s="67"/>
      <c r="J34" s="67"/>
      <c r="K34" s="67"/>
    </row>
    <row r="35" spans="1:11" ht="12.75">
      <c r="A35" s="67"/>
      <c r="B35" s="67"/>
      <c r="C35" s="67"/>
      <c r="D35" s="67"/>
      <c r="E35" s="67"/>
      <c r="F35" s="67"/>
      <c r="G35" s="67"/>
      <c r="H35" s="67"/>
      <c r="I35" s="67"/>
      <c r="J35" s="67"/>
      <c r="K35" s="67"/>
    </row>
    <row r="36" spans="1:11" ht="12.75">
      <c r="A36" s="67"/>
      <c r="B36" s="67"/>
      <c r="C36" s="67"/>
      <c r="D36" s="67"/>
      <c r="E36" s="67"/>
      <c r="F36" s="67"/>
      <c r="G36" s="67"/>
      <c r="H36" s="67"/>
      <c r="I36" s="67"/>
      <c r="J36" s="67"/>
      <c r="K36" s="67"/>
    </row>
    <row r="37" spans="1:11" ht="12.75">
      <c r="A37" s="67"/>
      <c r="B37" s="67"/>
      <c r="C37" s="67"/>
      <c r="D37" s="67"/>
      <c r="E37" s="67"/>
      <c r="F37" s="67"/>
      <c r="G37" s="67"/>
      <c r="H37" s="67"/>
      <c r="I37" s="67"/>
      <c r="J37" s="67"/>
      <c r="K37" s="67"/>
    </row>
    <row r="38" spans="1:11" ht="12.75">
      <c r="A38" s="67"/>
      <c r="B38" s="67"/>
      <c r="C38" s="67"/>
      <c r="D38" s="67"/>
      <c r="E38" s="67"/>
      <c r="F38" s="67"/>
      <c r="G38" s="67"/>
      <c r="H38" s="67"/>
      <c r="I38" s="67"/>
      <c r="J38" s="67"/>
      <c r="K38" s="67"/>
    </row>
    <row r="39" spans="1:11" ht="12.75">
      <c r="A39" s="67"/>
      <c r="B39" s="67"/>
      <c r="C39" s="67"/>
      <c r="D39" s="67"/>
      <c r="E39" s="67"/>
      <c r="F39" s="67"/>
      <c r="G39" s="67"/>
      <c r="H39" s="67"/>
      <c r="I39" s="67"/>
      <c r="J39" s="67"/>
      <c r="K39" s="67"/>
    </row>
    <row r="40" spans="1:11" ht="12.75">
      <c r="A40" s="67"/>
      <c r="B40" s="67"/>
      <c r="C40" s="67"/>
      <c r="D40" s="67"/>
      <c r="E40" s="67"/>
      <c r="F40" s="67"/>
      <c r="G40" s="67"/>
      <c r="H40" s="67"/>
      <c r="I40" s="67"/>
      <c r="J40" s="67"/>
      <c r="K40" s="67"/>
    </row>
    <row r="41" spans="1:11" ht="12.75">
      <c r="A41" s="67"/>
      <c r="B41" s="67"/>
      <c r="C41" s="67"/>
      <c r="D41" s="67"/>
      <c r="E41" s="67"/>
      <c r="F41" s="67"/>
      <c r="G41" s="67"/>
      <c r="H41" s="67"/>
      <c r="I41" s="67"/>
      <c r="J41" s="67"/>
      <c r="K41" s="67"/>
    </row>
    <row r="42" spans="1:11" ht="12.75">
      <c r="A42" s="67"/>
      <c r="B42" s="67"/>
      <c r="C42" s="67"/>
      <c r="D42" s="67"/>
      <c r="E42" s="67"/>
      <c r="F42" s="67"/>
      <c r="G42" s="67"/>
      <c r="H42" s="67"/>
      <c r="I42" s="67"/>
      <c r="J42" s="67"/>
      <c r="K42" s="67"/>
    </row>
    <row r="43" spans="1:11" ht="12.75">
      <c r="A43" s="67"/>
      <c r="B43" s="67"/>
      <c r="C43" s="67"/>
      <c r="D43" s="67"/>
      <c r="E43" s="67"/>
      <c r="F43" s="67"/>
      <c r="G43" s="67"/>
      <c r="H43" s="67"/>
      <c r="I43" s="67"/>
      <c r="J43" s="67"/>
      <c r="K43" s="67"/>
    </row>
    <row r="44" spans="1:11" ht="12.75">
      <c r="A44" s="67"/>
      <c r="B44" s="67"/>
      <c r="C44" s="67"/>
      <c r="D44" s="67"/>
      <c r="E44" s="67"/>
      <c r="F44" s="67"/>
      <c r="G44" s="67"/>
      <c r="H44" s="67"/>
      <c r="I44" s="67"/>
      <c r="J44" s="67"/>
      <c r="K44" s="67"/>
    </row>
    <row r="45" spans="1:11" ht="12.75">
      <c r="A45" s="67"/>
      <c r="B45" s="67"/>
      <c r="C45" s="67"/>
      <c r="D45" s="67"/>
      <c r="E45" s="67"/>
      <c r="F45" s="67"/>
      <c r="G45" s="67"/>
      <c r="H45" s="67"/>
      <c r="I45" s="67"/>
      <c r="J45" s="67"/>
      <c r="K45" s="67"/>
    </row>
    <row r="46" spans="1:11" ht="12.75">
      <c r="A46" s="67"/>
      <c r="B46" s="67"/>
      <c r="C46" s="67"/>
      <c r="D46" s="67"/>
      <c r="E46" s="67"/>
      <c r="F46" s="67"/>
      <c r="G46" s="67"/>
      <c r="H46" s="67"/>
      <c r="I46" s="67"/>
      <c r="J46" s="67"/>
      <c r="K46" s="67"/>
    </row>
    <row r="47" spans="1:11" ht="12.75">
      <c r="A47" s="67"/>
      <c r="B47" s="67"/>
      <c r="C47" s="67"/>
      <c r="D47" s="67"/>
      <c r="E47" s="67"/>
      <c r="F47" s="67"/>
      <c r="G47" s="67"/>
      <c r="H47" s="67"/>
      <c r="I47" s="67"/>
      <c r="J47" s="67"/>
      <c r="K47" s="67"/>
    </row>
    <row r="48" spans="1:11" ht="12.75">
      <c r="A48" s="67"/>
      <c r="B48" s="67"/>
      <c r="C48" s="67"/>
      <c r="D48" s="67"/>
      <c r="E48" s="67"/>
      <c r="F48" s="67"/>
      <c r="G48" s="67"/>
      <c r="H48" s="67"/>
      <c r="I48" s="67"/>
      <c r="J48" s="67"/>
      <c r="K48" s="67"/>
    </row>
    <row r="49" spans="1:11" ht="12.75">
      <c r="A49" s="67"/>
      <c r="B49" s="67"/>
      <c r="C49" s="67"/>
      <c r="D49" s="67"/>
      <c r="E49" s="67"/>
      <c r="F49" s="67"/>
      <c r="G49" s="67"/>
      <c r="H49" s="67"/>
      <c r="I49" s="67"/>
      <c r="J49" s="67"/>
      <c r="K49" s="67"/>
    </row>
    <row r="50" spans="1:11" ht="12.75">
      <c r="A50" s="67"/>
      <c r="B50" s="67"/>
      <c r="C50" s="67"/>
      <c r="D50" s="67"/>
      <c r="E50" s="67"/>
      <c r="F50" s="67"/>
      <c r="G50" s="67"/>
      <c r="H50" s="67"/>
      <c r="I50" s="67"/>
      <c r="J50" s="67"/>
      <c r="K50" s="67"/>
    </row>
    <row r="51" spans="1:11" ht="12.75">
      <c r="A51" s="67"/>
      <c r="B51" s="67"/>
      <c r="C51" s="67"/>
      <c r="D51" s="67"/>
      <c r="E51" s="67"/>
      <c r="F51" s="67"/>
      <c r="G51" s="67"/>
      <c r="H51" s="67"/>
      <c r="I51" s="67"/>
      <c r="J51" s="67"/>
      <c r="K51" s="67"/>
    </row>
    <row r="52" spans="1:11" ht="12.75">
      <c r="A52" s="67"/>
      <c r="B52" s="67"/>
      <c r="C52" s="67"/>
      <c r="D52" s="67"/>
      <c r="E52" s="67"/>
      <c r="F52" s="67"/>
      <c r="G52" s="67"/>
      <c r="H52" s="67"/>
      <c r="I52" s="67"/>
      <c r="J52" s="67"/>
      <c r="K52" s="67"/>
    </row>
    <row r="53" spans="1:11" ht="12.75">
      <c r="A53" s="67"/>
      <c r="B53" s="67"/>
      <c r="C53" s="67"/>
      <c r="D53" s="67"/>
      <c r="E53" s="67"/>
      <c r="F53" s="67"/>
      <c r="G53" s="67"/>
      <c r="H53" s="67"/>
      <c r="I53" s="67"/>
      <c r="J53" s="67"/>
      <c r="K53" s="67"/>
    </row>
    <row r="54" spans="1:11" ht="12.75">
      <c r="A54" s="67"/>
      <c r="B54" s="67"/>
      <c r="C54" s="67"/>
      <c r="D54" s="67"/>
      <c r="E54" s="67"/>
      <c r="F54" s="67"/>
      <c r="G54" s="67"/>
      <c r="H54" s="67"/>
      <c r="I54" s="67"/>
      <c r="J54" s="67"/>
      <c r="K54" s="67"/>
    </row>
    <row r="55" spans="1:11" ht="12.75">
      <c r="A55" s="67"/>
      <c r="B55" s="67"/>
      <c r="C55" s="67"/>
      <c r="D55" s="67"/>
      <c r="E55" s="67"/>
      <c r="F55" s="67"/>
      <c r="G55" s="67"/>
      <c r="H55" s="67"/>
      <c r="I55" s="67"/>
      <c r="J55" s="67"/>
      <c r="K55" s="67"/>
    </row>
    <row r="56" spans="1:11" ht="12.75">
      <c r="A56" s="67"/>
      <c r="B56" s="67"/>
      <c r="C56" s="67"/>
      <c r="D56" s="67"/>
      <c r="E56" s="67"/>
      <c r="F56" s="67"/>
      <c r="G56" s="67"/>
      <c r="H56" s="67"/>
      <c r="I56" s="67"/>
      <c r="J56" s="67"/>
      <c r="K56" s="67"/>
    </row>
    <row r="57" spans="1:11" ht="12.75">
      <c r="A57" s="67"/>
      <c r="B57" s="67"/>
      <c r="C57" s="67"/>
      <c r="D57" s="67"/>
      <c r="E57" s="67"/>
      <c r="F57" s="67"/>
      <c r="G57" s="67"/>
      <c r="H57" s="67"/>
      <c r="I57" s="67"/>
      <c r="J57" s="67"/>
      <c r="K57" s="67"/>
    </row>
    <row r="58" spans="1:11" ht="12.75">
      <c r="A58" s="67"/>
      <c r="B58" s="67"/>
      <c r="C58" s="67"/>
      <c r="D58" s="67"/>
      <c r="E58" s="67"/>
      <c r="F58" s="67"/>
      <c r="G58" s="67"/>
      <c r="H58" s="67"/>
      <c r="I58" s="67"/>
      <c r="J58" s="67"/>
      <c r="K58" s="67"/>
    </row>
    <row r="59" spans="1:11" ht="12.75">
      <c r="A59" s="67"/>
      <c r="B59" s="67"/>
      <c r="C59" s="67"/>
      <c r="D59" s="67"/>
      <c r="E59" s="67"/>
      <c r="F59" s="67"/>
      <c r="G59" s="67"/>
      <c r="H59" s="67"/>
      <c r="I59" s="67"/>
      <c r="J59" s="67"/>
      <c r="K59" s="67"/>
    </row>
    <row r="60" spans="1:11" ht="12.75">
      <c r="A60" s="67"/>
      <c r="B60" s="67"/>
      <c r="C60" s="67"/>
      <c r="D60" s="67"/>
      <c r="E60" s="67"/>
      <c r="F60" s="67"/>
      <c r="G60" s="67"/>
      <c r="H60" s="67"/>
      <c r="I60" s="67"/>
      <c r="J60" s="67"/>
      <c r="K60" s="67"/>
    </row>
    <row r="61" spans="1:11" ht="12.75">
      <c r="A61" s="67"/>
      <c r="B61" s="67"/>
      <c r="C61" s="67"/>
      <c r="D61" s="67"/>
      <c r="E61" s="67"/>
      <c r="F61" s="67"/>
      <c r="G61" s="67"/>
      <c r="H61" s="67"/>
      <c r="I61" s="67"/>
      <c r="J61" s="67"/>
      <c r="K61" s="67"/>
    </row>
    <row r="62" spans="1:11" ht="12.75">
      <c r="A62" s="67"/>
      <c r="B62" s="67"/>
      <c r="C62" s="67"/>
      <c r="D62" s="67"/>
      <c r="E62" s="67"/>
      <c r="F62" s="67"/>
      <c r="G62" s="67"/>
      <c r="H62" s="67"/>
      <c r="I62" s="67"/>
      <c r="J62" s="67"/>
      <c r="K62" s="67"/>
    </row>
    <row r="63" spans="1:11" ht="12.75">
      <c r="A63" s="67"/>
      <c r="B63" s="67"/>
      <c r="C63" s="67"/>
      <c r="D63" s="67"/>
      <c r="E63" s="67"/>
      <c r="F63" s="67"/>
      <c r="G63" s="67"/>
      <c r="H63" s="67"/>
      <c r="I63" s="67"/>
      <c r="J63" s="67"/>
      <c r="K63" s="67"/>
    </row>
    <row r="64" spans="1:11" ht="12.75">
      <c r="A64" s="67"/>
      <c r="B64" s="67"/>
      <c r="C64" s="67"/>
      <c r="D64" s="67"/>
      <c r="E64" s="67"/>
      <c r="F64" s="67"/>
      <c r="G64" s="67"/>
      <c r="H64" s="67"/>
      <c r="I64" s="67"/>
      <c r="J64" s="67"/>
      <c r="K64" s="67"/>
    </row>
    <row r="65" spans="1:11" ht="12.75">
      <c r="A65" s="67"/>
      <c r="B65" s="67"/>
      <c r="C65" s="67"/>
      <c r="D65" s="67"/>
      <c r="E65" s="67"/>
      <c r="F65" s="67"/>
      <c r="G65" s="67"/>
      <c r="H65" s="67"/>
      <c r="I65" s="67"/>
      <c r="J65" s="67"/>
      <c r="K65" s="67"/>
    </row>
    <row r="66" spans="1:11" ht="12.75">
      <c r="A66" s="67"/>
      <c r="B66" s="67"/>
      <c r="C66" s="67"/>
      <c r="D66" s="67"/>
      <c r="E66" s="67"/>
      <c r="F66" s="67"/>
      <c r="G66" s="67"/>
      <c r="H66" s="67"/>
      <c r="I66" s="67"/>
      <c r="J66" s="67"/>
      <c r="K66" s="67"/>
    </row>
    <row r="67" spans="1:11" ht="12.75">
      <c r="A67" s="67"/>
      <c r="B67" s="67"/>
      <c r="C67" s="67"/>
      <c r="D67" s="67"/>
      <c r="E67" s="67"/>
      <c r="F67" s="67"/>
      <c r="G67" s="67"/>
      <c r="H67" s="67"/>
      <c r="I67" s="67"/>
      <c r="J67" s="67"/>
      <c r="K67" s="67"/>
    </row>
    <row r="68" spans="1:11" ht="12.75">
      <c r="A68" s="67"/>
      <c r="B68" s="67"/>
      <c r="C68" s="67"/>
      <c r="D68" s="67"/>
      <c r="E68" s="67"/>
      <c r="F68" s="67"/>
      <c r="G68" s="67"/>
      <c r="H68" s="67"/>
      <c r="I68" s="67"/>
      <c r="J68" s="67"/>
      <c r="K68" s="67"/>
    </row>
    <row r="69" spans="1:11" ht="12.75">
      <c r="A69" s="67"/>
      <c r="B69" s="67"/>
      <c r="C69" s="67"/>
      <c r="D69" s="67"/>
      <c r="E69" s="67"/>
      <c r="F69" s="67"/>
      <c r="G69" s="67"/>
      <c r="H69" s="67"/>
      <c r="I69" s="67"/>
      <c r="J69" s="67"/>
      <c r="K69" s="67"/>
    </row>
    <row r="70" spans="1:11" ht="12.75">
      <c r="A70" s="67"/>
      <c r="B70" s="67"/>
      <c r="C70" s="67"/>
      <c r="D70" s="67"/>
      <c r="E70" s="67"/>
      <c r="F70" s="67"/>
      <c r="G70" s="67"/>
      <c r="H70" s="67"/>
      <c r="I70" s="67"/>
      <c r="J70" s="67"/>
      <c r="K70" s="67"/>
    </row>
    <row r="71" spans="1:11" ht="12.75">
      <c r="A71" s="67"/>
      <c r="B71" s="67"/>
      <c r="C71" s="67"/>
      <c r="D71" s="67"/>
      <c r="E71" s="67"/>
      <c r="F71" s="67"/>
      <c r="G71" s="67"/>
      <c r="H71" s="67"/>
      <c r="I71" s="67"/>
      <c r="J71" s="67"/>
      <c r="K71" s="67"/>
    </row>
    <row r="72" spans="1:11" ht="12.75">
      <c r="A72" s="67"/>
      <c r="B72" s="67"/>
      <c r="C72" s="67"/>
      <c r="D72" s="67"/>
      <c r="E72" s="67"/>
      <c r="F72" s="67"/>
      <c r="G72" s="67"/>
      <c r="H72" s="67"/>
      <c r="I72" s="67"/>
      <c r="J72" s="67"/>
      <c r="K72" s="67"/>
    </row>
    <row r="73" spans="1:11" ht="12.75">
      <c r="A73" s="67"/>
      <c r="B73" s="67"/>
      <c r="C73" s="67"/>
      <c r="D73" s="67"/>
      <c r="E73" s="67"/>
      <c r="F73" s="67"/>
      <c r="G73" s="67"/>
      <c r="H73" s="67"/>
      <c r="I73" s="67"/>
      <c r="J73" s="67"/>
      <c r="K73" s="67"/>
    </row>
    <row r="74" spans="1:11" ht="12.75">
      <c r="A74" s="67"/>
      <c r="B74" s="67"/>
      <c r="C74" s="67"/>
      <c r="D74" s="67"/>
      <c r="E74" s="67"/>
      <c r="F74" s="67"/>
      <c r="G74" s="67"/>
      <c r="H74" s="67"/>
      <c r="I74" s="67"/>
      <c r="J74" s="67"/>
      <c r="K74" s="67"/>
    </row>
    <row r="75" spans="1:11" ht="12.75">
      <c r="A75" s="67"/>
      <c r="B75" s="67"/>
      <c r="C75" s="67"/>
      <c r="D75" s="67"/>
      <c r="E75" s="67"/>
      <c r="F75" s="67"/>
      <c r="G75" s="67"/>
      <c r="H75" s="67"/>
      <c r="I75" s="67"/>
      <c r="J75" s="67"/>
      <c r="K75" s="67"/>
    </row>
    <row r="76" spans="1:11" ht="12.75">
      <c r="A76" s="67"/>
      <c r="B76" s="67"/>
      <c r="C76" s="67"/>
      <c r="D76" s="67"/>
      <c r="E76" s="67"/>
      <c r="F76" s="67"/>
      <c r="G76" s="67"/>
      <c r="H76" s="67"/>
      <c r="I76" s="67"/>
      <c r="J76" s="67"/>
      <c r="K76" s="67"/>
    </row>
    <row r="77" spans="1:11" ht="12.75">
      <c r="A77" s="67"/>
      <c r="B77" s="67"/>
      <c r="C77" s="67"/>
      <c r="D77" s="67"/>
      <c r="E77" s="67"/>
      <c r="F77" s="67"/>
      <c r="G77" s="67"/>
      <c r="H77" s="67"/>
      <c r="I77" s="67"/>
      <c r="J77" s="67"/>
      <c r="K77" s="67"/>
    </row>
    <row r="78" spans="1:11" ht="12.75">
      <c r="A78" s="67"/>
      <c r="B78" s="67"/>
      <c r="C78" s="67"/>
      <c r="D78" s="67"/>
      <c r="E78" s="67"/>
      <c r="F78" s="67"/>
      <c r="G78" s="67"/>
      <c r="H78" s="67"/>
      <c r="I78" s="67"/>
      <c r="J78" s="67"/>
      <c r="K78" s="67"/>
    </row>
    <row r="79" spans="1:11" ht="12.75">
      <c r="A79" s="67"/>
      <c r="B79" s="67"/>
      <c r="C79" s="67"/>
      <c r="D79" s="67"/>
      <c r="E79" s="67"/>
      <c r="F79" s="67"/>
      <c r="G79" s="67"/>
      <c r="H79" s="67"/>
      <c r="I79" s="67"/>
      <c r="J79" s="67"/>
      <c r="K79" s="67"/>
    </row>
    <row r="80" spans="1:11" ht="12.75">
      <c r="A80" s="67"/>
      <c r="B80" s="67"/>
      <c r="C80" s="67"/>
      <c r="D80" s="67"/>
      <c r="E80" s="67"/>
      <c r="F80" s="67"/>
      <c r="G80" s="67"/>
      <c r="H80" s="67"/>
      <c r="I80" s="67"/>
      <c r="J80" s="67"/>
      <c r="K80" s="67"/>
    </row>
    <row r="81" spans="1:11" ht="12.75">
      <c r="A81" s="67"/>
      <c r="B81" s="67"/>
      <c r="C81" s="67"/>
      <c r="D81" s="67"/>
      <c r="E81" s="67"/>
      <c r="F81" s="67"/>
      <c r="G81" s="67"/>
      <c r="H81" s="67"/>
      <c r="I81" s="67"/>
      <c r="J81" s="67"/>
      <c r="K81" s="67"/>
    </row>
    <row r="82" spans="1:11" ht="12.75">
      <c r="A82" s="67"/>
      <c r="B82" s="67"/>
      <c r="C82" s="67"/>
      <c r="D82" s="67"/>
      <c r="E82" s="67"/>
      <c r="F82" s="67"/>
      <c r="G82" s="67"/>
      <c r="H82" s="67"/>
      <c r="I82" s="67"/>
      <c r="J82" s="67"/>
      <c r="K82" s="67"/>
    </row>
    <row r="83" spans="1:11" ht="12.75">
      <c r="A83" s="67"/>
      <c r="B83" s="67"/>
      <c r="C83" s="67"/>
      <c r="D83" s="67"/>
      <c r="E83" s="67"/>
      <c r="F83" s="67"/>
      <c r="G83" s="67"/>
      <c r="H83" s="67"/>
      <c r="I83" s="67"/>
      <c r="J83" s="67"/>
      <c r="K83" s="67"/>
    </row>
    <row r="84" spans="1:11" ht="12.75">
      <c r="A84" s="67"/>
      <c r="B84" s="67"/>
      <c r="C84" s="67"/>
      <c r="D84" s="67"/>
      <c r="E84" s="67"/>
      <c r="F84" s="67"/>
      <c r="G84" s="67"/>
      <c r="H84" s="67"/>
      <c r="I84" s="67"/>
      <c r="J84" s="67"/>
      <c r="K84" s="67"/>
    </row>
    <row r="85" spans="1:11" ht="12.75">
      <c r="A85" s="67"/>
      <c r="B85" s="67"/>
      <c r="C85" s="67"/>
      <c r="D85" s="67"/>
      <c r="E85" s="67"/>
      <c r="F85" s="67"/>
      <c r="G85" s="67"/>
      <c r="H85" s="67"/>
      <c r="I85" s="67"/>
      <c r="J85" s="67"/>
      <c r="K85" s="67"/>
    </row>
    <row r="86" spans="1:11" ht="12.75">
      <c r="A86" s="67"/>
      <c r="B86" s="67"/>
      <c r="C86" s="67"/>
      <c r="D86" s="67"/>
      <c r="E86" s="67"/>
      <c r="F86" s="67"/>
      <c r="G86" s="67"/>
      <c r="H86" s="67"/>
      <c r="I86" s="67"/>
      <c r="J86" s="67"/>
      <c r="K86" s="67"/>
    </row>
    <row r="87" spans="1:11" ht="12.75">
      <c r="A87" s="67"/>
      <c r="B87" s="67"/>
      <c r="C87" s="67"/>
      <c r="D87" s="67"/>
      <c r="E87" s="67"/>
      <c r="F87" s="67"/>
      <c r="G87" s="67"/>
      <c r="H87" s="67"/>
      <c r="I87" s="67"/>
      <c r="J87" s="67"/>
      <c r="K87" s="67"/>
    </row>
    <row r="88" spans="1:11" ht="12.75">
      <c r="A88" s="67"/>
      <c r="B88" s="67"/>
      <c r="C88" s="67"/>
      <c r="D88" s="67"/>
      <c r="E88" s="67"/>
      <c r="F88" s="67"/>
      <c r="G88" s="67"/>
      <c r="H88" s="67"/>
      <c r="I88" s="67"/>
      <c r="J88" s="67"/>
      <c r="K88" s="67"/>
    </row>
    <row r="89" spans="1:11" ht="12.75">
      <c r="A89" s="67"/>
      <c r="B89" s="67"/>
      <c r="C89" s="67"/>
      <c r="D89" s="67"/>
      <c r="E89" s="67"/>
      <c r="F89" s="67"/>
      <c r="G89" s="67"/>
      <c r="H89" s="67"/>
      <c r="I89" s="67"/>
      <c r="J89" s="67"/>
      <c r="K89" s="67"/>
    </row>
    <row r="90" spans="1:11" ht="12.75">
      <c r="A90" s="67"/>
      <c r="B90" s="67"/>
      <c r="C90" s="67"/>
      <c r="D90" s="67"/>
      <c r="E90" s="67"/>
      <c r="F90" s="67"/>
      <c r="G90" s="67"/>
      <c r="H90" s="67"/>
      <c r="I90" s="67"/>
      <c r="J90" s="67"/>
      <c r="K90" s="67"/>
    </row>
    <row r="91" spans="1:11" ht="12.75">
      <c r="A91" s="67"/>
      <c r="B91" s="67"/>
      <c r="C91" s="67"/>
      <c r="D91" s="67"/>
      <c r="E91" s="67"/>
      <c r="F91" s="67"/>
      <c r="G91" s="67"/>
      <c r="H91" s="67"/>
      <c r="I91" s="67"/>
      <c r="J91" s="67"/>
      <c r="K91" s="67"/>
    </row>
    <row r="92" spans="1:11" ht="12.75">
      <c r="A92" s="67"/>
      <c r="B92" s="67"/>
      <c r="C92" s="67"/>
      <c r="D92" s="67"/>
      <c r="E92" s="67"/>
      <c r="F92" s="67"/>
      <c r="G92" s="67"/>
      <c r="H92" s="67"/>
      <c r="I92" s="67"/>
      <c r="J92" s="67"/>
      <c r="K92" s="67"/>
    </row>
    <row r="93" spans="1:11" ht="12.75">
      <c r="A93" s="67"/>
      <c r="B93" s="67"/>
      <c r="C93" s="67"/>
      <c r="D93" s="67"/>
      <c r="E93" s="67"/>
      <c r="F93" s="67"/>
      <c r="G93" s="67"/>
      <c r="H93" s="67"/>
      <c r="I93" s="67"/>
      <c r="J93" s="67"/>
      <c r="K93" s="67"/>
    </row>
    <row r="94" spans="1:11" ht="12.75">
      <c r="A94" s="67"/>
      <c r="B94" s="67"/>
      <c r="C94" s="67"/>
      <c r="D94" s="67"/>
      <c r="E94" s="67"/>
      <c r="F94" s="67"/>
      <c r="G94" s="67"/>
      <c r="H94" s="67"/>
      <c r="I94" s="67"/>
      <c r="J94" s="67"/>
      <c r="K94" s="67"/>
    </row>
    <row r="95" spans="1:11" ht="12.75">
      <c r="A95" s="67"/>
      <c r="B95" s="67"/>
      <c r="C95" s="67"/>
      <c r="D95" s="67"/>
      <c r="E95" s="67"/>
      <c r="F95" s="67"/>
      <c r="G95" s="67"/>
      <c r="H95" s="67"/>
      <c r="I95" s="67"/>
      <c r="J95" s="67"/>
      <c r="K95" s="67"/>
    </row>
    <row r="96" spans="1:11" ht="12.75">
      <c r="A96" s="67"/>
      <c r="B96" s="67"/>
      <c r="C96" s="67"/>
      <c r="D96" s="67"/>
      <c r="E96" s="67"/>
      <c r="F96" s="67"/>
      <c r="G96" s="67"/>
      <c r="H96" s="67"/>
      <c r="I96" s="67"/>
      <c r="J96" s="67"/>
      <c r="K96" s="67"/>
    </row>
    <row r="97" spans="1:11" ht="12.75">
      <c r="A97" s="67"/>
      <c r="B97" s="67"/>
      <c r="C97" s="67"/>
      <c r="D97" s="67"/>
      <c r="E97" s="67"/>
      <c r="F97" s="67"/>
      <c r="G97" s="67"/>
      <c r="H97" s="67"/>
      <c r="I97" s="67"/>
      <c r="J97" s="67"/>
      <c r="K97" s="67"/>
    </row>
    <row r="98" spans="1:11" ht="12.75">
      <c r="A98" s="67"/>
      <c r="B98" s="67"/>
      <c r="C98" s="67"/>
      <c r="D98" s="67"/>
      <c r="E98" s="67"/>
      <c r="F98" s="67"/>
      <c r="G98" s="67"/>
      <c r="H98" s="67"/>
      <c r="I98" s="67"/>
      <c r="J98" s="67"/>
      <c r="K98" s="67"/>
    </row>
    <row r="99" spans="1:11" ht="12.75">
      <c r="A99" s="67"/>
      <c r="B99" s="67"/>
      <c r="C99" s="67"/>
      <c r="D99" s="67"/>
      <c r="E99" s="67"/>
      <c r="F99" s="67"/>
      <c r="G99" s="67"/>
      <c r="H99" s="67"/>
      <c r="I99" s="67"/>
      <c r="J99" s="67"/>
      <c r="K99" s="67"/>
    </row>
    <row r="100" spans="1:11" ht="12.75">
      <c r="A100" s="67"/>
      <c r="B100" s="67"/>
      <c r="C100" s="67"/>
      <c r="D100" s="67"/>
      <c r="E100" s="67"/>
      <c r="F100" s="67"/>
      <c r="G100" s="67"/>
      <c r="H100" s="67"/>
      <c r="I100" s="67"/>
      <c r="J100" s="67"/>
      <c r="K100" s="67"/>
    </row>
    <row r="101" spans="1:11" ht="12.75">
      <c r="A101" s="67"/>
      <c r="B101" s="67"/>
      <c r="C101" s="67"/>
      <c r="D101" s="67"/>
      <c r="E101" s="67"/>
      <c r="F101" s="67"/>
      <c r="G101" s="67"/>
      <c r="H101" s="67"/>
      <c r="I101" s="67"/>
      <c r="J101" s="67"/>
      <c r="K101" s="67"/>
    </row>
    <row r="102" spans="1:11" ht="12.75">
      <c r="A102" s="67"/>
      <c r="B102" s="67"/>
      <c r="C102" s="67"/>
      <c r="D102" s="67"/>
      <c r="E102" s="67"/>
      <c r="F102" s="67"/>
      <c r="G102" s="67"/>
      <c r="H102" s="67"/>
      <c r="I102" s="67"/>
      <c r="J102" s="67"/>
      <c r="K102" s="67"/>
    </row>
    <row r="103" spans="1:11" ht="12.75">
      <c r="A103" s="67"/>
      <c r="B103" s="67"/>
      <c r="C103" s="67"/>
      <c r="D103" s="67"/>
      <c r="E103" s="67"/>
      <c r="F103" s="67"/>
      <c r="G103" s="67"/>
      <c r="H103" s="67"/>
      <c r="I103" s="67"/>
      <c r="J103" s="67"/>
      <c r="K103" s="67"/>
    </row>
    <row r="104" spans="1:11" ht="12.75">
      <c r="A104" s="67"/>
      <c r="B104" s="67"/>
      <c r="C104" s="67"/>
      <c r="D104" s="67"/>
      <c r="E104" s="67"/>
      <c r="F104" s="67"/>
      <c r="G104" s="67"/>
      <c r="H104" s="67"/>
      <c r="I104" s="67"/>
      <c r="J104" s="67"/>
      <c r="K104" s="67"/>
    </row>
    <row r="105" spans="1:11" ht="12.75">
      <c r="A105" s="67"/>
      <c r="B105" s="67"/>
      <c r="C105" s="67"/>
      <c r="D105" s="67"/>
      <c r="E105" s="67"/>
      <c r="F105" s="67"/>
      <c r="G105" s="67"/>
      <c r="H105" s="67"/>
      <c r="I105" s="67"/>
      <c r="J105" s="67"/>
      <c r="K105" s="67"/>
    </row>
    <row r="106" spans="1:11" ht="12.75">
      <c r="A106" s="67"/>
      <c r="B106" s="67"/>
      <c r="C106" s="67"/>
      <c r="D106" s="67"/>
      <c r="E106" s="67"/>
      <c r="F106" s="67"/>
      <c r="G106" s="67"/>
      <c r="H106" s="67"/>
      <c r="I106" s="67"/>
      <c r="J106" s="67"/>
      <c r="K106" s="67"/>
    </row>
    <row r="107" spans="1:11" ht="12.75">
      <c r="A107" s="67"/>
      <c r="B107" s="67"/>
      <c r="C107" s="67"/>
      <c r="D107" s="67"/>
      <c r="E107" s="67"/>
      <c r="F107" s="67"/>
      <c r="G107" s="67"/>
      <c r="H107" s="67"/>
      <c r="I107" s="67"/>
      <c r="J107" s="67"/>
      <c r="K107" s="67"/>
    </row>
    <row r="108" spans="1:11" ht="12.75">
      <c r="A108" s="67"/>
      <c r="B108" s="67"/>
      <c r="C108" s="67"/>
      <c r="D108" s="67"/>
      <c r="E108" s="67"/>
      <c r="F108" s="67"/>
      <c r="G108" s="67"/>
      <c r="H108" s="67"/>
      <c r="I108" s="67"/>
      <c r="J108" s="67"/>
      <c r="K108" s="67"/>
    </row>
    <row r="109" spans="1:11" ht="12.75">
      <c r="A109" s="67"/>
      <c r="B109" s="67"/>
      <c r="C109" s="67"/>
      <c r="D109" s="67"/>
      <c r="E109" s="67"/>
      <c r="F109" s="67"/>
      <c r="G109" s="67"/>
      <c r="H109" s="67"/>
      <c r="I109" s="67"/>
      <c r="J109" s="67"/>
      <c r="K109" s="67"/>
    </row>
    <row r="110" spans="1:11" ht="12.75">
      <c r="A110" s="67"/>
      <c r="B110" s="67"/>
      <c r="C110" s="67"/>
      <c r="D110" s="67"/>
      <c r="E110" s="67"/>
      <c r="F110" s="67"/>
      <c r="G110" s="67"/>
      <c r="H110" s="67"/>
      <c r="I110" s="67"/>
      <c r="J110" s="67"/>
      <c r="K110" s="67"/>
    </row>
    <row r="111" spans="1:11" ht="12.75">
      <c r="A111" s="67"/>
      <c r="B111" s="67"/>
      <c r="C111" s="67"/>
      <c r="D111" s="67"/>
      <c r="E111" s="67"/>
      <c r="F111" s="67"/>
      <c r="G111" s="67"/>
      <c r="H111" s="67"/>
      <c r="I111" s="67"/>
      <c r="J111" s="67"/>
      <c r="K111" s="67"/>
    </row>
    <row r="112" spans="1:11" ht="12.75">
      <c r="A112" s="67"/>
      <c r="B112" s="67"/>
      <c r="C112" s="67"/>
      <c r="D112" s="67"/>
      <c r="E112" s="67"/>
      <c r="F112" s="67"/>
      <c r="G112" s="67"/>
      <c r="H112" s="67"/>
      <c r="I112" s="67"/>
      <c r="J112" s="67"/>
      <c r="K112" s="67"/>
    </row>
    <row r="113" spans="1:11" ht="12.75">
      <c r="A113" s="67"/>
      <c r="B113" s="67"/>
      <c r="C113" s="67"/>
      <c r="D113" s="67"/>
      <c r="E113" s="67"/>
      <c r="F113" s="67"/>
      <c r="G113" s="67"/>
      <c r="H113" s="67"/>
      <c r="I113" s="67"/>
      <c r="J113" s="67"/>
      <c r="K113" s="67"/>
    </row>
    <row r="114" spans="1:11" ht="12.75">
      <c r="A114" s="67"/>
      <c r="B114" s="67"/>
      <c r="C114" s="67"/>
      <c r="D114" s="67"/>
      <c r="E114" s="67"/>
      <c r="F114" s="67"/>
      <c r="G114" s="67"/>
      <c r="H114" s="67"/>
      <c r="I114" s="67"/>
      <c r="J114" s="67"/>
      <c r="K114" s="67"/>
    </row>
    <row r="115" spans="1:11" ht="12.75">
      <c r="A115" s="67"/>
      <c r="B115" s="67"/>
      <c r="C115" s="67"/>
      <c r="D115" s="67"/>
      <c r="E115" s="67"/>
      <c r="F115" s="67"/>
      <c r="G115" s="67"/>
      <c r="H115" s="67"/>
      <c r="I115" s="67"/>
      <c r="J115" s="67"/>
      <c r="K115" s="67"/>
    </row>
    <row r="116" spans="1:11" ht="12.75">
      <c r="A116" s="67"/>
      <c r="B116" s="67"/>
      <c r="C116" s="67"/>
      <c r="D116" s="67"/>
      <c r="E116" s="67"/>
      <c r="F116" s="67"/>
      <c r="G116" s="67"/>
      <c r="H116" s="67"/>
      <c r="I116" s="67"/>
      <c r="J116" s="67"/>
      <c r="K116" s="67"/>
    </row>
    <row r="117" spans="1:11" ht="12.75">
      <c r="A117" s="67"/>
      <c r="B117" s="67"/>
      <c r="C117" s="67"/>
      <c r="D117" s="67"/>
      <c r="E117" s="67"/>
      <c r="F117" s="67"/>
      <c r="G117" s="67"/>
      <c r="H117" s="67"/>
      <c r="I117" s="67"/>
      <c r="J117" s="67"/>
      <c r="K117" s="67"/>
    </row>
    <row r="118" spans="1:11" ht="12.75">
      <c r="A118" s="67"/>
      <c r="B118" s="67"/>
      <c r="C118" s="67"/>
      <c r="D118" s="67"/>
      <c r="E118" s="67"/>
      <c r="F118" s="67"/>
      <c r="G118" s="67"/>
      <c r="H118" s="67"/>
      <c r="I118" s="67"/>
      <c r="J118" s="67"/>
      <c r="K118" s="67"/>
    </row>
    <row r="119" spans="1:11" ht="12.75">
      <c r="A119" s="67"/>
      <c r="B119" s="67"/>
      <c r="C119" s="67"/>
      <c r="D119" s="67"/>
      <c r="E119" s="67"/>
      <c r="F119" s="67"/>
      <c r="G119" s="67"/>
      <c r="H119" s="67"/>
      <c r="I119" s="67"/>
      <c r="J119" s="67"/>
      <c r="K119" s="67"/>
    </row>
    <row r="120" spans="1:11" ht="12.75">
      <c r="A120" s="67"/>
      <c r="B120" s="67"/>
      <c r="C120" s="67"/>
      <c r="D120" s="67"/>
      <c r="E120" s="67"/>
      <c r="F120" s="67"/>
      <c r="G120" s="67"/>
      <c r="H120" s="67"/>
      <c r="I120" s="67"/>
      <c r="J120" s="67"/>
      <c r="K120" s="67"/>
    </row>
  </sheetData>
  <sheetProtection/>
  <printOptions/>
  <pageMargins left="0.25" right="0.25" top="0.75" bottom="0.75" header="0.3" footer="0.3"/>
  <pageSetup fitToHeight="0" fitToWidth="1" horizontalDpi="600" verticalDpi="600" orientation="landscape" scale="79" r:id="rId3"/>
  <legacyDrawing r:id="rId2"/>
</worksheet>
</file>

<file path=xl/worksheets/sheet4.xml><?xml version="1.0" encoding="utf-8"?>
<worksheet xmlns="http://schemas.openxmlformats.org/spreadsheetml/2006/main" xmlns:r="http://schemas.openxmlformats.org/officeDocument/2006/relationships">
  <dimension ref="A1:P102"/>
  <sheetViews>
    <sheetView zoomScalePageLayoutView="0" workbookViewId="0" topLeftCell="A1">
      <selection activeCell="K11" sqref="K11"/>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9" t="str">
        <f>"Residential Tonnages by Commodity:  "&amp;TEXT(A7,"mmmm")&amp;" - "&amp;TEXT(A18,"mmmm")</f>
        <v>Residential Tonnages by Commodity:  May - April</v>
      </c>
      <c r="B1" s="60"/>
    </row>
    <row r="2" spans="1:2" ht="13.5" customHeight="1">
      <c r="A2" s="61" t="str">
        <f>WUTC_KENT_MF!A1</f>
        <v>Kent-Meridian Disposal</v>
      </c>
      <c r="B2" s="61"/>
    </row>
    <row r="3" spans="1:2" ht="13.5" customHeight="1">
      <c r="A3" s="61"/>
      <c r="B3" s="61"/>
    </row>
    <row r="4" spans="1:14" ht="12.75">
      <c r="A4" s="60"/>
      <c r="B4" s="62"/>
      <c r="C4" s="63" t="s">
        <v>21</v>
      </c>
      <c r="D4" s="63" t="s">
        <v>22</v>
      </c>
      <c r="E4" s="63" t="s">
        <v>85</v>
      </c>
      <c r="F4" s="63" t="s">
        <v>50</v>
      </c>
      <c r="G4" s="63" t="s">
        <v>53</v>
      </c>
      <c r="H4" s="63" t="s">
        <v>24</v>
      </c>
      <c r="I4" s="63" t="s">
        <v>25</v>
      </c>
      <c r="J4" s="63" t="s">
        <v>26</v>
      </c>
      <c r="K4" s="63" t="s">
        <v>27</v>
      </c>
      <c r="L4" s="63" t="s">
        <v>28</v>
      </c>
      <c r="M4" s="63"/>
      <c r="N4" s="63" t="s">
        <v>29</v>
      </c>
    </row>
    <row r="5" spans="1:12" s="65" customFormat="1" ht="12.75">
      <c r="A5" s="64"/>
      <c r="B5" s="64"/>
      <c r="C5" s="128">
        <v>55</v>
      </c>
      <c r="D5" s="129">
        <v>57</v>
      </c>
      <c r="E5" s="129">
        <v>58</v>
      </c>
      <c r="F5" s="128">
        <v>53</v>
      </c>
      <c r="G5" s="128">
        <v>56</v>
      </c>
      <c r="H5" s="128">
        <v>60</v>
      </c>
      <c r="I5" s="128">
        <v>54</v>
      </c>
      <c r="J5" s="128">
        <v>54</v>
      </c>
      <c r="K5" s="128">
        <v>51</v>
      </c>
      <c r="L5" s="128">
        <v>59</v>
      </c>
    </row>
    <row r="6" spans="1:14" ht="12.75">
      <c r="A6" s="66"/>
      <c r="B6" s="67"/>
      <c r="C6" s="68"/>
      <c r="D6" s="68"/>
      <c r="E6" s="68"/>
      <c r="F6" s="68"/>
      <c r="G6" s="68"/>
      <c r="H6" s="68"/>
      <c r="I6" s="68"/>
      <c r="J6" s="68"/>
      <c r="L6" s="67"/>
      <c r="M6" s="67"/>
      <c r="N6" s="68" t="s">
        <v>30</v>
      </c>
    </row>
    <row r="7" spans="1:16" ht="12.75">
      <c r="A7" s="66">
        <f>Multi_Family!C6</f>
        <v>43982</v>
      </c>
      <c r="B7" s="67"/>
      <c r="C7" s="72">
        <f>HLOOKUP($A7,Multi_Family!$C$6:$N$79,C$5,FALSE)</f>
        <v>0.045885</v>
      </c>
      <c r="D7" s="76">
        <f>HLOOKUP($A7,Multi_Family!$C$6:$N$79,D$5,FALSE)</f>
        <v>0.294063</v>
      </c>
      <c r="E7" s="76">
        <f>HLOOKUP($A7,Multi_Family!$C$6:$N$79,E$5,FALSE)</f>
        <v>0.136857</v>
      </c>
      <c r="F7" s="72">
        <f>HLOOKUP($A7,Multi_Family!$C$6:$N$79,F$5,FALSE)</f>
        <v>0.071421</v>
      </c>
      <c r="G7" s="72">
        <f>HLOOKUP($A7,Multi_Family!$C$6:$N$79,G$5,FALSE)</f>
        <v>0.013965000000000002</v>
      </c>
      <c r="H7" s="72">
        <f>HLOOKUP($A7,Multi_Family!$C$6:$N$79,H$5,FALSE)</f>
        <v>1.5676710000000003</v>
      </c>
      <c r="I7" s="72">
        <f>HLOOKUP($A7,Multi_Family!$C$6:$N$79,I$5,FALSE)/2</f>
        <v>0.11910150000000001</v>
      </c>
      <c r="J7" s="72">
        <f>HLOOKUP($A7,Multi_Family!$C$6:$N$79,J$5,FALSE)/2</f>
        <v>0.11910150000000001</v>
      </c>
      <c r="K7" s="72">
        <f>HLOOKUP($A7,Multi_Family!$C$6:$N$79,K$5,FALSE)</f>
        <v>0.8726130000000001</v>
      </c>
      <c r="L7" s="76">
        <f>HLOOKUP($A7,Multi_Family!$C$6:$N$79,L$5,FALSE)</f>
        <v>0.749322</v>
      </c>
      <c r="M7" s="77"/>
      <c r="N7" s="77">
        <f aca="true" t="shared" si="0" ref="N7:N18">SUM(C7:L7)</f>
        <v>3.990000000000001</v>
      </c>
      <c r="P7" s="69"/>
    </row>
    <row r="8" spans="1:16" ht="12.75">
      <c r="A8" s="66">
        <f aca="true" t="shared" si="1" ref="A8:A17">EOMONTH(A7,1)</f>
        <v>44012</v>
      </c>
      <c r="B8" s="67"/>
      <c r="C8" s="72">
        <f>HLOOKUP($A8,Multi_Family!$C$6:$N$79,C$5,FALSE)</f>
        <v>0.067275</v>
      </c>
      <c r="D8" s="76">
        <f>HLOOKUP($A8,Multi_Family!$C$6:$N$79,D$5,FALSE)</f>
        <v>0.431145</v>
      </c>
      <c r="E8" s="76">
        <f>HLOOKUP($A8,Multi_Family!$C$6:$N$79,E$5,FALSE)</f>
        <v>0.20065499999999997</v>
      </c>
      <c r="F8" s="72">
        <f>HLOOKUP($A8,Multi_Family!$C$6:$N$79,F$5,FALSE)</f>
        <v>0.10471499999999999</v>
      </c>
      <c r="G8" s="72">
        <f>HLOOKUP($A8,Multi_Family!$C$6:$N$79,G$5,FALSE)</f>
        <v>0.020475</v>
      </c>
      <c r="H8" s="72">
        <f>HLOOKUP($A8,Multi_Family!$C$6:$N$79,H$5,FALSE)</f>
        <v>2.2984649999999998</v>
      </c>
      <c r="I8" s="72">
        <f>HLOOKUP($A8,Multi_Family!$C$6:$N$79,I$5,FALSE)/2</f>
        <v>0.17462249999999999</v>
      </c>
      <c r="J8" s="72">
        <f>HLOOKUP($A8,Multi_Family!$C$6:$N$79,J$5,FALSE)/2</f>
        <v>0.17462249999999999</v>
      </c>
      <c r="K8" s="72">
        <f>HLOOKUP($A8,Multi_Family!$C$6:$N$79,K$5,FALSE)</f>
        <v>1.279395</v>
      </c>
      <c r="L8" s="76">
        <f>HLOOKUP($A8,Multi_Family!$C$6:$N$79,L$5,FALSE)</f>
        <v>1.09863</v>
      </c>
      <c r="M8" s="77"/>
      <c r="N8" s="77">
        <f t="shared" si="0"/>
        <v>5.85</v>
      </c>
      <c r="P8" s="69"/>
    </row>
    <row r="9" spans="1:16" ht="12.75">
      <c r="A9" s="66">
        <f t="shared" si="1"/>
        <v>44043</v>
      </c>
      <c r="B9" s="67"/>
      <c r="C9" s="72">
        <f>HLOOKUP($A9,Multi_Family!$C$6:$N$79,C$5,FALSE)</f>
        <v>0.048645</v>
      </c>
      <c r="D9" s="76">
        <f>HLOOKUP($A9,Multi_Family!$C$6:$N$79,D$5,FALSE)</f>
        <v>0.31175100000000006</v>
      </c>
      <c r="E9" s="76">
        <f>HLOOKUP($A9,Multi_Family!$C$6:$N$79,E$5,FALSE)</f>
        <v>0.145089</v>
      </c>
      <c r="F9" s="72">
        <f>HLOOKUP($A9,Multi_Family!$C$6:$N$79,F$5,FALSE)</f>
        <v>0.075717</v>
      </c>
      <c r="G9" s="72">
        <f>HLOOKUP($A9,Multi_Family!$C$6:$N$79,G$5,FALSE)</f>
        <v>0.014805000000000002</v>
      </c>
      <c r="H9" s="72">
        <f>HLOOKUP($A9,Multi_Family!$C$6:$N$79,H$5,FALSE)</f>
        <v>1.6619670000000002</v>
      </c>
      <c r="I9" s="72">
        <f>HLOOKUP($A9,Multi_Family!$C$6:$N$79,I$5,FALSE)/2</f>
        <v>0.12626550000000003</v>
      </c>
      <c r="J9" s="72">
        <f>HLOOKUP($A9,Multi_Family!$C$6:$N$79,J$5,FALSE)/2</f>
        <v>0.12626550000000003</v>
      </c>
      <c r="K9" s="72">
        <f>HLOOKUP($A9,Multi_Family!$C$6:$N$79,K$5,FALSE)</f>
        <v>0.9251010000000001</v>
      </c>
      <c r="L9" s="76">
        <f>HLOOKUP($A9,Multi_Family!$C$6:$N$79,L$5,FALSE)</f>
        <v>0.794394</v>
      </c>
      <c r="M9" s="77"/>
      <c r="N9" s="77">
        <f t="shared" si="0"/>
        <v>4.23</v>
      </c>
      <c r="P9" s="69"/>
    </row>
    <row r="10" spans="1:16" ht="12.75">
      <c r="A10" s="66">
        <f t="shared" si="1"/>
        <v>44074</v>
      </c>
      <c r="B10" s="67"/>
      <c r="C10" s="72">
        <f>HLOOKUP($A10,Multi_Family!$C$6:$N$79,C$5,FALSE)</f>
        <v>0.051405</v>
      </c>
      <c r="D10" s="76">
        <f>HLOOKUP($A10,Multi_Family!$C$6:$N$79,D$5,FALSE)</f>
        <v>0.329439</v>
      </c>
      <c r="E10" s="76">
        <f>HLOOKUP($A10,Multi_Family!$C$6:$N$79,E$5,FALSE)</f>
        <v>0.15332099999999999</v>
      </c>
      <c r="F10" s="72">
        <f>HLOOKUP($A10,Multi_Family!$C$6:$N$79,F$5,FALSE)</f>
        <v>0.08001299999999999</v>
      </c>
      <c r="G10" s="72">
        <f>HLOOKUP($A10,Multi_Family!$C$6:$N$79,G$5,FALSE)</f>
        <v>0.015645</v>
      </c>
      <c r="H10" s="72">
        <f>HLOOKUP($A10,Multi_Family!$C$6:$N$79,H$5,FALSE)</f>
        <v>1.7562630000000001</v>
      </c>
      <c r="I10" s="72">
        <f>HLOOKUP($A10,Multi_Family!$C$6:$N$79,I$5,FALSE)/2</f>
        <v>0.1334295</v>
      </c>
      <c r="J10" s="72">
        <f>HLOOKUP($A10,Multi_Family!$C$6:$N$79,J$5,FALSE)/2</f>
        <v>0.1334295</v>
      </c>
      <c r="K10" s="72">
        <f>HLOOKUP($A10,Multi_Family!$C$6:$N$79,K$5,FALSE)</f>
        <v>0.9775889999999999</v>
      </c>
      <c r="L10" s="76">
        <f>HLOOKUP($A10,Multi_Family!$C$6:$N$79,L$5,FALSE)</f>
        <v>0.8394659999999999</v>
      </c>
      <c r="M10" s="77"/>
      <c r="N10" s="77">
        <f t="shared" si="0"/>
        <v>4.470000000000001</v>
      </c>
      <c r="P10" s="69"/>
    </row>
    <row r="11" spans="1:16" ht="12.75">
      <c r="A11" s="66">
        <f t="shared" si="1"/>
        <v>44104</v>
      </c>
      <c r="B11" s="67"/>
      <c r="C11" s="72">
        <f>HLOOKUP($A11,Multi_Family!$C$6:$N$79,C$5,FALSE)</f>
        <v>0.052095</v>
      </c>
      <c r="D11" s="76">
        <f>HLOOKUP($A11,Multi_Family!$C$6:$N$79,D$5,FALSE)</f>
        <v>0.333861</v>
      </c>
      <c r="E11" s="76">
        <f>HLOOKUP($A11,Multi_Family!$C$6:$N$79,E$5,FALSE)</f>
        <v>0.155379</v>
      </c>
      <c r="F11" s="72">
        <f>HLOOKUP($A11,Multi_Family!$C$6:$N$79,F$5,FALSE)</f>
        <v>0.081087</v>
      </c>
      <c r="G11" s="72">
        <f>HLOOKUP($A11,Multi_Family!$C$6:$N$79,G$5,FALSE)</f>
        <v>0.015855</v>
      </c>
      <c r="H11" s="72">
        <f>HLOOKUP($A11,Multi_Family!$C$6:$N$79,H$5,FALSE)</f>
        <v>1.7798370000000001</v>
      </c>
      <c r="I11" s="72">
        <f>HLOOKUP($A11,Multi_Family!$C$6:$N$79,I$5,FALSE)/2</f>
        <v>0.13522050000000002</v>
      </c>
      <c r="J11" s="72">
        <f>HLOOKUP($A11,Multi_Family!$C$6:$N$79,J$5,FALSE)/2</f>
        <v>0.13522050000000002</v>
      </c>
      <c r="K11" s="72">
        <f>HLOOKUP($A11,Multi_Family!$C$6:$N$79,K$5,FALSE)</f>
        <v>0.9907110000000001</v>
      </c>
      <c r="L11" s="76">
        <f>HLOOKUP($A11,Multi_Family!$C$6:$N$79,L$5,FALSE)</f>
        <v>0.850734</v>
      </c>
      <c r="M11" s="77"/>
      <c r="N11" s="77">
        <f t="shared" si="0"/>
        <v>4.53</v>
      </c>
      <c r="P11" s="69"/>
    </row>
    <row r="12" spans="1:16" ht="12.75">
      <c r="A12" s="66">
        <f t="shared" si="1"/>
        <v>44135</v>
      </c>
      <c r="B12" s="67"/>
      <c r="C12" s="72">
        <f>HLOOKUP($A12,Multi_Family!$C$6:$N$79,C$5,FALSE)</f>
        <v>0.044504999999999996</v>
      </c>
      <c r="D12" s="76">
        <f>HLOOKUP($A12,Multi_Family!$C$6:$N$79,D$5,FALSE)</f>
        <v>0.285219</v>
      </c>
      <c r="E12" s="76">
        <f>HLOOKUP($A12,Multi_Family!$C$6:$N$79,E$5,FALSE)</f>
        <v>0.13274099999999997</v>
      </c>
      <c r="F12" s="72">
        <f>HLOOKUP($A12,Multi_Family!$C$6:$N$79,F$5,FALSE)</f>
        <v>0.06927299999999999</v>
      </c>
      <c r="G12" s="72">
        <f>HLOOKUP($A12,Multi_Family!$C$6:$N$79,G$5,FALSE)</f>
        <v>0.013545</v>
      </c>
      <c r="H12" s="72">
        <f>HLOOKUP($A12,Multi_Family!$C$6:$N$79,H$5,FALSE)</f>
        <v>1.5205229999999998</v>
      </c>
      <c r="I12" s="72">
        <f>HLOOKUP($A12,Multi_Family!$C$6:$N$79,I$5,FALSE)/2</f>
        <v>0.1155195</v>
      </c>
      <c r="J12" s="72">
        <f>HLOOKUP($A12,Multi_Family!$C$6:$N$79,J$5,FALSE)/2</f>
        <v>0.1155195</v>
      </c>
      <c r="K12" s="72">
        <f>HLOOKUP($A12,Multi_Family!$C$6:$N$79,K$5,FALSE)</f>
        <v>0.8463689999999999</v>
      </c>
      <c r="L12" s="76">
        <f>HLOOKUP($A12,Multi_Family!$C$6:$N$79,L$5,FALSE)</f>
        <v>0.7267859999999999</v>
      </c>
      <c r="M12" s="77"/>
      <c r="N12" s="77">
        <f t="shared" si="0"/>
        <v>3.869999999999999</v>
      </c>
      <c r="P12" s="69"/>
    </row>
    <row r="13" spans="1:16" ht="12.75">
      <c r="A13" s="66">
        <f t="shared" si="1"/>
        <v>44165</v>
      </c>
      <c r="B13" s="67"/>
      <c r="C13" s="72">
        <f>HLOOKUP($A13,Multi_Family!$C$6:$N$79,C$5,FALSE)</f>
        <v>0.04577</v>
      </c>
      <c r="D13" s="76">
        <f>HLOOKUP($A13,Multi_Family!$C$6:$N$79,D$5,FALSE)</f>
        <v>0.29332600000000003</v>
      </c>
      <c r="E13" s="76">
        <f>HLOOKUP($A13,Multi_Family!$C$6:$N$79,E$5,FALSE)</f>
        <v>0.136514</v>
      </c>
      <c r="F13" s="72">
        <f>HLOOKUP($A13,Multi_Family!$C$6:$N$79,F$5,FALSE)</f>
        <v>0.071242</v>
      </c>
      <c r="G13" s="72">
        <f>HLOOKUP($A13,Multi_Family!$C$6:$N$79,G$5,FALSE)</f>
        <v>0.01393</v>
      </c>
      <c r="H13" s="72">
        <f>HLOOKUP($A13,Multi_Family!$C$6:$N$79,H$5,FALSE)</f>
        <v>1.563742</v>
      </c>
      <c r="I13" s="72">
        <f>HLOOKUP($A13,Multi_Family!$C$6:$N$79,I$5,FALSE)/2</f>
        <v>0.118803</v>
      </c>
      <c r="J13" s="72">
        <f>HLOOKUP($A13,Multi_Family!$C$6:$N$79,J$5,FALSE)/2</f>
        <v>0.118803</v>
      </c>
      <c r="K13" s="72">
        <f>HLOOKUP($A13,Multi_Family!$C$6:$N$79,K$5,FALSE)</f>
        <v>0.870426</v>
      </c>
      <c r="L13" s="76">
        <f>HLOOKUP($A13,Multi_Family!$C$6:$N$79,L$5,FALSE)</f>
        <v>0.747444</v>
      </c>
      <c r="M13" s="77"/>
      <c r="N13" s="77">
        <f t="shared" si="0"/>
        <v>3.9800000000000004</v>
      </c>
      <c r="P13" s="69"/>
    </row>
    <row r="14" spans="1:16" ht="12.75">
      <c r="A14" s="66">
        <f t="shared" si="1"/>
        <v>44196</v>
      </c>
      <c r="B14" s="67"/>
      <c r="C14" s="72">
        <f>HLOOKUP($A14,Multi_Family!$C$6:$N$79,C$5,FALSE)</f>
        <v>0.046345000000000004</v>
      </c>
      <c r="D14" s="76">
        <f>HLOOKUP($A14,Multi_Family!$C$6:$N$79,D$5,FALSE)</f>
        <v>0.297011</v>
      </c>
      <c r="E14" s="76">
        <f>HLOOKUP($A14,Multi_Family!$C$6:$N$79,E$5,FALSE)</f>
        <v>0.138229</v>
      </c>
      <c r="F14" s="72">
        <f>HLOOKUP($A14,Multi_Family!$C$6:$N$79,F$5,FALSE)</f>
        <v>0.072137</v>
      </c>
      <c r="G14" s="72">
        <f>HLOOKUP($A14,Multi_Family!$C$6:$N$79,G$5,FALSE)</f>
        <v>0.014105000000000001</v>
      </c>
      <c r="H14" s="72">
        <f>HLOOKUP($A14,Multi_Family!$C$6:$N$79,H$5,FALSE)</f>
        <v>1.583387</v>
      </c>
      <c r="I14" s="72">
        <f>HLOOKUP($A14,Multi_Family!$C$6:$N$79,I$5,FALSE)/2</f>
        <v>0.12029550000000001</v>
      </c>
      <c r="J14" s="72">
        <f>HLOOKUP($A14,Multi_Family!$C$6:$N$79,J$5,FALSE)/2</f>
        <v>0.12029550000000001</v>
      </c>
      <c r="K14" s="72">
        <f>HLOOKUP($A14,Multi_Family!$C$6:$N$79,K$5,FALSE)</f>
        <v>0.8813610000000001</v>
      </c>
      <c r="L14" s="76">
        <f>HLOOKUP($A14,Multi_Family!$C$6:$N$79,L$5,FALSE)</f>
        <v>0.756834</v>
      </c>
      <c r="M14" s="77"/>
      <c r="N14" s="77">
        <f t="shared" si="0"/>
        <v>4.030000000000001</v>
      </c>
      <c r="P14" s="69"/>
    </row>
    <row r="15" spans="1:16" ht="12.75">
      <c r="A15" s="66">
        <f t="shared" si="1"/>
        <v>44227</v>
      </c>
      <c r="B15" s="67"/>
      <c r="C15" s="72">
        <f>HLOOKUP($A15,Multi_Family!$C$6:$N$79,C$5,FALSE)</f>
        <v>0.08329299999999999</v>
      </c>
      <c r="D15" s="76">
        <f>HLOOKUP($A15,Multi_Family!$C$6:$N$79,D$5,FALSE)</f>
        <v>0.63364</v>
      </c>
      <c r="E15" s="76">
        <f>HLOOKUP($A15,Multi_Family!$C$6:$N$79,E$5,FALSE)</f>
        <v>0</v>
      </c>
      <c r="F15" s="72">
        <f>HLOOKUP($A15,Multi_Family!$C$6:$N$79,F$5,FALSE)</f>
        <v>0.072051</v>
      </c>
      <c r="G15" s="72">
        <f>HLOOKUP($A15,Multi_Family!$C$6:$N$79,G$5,FALSE)</f>
        <v>0.010731</v>
      </c>
      <c r="H15" s="72">
        <f>HLOOKUP($A15,Multi_Family!$C$6:$N$79,H$5,FALSE)</f>
        <v>1.6500190000000003</v>
      </c>
      <c r="I15" s="72">
        <f>HLOOKUP($A15,Multi_Family!$C$6:$N$79,I$5,FALSE)/2</f>
        <v>0.09146900000000001</v>
      </c>
      <c r="J15" s="72">
        <f>HLOOKUP($A15,Multi_Family!$C$6:$N$79,J$5,FALSE)/2</f>
        <v>0.09146900000000001</v>
      </c>
      <c r="K15" s="72">
        <f>HLOOKUP($A15,Multi_Family!$C$6:$N$79,K$5,FALSE)</f>
        <v>1.2534830000000001</v>
      </c>
      <c r="L15" s="76">
        <f>HLOOKUP($A15,Multi_Family!$C$6:$N$79,L$5,FALSE)</f>
        <v>1.223845</v>
      </c>
      <c r="M15" s="77"/>
      <c r="N15" s="77">
        <f t="shared" si="0"/>
        <v>5.11</v>
      </c>
      <c r="P15" s="69"/>
    </row>
    <row r="16" spans="1:16" ht="12.75">
      <c r="A16" s="66">
        <f t="shared" si="1"/>
        <v>44255</v>
      </c>
      <c r="B16" s="67"/>
      <c r="C16" s="72">
        <f>HLOOKUP($A16,Multi_Family!$C$6:$N$79,C$5,FALSE)</f>
        <v>0.06536299999999999</v>
      </c>
      <c r="D16" s="76">
        <f>HLOOKUP($A16,Multi_Family!$C$6:$N$79,D$5,FALSE)</f>
        <v>0.49723999999999996</v>
      </c>
      <c r="E16" s="76">
        <f>HLOOKUP($A16,Multi_Family!$C$6:$N$79,E$5,FALSE)</f>
        <v>0</v>
      </c>
      <c r="F16" s="72">
        <f>HLOOKUP($A16,Multi_Family!$C$6:$N$79,F$5,FALSE)</f>
        <v>0.056540999999999994</v>
      </c>
      <c r="G16" s="72">
        <f>HLOOKUP($A16,Multi_Family!$C$6:$N$79,G$5,FALSE)</f>
        <v>0.008421</v>
      </c>
      <c r="H16" s="72">
        <f>HLOOKUP($A16,Multi_Family!$C$6:$N$79,H$5,FALSE)</f>
        <v>1.294829</v>
      </c>
      <c r="I16" s="72">
        <f>HLOOKUP($A16,Multi_Family!$C$6:$N$79,I$5,FALSE)/2</f>
        <v>0.071779</v>
      </c>
      <c r="J16" s="72">
        <f>HLOOKUP($A16,Multi_Family!$C$6:$N$79,J$5,FALSE)/2</f>
        <v>0.071779</v>
      </c>
      <c r="K16" s="72">
        <f>HLOOKUP($A16,Multi_Family!$C$6:$N$79,K$5,FALSE)</f>
        <v>0.9836529999999999</v>
      </c>
      <c r="L16" s="76">
        <f>HLOOKUP($A16,Multi_Family!$C$6:$N$79,L$5,FALSE)</f>
        <v>0.9603949999999999</v>
      </c>
      <c r="M16" s="77"/>
      <c r="N16" s="77">
        <f t="shared" si="0"/>
        <v>4.01</v>
      </c>
      <c r="P16" s="69"/>
    </row>
    <row r="17" spans="1:16" ht="12.75">
      <c r="A17" s="66">
        <f t="shared" si="1"/>
        <v>44286</v>
      </c>
      <c r="B17" s="67"/>
      <c r="C17" s="72">
        <f>HLOOKUP($A17,Multi_Family!$C$6:$N$79,C$5,FALSE)</f>
        <v>0.08329299999999998</v>
      </c>
      <c r="D17" s="76">
        <f>HLOOKUP($A17,Multi_Family!$C$6:$N$79,D$5,FALSE)</f>
        <v>0.6336399999999999</v>
      </c>
      <c r="E17" s="76">
        <f>HLOOKUP($A17,Multi_Family!$C$6:$N$79,E$5,FALSE)</f>
        <v>0</v>
      </c>
      <c r="F17" s="72">
        <f>HLOOKUP($A17,Multi_Family!$C$6:$N$79,F$5,FALSE)</f>
        <v>0.07205099999999999</v>
      </c>
      <c r="G17" s="72">
        <f>HLOOKUP($A17,Multi_Family!$C$6:$N$79,G$5,FALSE)</f>
        <v>0.010730999999999997</v>
      </c>
      <c r="H17" s="72">
        <f>HLOOKUP($A17,Multi_Family!$C$6:$N$79,H$5,FALSE)</f>
        <v>1.6500189999999995</v>
      </c>
      <c r="I17" s="72">
        <f>HLOOKUP($A17,Multi_Family!$C$6:$N$79,I$5,FALSE)/2</f>
        <v>0.09146899999999998</v>
      </c>
      <c r="J17" s="72">
        <f>HLOOKUP($A17,Multi_Family!$C$6:$N$79,J$5,FALSE)/2</f>
        <v>0.09146899999999998</v>
      </c>
      <c r="K17" s="72">
        <f>HLOOKUP($A17,Multi_Family!$C$6:$N$79,K$5,FALSE)</f>
        <v>1.253483</v>
      </c>
      <c r="L17" s="76">
        <f>HLOOKUP($A17,Multi_Family!$C$6:$N$79,L$5,FALSE)</f>
        <v>1.2238449999999998</v>
      </c>
      <c r="M17" s="77"/>
      <c r="N17" s="77">
        <f t="shared" si="0"/>
        <v>5.109999999999999</v>
      </c>
      <c r="P17" s="69"/>
    </row>
    <row r="18" spans="1:16" ht="12.75">
      <c r="A18" s="66">
        <f>EOMONTH(A17,1)</f>
        <v>44316</v>
      </c>
      <c r="B18" s="67"/>
      <c r="C18" s="72">
        <f>HLOOKUP($A18,Multi_Family!$C$6:$N$79,C$5,FALSE)</f>
        <v>0.08606399999999999</v>
      </c>
      <c r="D18" s="76">
        <f>HLOOKUP($A18,Multi_Family!$C$6:$N$79,D$5,FALSE)</f>
        <v>0.65472</v>
      </c>
      <c r="E18" s="76">
        <f>HLOOKUP($A18,Multi_Family!$C$6:$N$79,E$5,FALSE)</f>
        <v>0</v>
      </c>
      <c r="F18" s="72">
        <f>HLOOKUP($A18,Multi_Family!$C$6:$N$79,F$5,FALSE)</f>
        <v>0.07444799999999999</v>
      </c>
      <c r="G18" s="72">
        <f>HLOOKUP($A18,Multi_Family!$C$6:$N$79,G$5,FALSE)</f>
        <v>0.011087999999999997</v>
      </c>
      <c r="H18" s="72">
        <f>HLOOKUP($A18,Multi_Family!$C$6:$N$79,H$5,FALSE)</f>
        <v>1.7049119999999998</v>
      </c>
      <c r="I18" s="72">
        <f>HLOOKUP($A18,Multi_Family!$C$6:$N$79,I$5,FALSE)/2</f>
        <v>0.09451199999999998</v>
      </c>
      <c r="J18" s="72">
        <f>HLOOKUP($A18,Multi_Family!$C$6:$N$79,J$5,FALSE)/2</f>
        <v>0.09451199999999998</v>
      </c>
      <c r="K18" s="72">
        <f>HLOOKUP($A18,Multi_Family!$C$6:$N$79,K$5,FALSE)</f>
        <v>1.295184</v>
      </c>
      <c r="L18" s="76">
        <f>HLOOKUP($A18,Multi_Family!$C$6:$N$79,L$5,FALSE)</f>
        <v>1.26456</v>
      </c>
      <c r="M18" s="77"/>
      <c r="N18" s="77">
        <f t="shared" si="0"/>
        <v>5.279999999999999</v>
      </c>
      <c r="P18" s="69"/>
    </row>
    <row r="19" spans="1:15" ht="13.5" customHeight="1">
      <c r="A19" s="66"/>
      <c r="B19" s="67"/>
      <c r="C19" s="77"/>
      <c r="D19" s="77"/>
      <c r="E19" s="77"/>
      <c r="F19" s="77"/>
      <c r="G19" s="77"/>
      <c r="H19" s="77"/>
      <c r="I19" s="77"/>
      <c r="J19" s="77"/>
      <c r="K19" s="77"/>
      <c r="L19" s="77"/>
      <c r="M19" s="77"/>
      <c r="N19" s="77"/>
      <c r="O19" t="s">
        <v>70</v>
      </c>
    </row>
    <row r="20" spans="1:15" ht="12.75">
      <c r="A20" s="70" t="s">
        <v>31</v>
      </c>
      <c r="B20" s="67"/>
      <c r="C20" s="130">
        <f aca="true" t="shared" si="2" ref="C20:J20">SUM(C7:C19)</f>
        <v>0.719938</v>
      </c>
      <c r="D20" s="130">
        <f t="shared" si="2"/>
        <v>4.995055000000001</v>
      </c>
      <c r="E20" s="130">
        <f t="shared" si="2"/>
        <v>1.1987849999999998</v>
      </c>
      <c r="F20" s="130">
        <f t="shared" si="2"/>
        <v>0.9006959999999998</v>
      </c>
      <c r="G20" s="130">
        <f t="shared" si="2"/>
        <v>0.163296</v>
      </c>
      <c r="H20" s="130">
        <f t="shared" si="2"/>
        <v>20.031634</v>
      </c>
      <c r="I20" s="130">
        <f t="shared" si="2"/>
        <v>1.3924865000000002</v>
      </c>
      <c r="J20" s="130">
        <f t="shared" si="2"/>
        <v>1.3924865000000002</v>
      </c>
      <c r="K20" s="130">
        <f>SUM(K7:K19)</f>
        <v>12.429368</v>
      </c>
      <c r="L20" s="130">
        <f>SUM(L7:L19)</f>
        <v>11.236254999999996</v>
      </c>
      <c r="M20" s="77"/>
      <c r="N20" s="130">
        <f>SUM(N7:N18)</f>
        <v>54.46</v>
      </c>
      <c r="O20" s="68">
        <f>N20/15</f>
        <v>3.630666666666667</v>
      </c>
    </row>
    <row r="21" spans="1:14" ht="12.75">
      <c r="A21" s="66"/>
      <c r="B21" s="67"/>
      <c r="C21" s="67"/>
      <c r="D21" s="67"/>
      <c r="E21" s="67"/>
      <c r="F21" s="67"/>
      <c r="G21" s="67"/>
      <c r="H21" s="67"/>
      <c r="I21" s="67"/>
      <c r="J21" s="67"/>
      <c r="K21" s="67"/>
      <c r="L21" s="67"/>
      <c r="M21" s="67"/>
      <c r="N21" s="68">
        <f>IF(N20&lt;&gt;SUM(Multi_Family!$C$66:$N$66),"ERROR","")</f>
      </c>
    </row>
    <row r="22" spans="1:13" ht="12.75">
      <c r="A22" s="67"/>
      <c r="B22" s="67"/>
      <c r="C22" s="67"/>
      <c r="D22" s="67"/>
      <c r="E22" s="67"/>
      <c r="F22" s="67"/>
      <c r="G22" s="67"/>
      <c r="H22" s="67"/>
      <c r="I22" s="67"/>
      <c r="J22" s="67"/>
      <c r="K22" s="67"/>
      <c r="L22" s="67"/>
      <c r="M22" s="68"/>
    </row>
    <row r="23" spans="1:13" ht="12.75">
      <c r="A23" s="67"/>
      <c r="B23" s="67"/>
      <c r="C23" s="67"/>
      <c r="D23" s="67"/>
      <c r="E23" s="67"/>
      <c r="F23" s="67"/>
      <c r="G23" s="67"/>
      <c r="H23" s="67"/>
      <c r="I23" s="67"/>
      <c r="J23" s="67"/>
      <c r="K23" s="67"/>
      <c r="L23" s="67"/>
      <c r="M23" s="68"/>
    </row>
    <row r="24" spans="1:13" ht="12.75">
      <c r="A24" s="67"/>
      <c r="B24" s="67"/>
      <c r="C24" s="67"/>
      <c r="D24" s="67"/>
      <c r="E24" s="67"/>
      <c r="F24" s="67"/>
      <c r="G24" s="67"/>
      <c r="H24" s="67"/>
      <c r="I24" s="67"/>
      <c r="J24" s="67"/>
      <c r="K24" s="67"/>
      <c r="L24" s="67"/>
      <c r="M24" s="68"/>
    </row>
    <row r="25" spans="1:13" ht="12.75">
      <c r="A25" s="67"/>
      <c r="B25" s="67"/>
      <c r="C25" s="67"/>
      <c r="D25" s="67"/>
      <c r="E25" s="67"/>
      <c r="F25" s="67"/>
      <c r="G25" s="67"/>
      <c r="H25" s="67"/>
      <c r="I25" s="67"/>
      <c r="J25" s="67"/>
      <c r="K25" s="67"/>
      <c r="L25" s="67"/>
      <c r="M25" s="67"/>
    </row>
    <row r="26" spans="1:13" ht="12.75">
      <c r="A26" s="67"/>
      <c r="B26" s="67"/>
      <c r="C26" s="67"/>
      <c r="D26" s="67"/>
      <c r="E26" s="67"/>
      <c r="F26" s="67"/>
      <c r="G26" s="67"/>
      <c r="H26" s="67"/>
      <c r="I26" s="67"/>
      <c r="J26" s="67"/>
      <c r="K26" s="67"/>
      <c r="L26" s="67"/>
      <c r="M26" s="67"/>
    </row>
    <row r="27" spans="1:13" ht="12.75">
      <c r="A27" s="67"/>
      <c r="B27" s="67"/>
      <c r="C27" s="67"/>
      <c r="D27" s="67"/>
      <c r="E27" s="67"/>
      <c r="F27" s="67"/>
      <c r="G27" s="67"/>
      <c r="H27" s="67"/>
      <c r="I27" s="67"/>
      <c r="J27" s="67"/>
      <c r="K27" s="67"/>
      <c r="L27" s="67"/>
      <c r="M27" s="67"/>
    </row>
    <row r="28" spans="1:13" ht="12.75">
      <c r="A28" s="67"/>
      <c r="B28" s="67"/>
      <c r="C28" s="67"/>
      <c r="D28" s="67"/>
      <c r="E28" s="67"/>
      <c r="F28" s="67"/>
      <c r="G28" s="67"/>
      <c r="H28" s="67"/>
      <c r="I28" s="67"/>
      <c r="J28" s="67"/>
      <c r="K28" s="67"/>
      <c r="L28" s="67"/>
      <c r="M28" s="67"/>
    </row>
    <row r="29" spans="1:13" ht="12.75">
      <c r="A29" s="67"/>
      <c r="B29" s="67"/>
      <c r="C29" s="67"/>
      <c r="D29" s="67"/>
      <c r="E29" s="67"/>
      <c r="F29" s="67"/>
      <c r="G29" s="67"/>
      <c r="H29" s="67"/>
      <c r="I29" s="67"/>
      <c r="J29" s="67"/>
      <c r="K29" s="67"/>
      <c r="L29" s="67"/>
      <c r="M29" s="67"/>
    </row>
    <row r="30" spans="1:13" ht="12.75">
      <c r="A30" s="67"/>
      <c r="B30" s="67"/>
      <c r="C30" s="67"/>
      <c r="D30" s="67"/>
      <c r="E30" s="67"/>
      <c r="F30" s="67"/>
      <c r="G30" s="67"/>
      <c r="H30" s="67"/>
      <c r="I30" s="67"/>
      <c r="J30" s="67"/>
      <c r="K30" s="67"/>
      <c r="L30" s="67"/>
      <c r="M30" s="67"/>
    </row>
    <row r="31" spans="1:13" ht="12.75">
      <c r="A31" s="67"/>
      <c r="B31" s="67"/>
      <c r="C31" s="67"/>
      <c r="D31" s="67"/>
      <c r="E31" s="67"/>
      <c r="F31" s="67"/>
      <c r="G31" s="67"/>
      <c r="H31" s="67"/>
      <c r="I31" s="67"/>
      <c r="J31" s="67"/>
      <c r="K31" s="67"/>
      <c r="L31" s="67"/>
      <c r="M31" s="67"/>
    </row>
    <row r="32" spans="1:13" ht="12.75">
      <c r="A32" s="67"/>
      <c r="B32" s="67"/>
      <c r="C32" s="67"/>
      <c r="D32" s="67"/>
      <c r="E32" s="67"/>
      <c r="F32" s="67"/>
      <c r="G32" s="67"/>
      <c r="H32" s="67"/>
      <c r="I32" s="67"/>
      <c r="J32" s="67"/>
      <c r="K32" s="67"/>
      <c r="L32" s="67"/>
      <c r="M32" s="67"/>
    </row>
    <row r="33" spans="1:13" ht="12.75">
      <c r="A33" s="67"/>
      <c r="B33" s="67"/>
      <c r="C33" s="67"/>
      <c r="D33" s="67"/>
      <c r="E33" s="67"/>
      <c r="F33" s="67"/>
      <c r="G33" s="67"/>
      <c r="H33" s="67"/>
      <c r="I33" s="67"/>
      <c r="J33" s="67"/>
      <c r="K33" s="67"/>
      <c r="L33" s="67"/>
      <c r="M33" s="67"/>
    </row>
    <row r="34" spans="1:13" ht="12.75">
      <c r="A34" s="67"/>
      <c r="B34" s="67"/>
      <c r="C34" s="67"/>
      <c r="D34" s="67"/>
      <c r="E34" s="67"/>
      <c r="F34" s="67"/>
      <c r="G34" s="67"/>
      <c r="H34" s="67"/>
      <c r="I34" s="67"/>
      <c r="J34" s="67"/>
      <c r="K34" s="67"/>
      <c r="L34" s="67"/>
      <c r="M34" s="67"/>
    </row>
    <row r="35" spans="1:13" ht="12.75">
      <c r="A35" s="67"/>
      <c r="B35" s="67"/>
      <c r="C35" s="67"/>
      <c r="D35" s="67"/>
      <c r="E35" s="67"/>
      <c r="F35" s="67"/>
      <c r="G35" s="67"/>
      <c r="H35" s="67"/>
      <c r="I35" s="67"/>
      <c r="J35" s="67"/>
      <c r="K35" s="67"/>
      <c r="L35" s="67"/>
      <c r="M35" s="67"/>
    </row>
    <row r="36" spans="1:13" ht="12.75">
      <c r="A36" s="67"/>
      <c r="B36" s="67"/>
      <c r="C36" s="67"/>
      <c r="D36" s="67"/>
      <c r="E36" s="67"/>
      <c r="F36" s="67"/>
      <c r="G36" s="67"/>
      <c r="H36" s="67"/>
      <c r="I36" s="67"/>
      <c r="J36" s="67"/>
      <c r="K36" s="67"/>
      <c r="L36" s="67"/>
      <c r="M36" s="67"/>
    </row>
    <row r="37" spans="1:13" ht="12.75">
      <c r="A37" s="67"/>
      <c r="B37" s="67"/>
      <c r="C37" s="67"/>
      <c r="D37" s="67"/>
      <c r="E37" s="67"/>
      <c r="F37" s="67"/>
      <c r="G37" s="67"/>
      <c r="H37" s="67"/>
      <c r="I37" s="67"/>
      <c r="J37" s="67"/>
      <c r="K37" s="67"/>
      <c r="L37" s="67"/>
      <c r="M37" s="67"/>
    </row>
    <row r="38" spans="1:13" ht="12.75">
      <c r="A38" s="67"/>
      <c r="B38" s="67"/>
      <c r="C38" s="67"/>
      <c r="D38" s="67"/>
      <c r="E38" s="67"/>
      <c r="F38" s="67"/>
      <c r="G38" s="67"/>
      <c r="H38" s="67"/>
      <c r="I38" s="67"/>
      <c r="J38" s="67"/>
      <c r="K38" s="67"/>
      <c r="L38" s="67"/>
      <c r="M38" s="67"/>
    </row>
    <row r="39" spans="1:13" ht="12.75">
      <c r="A39" s="67"/>
      <c r="B39" s="67"/>
      <c r="C39" s="67"/>
      <c r="D39" s="67"/>
      <c r="E39" s="67"/>
      <c r="F39" s="67"/>
      <c r="G39" s="67"/>
      <c r="H39" s="67"/>
      <c r="I39" s="67"/>
      <c r="J39" s="67"/>
      <c r="K39" s="67"/>
      <c r="L39" s="67"/>
      <c r="M39" s="67"/>
    </row>
    <row r="40" spans="1:13" ht="12.75">
      <c r="A40" s="67"/>
      <c r="B40" s="67"/>
      <c r="C40" s="67"/>
      <c r="D40" s="67"/>
      <c r="E40" s="67"/>
      <c r="F40" s="67"/>
      <c r="G40" s="67"/>
      <c r="H40" s="67"/>
      <c r="I40" s="67"/>
      <c r="J40" s="67"/>
      <c r="K40" s="67"/>
      <c r="L40" s="67"/>
      <c r="M40" s="67"/>
    </row>
    <row r="41" spans="1:13" ht="12.75">
      <c r="A41" s="67"/>
      <c r="B41" s="67"/>
      <c r="C41" s="67"/>
      <c r="D41" s="67"/>
      <c r="E41" s="67"/>
      <c r="F41" s="67"/>
      <c r="G41" s="67"/>
      <c r="H41" s="67"/>
      <c r="I41" s="67"/>
      <c r="J41" s="67"/>
      <c r="K41" s="67"/>
      <c r="L41" s="67"/>
      <c r="M41" s="67"/>
    </row>
    <row r="42" spans="1:13" ht="12.75">
      <c r="A42" s="67"/>
      <c r="B42" s="67"/>
      <c r="C42" s="67"/>
      <c r="D42" s="67"/>
      <c r="E42" s="67"/>
      <c r="F42" s="67"/>
      <c r="G42" s="67"/>
      <c r="H42" s="67"/>
      <c r="I42" s="67"/>
      <c r="J42" s="67"/>
      <c r="K42" s="67"/>
      <c r="L42" s="67"/>
      <c r="M42" s="67"/>
    </row>
    <row r="43" spans="1:13" ht="12.75">
      <c r="A43" s="67"/>
      <c r="B43" s="67"/>
      <c r="C43" s="67"/>
      <c r="D43" s="67"/>
      <c r="E43" s="67"/>
      <c r="F43" s="67"/>
      <c r="G43" s="67"/>
      <c r="H43" s="67"/>
      <c r="I43" s="67"/>
      <c r="J43" s="67"/>
      <c r="K43" s="67"/>
      <c r="L43" s="67"/>
      <c r="M43" s="67"/>
    </row>
    <row r="44" spans="1:13" ht="12.75">
      <c r="A44" s="67"/>
      <c r="B44" s="67"/>
      <c r="C44" s="67"/>
      <c r="D44" s="67"/>
      <c r="E44" s="67"/>
      <c r="F44" s="67"/>
      <c r="G44" s="67"/>
      <c r="H44" s="67"/>
      <c r="I44" s="67"/>
      <c r="J44" s="67"/>
      <c r="K44" s="67"/>
      <c r="L44" s="67"/>
      <c r="M44" s="67"/>
    </row>
    <row r="45" spans="1:13" ht="12.75">
      <c r="A45" s="67"/>
      <c r="B45" s="67"/>
      <c r="C45" s="67"/>
      <c r="D45" s="67"/>
      <c r="E45" s="67"/>
      <c r="F45" s="67"/>
      <c r="G45" s="67"/>
      <c r="H45" s="67"/>
      <c r="I45" s="67"/>
      <c r="J45" s="67"/>
      <c r="K45" s="67"/>
      <c r="L45" s="67"/>
      <c r="M45" s="67"/>
    </row>
    <row r="46" spans="1:13" ht="12.75">
      <c r="A46" s="67"/>
      <c r="B46" s="67"/>
      <c r="C46" s="67"/>
      <c r="D46" s="67"/>
      <c r="E46" s="67"/>
      <c r="F46" s="67"/>
      <c r="G46" s="67"/>
      <c r="H46" s="67"/>
      <c r="I46" s="67"/>
      <c r="J46" s="67"/>
      <c r="K46" s="67"/>
      <c r="L46" s="67"/>
      <c r="M46" s="67"/>
    </row>
    <row r="47" spans="1:13" ht="12.75">
      <c r="A47" s="67"/>
      <c r="B47" s="67"/>
      <c r="C47" s="67"/>
      <c r="D47" s="67"/>
      <c r="E47" s="67"/>
      <c r="F47" s="67"/>
      <c r="G47" s="67"/>
      <c r="H47" s="67"/>
      <c r="I47" s="67"/>
      <c r="J47" s="67"/>
      <c r="K47" s="67"/>
      <c r="L47" s="67"/>
      <c r="M47" s="67"/>
    </row>
    <row r="48" spans="1:13" ht="12.75">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12.75">
      <c r="A50" s="67"/>
      <c r="B50" s="67"/>
      <c r="C50" s="67"/>
      <c r="D50" s="67"/>
      <c r="E50" s="67"/>
      <c r="F50" s="67"/>
      <c r="G50" s="67"/>
      <c r="H50" s="67"/>
      <c r="I50" s="67"/>
      <c r="J50" s="67"/>
      <c r="K50" s="67"/>
      <c r="L50" s="67"/>
      <c r="M50" s="67"/>
    </row>
    <row r="51" spans="1:13" ht="12.75">
      <c r="A51" s="67"/>
      <c r="B51" s="67"/>
      <c r="C51" s="67"/>
      <c r="D51" s="67"/>
      <c r="E51" s="67"/>
      <c r="F51" s="67"/>
      <c r="G51" s="67"/>
      <c r="H51" s="67"/>
      <c r="I51" s="67"/>
      <c r="J51" s="67"/>
      <c r="K51" s="67"/>
      <c r="L51" s="67"/>
      <c r="M51" s="67"/>
    </row>
    <row r="52" spans="1:13" ht="12.75">
      <c r="A52" s="67"/>
      <c r="B52" s="67"/>
      <c r="C52" s="67"/>
      <c r="D52" s="67"/>
      <c r="E52" s="67"/>
      <c r="F52" s="67"/>
      <c r="G52" s="67"/>
      <c r="H52" s="67"/>
      <c r="I52" s="67"/>
      <c r="J52" s="67"/>
      <c r="K52" s="67"/>
      <c r="L52" s="67"/>
      <c r="M52" s="67"/>
    </row>
    <row r="53" spans="1:13" ht="12.75">
      <c r="A53" s="67"/>
      <c r="B53" s="67"/>
      <c r="C53" s="67"/>
      <c r="D53" s="67"/>
      <c r="E53" s="67"/>
      <c r="F53" s="67"/>
      <c r="G53" s="67"/>
      <c r="H53" s="67"/>
      <c r="I53" s="67"/>
      <c r="J53" s="67"/>
      <c r="K53" s="67"/>
      <c r="L53" s="67"/>
      <c r="M53" s="67"/>
    </row>
    <row r="54" spans="1:13" ht="12.75">
      <c r="A54" s="67"/>
      <c r="B54" s="67"/>
      <c r="C54" s="67"/>
      <c r="D54" s="67"/>
      <c r="E54" s="67"/>
      <c r="F54" s="67"/>
      <c r="G54" s="67"/>
      <c r="H54" s="67"/>
      <c r="I54" s="67"/>
      <c r="J54" s="67"/>
      <c r="K54" s="67"/>
      <c r="L54" s="67"/>
      <c r="M54" s="67"/>
    </row>
    <row r="55" spans="1:13" ht="12.75">
      <c r="A55" s="67"/>
      <c r="B55" s="67"/>
      <c r="C55" s="67"/>
      <c r="D55" s="67"/>
      <c r="E55" s="67"/>
      <c r="F55" s="67"/>
      <c r="G55" s="67"/>
      <c r="H55" s="67"/>
      <c r="I55" s="67"/>
      <c r="J55" s="67"/>
      <c r="K55" s="67"/>
      <c r="L55" s="67"/>
      <c r="M55" s="67"/>
    </row>
    <row r="56" spans="1:13" ht="12.75">
      <c r="A56" s="67"/>
      <c r="B56" s="67"/>
      <c r="C56" s="67"/>
      <c r="D56" s="67"/>
      <c r="E56" s="67"/>
      <c r="F56" s="67"/>
      <c r="G56" s="67"/>
      <c r="H56" s="67"/>
      <c r="I56" s="67"/>
      <c r="J56" s="67"/>
      <c r="K56" s="67"/>
      <c r="L56" s="67"/>
      <c r="M56" s="67"/>
    </row>
    <row r="57" spans="1:13" ht="12.75">
      <c r="A57" s="67"/>
      <c r="B57" s="67"/>
      <c r="C57" s="67"/>
      <c r="D57" s="67"/>
      <c r="E57" s="67"/>
      <c r="F57" s="67"/>
      <c r="G57" s="67"/>
      <c r="H57" s="67"/>
      <c r="I57" s="67"/>
      <c r="J57" s="67"/>
      <c r="K57" s="67"/>
      <c r="L57" s="67"/>
      <c r="M57" s="67"/>
    </row>
    <row r="58" spans="1:13" ht="12.75">
      <c r="A58" s="67"/>
      <c r="B58" s="67"/>
      <c r="C58" s="67"/>
      <c r="D58" s="67"/>
      <c r="E58" s="67"/>
      <c r="F58" s="67"/>
      <c r="G58" s="67"/>
      <c r="H58" s="67"/>
      <c r="I58" s="67"/>
      <c r="J58" s="67"/>
      <c r="K58" s="67"/>
      <c r="L58" s="67"/>
      <c r="M58" s="67"/>
    </row>
    <row r="59" spans="1:13" ht="12.75">
      <c r="A59" s="67"/>
      <c r="B59" s="67"/>
      <c r="C59" s="67"/>
      <c r="D59" s="67"/>
      <c r="E59" s="67"/>
      <c r="F59" s="67"/>
      <c r="G59" s="67"/>
      <c r="H59" s="67"/>
      <c r="I59" s="67"/>
      <c r="J59" s="67"/>
      <c r="K59" s="67"/>
      <c r="L59" s="67"/>
      <c r="M59" s="67"/>
    </row>
    <row r="60" spans="1:13" ht="12.75">
      <c r="A60" s="67"/>
      <c r="B60" s="67"/>
      <c r="C60" s="67"/>
      <c r="D60" s="67"/>
      <c r="E60" s="67"/>
      <c r="F60" s="67"/>
      <c r="G60" s="67"/>
      <c r="H60" s="67"/>
      <c r="I60" s="67"/>
      <c r="J60" s="67"/>
      <c r="K60" s="67"/>
      <c r="L60" s="67"/>
      <c r="M60" s="67"/>
    </row>
    <row r="61" spans="1:13" ht="12.75">
      <c r="A61" s="67"/>
      <c r="B61" s="67"/>
      <c r="C61" s="67"/>
      <c r="D61" s="67"/>
      <c r="E61" s="67"/>
      <c r="F61" s="67"/>
      <c r="G61" s="67"/>
      <c r="H61" s="67"/>
      <c r="I61" s="67"/>
      <c r="J61" s="67"/>
      <c r="K61" s="67"/>
      <c r="L61" s="67"/>
      <c r="M61" s="67"/>
    </row>
    <row r="62" spans="1:13" ht="12.75">
      <c r="A62" s="67"/>
      <c r="B62" s="67"/>
      <c r="C62" s="67"/>
      <c r="D62" s="67"/>
      <c r="E62" s="67"/>
      <c r="F62" s="67"/>
      <c r="G62" s="67"/>
      <c r="H62" s="67"/>
      <c r="I62" s="67"/>
      <c r="J62" s="67"/>
      <c r="K62" s="67"/>
      <c r="L62" s="67"/>
      <c r="M62" s="67"/>
    </row>
    <row r="63" spans="1:13" ht="12.75">
      <c r="A63" s="67"/>
      <c r="B63" s="67"/>
      <c r="C63" s="67"/>
      <c r="D63" s="67"/>
      <c r="E63" s="67"/>
      <c r="F63" s="67"/>
      <c r="G63" s="67"/>
      <c r="H63" s="67"/>
      <c r="I63" s="67"/>
      <c r="J63" s="67"/>
      <c r="K63" s="67"/>
      <c r="L63" s="67"/>
      <c r="M63" s="67"/>
    </row>
    <row r="64" spans="1:13" ht="12.75">
      <c r="A64" s="67"/>
      <c r="B64" s="67"/>
      <c r="C64" s="67"/>
      <c r="D64" s="67"/>
      <c r="E64" s="67"/>
      <c r="F64" s="67"/>
      <c r="G64" s="67"/>
      <c r="H64" s="67"/>
      <c r="I64" s="67"/>
      <c r="J64" s="67"/>
      <c r="K64" s="67"/>
      <c r="L64" s="67"/>
      <c r="M64" s="67"/>
    </row>
    <row r="65" spans="1:13" ht="12.75">
      <c r="A65" s="67"/>
      <c r="B65" s="67"/>
      <c r="C65" s="67"/>
      <c r="D65" s="67"/>
      <c r="E65" s="67"/>
      <c r="F65" s="67"/>
      <c r="G65" s="67"/>
      <c r="H65" s="67"/>
      <c r="I65" s="67"/>
      <c r="J65" s="67"/>
      <c r="K65" s="67"/>
      <c r="L65" s="67"/>
      <c r="M65" s="67"/>
    </row>
    <row r="66" spans="1:13" ht="12.75">
      <c r="A66" s="67"/>
      <c r="B66" s="67"/>
      <c r="C66" s="67"/>
      <c r="D66" s="67"/>
      <c r="E66" s="67"/>
      <c r="F66" s="67"/>
      <c r="G66" s="67"/>
      <c r="H66" s="67"/>
      <c r="I66" s="67"/>
      <c r="J66" s="67"/>
      <c r="K66" s="67"/>
      <c r="L66" s="67"/>
      <c r="M66" s="67"/>
    </row>
    <row r="67" spans="1:13" ht="12.75">
      <c r="A67" s="67"/>
      <c r="B67" s="67"/>
      <c r="C67" s="67"/>
      <c r="D67" s="67"/>
      <c r="E67" s="67"/>
      <c r="F67" s="67"/>
      <c r="G67" s="67"/>
      <c r="H67" s="67"/>
      <c r="I67" s="67"/>
      <c r="J67" s="67"/>
      <c r="K67" s="67"/>
      <c r="L67" s="67"/>
      <c r="M67" s="67"/>
    </row>
    <row r="68" spans="1:13" ht="12.75">
      <c r="A68" s="67"/>
      <c r="B68" s="67"/>
      <c r="C68" s="67"/>
      <c r="D68" s="67"/>
      <c r="E68" s="67"/>
      <c r="F68" s="67"/>
      <c r="G68" s="67"/>
      <c r="H68" s="67"/>
      <c r="I68" s="67"/>
      <c r="J68" s="67"/>
      <c r="K68" s="67"/>
      <c r="L68" s="67"/>
      <c r="M68" s="67"/>
    </row>
    <row r="69" spans="1:13" ht="12.75">
      <c r="A69" s="67"/>
      <c r="B69" s="67"/>
      <c r="C69" s="67"/>
      <c r="D69" s="67"/>
      <c r="E69" s="67"/>
      <c r="F69" s="67"/>
      <c r="G69" s="67"/>
      <c r="H69" s="67"/>
      <c r="I69" s="67"/>
      <c r="J69" s="67"/>
      <c r="K69" s="67"/>
      <c r="L69" s="67"/>
      <c r="M69" s="67"/>
    </row>
    <row r="70" spans="1:13" ht="12.75">
      <c r="A70" s="67"/>
      <c r="B70" s="67"/>
      <c r="C70" s="67"/>
      <c r="D70" s="67"/>
      <c r="E70" s="67"/>
      <c r="F70" s="67"/>
      <c r="G70" s="67"/>
      <c r="H70" s="67"/>
      <c r="I70" s="67"/>
      <c r="J70" s="67"/>
      <c r="K70" s="67"/>
      <c r="L70" s="67"/>
      <c r="M70" s="67"/>
    </row>
    <row r="71" spans="1:13" ht="12.75">
      <c r="A71" s="67"/>
      <c r="B71" s="67"/>
      <c r="C71" s="67"/>
      <c r="D71" s="67"/>
      <c r="E71" s="67"/>
      <c r="F71" s="67"/>
      <c r="G71" s="67"/>
      <c r="H71" s="67"/>
      <c r="I71" s="67"/>
      <c r="J71" s="67"/>
      <c r="K71" s="67"/>
      <c r="L71" s="67"/>
      <c r="M71" s="67"/>
    </row>
    <row r="72" spans="1:13" ht="12.75">
      <c r="A72" s="67"/>
      <c r="B72" s="67"/>
      <c r="C72" s="67"/>
      <c r="D72" s="67"/>
      <c r="E72" s="67"/>
      <c r="F72" s="67"/>
      <c r="G72" s="67"/>
      <c r="H72" s="67"/>
      <c r="I72" s="67"/>
      <c r="J72" s="67"/>
      <c r="K72" s="67"/>
      <c r="L72" s="67"/>
      <c r="M72" s="67"/>
    </row>
    <row r="73" spans="1:13" ht="12.75">
      <c r="A73" s="67"/>
      <c r="B73" s="67"/>
      <c r="C73" s="67"/>
      <c r="D73" s="67"/>
      <c r="E73" s="67"/>
      <c r="F73" s="67"/>
      <c r="G73" s="67"/>
      <c r="H73" s="67"/>
      <c r="I73" s="67"/>
      <c r="J73" s="67"/>
      <c r="K73" s="67"/>
      <c r="L73" s="67"/>
      <c r="M73" s="67"/>
    </row>
    <row r="74" spans="1:13" ht="12.75">
      <c r="A74" s="67"/>
      <c r="B74" s="67"/>
      <c r="C74" s="67"/>
      <c r="D74" s="67"/>
      <c r="E74" s="67"/>
      <c r="F74" s="67"/>
      <c r="G74" s="67"/>
      <c r="H74" s="67"/>
      <c r="I74" s="67"/>
      <c r="J74" s="67"/>
      <c r="K74" s="67"/>
      <c r="L74" s="67"/>
      <c r="M74" s="67"/>
    </row>
    <row r="75" spans="1:13" ht="12.75">
      <c r="A75" s="67"/>
      <c r="B75" s="67"/>
      <c r="C75" s="67"/>
      <c r="D75" s="67"/>
      <c r="E75" s="67"/>
      <c r="F75" s="67"/>
      <c r="G75" s="67"/>
      <c r="H75" s="67"/>
      <c r="I75" s="67"/>
      <c r="J75" s="67"/>
      <c r="K75" s="67"/>
      <c r="L75" s="67"/>
      <c r="M75" s="67"/>
    </row>
    <row r="76" spans="1:13" ht="12.75">
      <c r="A76" s="67"/>
      <c r="B76" s="67"/>
      <c r="C76" s="67"/>
      <c r="D76" s="67"/>
      <c r="E76" s="67"/>
      <c r="F76" s="67"/>
      <c r="G76" s="67"/>
      <c r="H76" s="67"/>
      <c r="I76" s="67"/>
      <c r="J76" s="67"/>
      <c r="K76" s="67"/>
      <c r="L76" s="67"/>
      <c r="M76" s="67"/>
    </row>
    <row r="77" spans="1:13" ht="12.75">
      <c r="A77" s="67"/>
      <c r="B77" s="67"/>
      <c r="C77" s="67"/>
      <c r="D77" s="67"/>
      <c r="E77" s="67"/>
      <c r="F77" s="67"/>
      <c r="G77" s="67"/>
      <c r="H77" s="67"/>
      <c r="I77" s="67"/>
      <c r="J77" s="67"/>
      <c r="K77" s="67"/>
      <c r="L77" s="67"/>
      <c r="M77" s="67"/>
    </row>
    <row r="78" spans="1:13" ht="12.75">
      <c r="A78" s="67"/>
      <c r="B78" s="67"/>
      <c r="C78" s="67"/>
      <c r="D78" s="67"/>
      <c r="E78" s="67"/>
      <c r="F78" s="67"/>
      <c r="G78" s="67"/>
      <c r="H78" s="67"/>
      <c r="I78" s="67"/>
      <c r="J78" s="67"/>
      <c r="K78" s="67"/>
      <c r="L78" s="67"/>
      <c r="M78" s="67"/>
    </row>
    <row r="79" spans="1:13" ht="12.75">
      <c r="A79" s="67"/>
      <c r="B79" s="67"/>
      <c r="C79" s="67"/>
      <c r="D79" s="67"/>
      <c r="E79" s="67"/>
      <c r="F79" s="67"/>
      <c r="G79" s="67"/>
      <c r="H79" s="67"/>
      <c r="I79" s="67"/>
      <c r="J79" s="67"/>
      <c r="K79" s="67"/>
      <c r="L79" s="67"/>
      <c r="M79" s="67"/>
    </row>
    <row r="80" spans="1:13" ht="12.75">
      <c r="A80" s="67"/>
      <c r="B80" s="67"/>
      <c r="C80" s="67"/>
      <c r="D80" s="67"/>
      <c r="E80" s="67"/>
      <c r="F80" s="67"/>
      <c r="G80" s="67"/>
      <c r="H80" s="67"/>
      <c r="I80" s="67"/>
      <c r="J80" s="67"/>
      <c r="K80" s="67"/>
      <c r="L80" s="67"/>
      <c r="M80" s="67"/>
    </row>
    <row r="81" spans="1:13" ht="12.75">
      <c r="A81" s="67"/>
      <c r="B81" s="67"/>
      <c r="C81" s="67"/>
      <c r="D81" s="67"/>
      <c r="E81" s="67"/>
      <c r="F81" s="67"/>
      <c r="G81" s="67"/>
      <c r="H81" s="67"/>
      <c r="I81" s="67"/>
      <c r="J81" s="67"/>
      <c r="K81" s="67"/>
      <c r="L81" s="67"/>
      <c r="M81" s="67"/>
    </row>
    <row r="82" spans="1:13" ht="12.75">
      <c r="A82" s="67"/>
      <c r="B82" s="67"/>
      <c r="C82" s="67"/>
      <c r="D82" s="67"/>
      <c r="E82" s="67"/>
      <c r="F82" s="67"/>
      <c r="G82" s="67"/>
      <c r="H82" s="67"/>
      <c r="I82" s="67"/>
      <c r="J82" s="67"/>
      <c r="K82" s="67"/>
      <c r="L82" s="67"/>
      <c r="M82" s="67"/>
    </row>
    <row r="83" spans="1:13" ht="12.75">
      <c r="A83" s="67"/>
      <c r="B83" s="67"/>
      <c r="C83" s="67"/>
      <c r="D83" s="67"/>
      <c r="E83" s="67"/>
      <c r="F83" s="67"/>
      <c r="G83" s="67"/>
      <c r="H83" s="67"/>
      <c r="I83" s="67"/>
      <c r="J83" s="67"/>
      <c r="K83" s="67"/>
      <c r="L83" s="67"/>
      <c r="M83" s="67"/>
    </row>
    <row r="84" spans="1:13" ht="12.75">
      <c r="A84" s="67"/>
      <c r="B84" s="67"/>
      <c r="C84" s="67"/>
      <c r="D84" s="67"/>
      <c r="E84" s="67"/>
      <c r="F84" s="67"/>
      <c r="G84" s="67"/>
      <c r="H84" s="67"/>
      <c r="I84" s="67"/>
      <c r="J84" s="67"/>
      <c r="K84" s="67"/>
      <c r="L84" s="67"/>
      <c r="M84" s="67"/>
    </row>
    <row r="85" spans="1:13" ht="12.75">
      <c r="A85" s="67"/>
      <c r="B85" s="67"/>
      <c r="C85" s="67"/>
      <c r="D85" s="67"/>
      <c r="E85" s="67"/>
      <c r="F85" s="67"/>
      <c r="G85" s="67"/>
      <c r="H85" s="67"/>
      <c r="I85" s="67"/>
      <c r="J85" s="67"/>
      <c r="K85" s="67"/>
      <c r="L85" s="67"/>
      <c r="M85" s="67"/>
    </row>
    <row r="86" spans="1:13" ht="12.75">
      <c r="A86" s="67"/>
      <c r="B86" s="67"/>
      <c r="C86" s="67"/>
      <c r="D86" s="67"/>
      <c r="E86" s="67"/>
      <c r="F86" s="67"/>
      <c r="G86" s="67"/>
      <c r="H86" s="67"/>
      <c r="I86" s="67"/>
      <c r="J86" s="67"/>
      <c r="K86" s="67"/>
      <c r="L86" s="67"/>
      <c r="M86" s="67"/>
    </row>
    <row r="87" spans="1:13" ht="12.75">
      <c r="A87" s="67"/>
      <c r="B87" s="67"/>
      <c r="C87" s="67"/>
      <c r="D87" s="67"/>
      <c r="E87" s="67"/>
      <c r="F87" s="67"/>
      <c r="G87" s="67"/>
      <c r="H87" s="67"/>
      <c r="I87" s="67"/>
      <c r="J87" s="67"/>
      <c r="K87" s="67"/>
      <c r="L87" s="67"/>
      <c r="M87" s="67"/>
    </row>
    <row r="88" spans="1:13" ht="12.75">
      <c r="A88" s="67"/>
      <c r="B88" s="67"/>
      <c r="C88" s="67"/>
      <c r="D88" s="67"/>
      <c r="E88" s="67"/>
      <c r="F88" s="67"/>
      <c r="G88" s="67"/>
      <c r="H88" s="67"/>
      <c r="I88" s="67"/>
      <c r="J88" s="67"/>
      <c r="K88" s="67"/>
      <c r="L88" s="67"/>
      <c r="M88" s="67"/>
    </row>
    <row r="89" spans="1:13" ht="12.75">
      <c r="A89" s="67"/>
      <c r="B89" s="67"/>
      <c r="C89" s="67"/>
      <c r="D89" s="67"/>
      <c r="E89" s="67"/>
      <c r="F89" s="67"/>
      <c r="G89" s="67"/>
      <c r="H89" s="67"/>
      <c r="I89" s="67"/>
      <c r="J89" s="67"/>
      <c r="K89" s="67"/>
      <c r="L89" s="67"/>
      <c r="M89" s="67"/>
    </row>
    <row r="90" spans="1:13" ht="12.75">
      <c r="A90" s="67"/>
      <c r="B90" s="67"/>
      <c r="C90" s="67"/>
      <c r="D90" s="67"/>
      <c r="E90" s="67"/>
      <c r="F90" s="67"/>
      <c r="G90" s="67"/>
      <c r="H90" s="67"/>
      <c r="I90" s="67"/>
      <c r="J90" s="67"/>
      <c r="K90" s="67"/>
      <c r="L90" s="67"/>
      <c r="M90" s="67"/>
    </row>
    <row r="91" spans="1:13" ht="12.75">
      <c r="A91" s="67"/>
      <c r="B91" s="67"/>
      <c r="C91" s="67"/>
      <c r="D91" s="67"/>
      <c r="E91" s="67"/>
      <c r="F91" s="67"/>
      <c r="G91" s="67"/>
      <c r="H91" s="67"/>
      <c r="I91" s="67"/>
      <c r="J91" s="67"/>
      <c r="K91" s="67"/>
      <c r="L91" s="67"/>
      <c r="M91" s="67"/>
    </row>
    <row r="92" spans="1:13" ht="12.75">
      <c r="A92" s="67"/>
      <c r="B92" s="67"/>
      <c r="C92" s="67"/>
      <c r="D92" s="67"/>
      <c r="E92" s="67"/>
      <c r="F92" s="67"/>
      <c r="G92" s="67"/>
      <c r="H92" s="67"/>
      <c r="I92" s="67"/>
      <c r="J92" s="67"/>
      <c r="K92" s="67"/>
      <c r="L92" s="67"/>
      <c r="M92" s="67"/>
    </row>
    <row r="93" spans="1:13" ht="12.75">
      <c r="A93" s="67"/>
      <c r="B93" s="67"/>
      <c r="C93" s="67"/>
      <c r="D93" s="67"/>
      <c r="E93" s="67"/>
      <c r="F93" s="67"/>
      <c r="G93" s="67"/>
      <c r="H93" s="67"/>
      <c r="I93" s="67"/>
      <c r="J93" s="67"/>
      <c r="K93" s="67"/>
      <c r="L93" s="67"/>
      <c r="M93" s="67"/>
    </row>
    <row r="94" spans="1:13" ht="12.75">
      <c r="A94" s="67"/>
      <c r="B94" s="67"/>
      <c r="C94" s="67"/>
      <c r="D94" s="67"/>
      <c r="E94" s="67"/>
      <c r="F94" s="67"/>
      <c r="G94" s="67"/>
      <c r="H94" s="67"/>
      <c r="I94" s="67"/>
      <c r="J94" s="67"/>
      <c r="K94" s="67"/>
      <c r="L94" s="67"/>
      <c r="M94" s="67"/>
    </row>
    <row r="95" spans="1:13" ht="12.75">
      <c r="A95" s="67"/>
      <c r="B95" s="67"/>
      <c r="C95" s="67"/>
      <c r="D95" s="67"/>
      <c r="E95" s="67"/>
      <c r="F95" s="67"/>
      <c r="G95" s="67"/>
      <c r="H95" s="67"/>
      <c r="I95" s="67"/>
      <c r="J95" s="67"/>
      <c r="K95" s="67"/>
      <c r="L95" s="67"/>
      <c r="M95" s="67"/>
    </row>
    <row r="96" spans="1:13" ht="12.75">
      <c r="A96" s="67"/>
      <c r="B96" s="67"/>
      <c r="C96" s="67"/>
      <c r="D96" s="67"/>
      <c r="E96" s="67"/>
      <c r="F96" s="67"/>
      <c r="G96" s="67"/>
      <c r="H96" s="67"/>
      <c r="I96" s="67"/>
      <c r="J96" s="67"/>
      <c r="K96" s="67"/>
      <c r="L96" s="67"/>
      <c r="M96" s="67"/>
    </row>
    <row r="97" spans="1:13" ht="12.75">
      <c r="A97" s="67"/>
      <c r="B97" s="67"/>
      <c r="C97" s="67"/>
      <c r="D97" s="67"/>
      <c r="E97" s="67"/>
      <c r="F97" s="67"/>
      <c r="G97" s="67"/>
      <c r="H97" s="67"/>
      <c r="I97" s="67"/>
      <c r="J97" s="67"/>
      <c r="K97" s="67"/>
      <c r="L97" s="67"/>
      <c r="M97" s="67"/>
    </row>
    <row r="98" spans="1:13" ht="12.75">
      <c r="A98" s="67"/>
      <c r="B98" s="67"/>
      <c r="C98" s="67"/>
      <c r="D98" s="67"/>
      <c r="E98" s="67"/>
      <c r="F98" s="67"/>
      <c r="G98" s="67"/>
      <c r="H98" s="67"/>
      <c r="I98" s="67"/>
      <c r="J98" s="67"/>
      <c r="K98" s="67"/>
      <c r="L98" s="67"/>
      <c r="M98" s="67"/>
    </row>
    <row r="99" spans="1:13" ht="12.75">
      <c r="A99" s="67"/>
      <c r="B99" s="67"/>
      <c r="C99" s="67"/>
      <c r="D99" s="67"/>
      <c r="E99" s="67"/>
      <c r="F99" s="67"/>
      <c r="G99" s="67"/>
      <c r="H99" s="67"/>
      <c r="I99" s="67"/>
      <c r="J99" s="67"/>
      <c r="K99" s="67"/>
      <c r="L99" s="67"/>
      <c r="M99" s="67"/>
    </row>
    <row r="100" spans="1:13" ht="12.75">
      <c r="A100" s="67"/>
      <c r="B100" s="67"/>
      <c r="C100" s="67"/>
      <c r="D100" s="67"/>
      <c r="E100" s="67"/>
      <c r="F100" s="67"/>
      <c r="G100" s="67"/>
      <c r="H100" s="67"/>
      <c r="I100" s="67"/>
      <c r="J100" s="67"/>
      <c r="K100" s="67"/>
      <c r="L100" s="67"/>
      <c r="M100" s="67"/>
    </row>
    <row r="101" spans="1:13" ht="12.75">
      <c r="A101" s="67"/>
      <c r="B101" s="67"/>
      <c r="C101" s="67"/>
      <c r="D101" s="67"/>
      <c r="E101" s="67"/>
      <c r="F101" s="67"/>
      <c r="G101" s="67"/>
      <c r="H101" s="67"/>
      <c r="I101" s="67"/>
      <c r="J101" s="67"/>
      <c r="K101" s="67"/>
      <c r="L101" s="67"/>
      <c r="M101" s="67"/>
    </row>
    <row r="102" spans="1:13" ht="12.75">
      <c r="A102" s="67"/>
      <c r="B102" s="67"/>
      <c r="C102" s="67"/>
      <c r="D102" s="67"/>
      <c r="E102" s="67"/>
      <c r="F102" s="67"/>
      <c r="G102" s="67"/>
      <c r="H102" s="67"/>
      <c r="I102" s="67"/>
      <c r="J102" s="67"/>
      <c r="K102" s="67"/>
      <c r="L102" s="67"/>
      <c r="M102" s="67"/>
    </row>
  </sheetData>
  <sheetProtection/>
  <printOptions/>
  <pageMargins left="0.5" right="0.5" top="0.75" bottom="0.75" header="0.5" footer="0.5"/>
  <pageSetup horizontalDpi="600" verticalDpi="600" orientation="landscape" scale="85"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N121"/>
  <sheetViews>
    <sheetView showGridLines="0" zoomScalePageLayoutView="0" workbookViewId="0" topLeftCell="A1">
      <selection activeCell="C11" sqref="C11"/>
    </sheetView>
  </sheetViews>
  <sheetFormatPr defaultColWidth="9.140625" defaultRowHeight="12.75"/>
  <cols>
    <col min="3" max="3" width="13.28125" style="0" customWidth="1"/>
    <col min="4" max="5" width="11.57421875" style="0" customWidth="1"/>
    <col min="6" max="6" width="12.28125" style="0" customWidth="1"/>
    <col min="7" max="7" width="11.7109375" style="0" bestFit="1" customWidth="1"/>
    <col min="8" max="8" width="9.421875" style="0" customWidth="1"/>
    <col min="9" max="9" width="9.28125" style="0" customWidth="1"/>
    <col min="10" max="10" width="10.00390625" style="0" customWidth="1"/>
    <col min="11" max="11" width="9.7109375" style="0" customWidth="1"/>
    <col min="12" max="12" width="10.421875" style="0" customWidth="1"/>
  </cols>
  <sheetData>
    <row r="1" spans="1:2" ht="12.75">
      <c r="A1" s="59" t="str">
        <f>"Commodity Pricing:  "&amp;TEXT(A7,"mmm-yy")&amp;" - "&amp;TEXT(A18,"mmm-yy")</f>
        <v>Commodity Pricing:  May-20 - Apr-21</v>
      </c>
      <c r="B1" s="60"/>
    </row>
    <row r="2" spans="1:2" ht="13.5" customHeight="1">
      <c r="A2" s="61" t="str">
        <f>WUTC_KENT_MF!A1</f>
        <v>Kent-Meridian Disposal</v>
      </c>
      <c r="B2" s="61"/>
    </row>
    <row r="3" spans="1:2" ht="13.5" customHeight="1">
      <c r="A3" s="61"/>
      <c r="B3" s="61"/>
    </row>
    <row r="4" spans="2:13" ht="12.75">
      <c r="B4" s="71"/>
      <c r="C4" s="63" t="s">
        <v>21</v>
      </c>
      <c r="D4" s="63" t="s">
        <v>22</v>
      </c>
      <c r="E4" s="63" t="s">
        <v>85</v>
      </c>
      <c r="F4" s="63" t="s">
        <v>50</v>
      </c>
      <c r="G4" s="63" t="s">
        <v>53</v>
      </c>
      <c r="H4" s="63" t="s">
        <v>24</v>
      </c>
      <c r="I4" s="63" t="s">
        <v>25</v>
      </c>
      <c r="J4" s="63" t="s">
        <v>26</v>
      </c>
      <c r="K4" s="63" t="s">
        <v>27</v>
      </c>
      <c r="L4" s="63" t="s">
        <v>28</v>
      </c>
      <c r="M4" s="63"/>
    </row>
    <row r="5" spans="2:13" ht="12.75">
      <c r="B5" s="71"/>
      <c r="C5" s="128">
        <v>69</v>
      </c>
      <c r="D5" s="128">
        <v>71</v>
      </c>
      <c r="E5" s="128">
        <v>72</v>
      </c>
      <c r="F5" s="128">
        <v>67</v>
      </c>
      <c r="G5" s="128">
        <v>70</v>
      </c>
      <c r="H5" s="128">
        <v>74</v>
      </c>
      <c r="I5" s="128">
        <v>68</v>
      </c>
      <c r="J5" s="128">
        <v>68</v>
      </c>
      <c r="K5" s="128">
        <v>65</v>
      </c>
      <c r="L5" s="128">
        <v>73</v>
      </c>
      <c r="M5" s="71"/>
    </row>
    <row r="6" spans="2:13" ht="12.75">
      <c r="B6" s="71"/>
      <c r="C6" s="71"/>
      <c r="D6" s="71"/>
      <c r="E6" s="71"/>
      <c r="F6" s="71"/>
      <c r="G6" s="71"/>
      <c r="H6" s="71"/>
      <c r="I6" s="71"/>
      <c r="J6" s="71"/>
      <c r="K6" s="71"/>
      <c r="L6" s="71"/>
      <c r="M6" s="71"/>
    </row>
    <row r="7" spans="1:13" ht="12.75">
      <c r="A7" s="66">
        <f>+'Commodity Tonnages'!A7</f>
        <v>43982</v>
      </c>
      <c r="B7" s="71"/>
      <c r="C7" s="72">
        <f>HLOOKUP($A7,Multi_Family!$C$6:$N$79,C$5,FALSE)</f>
        <v>628.576</v>
      </c>
      <c r="D7" s="76">
        <f>HLOOKUP($A7,Multi_Family!$C$6:$N$79,D$5,FALSE)</f>
        <v>-0.6</v>
      </c>
      <c r="E7" s="76">
        <f>HLOOKUP($A7,Multi_Family!$C$6:$N$79,E$5,FALSE)</f>
        <v>0</v>
      </c>
      <c r="F7" s="72">
        <f>HLOOKUP($A7,Multi_Family!$C$6:$N$79,F$5,FALSE)</f>
        <v>62.992</v>
      </c>
      <c r="G7" s="72">
        <f>HLOOKUP($A7,Multi_Family!$C$6:$N$79,G$5,FALSE)</f>
        <v>36.112</v>
      </c>
      <c r="H7" s="72">
        <f>HLOOKUP($A7,Multi_Family!$C$6:$N$79,H$5,FALSE)</f>
        <v>11.344000000000001</v>
      </c>
      <c r="I7" s="72">
        <f>HLOOKUP($A7,Multi_Family!$C$6:$N$79,I$5,FALSE)</f>
        <v>48.87222780569515</v>
      </c>
      <c r="J7" s="72">
        <f>HLOOKUP($A7,Multi_Family!$C$6:$N$79,J$5,FALSE)</f>
        <v>48.87222780569515</v>
      </c>
      <c r="K7" s="72">
        <f>HLOOKUP($A7,Multi_Family!$C$6:$N$79,K$5,FALSE)</f>
        <v>93.74400000000001</v>
      </c>
      <c r="L7" s="76">
        <f>HLOOKUP($A7,Multi_Family!$C$6:$N$79,L$5,FALSE)</f>
        <v>-148.79</v>
      </c>
      <c r="M7" s="71"/>
    </row>
    <row r="8" spans="1:13" ht="12.75">
      <c r="A8" s="66">
        <f>+'Commodity Tonnages'!A8</f>
        <v>44012</v>
      </c>
      <c r="B8" s="71"/>
      <c r="C8" s="72">
        <f>HLOOKUP($A8,Multi_Family!$C$6:$N$79,C$5,FALSE)</f>
        <v>647.64</v>
      </c>
      <c r="D8" s="76">
        <f>HLOOKUP($A8,Multi_Family!$C$6:$N$79,D$5,FALSE)</f>
        <v>-2.99</v>
      </c>
      <c r="E8" s="76">
        <f>HLOOKUP($A8,Multi_Family!$C$6:$N$79,E$5,FALSE)</f>
        <v>0</v>
      </c>
      <c r="F8" s="72">
        <f>HLOOKUP($A8,Multi_Family!$C$6:$N$79,F$5,FALSE)</f>
        <v>67.392</v>
      </c>
      <c r="G8" s="72">
        <f>HLOOKUP($A8,Multi_Family!$C$6:$N$79,G$5,FALSE)</f>
        <v>38.52</v>
      </c>
      <c r="H8" s="72">
        <f>HLOOKUP($A8,Multi_Family!$C$6:$N$79,H$5,FALSE)</f>
        <v>8.28</v>
      </c>
      <c r="I8" s="72">
        <f>HLOOKUP($A8,Multi_Family!$C$6:$N$79,I$5,FALSE)</f>
        <v>40.44757788944723</v>
      </c>
      <c r="J8" s="72">
        <f>HLOOKUP($A8,Multi_Family!$C$6:$N$79,J$5,FALSE)</f>
        <v>40.44757788944723</v>
      </c>
      <c r="K8" s="72">
        <f>HLOOKUP($A8,Multi_Family!$C$6:$N$79,K$5,FALSE)</f>
        <v>66</v>
      </c>
      <c r="L8" s="76">
        <f>HLOOKUP($A8,Multi_Family!$C$6:$N$79,L$5,FALSE)</f>
        <v>-145.38</v>
      </c>
      <c r="M8" s="71"/>
    </row>
    <row r="9" spans="1:13" ht="12.75">
      <c r="A9" s="66">
        <f>+'Commodity Tonnages'!A9</f>
        <v>44043</v>
      </c>
      <c r="B9" s="67"/>
      <c r="C9" s="72">
        <f>HLOOKUP($A9,Multi_Family!$C$6:$N$79,C$5,FALSE)</f>
        <v>640.5520000000001</v>
      </c>
      <c r="D9" s="76">
        <f>HLOOKUP($A9,Multi_Family!$C$6:$N$79,D$5,FALSE)</f>
        <v>-11.89</v>
      </c>
      <c r="E9" s="76">
        <f>HLOOKUP($A9,Multi_Family!$C$6:$N$79,E$5,FALSE)</f>
        <v>0</v>
      </c>
      <c r="F9" s="72">
        <f>HLOOKUP($A9,Multi_Family!$C$6:$N$79,F$5,FALSE)</f>
        <v>65.392</v>
      </c>
      <c r="G9" s="72">
        <f>HLOOKUP($A9,Multi_Family!$C$6:$N$79,G$5,FALSE)</f>
        <v>35.304</v>
      </c>
      <c r="H9" s="72">
        <f>HLOOKUP($A9,Multi_Family!$C$6:$N$79,H$5,FALSE)</f>
        <v>4.4159999999999995</v>
      </c>
      <c r="I9" s="72">
        <f>HLOOKUP($A9,Multi_Family!$C$6:$N$79,I$5,FALSE)</f>
        <v>35.967403685092115</v>
      </c>
      <c r="J9" s="72">
        <f>HLOOKUP($A9,Multi_Family!$C$6:$N$79,J$5,FALSE)</f>
        <v>35.967403685092115</v>
      </c>
      <c r="K9" s="72">
        <f>HLOOKUP($A9,Multi_Family!$C$6:$N$79,K$5,FALSE)</f>
        <v>60.455999999999996</v>
      </c>
      <c r="L9" s="76">
        <f>HLOOKUP($A9,Multi_Family!$C$6:$N$79,L$5,FALSE)</f>
        <v>-145.38</v>
      </c>
      <c r="M9" s="68"/>
    </row>
    <row r="10" spans="1:13" ht="12.75">
      <c r="A10" s="66">
        <f>+'Commodity Tonnages'!A10</f>
        <v>44074</v>
      </c>
      <c r="B10" s="67"/>
      <c r="C10" s="72">
        <f>HLOOKUP($A10,Multi_Family!$C$6:$N$79,C$5,FALSE)</f>
        <v>714.288</v>
      </c>
      <c r="D10" s="76">
        <f>HLOOKUP($A10,Multi_Family!$C$6:$N$79,D$5,FALSE)</f>
        <v>-17.82</v>
      </c>
      <c r="E10" s="76">
        <f>HLOOKUP($A10,Multi_Family!$C$6:$N$79,E$5,FALSE)</f>
        <v>0</v>
      </c>
      <c r="F10" s="72">
        <f>HLOOKUP($A10,Multi_Family!$C$6:$N$79,F$5,FALSE)</f>
        <v>69.128</v>
      </c>
      <c r="G10" s="72">
        <f>HLOOKUP($A10,Multi_Family!$C$6:$N$79,G$5,FALSE)</f>
        <v>42.008</v>
      </c>
      <c r="H10" s="72">
        <f>HLOOKUP($A10,Multi_Family!$C$6:$N$79,H$5,FALSE)</f>
        <v>6.816</v>
      </c>
      <c r="I10" s="72">
        <f>HLOOKUP($A10,Multi_Family!$C$6:$N$79,I$5,FALSE)</f>
        <v>40.82835510887773</v>
      </c>
      <c r="J10" s="72">
        <f>HLOOKUP($A10,Multi_Family!$C$6:$N$79,J$5,FALSE)</f>
        <v>40.82835510887773</v>
      </c>
      <c r="K10" s="72">
        <f>HLOOKUP($A10,Multi_Family!$C$6:$N$79,K$5,FALSE)</f>
        <v>67.616</v>
      </c>
      <c r="L10" s="76">
        <f>HLOOKUP($A10,Multi_Family!$C$6:$N$79,L$5,FALSE)</f>
        <v>-143.68</v>
      </c>
      <c r="M10" s="68"/>
    </row>
    <row r="11" spans="1:13" ht="12.75">
      <c r="A11" s="66">
        <f>+'Commodity Tonnages'!A11</f>
        <v>44104</v>
      </c>
      <c r="B11" s="67"/>
      <c r="C11" s="72">
        <f>HLOOKUP($A11,Multi_Family!$C$6:$N$79,C$5,FALSE)</f>
        <v>707.808</v>
      </c>
      <c r="D11" s="76">
        <f>HLOOKUP($A11,Multi_Family!$C$6:$N$79,D$5,FALSE)</f>
        <v>-15.43</v>
      </c>
      <c r="E11" s="76">
        <f>HLOOKUP($A11,Multi_Family!$C$6:$N$79,E$5,FALSE)</f>
        <v>0</v>
      </c>
      <c r="F11" s="72">
        <f>HLOOKUP($A11,Multi_Family!$C$6:$N$79,F$5,FALSE)</f>
        <v>83.048</v>
      </c>
      <c r="G11" s="72">
        <f>HLOOKUP($A11,Multi_Family!$C$6:$N$79,G$5,FALSE)</f>
        <v>51.048</v>
      </c>
      <c r="H11" s="72">
        <f>HLOOKUP($A11,Multi_Family!$C$6:$N$79,H$5,FALSE)</f>
        <v>17.376</v>
      </c>
      <c r="I11" s="72">
        <f>HLOOKUP($A11,Multi_Family!$C$6:$N$79,I$5,FALSE)</f>
        <v>47.412911222780565</v>
      </c>
      <c r="J11" s="72">
        <f>HLOOKUP($A11,Multi_Family!$C$6:$N$79,J$5,FALSE)</f>
        <v>47.412911222780565</v>
      </c>
      <c r="K11" s="72">
        <f>HLOOKUP($A11,Multi_Family!$C$6:$N$79,K$5,FALSE)</f>
        <v>72.424</v>
      </c>
      <c r="L11" s="76">
        <f>HLOOKUP($A11,Multi_Family!$C$6:$N$79,L$5,FALSE)</f>
        <v>-138.17</v>
      </c>
      <c r="M11" s="68"/>
    </row>
    <row r="12" spans="1:13" ht="12.75">
      <c r="A12" s="66">
        <f>+'Commodity Tonnages'!A12</f>
        <v>44135</v>
      </c>
      <c r="B12" s="67"/>
      <c r="C12" s="72">
        <f>HLOOKUP($A12,Multi_Family!$C$6:$N$79,C$5,FALSE)</f>
        <v>731.7840000000001</v>
      </c>
      <c r="D12" s="76">
        <f>HLOOKUP($A12,Multi_Family!$C$6:$N$79,D$5,FALSE)</f>
        <v>-44.21</v>
      </c>
      <c r="E12" s="76">
        <f>HLOOKUP($A12,Multi_Family!$C$6:$N$79,E$5,FALSE)</f>
        <v>0</v>
      </c>
      <c r="F12" s="72">
        <f>HLOOKUP($A12,Multi_Family!$C$6:$N$79,F$5,FALSE)</f>
        <v>81.96000000000001</v>
      </c>
      <c r="G12" s="72">
        <f>HLOOKUP($A12,Multi_Family!$C$6:$N$79,G$5,FALSE)</f>
        <v>47.248000000000005</v>
      </c>
      <c r="H12" s="72">
        <f>HLOOKUP($A12,Multi_Family!$C$6:$N$79,H$5,FALSE)</f>
        <v>17.48</v>
      </c>
      <c r="I12" s="72">
        <f>HLOOKUP($A12,Multi_Family!$C$6:$N$79,I$5,FALSE)</f>
        <v>52.226123953098835</v>
      </c>
      <c r="J12" s="72">
        <f>HLOOKUP($A12,Multi_Family!$C$6:$N$79,J$5,FALSE)</f>
        <v>52.226123953098835</v>
      </c>
      <c r="K12" s="72">
        <f>HLOOKUP($A12,Multi_Family!$C$6:$N$79,K$5,FALSE)</f>
        <v>70.056</v>
      </c>
      <c r="L12" s="76">
        <f>HLOOKUP($A12,Multi_Family!$C$6:$N$79,L$5,FALSE)</f>
        <v>-157.08</v>
      </c>
      <c r="M12" s="68"/>
    </row>
    <row r="13" spans="1:13" ht="12.75">
      <c r="A13" s="66">
        <f>+'Commodity Tonnages'!A13</f>
        <v>44165</v>
      </c>
      <c r="B13" s="67"/>
      <c r="C13" s="72">
        <f>HLOOKUP($A13,Multi_Family!$C$6:$N$79,C$5,FALSE)</f>
        <v>823.7360000000001</v>
      </c>
      <c r="D13" s="76">
        <f>HLOOKUP($A13,Multi_Family!$C$6:$N$79,D$5,FALSE)</f>
        <v>-37.56</v>
      </c>
      <c r="E13" s="76">
        <f>HLOOKUP($A13,Multi_Family!$C$6:$N$79,E$5,FALSE)</f>
        <v>0</v>
      </c>
      <c r="F13" s="72">
        <f>HLOOKUP($A13,Multi_Family!$C$6:$N$79,F$5,FALSE)</f>
        <v>91.89600000000002</v>
      </c>
      <c r="G13" s="72">
        <f>HLOOKUP($A13,Multi_Family!$C$6:$N$79,G$5,FALSE)</f>
        <v>60.304</v>
      </c>
      <c r="H13" s="72">
        <f>HLOOKUP($A13,Multi_Family!$C$6:$N$79,H$5,FALSE)</f>
        <v>18.976</v>
      </c>
      <c r="I13" s="72">
        <f>HLOOKUP($A13,Multi_Family!$C$6:$N$79,I$5,FALSE)</f>
        <v>73.98133333333332</v>
      </c>
      <c r="J13" s="72">
        <f>HLOOKUP($A13,Multi_Family!$C$6:$N$79,J$5,FALSE)</f>
        <v>73.98133333333332</v>
      </c>
      <c r="K13" s="72">
        <f>HLOOKUP($A13,Multi_Family!$C$6:$N$79,K$5,FALSE)</f>
        <v>77.656</v>
      </c>
      <c r="L13" s="76">
        <f>HLOOKUP($A13,Multi_Family!$C$6:$N$79,L$5,FALSE)</f>
        <v>-158.25</v>
      </c>
      <c r="M13" s="68"/>
    </row>
    <row r="14" spans="1:13" ht="12.75">
      <c r="A14" s="66">
        <f>+'Commodity Tonnages'!A14</f>
        <v>44196</v>
      </c>
      <c r="B14" s="67"/>
      <c r="C14" s="72">
        <f>HLOOKUP($A14,Multi_Family!$C$6:$N$79,C$5,FALSE)</f>
        <v>900.7520000000001</v>
      </c>
      <c r="D14" s="76">
        <f>HLOOKUP($A14,Multi_Family!$C$6:$N$79,D$5,FALSE)</f>
        <v>-28.35</v>
      </c>
      <c r="E14" s="76">
        <f>HLOOKUP($A14,Multi_Family!$C$6:$N$79,E$5,FALSE)</f>
        <v>0</v>
      </c>
      <c r="F14" s="72">
        <f>HLOOKUP($A14,Multi_Family!$C$6:$N$79,F$5,FALSE)</f>
        <v>126.336</v>
      </c>
      <c r="G14" s="72">
        <f>HLOOKUP($A14,Multi_Family!$C$6:$N$79,G$5,FALSE)</f>
        <v>82.304</v>
      </c>
      <c r="H14" s="72">
        <f>HLOOKUP($A14,Multi_Family!$C$6:$N$79,H$5,FALSE)</f>
        <v>21.6</v>
      </c>
      <c r="I14" s="72">
        <f>HLOOKUP($A14,Multi_Family!$C$6:$N$79,I$5,FALSE)</f>
        <v>81.63044556113901</v>
      </c>
      <c r="J14" s="72">
        <f>HLOOKUP($A14,Multi_Family!$C$6:$N$79,J$5,FALSE)</f>
        <v>81.63044556113901</v>
      </c>
      <c r="K14" s="72">
        <f>HLOOKUP($A14,Multi_Family!$C$6:$N$79,K$5,FALSE)</f>
        <v>100.176</v>
      </c>
      <c r="L14" s="76">
        <f>HLOOKUP($A14,Multi_Family!$C$6:$N$79,L$5,FALSE)</f>
        <v>-157.86</v>
      </c>
      <c r="M14" s="68"/>
    </row>
    <row r="15" spans="1:13" ht="12.75">
      <c r="A15" s="66">
        <f>+'Commodity Tonnages'!A15</f>
        <v>44227</v>
      </c>
      <c r="B15" s="67"/>
      <c r="C15" s="72">
        <f>HLOOKUP($A15,Multi_Family!$C$6:$N$79,C$5,FALSE)</f>
        <v>886.176</v>
      </c>
      <c r="D15" s="76">
        <f>HLOOKUP($A15,Multi_Family!$C$6:$N$79,D$5,FALSE)</f>
        <v>-47.34</v>
      </c>
      <c r="E15" s="76">
        <f>HLOOKUP($A15,Multi_Family!$C$6:$N$79,E$5,FALSE)</f>
        <v>0</v>
      </c>
      <c r="F15" s="72">
        <f>HLOOKUP($A15,Multi_Family!$C$6:$N$79,F$5,FALSE)</f>
        <v>164.872</v>
      </c>
      <c r="G15" s="72">
        <f>HLOOKUP($A15,Multi_Family!$C$6:$N$79,G$5,FALSE)</f>
        <v>123.608</v>
      </c>
      <c r="H15" s="72">
        <f>HLOOKUP($A15,Multi_Family!$C$6:$N$79,H$5,FALSE)</f>
        <v>11.744</v>
      </c>
      <c r="I15" s="72">
        <f>HLOOKUP($A15,Multi_Family!$C$6:$N$79,I$5,FALSE)</f>
        <v>139.07995530726257</v>
      </c>
      <c r="J15" s="72">
        <f>HLOOKUP($A15,Multi_Family!$C$6:$N$79,J$5,FALSE)</f>
        <v>139.07995530726257</v>
      </c>
      <c r="K15" s="72">
        <f>HLOOKUP($A15,Multi_Family!$C$6:$N$79,K$5,FALSE)</f>
        <v>97.024</v>
      </c>
      <c r="L15" s="76">
        <f>HLOOKUP($A15,Multi_Family!$C$6:$N$79,L$5,FALSE)</f>
        <v>-156.08</v>
      </c>
      <c r="M15" s="68"/>
    </row>
    <row r="16" spans="1:13" ht="12.75">
      <c r="A16" s="66">
        <f>+'Commodity Tonnages'!A16</f>
        <v>44255</v>
      </c>
      <c r="B16" s="67"/>
      <c r="C16" s="72">
        <f>HLOOKUP($A16,Multi_Family!$C$6:$N$79,C$5,FALSE)</f>
        <v>936.9920000000001</v>
      </c>
      <c r="D16" s="76">
        <f>HLOOKUP($A16,Multi_Family!$C$6:$N$79,D$5,FALSE)</f>
        <v>-36.74</v>
      </c>
      <c r="E16" s="76">
        <f>HLOOKUP($A16,Multi_Family!$C$6:$N$79,E$5,FALSE)</f>
        <v>0</v>
      </c>
      <c r="F16" s="72">
        <f>HLOOKUP($A16,Multi_Family!$C$6:$N$79,F$5,FALSE)</f>
        <v>134.12</v>
      </c>
      <c r="G16" s="72">
        <f>HLOOKUP($A16,Multi_Family!$C$6:$N$79,G$5,FALSE)</f>
        <v>93.80000000000001</v>
      </c>
      <c r="H16" s="72">
        <f>HLOOKUP($A16,Multi_Family!$C$6:$N$79,H$5,FALSE)</f>
        <v>5.808</v>
      </c>
      <c r="I16" s="72">
        <f>HLOOKUP($A16,Multi_Family!$C$6:$N$79,I$5,FALSE)</f>
        <v>108.62806703910617</v>
      </c>
      <c r="J16" s="72">
        <f>HLOOKUP($A16,Multi_Family!$C$6:$N$79,J$5,FALSE)</f>
        <v>108.62806703910617</v>
      </c>
      <c r="K16" s="72">
        <f>HLOOKUP($A16,Multi_Family!$C$6:$N$79,K$5,FALSE)</f>
        <v>98.904</v>
      </c>
      <c r="L16" s="76">
        <f>HLOOKUP($A16,Multi_Family!$C$6:$N$79,L$5,FALSE)</f>
        <v>-158.08</v>
      </c>
      <c r="M16" s="68"/>
    </row>
    <row r="17" spans="1:13" ht="12.75">
      <c r="A17" s="66">
        <f>+'Commodity Tonnages'!A17</f>
        <v>44286</v>
      </c>
      <c r="B17" s="67"/>
      <c r="C17" s="72">
        <f>HLOOKUP($A17,Multi_Family!$C$6:$N$79,C$5,FALSE)</f>
        <v>992.5200000000001</v>
      </c>
      <c r="D17" s="76">
        <f>HLOOKUP($A17,Multi_Family!$C$6:$N$79,D$5,FALSE)</f>
        <v>-14.99</v>
      </c>
      <c r="E17" s="76">
        <f>HLOOKUP($A17,Multi_Family!$C$6:$N$79,E$5,FALSE)</f>
        <v>0</v>
      </c>
      <c r="F17" s="72">
        <f>HLOOKUP($A17,Multi_Family!$C$6:$N$79,F$5,FALSE)</f>
        <v>168.68800000000002</v>
      </c>
      <c r="G17" s="72">
        <f>HLOOKUP($A17,Multi_Family!$C$6:$N$79,G$5,FALSE)</f>
        <v>127.28800000000001</v>
      </c>
      <c r="H17" s="72">
        <f>HLOOKUP($A17,Multi_Family!$C$6:$N$79,H$5,FALSE)</f>
        <v>26.688000000000002</v>
      </c>
      <c r="I17" s="72">
        <f>HLOOKUP($A17,Multi_Family!$C$6:$N$79,I$5,FALSE)</f>
        <v>193.73948603351957</v>
      </c>
      <c r="J17" s="72">
        <f>HLOOKUP($A17,Multi_Family!$C$6:$N$79,J$5,FALSE)</f>
        <v>193.73948603351957</v>
      </c>
      <c r="K17" s="72">
        <f>HLOOKUP($A17,Multi_Family!$C$6:$N$79,K$5,FALSE)</f>
        <v>103.26400000000001</v>
      </c>
      <c r="L17" s="76">
        <f>HLOOKUP($A17,Multi_Family!$C$6:$N$79,L$5,FALSE)</f>
        <v>-161.64</v>
      </c>
      <c r="M17" s="68"/>
    </row>
    <row r="18" spans="1:13" ht="12.75">
      <c r="A18" s="66">
        <f>+'Commodity Tonnages'!A18</f>
        <v>44316</v>
      </c>
      <c r="B18" s="67"/>
      <c r="C18" s="72">
        <f>HLOOKUP($A18,Multi_Family!$C$6:$N$79,C$5,FALSE)</f>
        <v>1134.7920000000001</v>
      </c>
      <c r="D18" s="76">
        <f>HLOOKUP($A18,Multi_Family!$C$6:$N$79,D$5,FALSE)</f>
        <v>-30.49</v>
      </c>
      <c r="E18" s="76">
        <f>HLOOKUP($A18,Multi_Family!$C$6:$N$79,E$5,FALSE)</f>
        <v>0</v>
      </c>
      <c r="F18" s="72">
        <f>HLOOKUP($A18,Multi_Family!$C$6:$N$79,F$5,FALSE)</f>
        <v>159.592</v>
      </c>
      <c r="G18" s="72">
        <f>HLOOKUP($A18,Multi_Family!$C$6:$N$79,G$5,FALSE)</f>
        <v>122.96</v>
      </c>
      <c r="H18" s="72">
        <f>HLOOKUP($A18,Multi_Family!$C$6:$N$79,H$5,FALSE)</f>
        <v>36.88</v>
      </c>
      <c r="I18" s="72">
        <f>HLOOKUP($A18,Multi_Family!$C$6:$N$79,I$5,FALSE)</f>
        <v>269.66091620111735</v>
      </c>
      <c r="J18" s="72">
        <f>HLOOKUP($A18,Multi_Family!$C$6:$N$79,J$5,FALSE)</f>
        <v>269.66091620111735</v>
      </c>
      <c r="K18" s="72">
        <f>HLOOKUP($A18,Multi_Family!$C$6:$N$79,K$5,FALSE)</f>
        <v>118.68800000000002</v>
      </c>
      <c r="L18" s="76">
        <f>HLOOKUP($A18,Multi_Family!$C$6:$N$79,L$5,FALSE)</f>
        <v>-155.82</v>
      </c>
      <c r="M18" s="68"/>
    </row>
    <row r="19" spans="1:13" ht="12.75">
      <c r="A19" s="67"/>
      <c r="B19" s="67"/>
      <c r="C19" s="68"/>
      <c r="D19" s="68"/>
      <c r="E19" s="68"/>
      <c r="F19" s="68"/>
      <c r="G19" s="68"/>
      <c r="H19" s="68"/>
      <c r="I19" s="68"/>
      <c r="J19" s="68"/>
      <c r="K19" s="68"/>
      <c r="L19" s="67"/>
      <c r="M19" s="68"/>
    </row>
    <row r="20" spans="1:14" ht="12.75">
      <c r="A20" s="70"/>
      <c r="B20" s="67"/>
      <c r="C20" s="68"/>
      <c r="D20" s="68"/>
      <c r="E20" s="68"/>
      <c r="F20" s="68"/>
      <c r="G20" s="68"/>
      <c r="H20" s="68"/>
      <c r="I20" s="68"/>
      <c r="J20" s="68"/>
      <c r="K20" s="68"/>
      <c r="L20" s="68"/>
      <c r="M20" s="68"/>
      <c r="N20" s="68" t="s">
        <v>30</v>
      </c>
    </row>
    <row r="21" spans="1:13" ht="12.75">
      <c r="A21" s="67"/>
      <c r="B21" s="67"/>
      <c r="C21" s="67"/>
      <c r="D21" s="67"/>
      <c r="E21" s="67"/>
      <c r="F21" s="67"/>
      <c r="G21" s="67"/>
      <c r="H21" s="67"/>
      <c r="I21" s="67"/>
      <c r="J21" s="67"/>
      <c r="K21" s="67"/>
      <c r="L21" s="67"/>
      <c r="M21" s="68"/>
    </row>
    <row r="22" spans="1:13" ht="12.75">
      <c r="A22" s="67"/>
      <c r="B22" s="67"/>
      <c r="C22" s="67"/>
      <c r="D22" s="67"/>
      <c r="E22" s="67"/>
      <c r="F22" s="67"/>
      <c r="G22" s="67"/>
      <c r="H22" s="67"/>
      <c r="I22" s="67"/>
      <c r="J22" s="67"/>
      <c r="K22" s="67"/>
      <c r="L22" s="67"/>
      <c r="M22" s="68"/>
    </row>
    <row r="23" spans="1:13" ht="12.75">
      <c r="A23" s="67"/>
      <c r="B23" s="67"/>
      <c r="C23" s="67"/>
      <c r="D23" s="67"/>
      <c r="E23" s="67"/>
      <c r="F23" s="67"/>
      <c r="G23" s="67"/>
      <c r="H23" s="67"/>
      <c r="I23" s="67"/>
      <c r="J23" s="67"/>
      <c r="K23" s="67"/>
      <c r="L23" s="67"/>
      <c r="M23" s="68"/>
    </row>
    <row r="24" spans="1:13" ht="12.75">
      <c r="A24" s="67"/>
      <c r="B24" s="67"/>
      <c r="C24" s="67"/>
      <c r="D24" s="67"/>
      <c r="E24" s="67"/>
      <c r="F24" s="67"/>
      <c r="G24" s="67"/>
      <c r="H24" s="67"/>
      <c r="I24" s="67"/>
      <c r="J24" s="67"/>
      <c r="K24" s="67"/>
      <c r="L24" s="67"/>
      <c r="M24" s="68"/>
    </row>
    <row r="25" spans="1:13" ht="12.75">
      <c r="A25" s="67"/>
      <c r="B25" s="67"/>
      <c r="C25" s="67"/>
      <c r="D25" s="67"/>
      <c r="E25" s="67"/>
      <c r="F25" s="67"/>
      <c r="G25" s="67"/>
      <c r="H25" s="67"/>
      <c r="I25" s="67"/>
      <c r="J25" s="67"/>
      <c r="K25" s="67"/>
      <c r="L25" s="67"/>
      <c r="M25" s="68"/>
    </row>
    <row r="26" spans="1:13" ht="12.75">
      <c r="A26" s="67"/>
      <c r="B26" s="67"/>
      <c r="C26" s="67"/>
      <c r="D26" s="67"/>
      <c r="E26" s="67"/>
      <c r="F26" s="67"/>
      <c r="G26" s="67"/>
      <c r="H26" s="67"/>
      <c r="I26" s="67"/>
      <c r="J26" s="67"/>
      <c r="K26" s="67"/>
      <c r="L26" s="67"/>
      <c r="M26" s="68"/>
    </row>
    <row r="27" spans="1:13" ht="12.75">
      <c r="A27" s="67"/>
      <c r="B27" s="67"/>
      <c r="C27" s="67"/>
      <c r="D27" s="67"/>
      <c r="E27" s="67"/>
      <c r="F27" s="67"/>
      <c r="G27" s="67"/>
      <c r="H27" s="67"/>
      <c r="I27" s="67"/>
      <c r="J27" s="67"/>
      <c r="K27" s="67"/>
      <c r="L27" s="67"/>
      <c r="M27" s="68"/>
    </row>
    <row r="28" spans="1:13" ht="12.75">
      <c r="A28" s="67"/>
      <c r="B28" s="67"/>
      <c r="C28" s="67"/>
      <c r="D28" s="67"/>
      <c r="E28" s="67"/>
      <c r="F28" s="67"/>
      <c r="G28" s="67"/>
      <c r="H28" s="67"/>
      <c r="I28" s="67"/>
      <c r="J28" s="67"/>
      <c r="K28" s="67"/>
      <c r="L28" s="67"/>
      <c r="M28" s="68"/>
    </row>
    <row r="29" spans="1:13" ht="12.75">
      <c r="A29" s="67"/>
      <c r="B29" s="67"/>
      <c r="C29" s="67"/>
      <c r="D29" s="67"/>
      <c r="E29" s="67"/>
      <c r="F29" s="67"/>
      <c r="G29" s="67"/>
      <c r="H29" s="67"/>
      <c r="I29" s="67"/>
      <c r="J29" s="67"/>
      <c r="K29" s="67"/>
      <c r="L29" s="67"/>
      <c r="M29" s="68"/>
    </row>
    <row r="30" spans="1:13" ht="12.75">
      <c r="A30" s="67"/>
      <c r="B30" s="67"/>
      <c r="C30" s="67"/>
      <c r="D30" s="67"/>
      <c r="E30" s="67"/>
      <c r="F30" s="67"/>
      <c r="G30" s="67"/>
      <c r="H30" s="67"/>
      <c r="I30" s="67"/>
      <c r="J30" s="67"/>
      <c r="K30" s="67"/>
      <c r="L30" s="67"/>
      <c r="M30" s="68"/>
    </row>
    <row r="31" spans="1:13" ht="12.75">
      <c r="A31" s="67"/>
      <c r="B31" s="67"/>
      <c r="C31" s="67"/>
      <c r="D31" s="67"/>
      <c r="E31" s="67"/>
      <c r="F31" s="67"/>
      <c r="G31" s="67"/>
      <c r="H31" s="67"/>
      <c r="I31" s="67"/>
      <c r="J31" s="67"/>
      <c r="K31" s="67"/>
      <c r="L31" s="67"/>
      <c r="M31" s="67"/>
    </row>
    <row r="32" spans="1:13" ht="12.75">
      <c r="A32" s="67"/>
      <c r="B32" s="67"/>
      <c r="C32" s="67"/>
      <c r="D32" s="67"/>
      <c r="E32" s="67"/>
      <c r="F32" s="67"/>
      <c r="G32" s="67"/>
      <c r="H32" s="67"/>
      <c r="I32" s="67"/>
      <c r="J32" s="67"/>
      <c r="K32" s="67"/>
      <c r="L32" s="67"/>
      <c r="M32" s="67"/>
    </row>
    <row r="33" spans="1:13" ht="12.75">
      <c r="A33" s="67"/>
      <c r="B33" s="67"/>
      <c r="C33" s="67"/>
      <c r="D33" s="67"/>
      <c r="E33" s="67"/>
      <c r="F33" s="67"/>
      <c r="G33" s="67"/>
      <c r="H33" s="67"/>
      <c r="I33" s="67"/>
      <c r="J33" s="67"/>
      <c r="K33" s="67"/>
      <c r="L33" s="67"/>
      <c r="M33" s="67"/>
    </row>
    <row r="34" spans="1:13" ht="12.75">
      <c r="A34" s="67"/>
      <c r="B34" s="67"/>
      <c r="C34" s="67"/>
      <c r="D34" s="67"/>
      <c r="E34" s="67"/>
      <c r="F34" s="67"/>
      <c r="G34" s="67"/>
      <c r="H34" s="67"/>
      <c r="I34" s="67"/>
      <c r="J34" s="67"/>
      <c r="K34" s="67"/>
      <c r="L34" s="67"/>
      <c r="M34" s="67"/>
    </row>
    <row r="35" spans="1:13" ht="12.75">
      <c r="A35" s="67"/>
      <c r="B35" s="67"/>
      <c r="C35" s="67"/>
      <c r="D35" s="67"/>
      <c r="E35" s="67"/>
      <c r="F35" s="67"/>
      <c r="G35" s="67"/>
      <c r="H35" s="67"/>
      <c r="I35" s="67"/>
      <c r="J35" s="67"/>
      <c r="K35" s="67"/>
      <c r="L35" s="67"/>
      <c r="M35" s="67"/>
    </row>
    <row r="36" spans="1:13" ht="12.75">
      <c r="A36" s="67"/>
      <c r="B36" s="67"/>
      <c r="C36" s="67"/>
      <c r="D36" s="67"/>
      <c r="E36" s="67"/>
      <c r="F36" s="67"/>
      <c r="G36" s="67"/>
      <c r="H36" s="67"/>
      <c r="I36" s="67"/>
      <c r="J36" s="67"/>
      <c r="K36" s="67"/>
      <c r="L36" s="67"/>
      <c r="M36" s="67"/>
    </row>
    <row r="37" spans="1:13" ht="12.75">
      <c r="A37" s="67"/>
      <c r="B37" s="67"/>
      <c r="C37" s="67"/>
      <c r="D37" s="67"/>
      <c r="E37" s="67"/>
      <c r="F37" s="67"/>
      <c r="G37" s="67"/>
      <c r="H37" s="67"/>
      <c r="I37" s="67"/>
      <c r="J37" s="67"/>
      <c r="K37" s="67"/>
      <c r="L37" s="67"/>
      <c r="M37" s="67"/>
    </row>
    <row r="38" spans="1:13" ht="12.75">
      <c r="A38" s="67"/>
      <c r="B38" s="67"/>
      <c r="C38" s="67"/>
      <c r="D38" s="67"/>
      <c r="E38" s="67"/>
      <c r="F38" s="67"/>
      <c r="G38" s="67"/>
      <c r="H38" s="67"/>
      <c r="I38" s="67"/>
      <c r="J38" s="67"/>
      <c r="K38" s="67"/>
      <c r="L38" s="67"/>
      <c r="M38" s="67"/>
    </row>
    <row r="39" spans="1:13" ht="12.75">
      <c r="A39" s="67"/>
      <c r="B39" s="67"/>
      <c r="C39" s="67"/>
      <c r="D39" s="67"/>
      <c r="E39" s="67"/>
      <c r="F39" s="67"/>
      <c r="G39" s="67"/>
      <c r="H39" s="67"/>
      <c r="I39" s="67"/>
      <c r="J39" s="67"/>
      <c r="K39" s="67"/>
      <c r="L39" s="67"/>
      <c r="M39" s="67"/>
    </row>
    <row r="40" spans="1:13" ht="12.75">
      <c r="A40" s="67"/>
      <c r="B40" s="67"/>
      <c r="C40" s="67"/>
      <c r="D40" s="67"/>
      <c r="E40" s="67"/>
      <c r="F40" s="67"/>
      <c r="G40" s="67"/>
      <c r="H40" s="67"/>
      <c r="I40" s="67"/>
      <c r="J40" s="67"/>
      <c r="K40" s="67"/>
      <c r="L40" s="67"/>
      <c r="M40" s="67"/>
    </row>
    <row r="41" spans="1:13" ht="12.75">
      <c r="A41" s="67"/>
      <c r="B41" s="67"/>
      <c r="C41" s="67"/>
      <c r="D41" s="67"/>
      <c r="E41" s="67"/>
      <c r="F41" s="67"/>
      <c r="G41" s="67"/>
      <c r="H41" s="67"/>
      <c r="I41" s="67"/>
      <c r="J41" s="67"/>
      <c r="K41" s="67"/>
      <c r="L41" s="67"/>
      <c r="M41" s="67"/>
    </row>
    <row r="42" spans="1:13" ht="12.75">
      <c r="A42" s="67"/>
      <c r="B42" s="67"/>
      <c r="C42" s="67"/>
      <c r="D42" s="67"/>
      <c r="E42" s="67"/>
      <c r="F42" s="67"/>
      <c r="G42" s="67"/>
      <c r="H42" s="67"/>
      <c r="I42" s="67"/>
      <c r="J42" s="67"/>
      <c r="K42" s="67"/>
      <c r="L42" s="67"/>
      <c r="M42" s="67"/>
    </row>
    <row r="43" spans="1:13" ht="12.75">
      <c r="A43" s="67"/>
      <c r="B43" s="67"/>
      <c r="C43" s="67"/>
      <c r="D43" s="67"/>
      <c r="E43" s="67"/>
      <c r="F43" s="67"/>
      <c r="G43" s="67"/>
      <c r="H43" s="67"/>
      <c r="I43" s="67"/>
      <c r="J43" s="67"/>
      <c r="K43" s="67"/>
      <c r="L43" s="67"/>
      <c r="M43" s="67"/>
    </row>
    <row r="44" spans="1:13" ht="12.75">
      <c r="A44" s="67"/>
      <c r="B44" s="67"/>
      <c r="C44" s="67"/>
      <c r="D44" s="67"/>
      <c r="E44" s="67"/>
      <c r="F44" s="67"/>
      <c r="G44" s="67"/>
      <c r="H44" s="67"/>
      <c r="I44" s="67"/>
      <c r="J44" s="67"/>
      <c r="K44" s="67"/>
      <c r="L44" s="67"/>
      <c r="M44" s="67"/>
    </row>
    <row r="45" spans="1:13" ht="12.75">
      <c r="A45" s="67"/>
      <c r="B45" s="67"/>
      <c r="C45" s="67"/>
      <c r="D45" s="67"/>
      <c r="E45" s="67"/>
      <c r="F45" s="67"/>
      <c r="G45" s="67"/>
      <c r="H45" s="67"/>
      <c r="I45" s="67"/>
      <c r="J45" s="67"/>
      <c r="K45" s="67"/>
      <c r="L45" s="67"/>
      <c r="M45" s="67"/>
    </row>
    <row r="46" spans="1:13" ht="12.75">
      <c r="A46" s="67"/>
      <c r="B46" s="67"/>
      <c r="C46" s="67"/>
      <c r="D46" s="67"/>
      <c r="E46" s="67"/>
      <c r="F46" s="67"/>
      <c r="G46" s="67"/>
      <c r="H46" s="67"/>
      <c r="I46" s="67"/>
      <c r="J46" s="67"/>
      <c r="K46" s="67"/>
      <c r="L46" s="67"/>
      <c r="M46" s="67"/>
    </row>
    <row r="47" spans="1:13" ht="12.75">
      <c r="A47" s="67"/>
      <c r="B47" s="67"/>
      <c r="C47" s="67"/>
      <c r="D47" s="67"/>
      <c r="E47" s="67"/>
      <c r="F47" s="67"/>
      <c r="G47" s="67"/>
      <c r="H47" s="67"/>
      <c r="I47" s="67"/>
      <c r="J47" s="67"/>
      <c r="K47" s="67"/>
      <c r="L47" s="67"/>
      <c r="M47" s="67"/>
    </row>
    <row r="48" spans="1:13" ht="12.75">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12.75">
      <c r="A50" s="67"/>
      <c r="B50" s="67"/>
      <c r="C50" s="67"/>
      <c r="D50" s="67"/>
      <c r="E50" s="67"/>
      <c r="F50" s="67"/>
      <c r="G50" s="67"/>
      <c r="H50" s="67"/>
      <c r="I50" s="67"/>
      <c r="J50" s="67"/>
      <c r="K50" s="67"/>
      <c r="L50" s="67"/>
      <c r="M50" s="67"/>
    </row>
    <row r="51" spans="1:13" ht="12.75">
      <c r="A51" s="67"/>
      <c r="B51" s="67"/>
      <c r="C51" s="67"/>
      <c r="D51" s="67"/>
      <c r="E51" s="67"/>
      <c r="F51" s="67"/>
      <c r="G51" s="67"/>
      <c r="H51" s="67"/>
      <c r="I51" s="67"/>
      <c r="J51" s="67"/>
      <c r="K51" s="67"/>
      <c r="L51" s="67"/>
      <c r="M51" s="67"/>
    </row>
    <row r="52" spans="1:13" ht="12.75">
      <c r="A52" s="67"/>
      <c r="B52" s="67"/>
      <c r="C52" s="67"/>
      <c r="D52" s="67"/>
      <c r="E52" s="67"/>
      <c r="F52" s="67"/>
      <c r="G52" s="67"/>
      <c r="H52" s="67"/>
      <c r="I52" s="67"/>
      <c r="J52" s="67"/>
      <c r="K52" s="67"/>
      <c r="L52" s="67"/>
      <c r="M52" s="67"/>
    </row>
    <row r="53" spans="1:13" ht="12.75">
      <c r="A53" s="67"/>
      <c r="B53" s="67"/>
      <c r="C53" s="67"/>
      <c r="D53" s="67"/>
      <c r="E53" s="67"/>
      <c r="F53" s="67"/>
      <c r="G53" s="67"/>
      <c r="H53" s="67"/>
      <c r="I53" s="67"/>
      <c r="J53" s="67"/>
      <c r="K53" s="67"/>
      <c r="L53" s="67"/>
      <c r="M53" s="67"/>
    </row>
    <row r="54" spans="1:13" ht="12.75">
      <c r="A54" s="67"/>
      <c r="B54" s="67"/>
      <c r="C54" s="67"/>
      <c r="D54" s="67"/>
      <c r="E54" s="67"/>
      <c r="F54" s="67"/>
      <c r="G54" s="67"/>
      <c r="H54" s="67"/>
      <c r="I54" s="67"/>
      <c r="J54" s="67"/>
      <c r="K54" s="67"/>
      <c r="L54" s="67"/>
      <c r="M54" s="67"/>
    </row>
    <row r="55" spans="1:13" ht="12.75">
      <c r="A55" s="67"/>
      <c r="B55" s="67"/>
      <c r="C55" s="67"/>
      <c r="D55" s="67"/>
      <c r="E55" s="67"/>
      <c r="F55" s="67"/>
      <c r="G55" s="67"/>
      <c r="H55" s="67"/>
      <c r="I55" s="67"/>
      <c r="J55" s="67"/>
      <c r="K55" s="67"/>
      <c r="L55" s="67"/>
      <c r="M55" s="67"/>
    </row>
    <row r="56" spans="1:13" ht="12.75">
      <c r="A56" s="67"/>
      <c r="B56" s="67"/>
      <c r="C56" s="67"/>
      <c r="D56" s="67"/>
      <c r="E56" s="67"/>
      <c r="F56" s="67"/>
      <c r="G56" s="67"/>
      <c r="H56" s="67"/>
      <c r="I56" s="67"/>
      <c r="J56" s="67"/>
      <c r="K56" s="67"/>
      <c r="L56" s="67"/>
      <c r="M56" s="67"/>
    </row>
    <row r="57" spans="1:13" ht="12.75">
      <c r="A57" s="67"/>
      <c r="B57" s="67"/>
      <c r="C57" s="67"/>
      <c r="D57" s="67"/>
      <c r="E57" s="67"/>
      <c r="F57" s="67"/>
      <c r="G57" s="67"/>
      <c r="H57" s="67"/>
      <c r="I57" s="67"/>
      <c r="J57" s="67"/>
      <c r="K57" s="67"/>
      <c r="L57" s="67"/>
      <c r="M57" s="67"/>
    </row>
    <row r="58" spans="1:13" ht="12.75">
      <c r="A58" s="67"/>
      <c r="B58" s="67"/>
      <c r="C58" s="67"/>
      <c r="D58" s="67"/>
      <c r="E58" s="67"/>
      <c r="F58" s="67"/>
      <c r="G58" s="67"/>
      <c r="H58" s="67"/>
      <c r="I58" s="67"/>
      <c r="J58" s="67"/>
      <c r="K58" s="67"/>
      <c r="L58" s="67"/>
      <c r="M58" s="67"/>
    </row>
    <row r="59" spans="1:13" ht="12.75">
      <c r="A59" s="67"/>
      <c r="B59" s="67"/>
      <c r="C59" s="67"/>
      <c r="D59" s="67"/>
      <c r="E59" s="67"/>
      <c r="F59" s="67"/>
      <c r="G59" s="67"/>
      <c r="H59" s="67"/>
      <c r="I59" s="67"/>
      <c r="J59" s="67"/>
      <c r="K59" s="67"/>
      <c r="L59" s="67"/>
      <c r="M59" s="67"/>
    </row>
    <row r="60" spans="1:13" ht="12.75">
      <c r="A60" s="67"/>
      <c r="B60" s="67"/>
      <c r="C60" s="67"/>
      <c r="D60" s="67"/>
      <c r="E60" s="67"/>
      <c r="F60" s="67"/>
      <c r="G60" s="67"/>
      <c r="H60" s="67"/>
      <c r="I60" s="67"/>
      <c r="J60" s="67"/>
      <c r="K60" s="67"/>
      <c r="L60" s="67"/>
      <c r="M60" s="67"/>
    </row>
    <row r="61" spans="1:13" ht="12.75">
      <c r="A61" s="67"/>
      <c r="B61" s="67"/>
      <c r="C61" s="67"/>
      <c r="D61" s="67"/>
      <c r="E61" s="67"/>
      <c r="F61" s="67"/>
      <c r="G61" s="67"/>
      <c r="H61" s="67"/>
      <c r="I61" s="67"/>
      <c r="J61" s="67"/>
      <c r="K61" s="67"/>
      <c r="L61" s="67"/>
      <c r="M61" s="67"/>
    </row>
    <row r="62" spans="1:13" ht="12.75">
      <c r="A62" s="67"/>
      <c r="B62" s="67"/>
      <c r="C62" s="67"/>
      <c r="D62" s="67"/>
      <c r="E62" s="67"/>
      <c r="F62" s="67"/>
      <c r="G62" s="67"/>
      <c r="H62" s="67"/>
      <c r="I62" s="67"/>
      <c r="J62" s="67"/>
      <c r="K62" s="67"/>
      <c r="L62" s="67"/>
      <c r="M62" s="67"/>
    </row>
    <row r="63" spans="1:13" ht="12.75">
      <c r="A63" s="67"/>
      <c r="B63" s="67"/>
      <c r="C63" s="67"/>
      <c r="D63" s="67"/>
      <c r="E63" s="67"/>
      <c r="F63" s="67"/>
      <c r="G63" s="67"/>
      <c r="H63" s="67"/>
      <c r="I63" s="67"/>
      <c r="J63" s="67"/>
      <c r="K63" s="67"/>
      <c r="L63" s="67"/>
      <c r="M63" s="67"/>
    </row>
    <row r="64" spans="1:13" ht="12.75">
      <c r="A64" s="67"/>
      <c r="B64" s="67"/>
      <c r="C64" s="67"/>
      <c r="D64" s="67"/>
      <c r="E64" s="67"/>
      <c r="F64" s="67"/>
      <c r="G64" s="67"/>
      <c r="H64" s="67"/>
      <c r="I64" s="67"/>
      <c r="J64" s="67"/>
      <c r="K64" s="67"/>
      <c r="L64" s="67"/>
      <c r="M64" s="67"/>
    </row>
    <row r="65" spans="1:13" ht="12.75">
      <c r="A65" s="67"/>
      <c r="B65" s="67"/>
      <c r="C65" s="67"/>
      <c r="D65" s="67"/>
      <c r="E65" s="67"/>
      <c r="F65" s="67"/>
      <c r="G65" s="67"/>
      <c r="H65" s="67"/>
      <c r="I65" s="67"/>
      <c r="J65" s="67"/>
      <c r="K65" s="67"/>
      <c r="L65" s="67"/>
      <c r="M65" s="67"/>
    </row>
    <row r="66" spans="1:13" ht="12.75">
      <c r="A66" s="67"/>
      <c r="B66" s="67"/>
      <c r="C66" s="67"/>
      <c r="D66" s="67"/>
      <c r="E66" s="67"/>
      <c r="F66" s="67"/>
      <c r="G66" s="67"/>
      <c r="H66" s="67"/>
      <c r="I66" s="67"/>
      <c r="J66" s="67"/>
      <c r="K66" s="67"/>
      <c r="L66" s="67"/>
      <c r="M66" s="67"/>
    </row>
    <row r="67" spans="1:13" ht="12.75">
      <c r="A67" s="67"/>
      <c r="B67" s="67"/>
      <c r="C67" s="67"/>
      <c r="D67" s="67"/>
      <c r="E67" s="67"/>
      <c r="F67" s="67"/>
      <c r="G67" s="67"/>
      <c r="H67" s="67"/>
      <c r="I67" s="67"/>
      <c r="J67" s="67"/>
      <c r="K67" s="67"/>
      <c r="L67" s="67"/>
      <c r="M67" s="67"/>
    </row>
    <row r="68" spans="1:13" ht="12.75">
      <c r="A68" s="67"/>
      <c r="B68" s="67"/>
      <c r="C68" s="67"/>
      <c r="D68" s="67"/>
      <c r="E68" s="67"/>
      <c r="F68" s="67"/>
      <c r="G68" s="67"/>
      <c r="H68" s="67"/>
      <c r="I68" s="67"/>
      <c r="J68" s="67"/>
      <c r="K68" s="67"/>
      <c r="L68" s="67"/>
      <c r="M68" s="67"/>
    </row>
    <row r="69" spans="1:13" ht="12.75">
      <c r="A69" s="67"/>
      <c r="B69" s="67"/>
      <c r="C69" s="67"/>
      <c r="D69" s="67"/>
      <c r="E69" s="67"/>
      <c r="F69" s="67"/>
      <c r="G69" s="67"/>
      <c r="H69" s="67"/>
      <c r="I69" s="67"/>
      <c r="J69" s="67"/>
      <c r="K69" s="67"/>
      <c r="L69" s="67"/>
      <c r="M69" s="67"/>
    </row>
    <row r="70" spans="1:13" ht="12.75">
      <c r="A70" s="67"/>
      <c r="B70" s="67"/>
      <c r="C70" s="67"/>
      <c r="D70" s="67"/>
      <c r="E70" s="67"/>
      <c r="F70" s="67"/>
      <c r="G70" s="67"/>
      <c r="H70" s="67"/>
      <c r="I70" s="67"/>
      <c r="J70" s="67"/>
      <c r="K70" s="67"/>
      <c r="L70" s="67"/>
      <c r="M70" s="67"/>
    </row>
    <row r="71" spans="1:13" ht="12.75">
      <c r="A71" s="67"/>
      <c r="B71" s="67"/>
      <c r="C71" s="67"/>
      <c r="D71" s="67"/>
      <c r="E71" s="67"/>
      <c r="F71" s="67"/>
      <c r="G71" s="67"/>
      <c r="H71" s="67"/>
      <c r="I71" s="67"/>
      <c r="J71" s="67"/>
      <c r="K71" s="67"/>
      <c r="L71" s="67"/>
      <c r="M71" s="67"/>
    </row>
    <row r="72" spans="1:13" ht="12.75">
      <c r="A72" s="67"/>
      <c r="B72" s="67"/>
      <c r="C72" s="67"/>
      <c r="D72" s="67"/>
      <c r="E72" s="67"/>
      <c r="F72" s="67"/>
      <c r="G72" s="67"/>
      <c r="H72" s="67"/>
      <c r="I72" s="67"/>
      <c r="J72" s="67"/>
      <c r="K72" s="67"/>
      <c r="L72" s="67"/>
      <c r="M72" s="67"/>
    </row>
    <row r="73" spans="1:13" ht="12.75">
      <c r="A73" s="67"/>
      <c r="B73" s="67"/>
      <c r="C73" s="67"/>
      <c r="D73" s="67"/>
      <c r="E73" s="67"/>
      <c r="F73" s="67"/>
      <c r="G73" s="67"/>
      <c r="H73" s="67"/>
      <c r="I73" s="67"/>
      <c r="J73" s="67"/>
      <c r="K73" s="67"/>
      <c r="L73" s="67"/>
      <c r="M73" s="67"/>
    </row>
    <row r="74" spans="1:13" ht="12.75">
      <c r="A74" s="67"/>
      <c r="B74" s="67"/>
      <c r="C74" s="67"/>
      <c r="D74" s="67"/>
      <c r="E74" s="67"/>
      <c r="F74" s="67"/>
      <c r="G74" s="67"/>
      <c r="H74" s="67"/>
      <c r="I74" s="67"/>
      <c r="J74" s="67"/>
      <c r="K74" s="67"/>
      <c r="L74" s="67"/>
      <c r="M74" s="67"/>
    </row>
    <row r="75" spans="1:13" ht="12.75">
      <c r="A75" s="67"/>
      <c r="B75" s="67"/>
      <c r="C75" s="67"/>
      <c r="D75" s="67"/>
      <c r="E75" s="67"/>
      <c r="F75" s="67"/>
      <c r="G75" s="67"/>
      <c r="H75" s="67"/>
      <c r="I75" s="67"/>
      <c r="J75" s="67"/>
      <c r="K75" s="67"/>
      <c r="L75" s="67"/>
      <c r="M75" s="67"/>
    </row>
    <row r="76" spans="1:13" ht="12.75">
      <c r="A76" s="67"/>
      <c r="B76" s="67"/>
      <c r="C76" s="67"/>
      <c r="D76" s="67"/>
      <c r="E76" s="67"/>
      <c r="F76" s="67"/>
      <c r="G76" s="67"/>
      <c r="H76" s="67"/>
      <c r="I76" s="67"/>
      <c r="J76" s="67"/>
      <c r="K76" s="67"/>
      <c r="L76" s="67"/>
      <c r="M76" s="67"/>
    </row>
    <row r="77" spans="1:13" ht="12.75">
      <c r="A77" s="67"/>
      <c r="B77" s="67"/>
      <c r="C77" s="67"/>
      <c r="D77" s="67"/>
      <c r="E77" s="67"/>
      <c r="F77" s="67"/>
      <c r="G77" s="67"/>
      <c r="H77" s="67"/>
      <c r="I77" s="67"/>
      <c r="J77" s="67"/>
      <c r="K77" s="67"/>
      <c r="L77" s="67"/>
      <c r="M77" s="67"/>
    </row>
    <row r="78" spans="1:13" ht="12.75">
      <c r="A78" s="67"/>
      <c r="B78" s="67"/>
      <c r="C78" s="67"/>
      <c r="D78" s="67"/>
      <c r="E78" s="67"/>
      <c r="F78" s="67"/>
      <c r="G78" s="67"/>
      <c r="H78" s="67"/>
      <c r="I78" s="67"/>
      <c r="J78" s="67"/>
      <c r="K78" s="67"/>
      <c r="L78" s="67"/>
      <c r="M78" s="67"/>
    </row>
    <row r="79" spans="1:13" ht="12.75">
      <c r="A79" s="67"/>
      <c r="B79" s="67"/>
      <c r="C79" s="67"/>
      <c r="D79" s="67"/>
      <c r="E79" s="67"/>
      <c r="F79" s="67"/>
      <c r="G79" s="67"/>
      <c r="H79" s="67"/>
      <c r="I79" s="67"/>
      <c r="J79" s="67"/>
      <c r="K79" s="67"/>
      <c r="L79" s="67"/>
      <c r="M79" s="67"/>
    </row>
    <row r="80" spans="1:13" ht="12.75">
      <c r="A80" s="67"/>
      <c r="B80" s="67"/>
      <c r="C80" s="67"/>
      <c r="D80" s="67"/>
      <c r="E80" s="67"/>
      <c r="F80" s="67"/>
      <c r="G80" s="67"/>
      <c r="H80" s="67"/>
      <c r="I80" s="67"/>
      <c r="J80" s="67"/>
      <c r="K80" s="67"/>
      <c r="L80" s="67"/>
      <c r="M80" s="67"/>
    </row>
    <row r="81" spans="1:13" ht="12.75">
      <c r="A81" s="67"/>
      <c r="B81" s="67"/>
      <c r="C81" s="67"/>
      <c r="D81" s="67"/>
      <c r="E81" s="67"/>
      <c r="F81" s="67"/>
      <c r="G81" s="67"/>
      <c r="H81" s="67"/>
      <c r="I81" s="67"/>
      <c r="J81" s="67"/>
      <c r="K81" s="67"/>
      <c r="L81" s="67"/>
      <c r="M81" s="67"/>
    </row>
    <row r="82" spans="1:13" ht="12.75">
      <c r="A82" s="67"/>
      <c r="B82" s="67"/>
      <c r="C82" s="67"/>
      <c r="D82" s="67"/>
      <c r="E82" s="67"/>
      <c r="F82" s="67"/>
      <c r="G82" s="67"/>
      <c r="H82" s="67"/>
      <c r="I82" s="67"/>
      <c r="J82" s="67"/>
      <c r="K82" s="67"/>
      <c r="L82" s="67"/>
      <c r="M82" s="67"/>
    </row>
    <row r="83" spans="1:13" ht="12.75">
      <c r="A83" s="67"/>
      <c r="B83" s="67"/>
      <c r="C83" s="67"/>
      <c r="D83" s="67"/>
      <c r="E83" s="67"/>
      <c r="F83" s="67"/>
      <c r="G83" s="67"/>
      <c r="H83" s="67"/>
      <c r="I83" s="67"/>
      <c r="J83" s="67"/>
      <c r="K83" s="67"/>
      <c r="L83" s="67"/>
      <c r="M83" s="67"/>
    </row>
    <row r="84" spans="1:13" ht="12.75">
      <c r="A84" s="67"/>
      <c r="B84" s="67"/>
      <c r="C84" s="67"/>
      <c r="D84" s="67"/>
      <c r="E84" s="67"/>
      <c r="F84" s="67"/>
      <c r="G84" s="67"/>
      <c r="H84" s="67"/>
      <c r="I84" s="67"/>
      <c r="J84" s="67"/>
      <c r="K84" s="67"/>
      <c r="L84" s="67"/>
      <c r="M84" s="67"/>
    </row>
    <row r="85" spans="1:13" ht="12.75">
      <c r="A85" s="67"/>
      <c r="B85" s="67"/>
      <c r="C85" s="67"/>
      <c r="D85" s="67"/>
      <c r="E85" s="67"/>
      <c r="F85" s="67"/>
      <c r="G85" s="67"/>
      <c r="H85" s="67"/>
      <c r="I85" s="67"/>
      <c r="J85" s="67"/>
      <c r="K85" s="67"/>
      <c r="L85" s="67"/>
      <c r="M85" s="67"/>
    </row>
    <row r="86" spans="1:13" ht="12.75">
      <c r="A86" s="67"/>
      <c r="B86" s="67"/>
      <c r="C86" s="67"/>
      <c r="D86" s="67"/>
      <c r="E86" s="67"/>
      <c r="F86" s="67"/>
      <c r="G86" s="67"/>
      <c r="H86" s="67"/>
      <c r="I86" s="67"/>
      <c r="J86" s="67"/>
      <c r="K86" s="67"/>
      <c r="L86" s="67"/>
      <c r="M86" s="67"/>
    </row>
    <row r="87" spans="1:13" ht="12.75">
      <c r="A87" s="67"/>
      <c r="B87" s="67"/>
      <c r="C87" s="67"/>
      <c r="D87" s="67"/>
      <c r="E87" s="67"/>
      <c r="F87" s="67"/>
      <c r="G87" s="67"/>
      <c r="H87" s="67"/>
      <c r="I87" s="67"/>
      <c r="J87" s="67"/>
      <c r="K87" s="67"/>
      <c r="L87" s="67"/>
      <c r="M87" s="67"/>
    </row>
    <row r="88" spans="1:13" ht="12.75">
      <c r="A88" s="67"/>
      <c r="B88" s="67"/>
      <c r="C88" s="67"/>
      <c r="D88" s="67"/>
      <c r="E88" s="67"/>
      <c r="F88" s="67"/>
      <c r="G88" s="67"/>
      <c r="H88" s="67"/>
      <c r="I88" s="67"/>
      <c r="J88" s="67"/>
      <c r="K88" s="67"/>
      <c r="L88" s="67"/>
      <c r="M88" s="67"/>
    </row>
    <row r="89" spans="1:13" ht="12.75">
      <c r="A89" s="67"/>
      <c r="B89" s="67"/>
      <c r="C89" s="67"/>
      <c r="D89" s="67"/>
      <c r="E89" s="67"/>
      <c r="F89" s="67"/>
      <c r="G89" s="67"/>
      <c r="H89" s="67"/>
      <c r="I89" s="67"/>
      <c r="J89" s="67"/>
      <c r="K89" s="67"/>
      <c r="L89" s="67"/>
      <c r="M89" s="67"/>
    </row>
    <row r="90" spans="1:13" ht="12.75">
      <c r="A90" s="67"/>
      <c r="B90" s="67"/>
      <c r="C90" s="67"/>
      <c r="D90" s="67"/>
      <c r="E90" s="67"/>
      <c r="F90" s="67"/>
      <c r="G90" s="67"/>
      <c r="H90" s="67"/>
      <c r="I90" s="67"/>
      <c r="J90" s="67"/>
      <c r="K90" s="67"/>
      <c r="L90" s="67"/>
      <c r="M90" s="67"/>
    </row>
    <row r="91" spans="1:13" ht="12.75">
      <c r="A91" s="67"/>
      <c r="B91" s="67"/>
      <c r="C91" s="67"/>
      <c r="D91" s="67"/>
      <c r="E91" s="67"/>
      <c r="F91" s="67"/>
      <c r="G91" s="67"/>
      <c r="H91" s="67"/>
      <c r="I91" s="67"/>
      <c r="J91" s="67"/>
      <c r="K91" s="67"/>
      <c r="L91" s="67"/>
      <c r="M91" s="67"/>
    </row>
    <row r="92" spans="1:13" ht="12.75">
      <c r="A92" s="67"/>
      <c r="B92" s="67"/>
      <c r="C92" s="67"/>
      <c r="D92" s="67"/>
      <c r="E92" s="67"/>
      <c r="F92" s="67"/>
      <c r="G92" s="67"/>
      <c r="H92" s="67"/>
      <c r="I92" s="67"/>
      <c r="J92" s="67"/>
      <c r="K92" s="67"/>
      <c r="L92" s="67"/>
      <c r="M92" s="67"/>
    </row>
    <row r="93" spans="1:13" ht="12.75">
      <c r="A93" s="67"/>
      <c r="B93" s="67"/>
      <c r="C93" s="67"/>
      <c r="D93" s="67"/>
      <c r="E93" s="67"/>
      <c r="F93" s="67"/>
      <c r="G93" s="67"/>
      <c r="H93" s="67"/>
      <c r="I93" s="67"/>
      <c r="J93" s="67"/>
      <c r="K93" s="67"/>
      <c r="L93" s="67"/>
      <c r="M93" s="67"/>
    </row>
    <row r="94" spans="1:13" ht="12.75">
      <c r="A94" s="67"/>
      <c r="B94" s="67"/>
      <c r="C94" s="67"/>
      <c r="D94" s="67"/>
      <c r="E94" s="67"/>
      <c r="F94" s="67"/>
      <c r="G94" s="67"/>
      <c r="H94" s="67"/>
      <c r="I94" s="67"/>
      <c r="J94" s="67"/>
      <c r="K94" s="67"/>
      <c r="L94" s="67"/>
      <c r="M94" s="67"/>
    </row>
    <row r="95" spans="1:13" ht="12.75">
      <c r="A95" s="67"/>
      <c r="B95" s="67"/>
      <c r="C95" s="67"/>
      <c r="D95" s="67"/>
      <c r="E95" s="67"/>
      <c r="F95" s="67"/>
      <c r="G95" s="67"/>
      <c r="H95" s="67"/>
      <c r="I95" s="67"/>
      <c r="J95" s="67"/>
      <c r="K95" s="67"/>
      <c r="L95" s="67"/>
      <c r="M95" s="67"/>
    </row>
    <row r="96" spans="1:13" ht="12.75">
      <c r="A96" s="67"/>
      <c r="B96" s="67"/>
      <c r="C96" s="67"/>
      <c r="D96" s="67"/>
      <c r="E96" s="67"/>
      <c r="F96" s="67"/>
      <c r="G96" s="67"/>
      <c r="H96" s="67"/>
      <c r="I96" s="67"/>
      <c r="J96" s="67"/>
      <c r="K96" s="67"/>
      <c r="L96" s="67"/>
      <c r="M96" s="67"/>
    </row>
    <row r="97" spans="1:13" ht="12.75">
      <c r="A97" s="67"/>
      <c r="B97" s="67"/>
      <c r="C97" s="67"/>
      <c r="D97" s="67"/>
      <c r="E97" s="67"/>
      <c r="F97" s="67"/>
      <c r="G97" s="67"/>
      <c r="H97" s="67"/>
      <c r="I97" s="67"/>
      <c r="J97" s="67"/>
      <c r="K97" s="67"/>
      <c r="L97" s="67"/>
      <c r="M97" s="67"/>
    </row>
    <row r="98" spans="1:13" ht="12.75">
      <c r="A98" s="67"/>
      <c r="B98" s="67"/>
      <c r="C98" s="67"/>
      <c r="D98" s="67"/>
      <c r="E98" s="67"/>
      <c r="F98" s="67"/>
      <c r="G98" s="67"/>
      <c r="H98" s="67"/>
      <c r="I98" s="67"/>
      <c r="J98" s="67"/>
      <c r="K98" s="67"/>
      <c r="L98" s="67"/>
      <c r="M98" s="67"/>
    </row>
    <row r="99" spans="1:13" ht="12.75">
      <c r="A99" s="67"/>
      <c r="B99" s="67"/>
      <c r="C99" s="67"/>
      <c r="D99" s="67"/>
      <c r="E99" s="67"/>
      <c r="F99" s="67"/>
      <c r="G99" s="67"/>
      <c r="H99" s="67"/>
      <c r="I99" s="67"/>
      <c r="J99" s="67"/>
      <c r="K99" s="67"/>
      <c r="L99" s="67"/>
      <c r="M99" s="67"/>
    </row>
    <row r="100" spans="1:13" ht="12.75">
      <c r="A100" s="67"/>
      <c r="B100" s="67"/>
      <c r="C100" s="67"/>
      <c r="D100" s="67"/>
      <c r="E100" s="67"/>
      <c r="F100" s="67"/>
      <c r="G100" s="67"/>
      <c r="H100" s="67"/>
      <c r="I100" s="67"/>
      <c r="J100" s="67"/>
      <c r="K100" s="67"/>
      <c r="L100" s="67"/>
      <c r="M100" s="67"/>
    </row>
    <row r="101" spans="1:13" ht="12.75">
      <c r="A101" s="67"/>
      <c r="B101" s="67"/>
      <c r="C101" s="67"/>
      <c r="D101" s="67"/>
      <c r="E101" s="67"/>
      <c r="F101" s="67"/>
      <c r="G101" s="67"/>
      <c r="H101" s="67"/>
      <c r="I101" s="67"/>
      <c r="J101" s="67"/>
      <c r="K101" s="67"/>
      <c r="L101" s="67"/>
      <c r="M101" s="67"/>
    </row>
    <row r="102" spans="1:13" ht="12.75">
      <c r="A102" s="67"/>
      <c r="B102" s="67"/>
      <c r="C102" s="67"/>
      <c r="D102" s="67"/>
      <c r="E102" s="67"/>
      <c r="F102" s="67"/>
      <c r="G102" s="67"/>
      <c r="H102" s="67"/>
      <c r="I102" s="67"/>
      <c r="J102" s="67"/>
      <c r="K102" s="67"/>
      <c r="L102" s="67"/>
      <c r="M102" s="67"/>
    </row>
    <row r="103" spans="1:13" ht="12.75">
      <c r="A103" s="67"/>
      <c r="B103" s="67"/>
      <c r="C103" s="67"/>
      <c r="D103" s="67"/>
      <c r="E103" s="67"/>
      <c r="F103" s="67"/>
      <c r="G103" s="67"/>
      <c r="H103" s="67"/>
      <c r="I103" s="67"/>
      <c r="J103" s="67"/>
      <c r="K103" s="67"/>
      <c r="L103" s="67"/>
      <c r="M103" s="67"/>
    </row>
    <row r="104" spans="1:13" ht="12.75">
      <c r="A104" s="67"/>
      <c r="B104" s="67"/>
      <c r="C104" s="67"/>
      <c r="D104" s="67"/>
      <c r="E104" s="67"/>
      <c r="F104" s="67"/>
      <c r="G104" s="67"/>
      <c r="H104" s="67"/>
      <c r="I104" s="67"/>
      <c r="J104" s="67"/>
      <c r="K104" s="67"/>
      <c r="L104" s="67"/>
      <c r="M104" s="67"/>
    </row>
    <row r="105" spans="1:13" ht="12.75">
      <c r="A105" s="67"/>
      <c r="B105" s="67"/>
      <c r="C105" s="67"/>
      <c r="D105" s="67"/>
      <c r="E105" s="67"/>
      <c r="F105" s="67"/>
      <c r="G105" s="67"/>
      <c r="H105" s="67"/>
      <c r="I105" s="67"/>
      <c r="J105" s="67"/>
      <c r="K105" s="67"/>
      <c r="L105" s="67"/>
      <c r="M105" s="67"/>
    </row>
    <row r="106" spans="1:13" ht="12.75">
      <c r="A106" s="67"/>
      <c r="B106" s="67"/>
      <c r="C106" s="67"/>
      <c r="D106" s="67"/>
      <c r="E106" s="67"/>
      <c r="F106" s="67"/>
      <c r="G106" s="67"/>
      <c r="H106" s="67"/>
      <c r="I106" s="67"/>
      <c r="J106" s="67"/>
      <c r="K106" s="67"/>
      <c r="L106" s="67"/>
      <c r="M106" s="67"/>
    </row>
    <row r="107" spans="1:13" ht="12.75">
      <c r="A107" s="67"/>
      <c r="B107" s="67"/>
      <c r="C107" s="67"/>
      <c r="D107" s="67"/>
      <c r="E107" s="67"/>
      <c r="F107" s="67"/>
      <c r="G107" s="67"/>
      <c r="H107" s="67"/>
      <c r="I107" s="67"/>
      <c r="J107" s="67"/>
      <c r="K107" s="67"/>
      <c r="L107" s="67"/>
      <c r="M107" s="67"/>
    </row>
    <row r="108" spans="1:13" ht="12.75">
      <c r="A108" s="67"/>
      <c r="B108" s="67"/>
      <c r="C108" s="67"/>
      <c r="D108" s="67"/>
      <c r="E108" s="67"/>
      <c r="F108" s="67"/>
      <c r="G108" s="67"/>
      <c r="H108" s="67"/>
      <c r="I108" s="67"/>
      <c r="J108" s="67"/>
      <c r="K108" s="67"/>
      <c r="L108" s="67"/>
      <c r="M108" s="67"/>
    </row>
    <row r="109" spans="1:13" ht="12.75">
      <c r="A109" s="67"/>
      <c r="B109" s="67"/>
      <c r="C109" s="67"/>
      <c r="D109" s="67"/>
      <c r="E109" s="67"/>
      <c r="F109" s="67"/>
      <c r="G109" s="67"/>
      <c r="H109" s="67"/>
      <c r="I109" s="67"/>
      <c r="J109" s="67"/>
      <c r="K109" s="67"/>
      <c r="L109" s="67"/>
      <c r="M109" s="67"/>
    </row>
    <row r="110" spans="1:13" ht="12.75">
      <c r="A110" s="67"/>
      <c r="B110" s="67"/>
      <c r="C110" s="67"/>
      <c r="D110" s="67"/>
      <c r="E110" s="67"/>
      <c r="F110" s="67"/>
      <c r="G110" s="67"/>
      <c r="H110" s="67"/>
      <c r="I110" s="67"/>
      <c r="J110" s="67"/>
      <c r="K110" s="67"/>
      <c r="L110" s="67"/>
      <c r="M110" s="67"/>
    </row>
    <row r="111" spans="1:13" ht="12.75">
      <c r="A111" s="67"/>
      <c r="B111" s="67"/>
      <c r="C111" s="67"/>
      <c r="D111" s="67"/>
      <c r="E111" s="67"/>
      <c r="F111" s="67"/>
      <c r="G111" s="67"/>
      <c r="H111" s="67"/>
      <c r="I111" s="67"/>
      <c r="J111" s="67"/>
      <c r="K111" s="67"/>
      <c r="L111" s="67"/>
      <c r="M111" s="67"/>
    </row>
    <row r="112" spans="1:13" ht="12.75">
      <c r="A112" s="67"/>
      <c r="B112" s="67"/>
      <c r="C112" s="67"/>
      <c r="D112" s="67"/>
      <c r="E112" s="67"/>
      <c r="F112" s="67"/>
      <c r="G112" s="67"/>
      <c r="H112" s="67"/>
      <c r="I112" s="67"/>
      <c r="J112" s="67"/>
      <c r="K112" s="67"/>
      <c r="L112" s="67"/>
      <c r="M112" s="67"/>
    </row>
    <row r="113" spans="1:13" ht="12.75">
      <c r="A113" s="67"/>
      <c r="B113" s="67"/>
      <c r="C113" s="67"/>
      <c r="D113" s="67"/>
      <c r="E113" s="67"/>
      <c r="F113" s="67"/>
      <c r="G113" s="67"/>
      <c r="H113" s="67"/>
      <c r="I113" s="67"/>
      <c r="J113" s="67"/>
      <c r="K113" s="67"/>
      <c r="L113" s="67"/>
      <c r="M113" s="67"/>
    </row>
    <row r="114" spans="1:13" ht="12.75">
      <c r="A114" s="67"/>
      <c r="B114" s="67"/>
      <c r="C114" s="67"/>
      <c r="D114" s="67"/>
      <c r="E114" s="67"/>
      <c r="F114" s="67"/>
      <c r="G114" s="67"/>
      <c r="H114" s="67"/>
      <c r="I114" s="67"/>
      <c r="J114" s="67"/>
      <c r="K114" s="67"/>
      <c r="L114" s="67"/>
      <c r="M114" s="67"/>
    </row>
    <row r="115" spans="1:13" ht="12.75">
      <c r="A115" s="67"/>
      <c r="B115" s="67"/>
      <c r="C115" s="67"/>
      <c r="D115" s="67"/>
      <c r="E115" s="67"/>
      <c r="F115" s="67"/>
      <c r="G115" s="67"/>
      <c r="H115" s="67"/>
      <c r="I115" s="67"/>
      <c r="J115" s="67"/>
      <c r="K115" s="67"/>
      <c r="L115" s="67"/>
      <c r="M115" s="67"/>
    </row>
    <row r="116" spans="1:13" ht="12.75">
      <c r="A116" s="67"/>
      <c r="B116" s="67"/>
      <c r="C116" s="67"/>
      <c r="D116" s="67"/>
      <c r="E116" s="67"/>
      <c r="F116" s="67"/>
      <c r="G116" s="67"/>
      <c r="H116" s="67"/>
      <c r="I116" s="67"/>
      <c r="J116" s="67"/>
      <c r="K116" s="67"/>
      <c r="L116" s="67"/>
      <c r="M116" s="67"/>
    </row>
    <row r="117" spans="1:13" ht="12.75">
      <c r="A117" s="67"/>
      <c r="B117" s="67"/>
      <c r="C117" s="67"/>
      <c r="D117" s="67"/>
      <c r="E117" s="67"/>
      <c r="F117" s="67"/>
      <c r="G117" s="67"/>
      <c r="H117" s="67"/>
      <c r="I117" s="67"/>
      <c r="J117" s="67"/>
      <c r="K117" s="67"/>
      <c r="L117" s="67"/>
      <c r="M117" s="67"/>
    </row>
    <row r="118" spans="1:13" ht="12.75">
      <c r="A118" s="67"/>
      <c r="B118" s="67"/>
      <c r="C118" s="67"/>
      <c r="D118" s="67"/>
      <c r="E118" s="67"/>
      <c r="F118" s="67"/>
      <c r="G118" s="67"/>
      <c r="H118" s="67"/>
      <c r="I118" s="67"/>
      <c r="J118" s="67"/>
      <c r="K118" s="67"/>
      <c r="L118" s="67"/>
      <c r="M118" s="67"/>
    </row>
    <row r="119" spans="1:13" ht="12.75">
      <c r="A119" s="67"/>
      <c r="B119" s="67"/>
      <c r="C119" s="67"/>
      <c r="D119" s="67"/>
      <c r="E119" s="67"/>
      <c r="F119" s="67"/>
      <c r="G119" s="67"/>
      <c r="H119" s="67"/>
      <c r="I119" s="67"/>
      <c r="J119" s="67"/>
      <c r="K119" s="67"/>
      <c r="L119" s="67"/>
      <c r="M119" s="67"/>
    </row>
    <row r="120" spans="1:13" ht="12.75">
      <c r="A120" s="67"/>
      <c r="B120" s="67"/>
      <c r="C120" s="67"/>
      <c r="D120" s="67"/>
      <c r="E120" s="67"/>
      <c r="F120" s="67"/>
      <c r="G120" s="67"/>
      <c r="H120" s="67"/>
      <c r="I120" s="67"/>
      <c r="J120" s="67"/>
      <c r="K120" s="67"/>
      <c r="L120" s="67"/>
      <c r="M120" s="67"/>
    </row>
    <row r="121" spans="1:13" ht="12.75">
      <c r="A121" s="67"/>
      <c r="B121" s="67"/>
      <c r="C121" s="67"/>
      <c r="D121" s="67"/>
      <c r="E121" s="67"/>
      <c r="F121" s="67"/>
      <c r="G121" s="67"/>
      <c r="H121" s="67"/>
      <c r="I121" s="67"/>
      <c r="J121" s="67"/>
      <c r="K121" s="67"/>
      <c r="L121" s="67"/>
      <c r="M121" s="67"/>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AD102"/>
  <sheetViews>
    <sheetView zoomScalePageLayoutView="0" workbookViewId="0" topLeftCell="A1">
      <pane xSplit="2" ySplit="6" topLeftCell="C46" activePane="bottomRight" state="frozen"/>
      <selection pane="topLeft" activeCell="L58" sqref="L58:L61"/>
      <selection pane="topRight" activeCell="L58" sqref="L58:L61"/>
      <selection pane="bottomLeft" activeCell="L58" sqref="L58:L61"/>
      <selection pane="bottomRight" activeCell="J76" sqref="J76"/>
    </sheetView>
  </sheetViews>
  <sheetFormatPr defaultColWidth="9.140625" defaultRowHeight="12.75"/>
  <cols>
    <col min="1" max="1" width="6.00390625" style="67" customWidth="1"/>
    <col min="2" max="2" width="17.8515625" style="67" customWidth="1"/>
    <col min="3" max="4" width="9.8515625" style="67" customWidth="1"/>
    <col min="5" max="5" width="11.28125" style="67" customWidth="1"/>
    <col min="6" max="7" width="9.57421875" style="67" customWidth="1"/>
    <col min="8" max="8" width="9.8515625" style="67" customWidth="1"/>
    <col min="9" max="9" width="10.421875" style="67" customWidth="1"/>
    <col min="10" max="10" width="10.7109375" style="67" customWidth="1"/>
    <col min="11" max="14" width="9.140625" style="67" customWidth="1"/>
    <col min="15" max="15" width="10.7109375" style="67" bestFit="1" customWidth="1"/>
    <col min="16" max="16384" width="9.140625" style="67" customWidth="1"/>
  </cols>
  <sheetData>
    <row r="1" ht="11.25"/>
    <row r="2" spans="2:3" ht="11.25">
      <c r="B2" s="144" t="s">
        <v>81</v>
      </c>
      <c r="C2" s="83"/>
    </row>
    <row r="3" ht="11.25">
      <c r="C3" s="83"/>
    </row>
    <row r="4" spans="3:10" ht="11.25">
      <c r="C4" s="84"/>
      <c r="D4" s="84"/>
      <c r="E4" s="84"/>
      <c r="F4" s="84"/>
      <c r="G4" s="84"/>
      <c r="H4" s="85"/>
      <c r="I4" s="85"/>
      <c r="J4" s="82"/>
    </row>
    <row r="5" spans="3:10" ht="11.25">
      <c r="C5" s="84"/>
      <c r="D5" s="84"/>
      <c r="E5" s="84"/>
      <c r="F5" s="84"/>
      <c r="G5" s="84"/>
      <c r="H5" s="85"/>
      <c r="I5" s="85"/>
      <c r="J5" s="84"/>
    </row>
    <row r="6" spans="3:14" ht="9.75" customHeight="1">
      <c r="C6" s="120">
        <v>43982</v>
      </c>
      <c r="D6" s="86">
        <f aca="true" t="shared" si="0" ref="D6:N6">EOMONTH(C6,1)</f>
        <v>44012</v>
      </c>
      <c r="E6" s="86">
        <f t="shared" si="0"/>
        <v>44043</v>
      </c>
      <c r="F6" s="86">
        <f t="shared" si="0"/>
        <v>44074</v>
      </c>
      <c r="G6" s="86">
        <f t="shared" si="0"/>
        <v>44104</v>
      </c>
      <c r="H6" s="86">
        <f t="shared" si="0"/>
        <v>44135</v>
      </c>
      <c r="I6" s="86">
        <f t="shared" si="0"/>
        <v>44165</v>
      </c>
      <c r="J6" s="86">
        <f t="shared" si="0"/>
        <v>44196</v>
      </c>
      <c r="K6" s="86">
        <f t="shared" si="0"/>
        <v>44227</v>
      </c>
      <c r="L6" s="86">
        <f t="shared" si="0"/>
        <v>44255</v>
      </c>
      <c r="M6" s="86">
        <f t="shared" si="0"/>
        <v>44286</v>
      </c>
      <c r="N6" s="86">
        <f t="shared" si="0"/>
        <v>44316</v>
      </c>
    </row>
    <row r="7" spans="1:30" s="68" customFormat="1" ht="11.25">
      <c r="A7" s="87" t="s">
        <v>44</v>
      </c>
      <c r="C7" s="121">
        <v>3.99</v>
      </c>
      <c r="D7" s="121">
        <v>5.85</v>
      </c>
      <c r="E7" s="121">
        <v>4.23</v>
      </c>
      <c r="F7" s="121">
        <v>4.47</v>
      </c>
      <c r="G7" s="121">
        <v>4.53</v>
      </c>
      <c r="H7" s="121">
        <v>3.8699999999999997</v>
      </c>
      <c r="I7" s="121">
        <v>3.98</v>
      </c>
      <c r="J7" s="121">
        <v>4.03</v>
      </c>
      <c r="K7" s="121">
        <v>5.11</v>
      </c>
      <c r="L7" s="121">
        <v>4.01</v>
      </c>
      <c r="M7" s="121">
        <v>5.109999999999999</v>
      </c>
      <c r="N7" s="121">
        <v>5.279999999999999</v>
      </c>
      <c r="T7" s="67"/>
      <c r="U7" s="67"/>
      <c r="V7" s="67"/>
      <c r="W7" s="67"/>
      <c r="X7" s="67"/>
      <c r="Y7" s="91"/>
      <c r="Z7" s="91"/>
      <c r="AA7" s="91"/>
      <c r="AB7" s="91"/>
      <c r="AC7" s="91"/>
      <c r="AD7" s="91"/>
    </row>
    <row r="8" spans="1:14" ht="11.25">
      <c r="A8" s="67" t="s">
        <v>45</v>
      </c>
      <c r="C8" s="88">
        <v>0</v>
      </c>
      <c r="D8" s="88">
        <v>0</v>
      </c>
      <c r="E8" s="88">
        <v>0</v>
      </c>
      <c r="F8" s="88">
        <v>0</v>
      </c>
      <c r="G8" s="88">
        <v>0</v>
      </c>
      <c r="H8" s="88">
        <v>0</v>
      </c>
      <c r="I8" s="88">
        <v>0</v>
      </c>
      <c r="J8" s="88">
        <v>0</v>
      </c>
      <c r="K8" s="88">
        <v>0</v>
      </c>
      <c r="L8" s="88">
        <v>0</v>
      </c>
      <c r="M8" s="88">
        <v>0</v>
      </c>
      <c r="N8" s="88">
        <v>0</v>
      </c>
    </row>
    <row r="9" spans="1:14" ht="11.25">
      <c r="A9" s="67" t="s">
        <v>46</v>
      </c>
      <c r="C9" s="89">
        <f aca="true" t="shared" si="1" ref="C9:N9">+C7*C8</f>
        <v>0</v>
      </c>
      <c r="D9" s="89">
        <f t="shared" si="1"/>
        <v>0</v>
      </c>
      <c r="E9" s="89">
        <f t="shared" si="1"/>
        <v>0</v>
      </c>
      <c r="F9" s="89">
        <f t="shared" si="1"/>
        <v>0</v>
      </c>
      <c r="G9" s="89">
        <f t="shared" si="1"/>
        <v>0</v>
      </c>
      <c r="H9" s="89">
        <f t="shared" si="1"/>
        <v>0</v>
      </c>
      <c r="I9" s="89">
        <f t="shared" si="1"/>
        <v>0</v>
      </c>
      <c r="J9" s="89">
        <f t="shared" si="1"/>
        <v>0</v>
      </c>
      <c r="K9" s="89">
        <f t="shared" si="1"/>
        <v>0</v>
      </c>
      <c r="L9" s="89">
        <f t="shared" si="1"/>
        <v>0</v>
      </c>
      <c r="M9" s="89">
        <f t="shared" si="1"/>
        <v>0</v>
      </c>
      <c r="N9" s="89">
        <f t="shared" si="1"/>
        <v>0</v>
      </c>
    </row>
    <row r="10" spans="1:14" ht="11.25">
      <c r="A10" s="82" t="s">
        <v>47</v>
      </c>
      <c r="C10" s="90">
        <f aca="true" t="shared" si="2" ref="C10:N10">+C7-C9</f>
        <v>3.99</v>
      </c>
      <c r="D10" s="90">
        <f t="shared" si="2"/>
        <v>5.85</v>
      </c>
      <c r="E10" s="90">
        <f t="shared" si="2"/>
        <v>4.23</v>
      </c>
      <c r="F10" s="90">
        <f t="shared" si="2"/>
        <v>4.47</v>
      </c>
      <c r="G10" s="90">
        <f t="shared" si="2"/>
        <v>4.53</v>
      </c>
      <c r="H10" s="90">
        <f t="shared" si="2"/>
        <v>3.8699999999999997</v>
      </c>
      <c r="I10" s="90">
        <f t="shared" si="2"/>
        <v>3.98</v>
      </c>
      <c r="J10" s="90">
        <f t="shared" si="2"/>
        <v>4.03</v>
      </c>
      <c r="K10" s="90">
        <f t="shared" si="2"/>
        <v>5.11</v>
      </c>
      <c r="L10" s="90">
        <f t="shared" si="2"/>
        <v>4.01</v>
      </c>
      <c r="M10" s="90">
        <f t="shared" si="2"/>
        <v>5.109999999999999</v>
      </c>
      <c r="N10" s="90">
        <f t="shared" si="2"/>
        <v>5.279999999999999</v>
      </c>
    </row>
    <row r="11" ht="11.25"/>
    <row r="12" ht="11.25">
      <c r="A12" s="82" t="s">
        <v>48</v>
      </c>
    </row>
    <row r="13" spans="2:14" s="91" customFormat="1" ht="11.25">
      <c r="B13" s="91" t="s">
        <v>23</v>
      </c>
      <c r="C13" s="122">
        <v>0</v>
      </c>
      <c r="D13" s="122">
        <v>0</v>
      </c>
      <c r="E13" s="122">
        <v>0</v>
      </c>
      <c r="F13" s="122">
        <v>0</v>
      </c>
      <c r="G13" s="122">
        <v>0</v>
      </c>
      <c r="H13" s="122">
        <v>0</v>
      </c>
      <c r="I13" s="122">
        <v>0</v>
      </c>
      <c r="J13" s="122">
        <v>0</v>
      </c>
      <c r="K13" s="122">
        <v>0</v>
      </c>
      <c r="L13" s="122">
        <v>0</v>
      </c>
      <c r="M13" s="122">
        <v>0</v>
      </c>
      <c r="N13" s="122">
        <v>0</v>
      </c>
    </row>
    <row r="14" spans="2:14" s="91" customFormat="1" ht="11.25">
      <c r="B14" s="91" t="s">
        <v>27</v>
      </c>
      <c r="C14" s="122">
        <v>0.2187</v>
      </c>
      <c r="D14" s="122">
        <v>0.2187</v>
      </c>
      <c r="E14" s="122">
        <v>0.2187</v>
      </c>
      <c r="F14" s="122">
        <v>0.2187</v>
      </c>
      <c r="G14" s="122">
        <v>0.2187</v>
      </c>
      <c r="H14" s="122">
        <v>0.2187</v>
      </c>
      <c r="I14" s="122">
        <v>0.2187</v>
      </c>
      <c r="J14" s="122">
        <v>0.2187</v>
      </c>
      <c r="K14" s="122">
        <v>0.2453</v>
      </c>
      <c r="L14" s="122">
        <v>0.2453</v>
      </c>
      <c r="M14" s="122">
        <v>0.2453</v>
      </c>
      <c r="N14" s="122">
        <v>0.2453</v>
      </c>
    </row>
    <row r="15" spans="2:14" s="91" customFormat="1" ht="11.25">
      <c r="B15" s="91" t="s">
        <v>49</v>
      </c>
      <c r="C15" s="122">
        <v>0</v>
      </c>
      <c r="D15" s="122">
        <v>0</v>
      </c>
      <c r="E15" s="122">
        <v>0</v>
      </c>
      <c r="F15" s="122">
        <v>0</v>
      </c>
      <c r="G15" s="122">
        <v>0</v>
      </c>
      <c r="H15" s="122">
        <v>0</v>
      </c>
      <c r="I15" s="122">
        <v>0</v>
      </c>
      <c r="J15" s="122">
        <v>0</v>
      </c>
      <c r="K15" s="122">
        <v>0</v>
      </c>
      <c r="L15" s="122">
        <v>0</v>
      </c>
      <c r="M15" s="122">
        <v>0</v>
      </c>
      <c r="N15" s="122">
        <v>0</v>
      </c>
    </row>
    <row r="16" spans="2:14" s="91" customFormat="1" ht="11.25">
      <c r="B16" s="91" t="s">
        <v>50</v>
      </c>
      <c r="C16" s="122">
        <v>0.0179</v>
      </c>
      <c r="D16" s="122">
        <v>0.0179</v>
      </c>
      <c r="E16" s="122">
        <v>0.0179</v>
      </c>
      <c r="F16" s="122">
        <v>0.0179</v>
      </c>
      <c r="G16" s="122">
        <v>0.0179</v>
      </c>
      <c r="H16" s="122">
        <v>0.0179</v>
      </c>
      <c r="I16" s="122">
        <v>0.0179</v>
      </c>
      <c r="J16" s="122">
        <v>0.0179</v>
      </c>
      <c r="K16" s="122">
        <v>0.0141</v>
      </c>
      <c r="L16" s="122">
        <v>0.0141</v>
      </c>
      <c r="M16" s="122">
        <v>0.0141</v>
      </c>
      <c r="N16" s="122">
        <v>0.0141</v>
      </c>
    </row>
    <row r="17" spans="2:14" s="91" customFormat="1" ht="11.25">
      <c r="B17" s="91" t="s">
        <v>51</v>
      </c>
      <c r="C17" s="122">
        <v>0.0597</v>
      </c>
      <c r="D17" s="122">
        <v>0.0597</v>
      </c>
      <c r="E17" s="122">
        <v>0.0597</v>
      </c>
      <c r="F17" s="122">
        <v>0.0597</v>
      </c>
      <c r="G17" s="122">
        <v>0.0597</v>
      </c>
      <c r="H17" s="122">
        <v>0.0597</v>
      </c>
      <c r="I17" s="122">
        <v>0.0597</v>
      </c>
      <c r="J17" s="122">
        <v>0.0597</v>
      </c>
      <c r="K17" s="122">
        <v>0.0358</v>
      </c>
      <c r="L17" s="122">
        <v>0.0358</v>
      </c>
      <c r="M17" s="122">
        <v>0.0358</v>
      </c>
      <c r="N17" s="122">
        <v>0.0358</v>
      </c>
    </row>
    <row r="18" spans="2:14" s="91" customFormat="1" ht="11.25">
      <c r="B18" s="91" t="s">
        <v>52</v>
      </c>
      <c r="C18" s="122">
        <v>0.0115</v>
      </c>
      <c r="D18" s="122">
        <v>0.0115</v>
      </c>
      <c r="E18" s="122">
        <v>0.0115</v>
      </c>
      <c r="F18" s="122">
        <v>0.0115</v>
      </c>
      <c r="G18" s="122">
        <v>0.0115</v>
      </c>
      <c r="H18" s="122">
        <v>0.0115</v>
      </c>
      <c r="I18" s="122">
        <v>0.0115</v>
      </c>
      <c r="J18" s="122">
        <v>0.0115</v>
      </c>
      <c r="K18" s="122">
        <v>0.0163</v>
      </c>
      <c r="L18" s="122">
        <v>0.0163</v>
      </c>
      <c r="M18" s="122">
        <v>0.0163</v>
      </c>
      <c r="N18" s="122">
        <v>0.0163</v>
      </c>
    </row>
    <row r="19" spans="2:14" s="91" customFormat="1" ht="11.25">
      <c r="B19" s="67" t="s">
        <v>53</v>
      </c>
      <c r="C19" s="122">
        <v>0.0035</v>
      </c>
      <c r="D19" s="122">
        <v>0.0035</v>
      </c>
      <c r="E19" s="122">
        <v>0.0035</v>
      </c>
      <c r="F19" s="122">
        <v>0.0035</v>
      </c>
      <c r="G19" s="122">
        <v>0.0035</v>
      </c>
      <c r="H19" s="122">
        <v>0.0035</v>
      </c>
      <c r="I19" s="122">
        <v>0.0035</v>
      </c>
      <c r="J19" s="122">
        <v>0.0035</v>
      </c>
      <c r="K19" s="122">
        <v>0.0021</v>
      </c>
      <c r="L19" s="122">
        <v>0.0021</v>
      </c>
      <c r="M19" s="122">
        <v>0.0021</v>
      </c>
      <c r="N19" s="122">
        <v>0.0021</v>
      </c>
    </row>
    <row r="20" spans="2:14" s="91" customFormat="1" ht="11.25">
      <c r="B20" s="67" t="s">
        <v>22</v>
      </c>
      <c r="C20" s="122">
        <v>0.0737</v>
      </c>
      <c r="D20" s="122">
        <v>0.0737</v>
      </c>
      <c r="E20" s="122">
        <v>0.0737</v>
      </c>
      <c r="F20" s="122">
        <v>0.0737</v>
      </c>
      <c r="G20" s="122">
        <v>0.0737</v>
      </c>
      <c r="H20" s="122">
        <v>0.0737</v>
      </c>
      <c r="I20" s="122">
        <v>0.0737</v>
      </c>
      <c r="J20" s="122">
        <v>0.0737</v>
      </c>
      <c r="K20" s="122">
        <v>0.124</v>
      </c>
      <c r="L20" s="122">
        <v>0.124</v>
      </c>
      <c r="M20" s="122">
        <v>0.124</v>
      </c>
      <c r="N20" s="122">
        <v>0.124</v>
      </c>
    </row>
    <row r="21" spans="2:14" s="91" customFormat="1" ht="11.25">
      <c r="B21" s="91" t="s">
        <v>84</v>
      </c>
      <c r="C21" s="122">
        <v>0.0343</v>
      </c>
      <c r="D21" s="122">
        <v>0.0343</v>
      </c>
      <c r="E21" s="122">
        <v>0.0343</v>
      </c>
      <c r="F21" s="122">
        <v>0.0343</v>
      </c>
      <c r="G21" s="122">
        <v>0.0343</v>
      </c>
      <c r="H21" s="122">
        <v>0.0343</v>
      </c>
      <c r="I21" s="122">
        <v>0.0343</v>
      </c>
      <c r="J21" s="122">
        <v>0.0343</v>
      </c>
      <c r="K21" s="122">
        <v>0</v>
      </c>
      <c r="L21" s="122">
        <v>0</v>
      </c>
      <c r="M21" s="122">
        <v>0</v>
      </c>
      <c r="N21" s="122">
        <v>0</v>
      </c>
    </row>
    <row r="22" spans="2:14" s="91" customFormat="1" ht="11.25">
      <c r="B22" s="91" t="s">
        <v>54</v>
      </c>
      <c r="C22" s="122">
        <v>0.1878</v>
      </c>
      <c r="D22" s="122">
        <v>0.1878</v>
      </c>
      <c r="E22" s="122">
        <v>0.1878</v>
      </c>
      <c r="F22" s="122">
        <v>0.1878</v>
      </c>
      <c r="G22" s="122">
        <v>0.1878</v>
      </c>
      <c r="H22" s="122">
        <v>0.1878</v>
      </c>
      <c r="I22" s="122">
        <v>0.1878</v>
      </c>
      <c r="J22" s="122">
        <v>0.1878</v>
      </c>
      <c r="K22" s="122">
        <v>0.2395</v>
      </c>
      <c r="L22" s="122">
        <v>0.2395</v>
      </c>
      <c r="M22" s="122">
        <v>0.2395</v>
      </c>
      <c r="N22" s="122">
        <v>0.2395</v>
      </c>
    </row>
    <row r="23" spans="2:14" s="91" customFormat="1" ht="11.25">
      <c r="B23" s="91" t="s">
        <v>55</v>
      </c>
      <c r="C23" s="123">
        <v>0.3929</v>
      </c>
      <c r="D23" s="122">
        <v>0.3929</v>
      </c>
      <c r="E23" s="122">
        <v>0.3929</v>
      </c>
      <c r="F23" s="122">
        <v>0.3929</v>
      </c>
      <c r="G23" s="122">
        <v>0.3929</v>
      </c>
      <c r="H23" s="122">
        <v>0.3929</v>
      </c>
      <c r="I23" s="122">
        <v>0.3929</v>
      </c>
      <c r="J23" s="122">
        <v>0.3929</v>
      </c>
      <c r="K23" s="122">
        <v>0.3229</v>
      </c>
      <c r="L23" s="122">
        <v>0.3229</v>
      </c>
      <c r="M23" s="122">
        <v>0.3229</v>
      </c>
      <c r="N23" s="122">
        <v>0.3229</v>
      </c>
    </row>
    <row r="24" spans="3:14" ht="11.25">
      <c r="C24" s="92">
        <v>1</v>
      </c>
      <c r="D24" s="92">
        <v>1</v>
      </c>
      <c r="E24" s="92">
        <v>1</v>
      </c>
      <c r="F24" s="92">
        <v>1</v>
      </c>
      <c r="G24" s="92">
        <v>1</v>
      </c>
      <c r="H24" s="92">
        <v>1</v>
      </c>
      <c r="I24" s="92">
        <v>1</v>
      </c>
      <c r="J24" s="92">
        <v>1</v>
      </c>
      <c r="K24" s="92">
        <v>1</v>
      </c>
      <c r="L24" s="92">
        <v>1</v>
      </c>
      <c r="M24" s="92">
        <v>1</v>
      </c>
      <c r="N24" s="92">
        <v>1</v>
      </c>
    </row>
    <row r="26" ht="11.25">
      <c r="A26" s="82" t="s">
        <v>56</v>
      </c>
    </row>
    <row r="27" spans="2:14" ht="11.25">
      <c r="B27" s="67" t="s">
        <v>23</v>
      </c>
      <c r="C27" s="77">
        <f>+C$10*C13</f>
        <v>0</v>
      </c>
      <c r="D27" s="77">
        <f aca="true" t="shared" si="3" ref="D27:N27">+D$10*D13</f>
        <v>0</v>
      </c>
      <c r="E27" s="77">
        <f t="shared" si="3"/>
        <v>0</v>
      </c>
      <c r="F27" s="77">
        <f t="shared" si="3"/>
        <v>0</v>
      </c>
      <c r="G27" s="77">
        <f t="shared" si="3"/>
        <v>0</v>
      </c>
      <c r="H27" s="77">
        <f t="shared" si="3"/>
        <v>0</v>
      </c>
      <c r="I27" s="77">
        <f t="shared" si="3"/>
        <v>0</v>
      </c>
      <c r="J27" s="77">
        <f t="shared" si="3"/>
        <v>0</v>
      </c>
      <c r="K27" s="77">
        <f t="shared" si="3"/>
        <v>0</v>
      </c>
      <c r="L27" s="77">
        <f t="shared" si="3"/>
        <v>0</v>
      </c>
      <c r="M27" s="77">
        <f t="shared" si="3"/>
        <v>0</v>
      </c>
      <c r="N27" s="77">
        <f t="shared" si="3"/>
        <v>0</v>
      </c>
    </row>
    <row r="28" spans="2:14" ht="11.25">
      <c r="B28" s="67" t="s">
        <v>27</v>
      </c>
      <c r="C28" s="77">
        <f aca="true" t="shared" si="4" ref="C28:N28">+C$10*C14</f>
        <v>0.8726130000000001</v>
      </c>
      <c r="D28" s="77">
        <f t="shared" si="4"/>
        <v>1.279395</v>
      </c>
      <c r="E28" s="77">
        <f t="shared" si="4"/>
        <v>0.9251010000000001</v>
      </c>
      <c r="F28" s="77">
        <f t="shared" si="4"/>
        <v>0.9775889999999999</v>
      </c>
      <c r="G28" s="77">
        <f t="shared" si="4"/>
        <v>0.9907110000000001</v>
      </c>
      <c r="H28" s="77">
        <f t="shared" si="4"/>
        <v>0.8463689999999999</v>
      </c>
      <c r="I28" s="77">
        <f t="shared" si="4"/>
        <v>0.870426</v>
      </c>
      <c r="J28" s="77">
        <f t="shared" si="4"/>
        <v>0.8813610000000001</v>
      </c>
      <c r="K28" s="77">
        <f t="shared" si="4"/>
        <v>1.2534830000000001</v>
      </c>
      <c r="L28" s="77">
        <f t="shared" si="4"/>
        <v>0.9836529999999999</v>
      </c>
      <c r="M28" s="77">
        <f t="shared" si="4"/>
        <v>1.253483</v>
      </c>
      <c r="N28" s="77">
        <f t="shared" si="4"/>
        <v>1.295184</v>
      </c>
    </row>
    <row r="29" spans="2:14" ht="11.25">
      <c r="B29" s="67" t="s">
        <v>49</v>
      </c>
      <c r="C29" s="77">
        <f aca="true" t="shared" si="5" ref="C29:N29">+C$10*C15</f>
        <v>0</v>
      </c>
      <c r="D29" s="77">
        <f t="shared" si="5"/>
        <v>0</v>
      </c>
      <c r="E29" s="77">
        <f t="shared" si="5"/>
        <v>0</v>
      </c>
      <c r="F29" s="77">
        <f t="shared" si="5"/>
        <v>0</v>
      </c>
      <c r="G29" s="77">
        <f t="shared" si="5"/>
        <v>0</v>
      </c>
      <c r="H29" s="77">
        <f t="shared" si="5"/>
        <v>0</v>
      </c>
      <c r="I29" s="77">
        <f t="shared" si="5"/>
        <v>0</v>
      </c>
      <c r="J29" s="77">
        <f t="shared" si="5"/>
        <v>0</v>
      </c>
      <c r="K29" s="77">
        <f t="shared" si="5"/>
        <v>0</v>
      </c>
      <c r="L29" s="77">
        <f t="shared" si="5"/>
        <v>0</v>
      </c>
      <c r="M29" s="77">
        <f t="shared" si="5"/>
        <v>0</v>
      </c>
      <c r="N29" s="77">
        <f t="shared" si="5"/>
        <v>0</v>
      </c>
    </row>
    <row r="30" spans="2:14" ht="11.25">
      <c r="B30" s="67" t="s">
        <v>50</v>
      </c>
      <c r="C30" s="77">
        <f aca="true" t="shared" si="6" ref="C30:N30">+C$10*C16</f>
        <v>0.071421</v>
      </c>
      <c r="D30" s="77">
        <f t="shared" si="6"/>
        <v>0.10471499999999999</v>
      </c>
      <c r="E30" s="77">
        <f t="shared" si="6"/>
        <v>0.075717</v>
      </c>
      <c r="F30" s="77">
        <f t="shared" si="6"/>
        <v>0.08001299999999999</v>
      </c>
      <c r="G30" s="77">
        <f t="shared" si="6"/>
        <v>0.081087</v>
      </c>
      <c r="H30" s="77">
        <f t="shared" si="6"/>
        <v>0.06927299999999999</v>
      </c>
      <c r="I30" s="77">
        <f t="shared" si="6"/>
        <v>0.071242</v>
      </c>
      <c r="J30" s="77">
        <f t="shared" si="6"/>
        <v>0.072137</v>
      </c>
      <c r="K30" s="77">
        <f t="shared" si="6"/>
        <v>0.072051</v>
      </c>
      <c r="L30" s="77">
        <f t="shared" si="6"/>
        <v>0.056540999999999994</v>
      </c>
      <c r="M30" s="77">
        <f t="shared" si="6"/>
        <v>0.07205099999999999</v>
      </c>
      <c r="N30" s="77">
        <f t="shared" si="6"/>
        <v>0.07444799999999999</v>
      </c>
    </row>
    <row r="31" spans="2:14" ht="11.25">
      <c r="B31" s="67" t="s">
        <v>51</v>
      </c>
      <c r="C31" s="77">
        <f aca="true" t="shared" si="7" ref="C31:N31">+C$10*C17</f>
        <v>0.23820300000000003</v>
      </c>
      <c r="D31" s="77">
        <f t="shared" si="7"/>
        <v>0.34924499999999997</v>
      </c>
      <c r="E31" s="77">
        <f t="shared" si="7"/>
        <v>0.25253100000000006</v>
      </c>
      <c r="F31" s="77">
        <f t="shared" si="7"/>
        <v>0.266859</v>
      </c>
      <c r="G31" s="77">
        <f t="shared" si="7"/>
        <v>0.27044100000000004</v>
      </c>
      <c r="H31" s="77">
        <f t="shared" si="7"/>
        <v>0.231039</v>
      </c>
      <c r="I31" s="77">
        <f t="shared" si="7"/>
        <v>0.237606</v>
      </c>
      <c r="J31" s="77">
        <f t="shared" si="7"/>
        <v>0.24059100000000003</v>
      </c>
      <c r="K31" s="77">
        <f t="shared" si="7"/>
        <v>0.18293800000000002</v>
      </c>
      <c r="L31" s="77">
        <f t="shared" si="7"/>
        <v>0.143558</v>
      </c>
      <c r="M31" s="77">
        <f t="shared" si="7"/>
        <v>0.18293799999999996</v>
      </c>
      <c r="N31" s="77">
        <f t="shared" si="7"/>
        <v>0.18902399999999997</v>
      </c>
    </row>
    <row r="32" spans="2:14" ht="11.25">
      <c r="B32" s="67" t="s">
        <v>52</v>
      </c>
      <c r="C32" s="77">
        <f aca="true" t="shared" si="8" ref="C32:N32">+C$10*C18</f>
        <v>0.045885</v>
      </c>
      <c r="D32" s="77">
        <f t="shared" si="8"/>
        <v>0.067275</v>
      </c>
      <c r="E32" s="77">
        <f t="shared" si="8"/>
        <v>0.048645</v>
      </c>
      <c r="F32" s="77">
        <f t="shared" si="8"/>
        <v>0.051405</v>
      </c>
      <c r="G32" s="77">
        <f t="shared" si="8"/>
        <v>0.052095</v>
      </c>
      <c r="H32" s="77">
        <f t="shared" si="8"/>
        <v>0.044504999999999996</v>
      </c>
      <c r="I32" s="77">
        <f t="shared" si="8"/>
        <v>0.04577</v>
      </c>
      <c r="J32" s="77">
        <f t="shared" si="8"/>
        <v>0.046345000000000004</v>
      </c>
      <c r="K32" s="77">
        <f t="shared" si="8"/>
        <v>0.08329299999999999</v>
      </c>
      <c r="L32" s="77">
        <f t="shared" si="8"/>
        <v>0.06536299999999999</v>
      </c>
      <c r="M32" s="77">
        <f t="shared" si="8"/>
        <v>0.08329299999999998</v>
      </c>
      <c r="N32" s="77">
        <f t="shared" si="8"/>
        <v>0.08606399999999999</v>
      </c>
    </row>
    <row r="33" spans="2:14" ht="11.25">
      <c r="B33" s="67" t="s">
        <v>53</v>
      </c>
      <c r="C33" s="77">
        <f aca="true" t="shared" si="9" ref="C33:N33">+C$10*C19</f>
        <v>0.013965000000000002</v>
      </c>
      <c r="D33" s="77">
        <f t="shared" si="9"/>
        <v>0.020475</v>
      </c>
      <c r="E33" s="77">
        <f t="shared" si="9"/>
        <v>0.014805000000000002</v>
      </c>
      <c r="F33" s="77">
        <f t="shared" si="9"/>
        <v>0.015645</v>
      </c>
      <c r="G33" s="77">
        <f t="shared" si="9"/>
        <v>0.015855</v>
      </c>
      <c r="H33" s="77">
        <f t="shared" si="9"/>
        <v>0.013545</v>
      </c>
      <c r="I33" s="77">
        <f t="shared" si="9"/>
        <v>0.01393</v>
      </c>
      <c r="J33" s="77">
        <f t="shared" si="9"/>
        <v>0.014105000000000001</v>
      </c>
      <c r="K33" s="77">
        <f t="shared" si="9"/>
        <v>0.010731</v>
      </c>
      <c r="L33" s="77">
        <f t="shared" si="9"/>
        <v>0.008421</v>
      </c>
      <c r="M33" s="77">
        <f t="shared" si="9"/>
        <v>0.010730999999999997</v>
      </c>
      <c r="N33" s="77">
        <f t="shared" si="9"/>
        <v>0.011087999999999997</v>
      </c>
    </row>
    <row r="34" spans="2:14" ht="11.25">
      <c r="B34" s="67" t="s">
        <v>22</v>
      </c>
      <c r="C34" s="77">
        <f aca="true" t="shared" si="10" ref="C34:N34">+C$10*C20</f>
        <v>0.294063</v>
      </c>
      <c r="D34" s="77">
        <f t="shared" si="10"/>
        <v>0.431145</v>
      </c>
      <c r="E34" s="77">
        <f t="shared" si="10"/>
        <v>0.31175100000000006</v>
      </c>
      <c r="F34" s="77">
        <f t="shared" si="10"/>
        <v>0.329439</v>
      </c>
      <c r="G34" s="77">
        <f t="shared" si="10"/>
        <v>0.333861</v>
      </c>
      <c r="H34" s="77">
        <f t="shared" si="10"/>
        <v>0.285219</v>
      </c>
      <c r="I34" s="77">
        <f t="shared" si="10"/>
        <v>0.29332600000000003</v>
      </c>
      <c r="J34" s="77">
        <f t="shared" si="10"/>
        <v>0.297011</v>
      </c>
      <c r="K34" s="77">
        <f t="shared" si="10"/>
        <v>0.63364</v>
      </c>
      <c r="L34" s="77">
        <f t="shared" si="10"/>
        <v>0.49723999999999996</v>
      </c>
      <c r="M34" s="77">
        <f t="shared" si="10"/>
        <v>0.6336399999999999</v>
      </c>
      <c r="N34" s="77">
        <f t="shared" si="10"/>
        <v>0.65472</v>
      </c>
    </row>
    <row r="35" spans="2:14" ht="11.25">
      <c r="B35" s="91" t="s">
        <v>84</v>
      </c>
      <c r="C35" s="77">
        <f aca="true" t="shared" si="11" ref="C35:N35">+C$10*C21</f>
        <v>0.136857</v>
      </c>
      <c r="D35" s="77">
        <f t="shared" si="11"/>
        <v>0.20065499999999997</v>
      </c>
      <c r="E35" s="77">
        <f t="shared" si="11"/>
        <v>0.145089</v>
      </c>
      <c r="F35" s="77">
        <f t="shared" si="11"/>
        <v>0.15332099999999999</v>
      </c>
      <c r="G35" s="77">
        <f t="shared" si="11"/>
        <v>0.155379</v>
      </c>
      <c r="H35" s="77">
        <f t="shared" si="11"/>
        <v>0.13274099999999997</v>
      </c>
      <c r="I35" s="77">
        <f t="shared" si="11"/>
        <v>0.136514</v>
      </c>
      <c r="J35" s="77">
        <f t="shared" si="11"/>
        <v>0.138229</v>
      </c>
      <c r="K35" s="77">
        <f t="shared" si="11"/>
        <v>0</v>
      </c>
      <c r="L35" s="77">
        <f t="shared" si="11"/>
        <v>0</v>
      </c>
      <c r="M35" s="77">
        <f t="shared" si="11"/>
        <v>0</v>
      </c>
      <c r="N35" s="77">
        <f t="shared" si="11"/>
        <v>0</v>
      </c>
    </row>
    <row r="36" spans="2:14" ht="11.25">
      <c r="B36" s="67" t="s">
        <v>54</v>
      </c>
      <c r="C36" s="77">
        <f aca="true" t="shared" si="12" ref="C36:N36">+C$10*C22</f>
        <v>0.749322</v>
      </c>
      <c r="D36" s="77">
        <f t="shared" si="12"/>
        <v>1.09863</v>
      </c>
      <c r="E36" s="77">
        <f t="shared" si="12"/>
        <v>0.794394</v>
      </c>
      <c r="F36" s="77">
        <f t="shared" si="12"/>
        <v>0.8394659999999999</v>
      </c>
      <c r="G36" s="77">
        <f t="shared" si="12"/>
        <v>0.850734</v>
      </c>
      <c r="H36" s="77">
        <f t="shared" si="12"/>
        <v>0.7267859999999999</v>
      </c>
      <c r="I36" s="77">
        <f t="shared" si="12"/>
        <v>0.747444</v>
      </c>
      <c r="J36" s="77">
        <f t="shared" si="12"/>
        <v>0.756834</v>
      </c>
      <c r="K36" s="77">
        <f t="shared" si="12"/>
        <v>1.223845</v>
      </c>
      <c r="L36" s="77">
        <f t="shared" si="12"/>
        <v>0.9603949999999999</v>
      </c>
      <c r="M36" s="77">
        <f t="shared" si="12"/>
        <v>1.2238449999999998</v>
      </c>
      <c r="N36" s="77">
        <f t="shared" si="12"/>
        <v>1.26456</v>
      </c>
    </row>
    <row r="37" spans="2:14" ht="11.25">
      <c r="B37" s="67" t="s">
        <v>55</v>
      </c>
      <c r="C37" s="89">
        <f aca="true" t="shared" si="13" ref="C37:N37">+C$10*C23</f>
        <v>1.5676710000000003</v>
      </c>
      <c r="D37" s="89">
        <f t="shared" si="13"/>
        <v>2.298465</v>
      </c>
      <c r="E37" s="89">
        <f t="shared" si="13"/>
        <v>1.6619670000000002</v>
      </c>
      <c r="F37" s="89">
        <f t="shared" si="13"/>
        <v>1.7562630000000001</v>
      </c>
      <c r="G37" s="89">
        <f t="shared" si="13"/>
        <v>1.7798370000000001</v>
      </c>
      <c r="H37" s="89">
        <f t="shared" si="13"/>
        <v>1.520523</v>
      </c>
      <c r="I37" s="89">
        <f t="shared" si="13"/>
        <v>1.5637420000000002</v>
      </c>
      <c r="J37" s="89">
        <f t="shared" si="13"/>
        <v>1.583387</v>
      </c>
      <c r="K37" s="89">
        <f t="shared" si="13"/>
        <v>1.6500190000000001</v>
      </c>
      <c r="L37" s="89">
        <f t="shared" si="13"/>
        <v>1.294829</v>
      </c>
      <c r="M37" s="89">
        <f t="shared" si="13"/>
        <v>1.650019</v>
      </c>
      <c r="N37" s="89">
        <f t="shared" si="13"/>
        <v>1.704912</v>
      </c>
    </row>
    <row r="38" spans="3:14" ht="11.25">
      <c r="C38" s="77">
        <f>SUM(C27:C37)</f>
        <v>3.99</v>
      </c>
      <c r="D38" s="77">
        <f aca="true" t="shared" si="14" ref="D38:N38">SUM(D27:D37)</f>
        <v>5.85</v>
      </c>
      <c r="E38" s="77">
        <f t="shared" si="14"/>
        <v>4.23</v>
      </c>
      <c r="F38" s="77">
        <f t="shared" si="14"/>
        <v>4.47</v>
      </c>
      <c r="G38" s="77">
        <f t="shared" si="14"/>
        <v>4.53</v>
      </c>
      <c r="H38" s="77">
        <f t="shared" si="14"/>
        <v>3.87</v>
      </c>
      <c r="I38" s="77">
        <f t="shared" si="14"/>
        <v>3.9800000000000004</v>
      </c>
      <c r="J38" s="77">
        <f t="shared" si="14"/>
        <v>4.03</v>
      </c>
      <c r="K38" s="77">
        <f t="shared" si="14"/>
        <v>5.11</v>
      </c>
      <c r="L38" s="77">
        <f t="shared" si="14"/>
        <v>4.01</v>
      </c>
      <c r="M38" s="77">
        <f t="shared" si="14"/>
        <v>5.109999999999999</v>
      </c>
      <c r="N38" s="77">
        <f t="shared" si="14"/>
        <v>5.279999999999999</v>
      </c>
    </row>
    <row r="40" ht="11.25">
      <c r="A40" s="82" t="s">
        <v>57</v>
      </c>
    </row>
    <row r="41" spans="2:14" ht="11.25">
      <c r="B41" s="67" t="s">
        <v>23</v>
      </c>
      <c r="C41" s="93">
        <v>1</v>
      </c>
      <c r="D41" s="94">
        <v>1</v>
      </c>
      <c r="E41" s="94">
        <v>1</v>
      </c>
      <c r="F41" s="94">
        <v>1</v>
      </c>
      <c r="G41" s="94">
        <v>1</v>
      </c>
      <c r="H41" s="94">
        <v>1</v>
      </c>
      <c r="I41" s="94">
        <v>1</v>
      </c>
      <c r="J41" s="94">
        <v>1</v>
      </c>
      <c r="K41" s="94">
        <v>1</v>
      </c>
      <c r="L41" s="94">
        <v>1</v>
      </c>
      <c r="M41" s="94">
        <v>1</v>
      </c>
      <c r="N41" s="94">
        <v>1</v>
      </c>
    </row>
    <row r="42" spans="2:14" ht="11.25">
      <c r="B42" s="67" t="s">
        <v>27</v>
      </c>
      <c r="C42" s="93">
        <v>1</v>
      </c>
      <c r="D42" s="94">
        <v>1</v>
      </c>
      <c r="E42" s="94">
        <v>1</v>
      </c>
      <c r="F42" s="94">
        <v>1</v>
      </c>
      <c r="G42" s="94">
        <v>1</v>
      </c>
      <c r="H42" s="94">
        <v>1</v>
      </c>
      <c r="I42" s="94">
        <v>1</v>
      </c>
      <c r="J42" s="94">
        <v>1</v>
      </c>
      <c r="K42" s="94">
        <v>1</v>
      </c>
      <c r="L42" s="94">
        <v>1</v>
      </c>
      <c r="M42" s="94">
        <v>1</v>
      </c>
      <c r="N42" s="94">
        <v>1</v>
      </c>
    </row>
    <row r="43" spans="2:14" ht="11.25">
      <c r="B43" s="67" t="s">
        <v>49</v>
      </c>
      <c r="C43" s="93">
        <v>1</v>
      </c>
      <c r="D43" s="94">
        <v>1</v>
      </c>
      <c r="E43" s="94">
        <v>1</v>
      </c>
      <c r="F43" s="94">
        <v>1</v>
      </c>
      <c r="G43" s="94">
        <v>1</v>
      </c>
      <c r="H43" s="94">
        <v>1</v>
      </c>
      <c r="I43" s="94">
        <v>1</v>
      </c>
      <c r="J43" s="94">
        <v>1</v>
      </c>
      <c r="K43" s="94">
        <v>1</v>
      </c>
      <c r="L43" s="94">
        <v>1</v>
      </c>
      <c r="M43" s="94">
        <v>1</v>
      </c>
      <c r="N43" s="94">
        <v>1</v>
      </c>
    </row>
    <row r="44" spans="2:14" ht="11.25">
      <c r="B44" s="67" t="s">
        <v>50</v>
      </c>
      <c r="C44" s="93">
        <v>1</v>
      </c>
      <c r="D44" s="94">
        <v>1</v>
      </c>
      <c r="E44" s="94">
        <v>1</v>
      </c>
      <c r="F44" s="94">
        <v>1</v>
      </c>
      <c r="G44" s="94">
        <v>1</v>
      </c>
      <c r="H44" s="94">
        <v>1</v>
      </c>
      <c r="I44" s="94">
        <v>1</v>
      </c>
      <c r="J44" s="94">
        <v>1</v>
      </c>
      <c r="K44" s="94">
        <v>1</v>
      </c>
      <c r="L44" s="94">
        <v>1</v>
      </c>
      <c r="M44" s="94">
        <v>1</v>
      </c>
      <c r="N44" s="94">
        <v>1</v>
      </c>
    </row>
    <row r="45" spans="2:14" ht="11.25">
      <c r="B45" s="67" t="s">
        <v>51</v>
      </c>
      <c r="C45" s="93">
        <v>1</v>
      </c>
      <c r="D45" s="94">
        <v>1</v>
      </c>
      <c r="E45" s="94">
        <v>1</v>
      </c>
      <c r="F45" s="94">
        <v>1</v>
      </c>
      <c r="G45" s="94">
        <v>1</v>
      </c>
      <c r="H45" s="94">
        <v>1</v>
      </c>
      <c r="I45" s="94">
        <v>1</v>
      </c>
      <c r="J45" s="94">
        <v>1</v>
      </c>
      <c r="K45" s="94">
        <v>1</v>
      </c>
      <c r="L45" s="94">
        <v>1</v>
      </c>
      <c r="M45" s="94">
        <v>1</v>
      </c>
      <c r="N45" s="94">
        <v>1</v>
      </c>
    </row>
    <row r="46" spans="2:14" ht="11.25">
      <c r="B46" s="67" t="s">
        <v>52</v>
      </c>
      <c r="C46" s="93">
        <v>1</v>
      </c>
      <c r="D46" s="94">
        <v>1</v>
      </c>
      <c r="E46" s="94">
        <v>1</v>
      </c>
      <c r="F46" s="94">
        <v>1</v>
      </c>
      <c r="G46" s="94">
        <v>1</v>
      </c>
      <c r="H46" s="94">
        <v>1</v>
      </c>
      <c r="I46" s="94">
        <v>1</v>
      </c>
      <c r="J46" s="94">
        <v>1</v>
      </c>
      <c r="K46" s="94">
        <v>1</v>
      </c>
      <c r="L46" s="94">
        <v>1</v>
      </c>
      <c r="M46" s="94">
        <v>1</v>
      </c>
      <c r="N46" s="94">
        <v>1</v>
      </c>
    </row>
    <row r="47" spans="2:14" ht="11.25">
      <c r="B47" s="67" t="s">
        <v>53</v>
      </c>
      <c r="C47" s="93">
        <v>1</v>
      </c>
      <c r="D47" s="94">
        <v>1</v>
      </c>
      <c r="E47" s="94">
        <v>1</v>
      </c>
      <c r="F47" s="94">
        <v>1</v>
      </c>
      <c r="G47" s="94">
        <v>1</v>
      </c>
      <c r="H47" s="94">
        <v>1</v>
      </c>
      <c r="I47" s="94">
        <v>1</v>
      </c>
      <c r="J47" s="94">
        <v>1</v>
      </c>
      <c r="K47" s="94">
        <v>1</v>
      </c>
      <c r="L47" s="94">
        <v>1</v>
      </c>
      <c r="M47" s="94">
        <v>1</v>
      </c>
      <c r="N47" s="94">
        <v>1</v>
      </c>
    </row>
    <row r="48" spans="2:14" ht="11.25">
      <c r="B48" s="67" t="s">
        <v>22</v>
      </c>
      <c r="C48" s="93">
        <v>1</v>
      </c>
      <c r="D48" s="94">
        <v>1</v>
      </c>
      <c r="E48" s="94">
        <v>1</v>
      </c>
      <c r="F48" s="94">
        <v>1</v>
      </c>
      <c r="G48" s="94">
        <v>1</v>
      </c>
      <c r="H48" s="94">
        <v>1</v>
      </c>
      <c r="I48" s="94">
        <v>1</v>
      </c>
      <c r="J48" s="94">
        <v>1</v>
      </c>
      <c r="K48" s="94">
        <v>1</v>
      </c>
      <c r="L48" s="94">
        <v>1</v>
      </c>
      <c r="M48" s="94">
        <v>1</v>
      </c>
      <c r="N48" s="94">
        <v>1</v>
      </c>
    </row>
    <row r="49" spans="2:14" ht="11.25">
      <c r="B49" s="91" t="s">
        <v>84</v>
      </c>
      <c r="C49" s="93">
        <v>1</v>
      </c>
      <c r="D49" s="94">
        <v>1</v>
      </c>
      <c r="E49" s="94">
        <v>1</v>
      </c>
      <c r="F49" s="94">
        <v>1</v>
      </c>
      <c r="G49" s="94">
        <v>1</v>
      </c>
      <c r="H49" s="94">
        <v>1</v>
      </c>
      <c r="I49" s="94">
        <v>1</v>
      </c>
      <c r="J49" s="94">
        <v>1</v>
      </c>
      <c r="K49" s="94">
        <v>1</v>
      </c>
      <c r="L49" s="94">
        <v>1</v>
      </c>
      <c r="M49" s="94">
        <v>1</v>
      </c>
      <c r="N49" s="94">
        <v>1</v>
      </c>
    </row>
    <row r="50" spans="2:14" ht="11.25">
      <c r="B50" s="67" t="s">
        <v>54</v>
      </c>
      <c r="C50" s="93">
        <v>1</v>
      </c>
      <c r="D50" s="94">
        <v>1</v>
      </c>
      <c r="E50" s="94">
        <v>1</v>
      </c>
      <c r="F50" s="94">
        <v>1</v>
      </c>
      <c r="G50" s="94">
        <v>1</v>
      </c>
      <c r="H50" s="94">
        <v>1</v>
      </c>
      <c r="I50" s="94">
        <v>1</v>
      </c>
      <c r="J50" s="94">
        <v>1</v>
      </c>
      <c r="K50" s="94">
        <v>1</v>
      </c>
      <c r="L50" s="94">
        <v>1</v>
      </c>
      <c r="M50" s="94">
        <v>1</v>
      </c>
      <c r="N50" s="94">
        <v>1</v>
      </c>
    </row>
    <row r="51" spans="3:14" ht="14.25" customHeight="1">
      <c r="C51" s="92"/>
      <c r="D51" s="94"/>
      <c r="E51" s="94"/>
      <c r="F51" s="94"/>
      <c r="G51" s="94"/>
      <c r="H51" s="94"/>
      <c r="I51" s="94"/>
      <c r="J51" s="94"/>
      <c r="K51" s="94"/>
      <c r="L51" s="94"/>
      <c r="M51" s="94"/>
      <c r="N51" s="94"/>
    </row>
    <row r="52" spans="1:14" ht="11.25">
      <c r="A52" s="67" t="s">
        <v>55</v>
      </c>
      <c r="C52" s="92">
        <f>+C65/C37</f>
        <v>1</v>
      </c>
      <c r="D52" s="94">
        <v>1</v>
      </c>
      <c r="E52" s="94">
        <v>1</v>
      </c>
      <c r="F52" s="94">
        <v>1</v>
      </c>
      <c r="G52" s="94">
        <v>1</v>
      </c>
      <c r="H52" s="94">
        <v>1</v>
      </c>
      <c r="I52" s="94">
        <v>1</v>
      </c>
      <c r="J52" s="94">
        <v>1</v>
      </c>
      <c r="K52" s="94">
        <v>1</v>
      </c>
      <c r="L52" s="94">
        <v>1</v>
      </c>
      <c r="M52" s="94">
        <v>1</v>
      </c>
      <c r="N52" s="94">
        <v>1</v>
      </c>
    </row>
    <row r="53" spans="12:14" ht="11.25">
      <c r="L53" s="92"/>
      <c r="N53" s="94"/>
    </row>
    <row r="54" spans="1:14" ht="11.25">
      <c r="A54" s="82" t="s">
        <v>58</v>
      </c>
      <c r="L54" s="92"/>
      <c r="N54" s="94"/>
    </row>
    <row r="55" spans="2:14" ht="11.25">
      <c r="B55" s="67" t="s">
        <v>23</v>
      </c>
      <c r="C55" s="77">
        <f>+C27*C41</f>
        <v>0</v>
      </c>
      <c r="D55" s="77">
        <f aca="true" t="shared" si="15" ref="D55:N55">+D27*D41</f>
        <v>0</v>
      </c>
      <c r="E55" s="77">
        <f t="shared" si="15"/>
        <v>0</v>
      </c>
      <c r="F55" s="77">
        <f t="shared" si="15"/>
        <v>0</v>
      </c>
      <c r="G55" s="77">
        <f t="shared" si="15"/>
        <v>0</v>
      </c>
      <c r="H55" s="77">
        <f t="shared" si="15"/>
        <v>0</v>
      </c>
      <c r="I55" s="77">
        <f t="shared" si="15"/>
        <v>0</v>
      </c>
      <c r="J55" s="77">
        <f t="shared" si="15"/>
        <v>0</v>
      </c>
      <c r="K55" s="77">
        <f t="shared" si="15"/>
        <v>0</v>
      </c>
      <c r="L55" s="77">
        <f t="shared" si="15"/>
        <v>0</v>
      </c>
      <c r="M55" s="77">
        <f t="shared" si="15"/>
        <v>0</v>
      </c>
      <c r="N55" s="77">
        <f t="shared" si="15"/>
        <v>0</v>
      </c>
    </row>
    <row r="56" spans="2:14" ht="11.25">
      <c r="B56" s="67" t="s">
        <v>27</v>
      </c>
      <c r="C56" s="77">
        <f aca="true" t="shared" si="16" ref="C56:N56">+C28*C42</f>
        <v>0.8726130000000001</v>
      </c>
      <c r="D56" s="77">
        <f t="shared" si="16"/>
        <v>1.279395</v>
      </c>
      <c r="E56" s="77">
        <f t="shared" si="16"/>
        <v>0.9251010000000001</v>
      </c>
      <c r="F56" s="77">
        <f t="shared" si="16"/>
        <v>0.9775889999999999</v>
      </c>
      <c r="G56" s="77">
        <f t="shared" si="16"/>
        <v>0.9907110000000001</v>
      </c>
      <c r="H56" s="77">
        <f t="shared" si="16"/>
        <v>0.8463689999999999</v>
      </c>
      <c r="I56" s="77">
        <f t="shared" si="16"/>
        <v>0.870426</v>
      </c>
      <c r="J56" s="77">
        <f t="shared" si="16"/>
        <v>0.8813610000000001</v>
      </c>
      <c r="K56" s="77">
        <f t="shared" si="16"/>
        <v>1.2534830000000001</v>
      </c>
      <c r="L56" s="77">
        <f t="shared" si="16"/>
        <v>0.9836529999999999</v>
      </c>
      <c r="M56" s="77">
        <f t="shared" si="16"/>
        <v>1.253483</v>
      </c>
      <c r="N56" s="77">
        <f t="shared" si="16"/>
        <v>1.295184</v>
      </c>
    </row>
    <row r="57" spans="2:14" ht="11.25">
      <c r="B57" s="67" t="s">
        <v>49</v>
      </c>
      <c r="C57" s="77">
        <f aca="true" t="shared" si="17" ref="C57:N57">+C29*C43</f>
        <v>0</v>
      </c>
      <c r="D57" s="77">
        <f t="shared" si="17"/>
        <v>0</v>
      </c>
      <c r="E57" s="77">
        <f t="shared" si="17"/>
        <v>0</v>
      </c>
      <c r="F57" s="77">
        <f t="shared" si="17"/>
        <v>0</v>
      </c>
      <c r="G57" s="77">
        <f t="shared" si="17"/>
        <v>0</v>
      </c>
      <c r="H57" s="77">
        <f t="shared" si="17"/>
        <v>0</v>
      </c>
      <c r="I57" s="77">
        <f t="shared" si="17"/>
        <v>0</v>
      </c>
      <c r="J57" s="77">
        <f t="shared" si="17"/>
        <v>0</v>
      </c>
      <c r="K57" s="77">
        <f t="shared" si="17"/>
        <v>0</v>
      </c>
      <c r="L57" s="77">
        <f t="shared" si="17"/>
        <v>0</v>
      </c>
      <c r="M57" s="77">
        <f t="shared" si="17"/>
        <v>0</v>
      </c>
      <c r="N57" s="77">
        <f t="shared" si="17"/>
        <v>0</v>
      </c>
    </row>
    <row r="58" spans="2:14" ht="11.25">
      <c r="B58" s="67" t="s">
        <v>50</v>
      </c>
      <c r="C58" s="77">
        <f aca="true" t="shared" si="18" ref="C58:N58">+C30*C44</f>
        <v>0.071421</v>
      </c>
      <c r="D58" s="77">
        <f t="shared" si="18"/>
        <v>0.10471499999999999</v>
      </c>
      <c r="E58" s="77">
        <f t="shared" si="18"/>
        <v>0.075717</v>
      </c>
      <c r="F58" s="77">
        <f t="shared" si="18"/>
        <v>0.08001299999999999</v>
      </c>
      <c r="G58" s="77">
        <f t="shared" si="18"/>
        <v>0.081087</v>
      </c>
      <c r="H58" s="77">
        <f t="shared" si="18"/>
        <v>0.06927299999999999</v>
      </c>
      <c r="I58" s="77">
        <f t="shared" si="18"/>
        <v>0.071242</v>
      </c>
      <c r="J58" s="77">
        <f t="shared" si="18"/>
        <v>0.072137</v>
      </c>
      <c r="K58" s="77">
        <f t="shared" si="18"/>
        <v>0.072051</v>
      </c>
      <c r="L58" s="77">
        <f t="shared" si="18"/>
        <v>0.056540999999999994</v>
      </c>
      <c r="M58" s="77">
        <f t="shared" si="18"/>
        <v>0.07205099999999999</v>
      </c>
      <c r="N58" s="77">
        <f t="shared" si="18"/>
        <v>0.07444799999999999</v>
      </c>
    </row>
    <row r="59" spans="2:14" ht="11.25">
      <c r="B59" s="67" t="s">
        <v>51</v>
      </c>
      <c r="C59" s="77">
        <f aca="true" t="shared" si="19" ref="C59:N59">+C31*C45</f>
        <v>0.23820300000000003</v>
      </c>
      <c r="D59" s="77">
        <f t="shared" si="19"/>
        <v>0.34924499999999997</v>
      </c>
      <c r="E59" s="77">
        <f t="shared" si="19"/>
        <v>0.25253100000000006</v>
      </c>
      <c r="F59" s="77">
        <f t="shared" si="19"/>
        <v>0.266859</v>
      </c>
      <c r="G59" s="77">
        <f t="shared" si="19"/>
        <v>0.27044100000000004</v>
      </c>
      <c r="H59" s="77">
        <f t="shared" si="19"/>
        <v>0.231039</v>
      </c>
      <c r="I59" s="77">
        <f t="shared" si="19"/>
        <v>0.237606</v>
      </c>
      <c r="J59" s="77">
        <f t="shared" si="19"/>
        <v>0.24059100000000003</v>
      </c>
      <c r="K59" s="77">
        <f t="shared" si="19"/>
        <v>0.18293800000000002</v>
      </c>
      <c r="L59" s="77">
        <f t="shared" si="19"/>
        <v>0.143558</v>
      </c>
      <c r="M59" s="77">
        <f t="shared" si="19"/>
        <v>0.18293799999999996</v>
      </c>
      <c r="N59" s="77">
        <f t="shared" si="19"/>
        <v>0.18902399999999997</v>
      </c>
    </row>
    <row r="60" spans="2:14" ht="11.25">
      <c r="B60" s="67" t="s">
        <v>52</v>
      </c>
      <c r="C60" s="95">
        <f aca="true" t="shared" si="20" ref="C60:N60">+C32*C46</f>
        <v>0.045885</v>
      </c>
      <c r="D60" s="95">
        <f t="shared" si="20"/>
        <v>0.067275</v>
      </c>
      <c r="E60" s="95">
        <f t="shared" si="20"/>
        <v>0.048645</v>
      </c>
      <c r="F60" s="95">
        <f t="shared" si="20"/>
        <v>0.051405</v>
      </c>
      <c r="G60" s="95">
        <f t="shared" si="20"/>
        <v>0.052095</v>
      </c>
      <c r="H60" s="95">
        <f t="shared" si="20"/>
        <v>0.044504999999999996</v>
      </c>
      <c r="I60" s="95">
        <f t="shared" si="20"/>
        <v>0.04577</v>
      </c>
      <c r="J60" s="95">
        <f t="shared" si="20"/>
        <v>0.046345000000000004</v>
      </c>
      <c r="K60" s="95">
        <f t="shared" si="20"/>
        <v>0.08329299999999999</v>
      </c>
      <c r="L60" s="95">
        <f t="shared" si="20"/>
        <v>0.06536299999999999</v>
      </c>
      <c r="M60" s="95">
        <f t="shared" si="20"/>
        <v>0.08329299999999998</v>
      </c>
      <c r="N60" s="95">
        <f t="shared" si="20"/>
        <v>0.08606399999999999</v>
      </c>
    </row>
    <row r="61" spans="2:14" ht="11.25">
      <c r="B61" s="67" t="s">
        <v>53</v>
      </c>
      <c r="C61" s="77">
        <f aca="true" t="shared" si="21" ref="C61:N61">+C33*C47</f>
        <v>0.013965000000000002</v>
      </c>
      <c r="D61" s="77">
        <f t="shared" si="21"/>
        <v>0.020475</v>
      </c>
      <c r="E61" s="77">
        <f t="shared" si="21"/>
        <v>0.014805000000000002</v>
      </c>
      <c r="F61" s="77">
        <f t="shared" si="21"/>
        <v>0.015645</v>
      </c>
      <c r="G61" s="77">
        <f t="shared" si="21"/>
        <v>0.015855</v>
      </c>
      <c r="H61" s="77">
        <f t="shared" si="21"/>
        <v>0.013545</v>
      </c>
      <c r="I61" s="77">
        <f t="shared" si="21"/>
        <v>0.01393</v>
      </c>
      <c r="J61" s="77">
        <f t="shared" si="21"/>
        <v>0.014105000000000001</v>
      </c>
      <c r="K61" s="77">
        <f t="shared" si="21"/>
        <v>0.010731</v>
      </c>
      <c r="L61" s="77">
        <f t="shared" si="21"/>
        <v>0.008421</v>
      </c>
      <c r="M61" s="77">
        <f t="shared" si="21"/>
        <v>0.010730999999999997</v>
      </c>
      <c r="N61" s="77">
        <f t="shared" si="21"/>
        <v>0.011087999999999997</v>
      </c>
    </row>
    <row r="62" spans="2:14" ht="11.25">
      <c r="B62" s="67" t="s">
        <v>46</v>
      </c>
      <c r="C62" s="77">
        <f aca="true" t="shared" si="22" ref="C62:N62">+C34*C48</f>
        <v>0.294063</v>
      </c>
      <c r="D62" s="77">
        <f t="shared" si="22"/>
        <v>0.431145</v>
      </c>
      <c r="E62" s="77">
        <f t="shared" si="22"/>
        <v>0.31175100000000006</v>
      </c>
      <c r="F62" s="77">
        <f t="shared" si="22"/>
        <v>0.329439</v>
      </c>
      <c r="G62" s="77">
        <f t="shared" si="22"/>
        <v>0.333861</v>
      </c>
      <c r="H62" s="77">
        <f t="shared" si="22"/>
        <v>0.285219</v>
      </c>
      <c r="I62" s="77">
        <f t="shared" si="22"/>
        <v>0.29332600000000003</v>
      </c>
      <c r="J62" s="77">
        <f t="shared" si="22"/>
        <v>0.297011</v>
      </c>
      <c r="K62" s="77">
        <f t="shared" si="22"/>
        <v>0.63364</v>
      </c>
      <c r="L62" s="77">
        <f t="shared" si="22"/>
        <v>0.49723999999999996</v>
      </c>
      <c r="M62" s="77">
        <f t="shared" si="22"/>
        <v>0.6336399999999999</v>
      </c>
      <c r="N62" s="77">
        <f t="shared" si="22"/>
        <v>0.65472</v>
      </c>
    </row>
    <row r="63" spans="2:14" ht="11.25">
      <c r="B63" s="91" t="s">
        <v>84</v>
      </c>
      <c r="C63" s="77">
        <f aca="true" t="shared" si="23" ref="C63:N63">+C35*C49</f>
        <v>0.136857</v>
      </c>
      <c r="D63" s="77">
        <f t="shared" si="23"/>
        <v>0.20065499999999997</v>
      </c>
      <c r="E63" s="77">
        <f t="shared" si="23"/>
        <v>0.145089</v>
      </c>
      <c r="F63" s="77">
        <f t="shared" si="23"/>
        <v>0.15332099999999999</v>
      </c>
      <c r="G63" s="77">
        <f t="shared" si="23"/>
        <v>0.155379</v>
      </c>
      <c r="H63" s="77">
        <f t="shared" si="23"/>
        <v>0.13274099999999997</v>
      </c>
      <c r="I63" s="77">
        <f t="shared" si="23"/>
        <v>0.136514</v>
      </c>
      <c r="J63" s="77">
        <f t="shared" si="23"/>
        <v>0.138229</v>
      </c>
      <c r="K63" s="77">
        <f t="shared" si="23"/>
        <v>0</v>
      </c>
      <c r="L63" s="77">
        <f t="shared" si="23"/>
        <v>0</v>
      </c>
      <c r="M63" s="77">
        <f t="shared" si="23"/>
        <v>0</v>
      </c>
      <c r="N63" s="77">
        <f t="shared" si="23"/>
        <v>0</v>
      </c>
    </row>
    <row r="64" spans="2:14" ht="11.25">
      <c r="B64" s="67" t="s">
        <v>54</v>
      </c>
      <c r="C64" s="77">
        <f aca="true" t="shared" si="24" ref="C64:N64">+C36*C50</f>
        <v>0.749322</v>
      </c>
      <c r="D64" s="77">
        <f t="shared" si="24"/>
        <v>1.09863</v>
      </c>
      <c r="E64" s="77">
        <f t="shared" si="24"/>
        <v>0.794394</v>
      </c>
      <c r="F64" s="77">
        <f t="shared" si="24"/>
        <v>0.8394659999999999</v>
      </c>
      <c r="G64" s="77">
        <f t="shared" si="24"/>
        <v>0.850734</v>
      </c>
      <c r="H64" s="77">
        <f t="shared" si="24"/>
        <v>0.7267859999999999</v>
      </c>
      <c r="I64" s="77">
        <f t="shared" si="24"/>
        <v>0.747444</v>
      </c>
      <c r="J64" s="77">
        <f t="shared" si="24"/>
        <v>0.756834</v>
      </c>
      <c r="K64" s="77">
        <f t="shared" si="24"/>
        <v>1.223845</v>
      </c>
      <c r="L64" s="77">
        <f t="shared" si="24"/>
        <v>0.9603949999999999</v>
      </c>
      <c r="M64" s="77">
        <f t="shared" si="24"/>
        <v>1.2238449999999998</v>
      </c>
      <c r="N64" s="77">
        <f t="shared" si="24"/>
        <v>1.26456</v>
      </c>
    </row>
    <row r="65" spans="2:14" ht="11.25">
      <c r="B65" s="67" t="s">
        <v>55</v>
      </c>
      <c r="C65" s="89">
        <f aca="true" t="shared" si="25" ref="C65:N65">+C7-SUM(C55:C64)</f>
        <v>1.5676710000000003</v>
      </c>
      <c r="D65" s="89">
        <f t="shared" si="25"/>
        <v>2.2984649999999998</v>
      </c>
      <c r="E65" s="89">
        <f t="shared" si="25"/>
        <v>1.6619670000000002</v>
      </c>
      <c r="F65" s="89">
        <f t="shared" si="25"/>
        <v>1.7562630000000001</v>
      </c>
      <c r="G65" s="89">
        <f t="shared" si="25"/>
        <v>1.7798370000000001</v>
      </c>
      <c r="H65" s="89">
        <f t="shared" si="25"/>
        <v>1.5205229999999998</v>
      </c>
      <c r="I65" s="89">
        <f t="shared" si="25"/>
        <v>1.563742</v>
      </c>
      <c r="J65" s="89">
        <f t="shared" si="25"/>
        <v>1.583387</v>
      </c>
      <c r="K65" s="89">
        <f t="shared" si="25"/>
        <v>1.6500190000000003</v>
      </c>
      <c r="L65" s="89">
        <f t="shared" si="25"/>
        <v>1.294829</v>
      </c>
      <c r="M65" s="89">
        <f t="shared" si="25"/>
        <v>1.6500189999999995</v>
      </c>
      <c r="N65" s="89">
        <f t="shared" si="25"/>
        <v>1.7049119999999998</v>
      </c>
    </row>
    <row r="66" spans="3:14" ht="11.25">
      <c r="C66" s="77">
        <f aca="true" t="shared" si="26" ref="C66:N66">SUM(C55:C65)</f>
        <v>3.99</v>
      </c>
      <c r="D66" s="77">
        <f t="shared" si="26"/>
        <v>5.85</v>
      </c>
      <c r="E66" s="77">
        <f t="shared" si="26"/>
        <v>4.23</v>
      </c>
      <c r="F66" s="77">
        <f t="shared" si="26"/>
        <v>4.47</v>
      </c>
      <c r="G66" s="77">
        <f t="shared" si="26"/>
        <v>4.53</v>
      </c>
      <c r="H66" s="77">
        <f t="shared" si="26"/>
        <v>3.8699999999999997</v>
      </c>
      <c r="I66" s="77">
        <f t="shared" si="26"/>
        <v>3.98</v>
      </c>
      <c r="J66" s="77">
        <f t="shared" si="26"/>
        <v>4.03</v>
      </c>
      <c r="K66" s="77">
        <f t="shared" si="26"/>
        <v>5.11</v>
      </c>
      <c r="L66" s="77">
        <f t="shared" si="26"/>
        <v>4.01</v>
      </c>
      <c r="M66" s="77">
        <f t="shared" si="26"/>
        <v>5.109999999999999</v>
      </c>
      <c r="N66" s="77">
        <f t="shared" si="26"/>
        <v>5.279999999999999</v>
      </c>
    </row>
    <row r="67" ht="7.5" customHeight="1"/>
    <row r="68" spans="1:5" ht="11.25">
      <c r="A68" s="96" t="s">
        <v>59</v>
      </c>
      <c r="C68" s="67">
        <v>0.8</v>
      </c>
      <c r="E68" s="67" t="s">
        <v>68</v>
      </c>
    </row>
    <row r="69" spans="2:14" ht="11.25">
      <c r="B69" s="67" t="s">
        <v>23</v>
      </c>
      <c r="C69" s="171">
        <v>0</v>
      </c>
      <c r="D69" s="171">
        <v>0</v>
      </c>
      <c r="E69" s="171">
        <v>0</v>
      </c>
      <c r="F69" s="171">
        <v>0</v>
      </c>
      <c r="G69" s="172">
        <v>0</v>
      </c>
      <c r="H69" s="172">
        <v>0</v>
      </c>
      <c r="I69" s="171">
        <v>0</v>
      </c>
      <c r="J69" s="171">
        <v>0</v>
      </c>
      <c r="K69" s="171">
        <v>0</v>
      </c>
      <c r="L69" s="173">
        <v>0</v>
      </c>
      <c r="M69" s="173">
        <v>0</v>
      </c>
      <c r="N69" s="173">
        <v>0</v>
      </c>
    </row>
    <row r="70" spans="2:14" ht="11.25">
      <c r="B70" s="67" t="s">
        <v>27</v>
      </c>
      <c r="C70" s="171">
        <v>93.74400000000001</v>
      </c>
      <c r="D70" s="171">
        <v>66</v>
      </c>
      <c r="E70" s="171">
        <v>60.455999999999996</v>
      </c>
      <c r="F70" s="171">
        <v>67.616</v>
      </c>
      <c r="G70" s="172">
        <v>72.424</v>
      </c>
      <c r="H70" s="172">
        <v>70.056</v>
      </c>
      <c r="I70" s="171">
        <v>77.656</v>
      </c>
      <c r="J70" s="171">
        <v>100.176</v>
      </c>
      <c r="K70" s="171">
        <v>97.024</v>
      </c>
      <c r="L70" s="171">
        <v>98.904</v>
      </c>
      <c r="M70" s="171">
        <v>103.26400000000001</v>
      </c>
      <c r="N70" s="171">
        <v>118.68800000000002</v>
      </c>
    </row>
    <row r="71" spans="2:14" ht="11.25">
      <c r="B71" s="67" t="s">
        <v>49</v>
      </c>
      <c r="C71" s="171">
        <v>0</v>
      </c>
      <c r="D71" s="171">
        <v>0</v>
      </c>
      <c r="E71" s="171">
        <v>0</v>
      </c>
      <c r="F71" s="171">
        <v>0</v>
      </c>
      <c r="G71" s="171">
        <v>0</v>
      </c>
      <c r="H71" s="171">
        <v>0</v>
      </c>
      <c r="I71" s="171">
        <v>0</v>
      </c>
      <c r="J71" s="171">
        <v>0</v>
      </c>
      <c r="K71" s="171">
        <v>0</v>
      </c>
      <c r="L71" s="171">
        <v>0</v>
      </c>
      <c r="M71" s="171">
        <v>0</v>
      </c>
      <c r="N71" s="171">
        <v>0</v>
      </c>
    </row>
    <row r="72" spans="2:14" ht="11.25">
      <c r="B72" s="67" t="s">
        <v>50</v>
      </c>
      <c r="C72" s="171">
        <v>62.992</v>
      </c>
      <c r="D72" s="171">
        <v>67.392</v>
      </c>
      <c r="E72" s="171">
        <v>65.392</v>
      </c>
      <c r="F72" s="171">
        <v>69.128</v>
      </c>
      <c r="G72" s="172">
        <v>83.048</v>
      </c>
      <c r="H72" s="172">
        <v>81.96000000000001</v>
      </c>
      <c r="I72" s="171">
        <v>91.89600000000002</v>
      </c>
      <c r="J72" s="171">
        <v>126.336</v>
      </c>
      <c r="K72" s="171">
        <v>164.872</v>
      </c>
      <c r="L72" s="171">
        <v>134.12</v>
      </c>
      <c r="M72" s="171">
        <v>168.68800000000002</v>
      </c>
      <c r="N72" s="171">
        <v>159.592</v>
      </c>
    </row>
    <row r="73" spans="2:14" ht="11.25">
      <c r="B73" s="67" t="s">
        <v>51</v>
      </c>
      <c r="C73" s="171">
        <v>48.87222780569515</v>
      </c>
      <c r="D73" s="171">
        <v>40.44757788944723</v>
      </c>
      <c r="E73" s="171">
        <v>35.967403685092115</v>
      </c>
      <c r="F73" s="171">
        <v>40.82835510887773</v>
      </c>
      <c r="G73" s="172">
        <v>47.412911222780565</v>
      </c>
      <c r="H73" s="172">
        <v>52.226123953098835</v>
      </c>
      <c r="I73" s="171">
        <v>73.98133333333332</v>
      </c>
      <c r="J73" s="171">
        <v>81.63044556113901</v>
      </c>
      <c r="K73" s="171">
        <v>139.07995530726257</v>
      </c>
      <c r="L73" s="171">
        <v>108.62806703910617</v>
      </c>
      <c r="M73" s="171">
        <v>193.73948603351957</v>
      </c>
      <c r="N73" s="171">
        <v>269.66091620111735</v>
      </c>
    </row>
    <row r="74" spans="2:14" ht="11.25">
      <c r="B74" s="67" t="s">
        <v>52</v>
      </c>
      <c r="C74" s="171">
        <v>628.576</v>
      </c>
      <c r="D74" s="171">
        <v>647.64</v>
      </c>
      <c r="E74" s="171">
        <v>640.5520000000001</v>
      </c>
      <c r="F74" s="171">
        <v>714.288</v>
      </c>
      <c r="G74" s="172">
        <v>707.808</v>
      </c>
      <c r="H74" s="172">
        <v>731.7840000000001</v>
      </c>
      <c r="I74" s="171">
        <v>823.7360000000001</v>
      </c>
      <c r="J74" s="171">
        <v>900.7520000000001</v>
      </c>
      <c r="K74" s="171">
        <v>886.176</v>
      </c>
      <c r="L74" s="171">
        <v>936.9920000000001</v>
      </c>
      <c r="M74" s="171">
        <v>992.5200000000001</v>
      </c>
      <c r="N74" s="171">
        <v>1134.7920000000001</v>
      </c>
    </row>
    <row r="75" spans="2:14" ht="11.25">
      <c r="B75" s="67" t="s">
        <v>53</v>
      </c>
      <c r="C75" s="171">
        <v>36.112</v>
      </c>
      <c r="D75" s="171">
        <v>38.52</v>
      </c>
      <c r="E75" s="171">
        <v>35.304</v>
      </c>
      <c r="F75" s="171">
        <v>42.008</v>
      </c>
      <c r="G75" s="172">
        <v>51.048</v>
      </c>
      <c r="H75" s="172">
        <v>47.248000000000005</v>
      </c>
      <c r="I75" s="171">
        <v>60.304</v>
      </c>
      <c r="J75" s="171">
        <v>82.304</v>
      </c>
      <c r="K75" s="171">
        <v>123.608</v>
      </c>
      <c r="L75" s="171">
        <v>93.80000000000001</v>
      </c>
      <c r="M75" s="171">
        <v>127.28800000000001</v>
      </c>
      <c r="N75" s="171">
        <v>122.96</v>
      </c>
    </row>
    <row r="76" spans="2:14" ht="11.25">
      <c r="B76" s="67" t="s">
        <v>46</v>
      </c>
      <c r="C76" s="171">
        <v>-0.6</v>
      </c>
      <c r="D76" s="171">
        <v>-2.99</v>
      </c>
      <c r="E76" s="171">
        <v>-11.89</v>
      </c>
      <c r="F76" s="171">
        <v>-17.82</v>
      </c>
      <c r="G76" s="172">
        <v>-15.43</v>
      </c>
      <c r="H76" s="172">
        <v>-44.21</v>
      </c>
      <c r="I76" s="171">
        <v>-37.56</v>
      </c>
      <c r="J76" s="171">
        <v>-28.35</v>
      </c>
      <c r="K76" s="171">
        <v>-47.34</v>
      </c>
      <c r="L76" s="171">
        <v>-36.74</v>
      </c>
      <c r="M76" s="171">
        <v>-14.99</v>
      </c>
      <c r="N76" s="171">
        <v>-30.49</v>
      </c>
    </row>
    <row r="77" spans="2:14" ht="11.25">
      <c r="B77" s="91" t="s">
        <v>84</v>
      </c>
      <c r="C77" s="173">
        <v>0</v>
      </c>
      <c r="D77" s="173">
        <v>0</v>
      </c>
      <c r="E77" s="173">
        <v>0</v>
      </c>
      <c r="F77" s="173">
        <v>0</v>
      </c>
      <c r="G77" s="174">
        <v>0</v>
      </c>
      <c r="H77" s="174">
        <v>0</v>
      </c>
      <c r="I77" s="173">
        <v>0</v>
      </c>
      <c r="J77" s="173">
        <v>0</v>
      </c>
      <c r="K77" s="173">
        <v>0</v>
      </c>
      <c r="L77" s="173">
        <v>0</v>
      </c>
      <c r="M77" s="173">
        <v>0</v>
      </c>
      <c r="N77" s="173">
        <v>0</v>
      </c>
    </row>
    <row r="78" spans="2:14" ht="11.25">
      <c r="B78" s="67" t="s">
        <v>54</v>
      </c>
      <c r="C78" s="173">
        <v>-148.79</v>
      </c>
      <c r="D78" s="173">
        <v>-145.38</v>
      </c>
      <c r="E78" s="173">
        <v>-145.38</v>
      </c>
      <c r="F78" s="173">
        <v>-143.68</v>
      </c>
      <c r="G78" s="174">
        <v>-138.17</v>
      </c>
      <c r="H78" s="174">
        <v>-157.08</v>
      </c>
      <c r="I78" s="173">
        <v>-158.25</v>
      </c>
      <c r="J78" s="173">
        <v>-157.86</v>
      </c>
      <c r="K78" s="173">
        <v>-156.08</v>
      </c>
      <c r="L78" s="173">
        <v>-158.08</v>
      </c>
      <c r="M78" s="173">
        <v>-161.64</v>
      </c>
      <c r="N78" s="173">
        <v>-155.82</v>
      </c>
    </row>
    <row r="79" spans="2:15" ht="11.25">
      <c r="B79" s="67" t="s">
        <v>55</v>
      </c>
      <c r="C79" s="171">
        <v>11.344000000000001</v>
      </c>
      <c r="D79" s="171">
        <v>8.28</v>
      </c>
      <c r="E79" s="171">
        <v>4.4159999999999995</v>
      </c>
      <c r="F79" s="171">
        <v>6.816</v>
      </c>
      <c r="G79" s="172">
        <v>17.376</v>
      </c>
      <c r="H79" s="172">
        <v>17.48</v>
      </c>
      <c r="I79" s="171">
        <v>18.976</v>
      </c>
      <c r="J79" s="171">
        <v>21.6</v>
      </c>
      <c r="K79" s="171">
        <v>11.744</v>
      </c>
      <c r="L79" s="171">
        <v>5.808</v>
      </c>
      <c r="M79" s="171">
        <v>26.688000000000002</v>
      </c>
      <c r="N79" s="173">
        <v>36.88</v>
      </c>
      <c r="O79" s="106">
        <f>SUM(C69:N79)</f>
        <v>12112.806803140475</v>
      </c>
    </row>
    <row r="80" ht="7.5" customHeight="1"/>
    <row r="81" ht="11.25">
      <c r="A81" s="82" t="s">
        <v>60</v>
      </c>
    </row>
    <row r="82" spans="2:15" ht="11.25">
      <c r="B82" s="67" t="s">
        <v>23</v>
      </c>
      <c r="C82" s="97">
        <f>+C69*C55</f>
        <v>0</v>
      </c>
      <c r="D82" s="77">
        <f aca="true" t="shared" si="27" ref="D82:N82">+D69*D55</f>
        <v>0</v>
      </c>
      <c r="E82" s="77">
        <f t="shared" si="27"/>
        <v>0</v>
      </c>
      <c r="F82" s="77">
        <f t="shared" si="27"/>
        <v>0</v>
      </c>
      <c r="G82" s="77">
        <f t="shared" si="27"/>
        <v>0</v>
      </c>
      <c r="H82" s="77">
        <f t="shared" si="27"/>
        <v>0</v>
      </c>
      <c r="I82" s="77">
        <f t="shared" si="27"/>
        <v>0</v>
      </c>
      <c r="J82" s="77">
        <f t="shared" si="27"/>
        <v>0</v>
      </c>
      <c r="K82" s="77">
        <f t="shared" si="27"/>
        <v>0</v>
      </c>
      <c r="L82" s="77">
        <f t="shared" si="27"/>
        <v>0</v>
      </c>
      <c r="M82" s="77">
        <f t="shared" si="27"/>
        <v>0</v>
      </c>
      <c r="N82" s="77">
        <f t="shared" si="27"/>
        <v>0</v>
      </c>
      <c r="O82" s="106">
        <f aca="true" t="shared" si="28" ref="O82:O92">SUM(C82:N82)</f>
        <v>0</v>
      </c>
    </row>
    <row r="83" spans="2:15" ht="11.25">
      <c r="B83" s="67" t="s">
        <v>27</v>
      </c>
      <c r="C83" s="97">
        <f aca="true" t="shared" si="29" ref="C83:N83">+C70*C56</f>
        <v>81.80223307200002</v>
      </c>
      <c r="D83" s="77">
        <f t="shared" si="29"/>
        <v>84.44007</v>
      </c>
      <c r="E83" s="77">
        <f t="shared" si="29"/>
        <v>55.927906056</v>
      </c>
      <c r="F83" s="77">
        <f t="shared" si="29"/>
        <v>66.100657824</v>
      </c>
      <c r="G83" s="77">
        <f t="shared" si="29"/>
        <v>71.75125346400002</v>
      </c>
      <c r="H83" s="77">
        <f t="shared" si="29"/>
        <v>59.293226663999995</v>
      </c>
      <c r="I83" s="77">
        <f t="shared" si="29"/>
        <v>67.59380145600001</v>
      </c>
      <c r="J83" s="77">
        <f t="shared" si="29"/>
        <v>88.29121953600001</v>
      </c>
      <c r="K83" s="77">
        <f t="shared" si="29"/>
        <v>121.61793459200001</v>
      </c>
      <c r="L83" s="77">
        <f t="shared" si="29"/>
        <v>97.28721631199998</v>
      </c>
      <c r="M83" s="77">
        <f t="shared" si="29"/>
        <v>129.439668512</v>
      </c>
      <c r="N83" s="77">
        <f t="shared" si="29"/>
        <v>153.722798592</v>
      </c>
      <c r="O83" s="106">
        <f t="shared" si="28"/>
        <v>1077.26798608</v>
      </c>
    </row>
    <row r="84" spans="2:15" ht="11.25">
      <c r="B84" s="67" t="s">
        <v>49</v>
      </c>
      <c r="C84" s="97">
        <f aca="true" t="shared" si="30" ref="C84:N84">+C71*C57</f>
        <v>0</v>
      </c>
      <c r="D84" s="77">
        <f t="shared" si="30"/>
        <v>0</v>
      </c>
      <c r="E84" s="77">
        <f t="shared" si="30"/>
        <v>0</v>
      </c>
      <c r="F84" s="77">
        <f t="shared" si="30"/>
        <v>0</v>
      </c>
      <c r="G84" s="77">
        <f t="shared" si="30"/>
        <v>0</v>
      </c>
      <c r="H84" s="77">
        <f t="shared" si="30"/>
        <v>0</v>
      </c>
      <c r="I84" s="77"/>
      <c r="J84" s="77">
        <f t="shared" si="30"/>
        <v>0</v>
      </c>
      <c r="K84" s="77">
        <f t="shared" si="30"/>
        <v>0</v>
      </c>
      <c r="L84" s="77">
        <f t="shared" si="30"/>
        <v>0</v>
      </c>
      <c r="M84" s="77">
        <f t="shared" si="30"/>
        <v>0</v>
      </c>
      <c r="N84" s="77">
        <f t="shared" si="30"/>
        <v>0</v>
      </c>
      <c r="O84" s="106">
        <f t="shared" si="28"/>
        <v>0</v>
      </c>
    </row>
    <row r="85" spans="2:15" ht="11.25">
      <c r="B85" s="67" t="s">
        <v>50</v>
      </c>
      <c r="C85" s="97">
        <f aca="true" t="shared" si="31" ref="C85:N85">+C72*C58</f>
        <v>4.498951632</v>
      </c>
      <c r="D85" s="77">
        <f t="shared" si="31"/>
        <v>7.056953279999999</v>
      </c>
      <c r="E85" s="77">
        <f t="shared" si="31"/>
        <v>4.9512860640000005</v>
      </c>
      <c r="F85" s="77">
        <f t="shared" si="31"/>
        <v>5.531138663999999</v>
      </c>
      <c r="G85" s="77">
        <f t="shared" si="31"/>
        <v>6.734113176000001</v>
      </c>
      <c r="H85" s="77">
        <f t="shared" si="31"/>
        <v>5.67761508</v>
      </c>
      <c r="I85" s="77">
        <f t="shared" si="31"/>
        <v>6.546854832000001</v>
      </c>
      <c r="J85" s="77">
        <f t="shared" si="31"/>
        <v>9.113500032000001</v>
      </c>
      <c r="K85" s="77">
        <f t="shared" si="31"/>
        <v>11.879192472000002</v>
      </c>
      <c r="L85" s="77">
        <f t="shared" si="31"/>
        <v>7.58327892</v>
      </c>
      <c r="M85" s="77">
        <f t="shared" si="31"/>
        <v>12.154139087999999</v>
      </c>
      <c r="N85" s="77">
        <f t="shared" si="31"/>
        <v>11.881305216</v>
      </c>
      <c r="O85" s="106">
        <f t="shared" si="28"/>
        <v>93.608328456</v>
      </c>
    </row>
    <row r="86" spans="2:15" ht="11.25">
      <c r="B86" s="67" t="s">
        <v>51</v>
      </c>
      <c r="C86" s="97">
        <f aca="true" t="shared" si="32" ref="C86:N86">+C73*C59</f>
        <v>11.641511280000003</v>
      </c>
      <c r="D86" s="77">
        <f t="shared" si="32"/>
        <v>14.126114339999997</v>
      </c>
      <c r="E86" s="77">
        <f t="shared" si="32"/>
        <v>9.08288442</v>
      </c>
      <c r="F86" s="77">
        <f t="shared" si="32"/>
        <v>10.895414016000002</v>
      </c>
      <c r="G86" s="77">
        <f t="shared" si="32"/>
        <v>12.822395124000002</v>
      </c>
      <c r="H86" s="77">
        <f t="shared" si="32"/>
        <v>12.066271452000002</v>
      </c>
      <c r="I86" s="77">
        <f t="shared" si="32"/>
        <v>17.578408688</v>
      </c>
      <c r="J86" s="77">
        <f t="shared" si="32"/>
        <v>19.639550527999997</v>
      </c>
      <c r="K86" s="77">
        <f t="shared" si="32"/>
        <v>25.443008864000003</v>
      </c>
      <c r="L86" s="77">
        <f t="shared" si="32"/>
        <v>15.594428048000003</v>
      </c>
      <c r="M86" s="77">
        <f t="shared" si="32"/>
        <v>35.442314096</v>
      </c>
      <c r="N86" s="77">
        <f t="shared" si="32"/>
        <v>50.972385024</v>
      </c>
      <c r="O86" s="106">
        <f t="shared" si="28"/>
        <v>235.30468588</v>
      </c>
    </row>
    <row r="87" spans="2:15" ht="11.25">
      <c r="B87" s="67" t="s">
        <v>52</v>
      </c>
      <c r="C87" s="97">
        <f aca="true" t="shared" si="33" ref="C87:N87">+C74*C60</f>
        <v>28.842209760000003</v>
      </c>
      <c r="D87" s="77">
        <f t="shared" si="33"/>
        <v>43.569981</v>
      </c>
      <c r="E87" s="77">
        <f t="shared" si="33"/>
        <v>31.159652040000008</v>
      </c>
      <c r="F87" s="77">
        <f t="shared" si="33"/>
        <v>36.71797464</v>
      </c>
      <c r="G87" s="77">
        <f t="shared" si="33"/>
        <v>36.87325776</v>
      </c>
      <c r="H87" s="77">
        <f t="shared" si="33"/>
        <v>32.56804692</v>
      </c>
      <c r="I87" s="77">
        <f t="shared" si="33"/>
        <v>37.70239672</v>
      </c>
      <c r="J87" s="77">
        <f t="shared" si="33"/>
        <v>41.74535144000001</v>
      </c>
      <c r="K87" s="77">
        <f t="shared" si="33"/>
        <v>73.81225756799999</v>
      </c>
      <c r="L87" s="77">
        <f t="shared" si="33"/>
        <v>61.24460809599999</v>
      </c>
      <c r="M87" s="77">
        <f t="shared" si="33"/>
        <v>82.66996835999998</v>
      </c>
      <c r="N87" s="77">
        <f t="shared" si="33"/>
        <v>97.664738688</v>
      </c>
      <c r="O87" s="106">
        <f t="shared" si="28"/>
        <v>604.5704429919999</v>
      </c>
    </row>
    <row r="88" spans="2:15" ht="11.25">
      <c r="B88" s="67" t="s">
        <v>53</v>
      </c>
      <c r="C88" s="97">
        <f aca="true" t="shared" si="34" ref="C88:N88">+C75*C61</f>
        <v>0.50430408</v>
      </c>
      <c r="D88" s="77">
        <f t="shared" si="34"/>
        <v>0.7886970000000001</v>
      </c>
      <c r="E88" s="77">
        <f t="shared" si="34"/>
        <v>0.5226757200000001</v>
      </c>
      <c r="F88" s="77">
        <f t="shared" si="34"/>
        <v>0.65721516</v>
      </c>
      <c r="G88" s="77">
        <f t="shared" si="34"/>
        <v>0.8093660400000001</v>
      </c>
      <c r="H88" s="77">
        <f t="shared" si="34"/>
        <v>0.6399741600000001</v>
      </c>
      <c r="I88" s="77">
        <f t="shared" si="34"/>
        <v>0.84003472</v>
      </c>
      <c r="J88" s="77">
        <f t="shared" si="34"/>
        <v>1.16089792</v>
      </c>
      <c r="K88" s="77">
        <f t="shared" si="34"/>
        <v>1.3264374479999999</v>
      </c>
      <c r="L88" s="77">
        <f t="shared" si="34"/>
        <v>0.7898898000000001</v>
      </c>
      <c r="M88" s="77">
        <f t="shared" si="34"/>
        <v>1.3659275279999998</v>
      </c>
      <c r="N88" s="77">
        <f t="shared" si="34"/>
        <v>1.3633804799999996</v>
      </c>
      <c r="O88" s="106">
        <f t="shared" si="28"/>
        <v>10.768800056</v>
      </c>
    </row>
    <row r="89" spans="2:15" ht="11.25">
      <c r="B89" s="67" t="s">
        <v>46</v>
      </c>
      <c r="C89" s="97">
        <f aca="true" t="shared" si="35" ref="C89:N89">+C76*C62</f>
        <v>-0.1764378</v>
      </c>
      <c r="D89" s="77">
        <f t="shared" si="35"/>
        <v>-1.28912355</v>
      </c>
      <c r="E89" s="77">
        <f t="shared" si="35"/>
        <v>-3.706719390000001</v>
      </c>
      <c r="F89" s="77">
        <f t="shared" si="35"/>
        <v>-5.87060298</v>
      </c>
      <c r="G89" s="77">
        <f t="shared" si="35"/>
        <v>-5.15147523</v>
      </c>
      <c r="H89" s="77">
        <f t="shared" si="35"/>
        <v>-12.60953199</v>
      </c>
      <c r="I89" s="77">
        <f t="shared" si="35"/>
        <v>-11.017324560000002</v>
      </c>
      <c r="J89" s="77">
        <f t="shared" si="35"/>
        <v>-8.420261850000001</v>
      </c>
      <c r="K89" s="77">
        <f t="shared" si="35"/>
        <v>-29.9965176</v>
      </c>
      <c r="L89" s="77">
        <f t="shared" si="35"/>
        <v>-18.2685976</v>
      </c>
      <c r="M89" s="77">
        <f t="shared" si="35"/>
        <v>-9.498263599999998</v>
      </c>
      <c r="N89" s="77">
        <f t="shared" si="35"/>
        <v>-19.9624128</v>
      </c>
      <c r="O89" s="106">
        <f t="shared" si="28"/>
        <v>-125.96726895000002</v>
      </c>
    </row>
    <row r="90" spans="2:15" ht="11.25">
      <c r="B90" s="91" t="s">
        <v>84</v>
      </c>
      <c r="C90" s="97">
        <f aca="true" t="shared" si="36" ref="C90:N90">+C77*C63</f>
        <v>0</v>
      </c>
      <c r="D90" s="77">
        <f t="shared" si="36"/>
        <v>0</v>
      </c>
      <c r="E90" s="77">
        <f t="shared" si="36"/>
        <v>0</v>
      </c>
      <c r="F90" s="77">
        <f t="shared" si="36"/>
        <v>0</v>
      </c>
      <c r="G90" s="77">
        <f t="shared" si="36"/>
        <v>0</v>
      </c>
      <c r="H90" s="77">
        <f t="shared" si="36"/>
        <v>0</v>
      </c>
      <c r="I90" s="77">
        <f t="shared" si="36"/>
        <v>0</v>
      </c>
      <c r="J90" s="77">
        <f t="shared" si="36"/>
        <v>0</v>
      </c>
      <c r="K90" s="77">
        <f t="shared" si="36"/>
        <v>0</v>
      </c>
      <c r="L90" s="77">
        <f t="shared" si="36"/>
        <v>0</v>
      </c>
      <c r="M90" s="77">
        <f t="shared" si="36"/>
        <v>0</v>
      </c>
      <c r="N90" s="77">
        <f t="shared" si="36"/>
        <v>0</v>
      </c>
      <c r="O90" s="106">
        <f t="shared" si="28"/>
        <v>0</v>
      </c>
    </row>
    <row r="91" spans="2:15" ht="11.25">
      <c r="B91" s="67" t="s">
        <v>54</v>
      </c>
      <c r="C91" s="97">
        <f aca="true" t="shared" si="37" ref="C91:N91">+C78*C64</f>
        <v>-111.49162038</v>
      </c>
      <c r="D91" s="77">
        <f t="shared" si="37"/>
        <v>-159.7188294</v>
      </c>
      <c r="E91" s="77">
        <f t="shared" si="37"/>
        <v>-115.48899972000001</v>
      </c>
      <c r="F91" s="77">
        <f t="shared" si="37"/>
        <v>-120.61447488</v>
      </c>
      <c r="G91" s="77">
        <f t="shared" si="37"/>
        <v>-117.54591677999998</v>
      </c>
      <c r="H91" s="77">
        <f t="shared" si="37"/>
        <v>-114.16354488</v>
      </c>
      <c r="I91" s="77">
        <f t="shared" si="37"/>
        <v>-118.283013</v>
      </c>
      <c r="J91" s="77">
        <f t="shared" si="37"/>
        <v>-119.47381524000001</v>
      </c>
      <c r="K91" s="77">
        <f t="shared" si="37"/>
        <v>-191.01772760000003</v>
      </c>
      <c r="L91" s="77">
        <f t="shared" si="37"/>
        <v>-151.8192416</v>
      </c>
      <c r="M91" s="77">
        <f t="shared" si="37"/>
        <v>-197.82230579999995</v>
      </c>
      <c r="N91" s="77">
        <f t="shared" si="37"/>
        <v>-197.04373919999998</v>
      </c>
      <c r="O91" s="106">
        <f t="shared" si="28"/>
        <v>-1714.4832284799998</v>
      </c>
    </row>
    <row r="92" spans="2:15" ht="11.25">
      <c r="B92" s="67" t="s">
        <v>55</v>
      </c>
      <c r="C92" s="98">
        <f aca="true" t="shared" si="38" ref="C92:N92">+C79*C65</f>
        <v>17.783659824000004</v>
      </c>
      <c r="D92" s="89">
        <f t="shared" si="38"/>
        <v>19.031290199999997</v>
      </c>
      <c r="E92" s="89">
        <f t="shared" si="38"/>
        <v>7.339246272</v>
      </c>
      <c r="F92" s="89">
        <f t="shared" si="38"/>
        <v>11.970688608000001</v>
      </c>
      <c r="G92" s="89">
        <f t="shared" si="38"/>
        <v>30.926447712000005</v>
      </c>
      <c r="H92" s="89">
        <f t="shared" si="38"/>
        <v>26.578742039999998</v>
      </c>
      <c r="I92" s="89">
        <f t="shared" si="38"/>
        <v>29.673568191999998</v>
      </c>
      <c r="J92" s="89">
        <f t="shared" si="38"/>
        <v>34.201159200000006</v>
      </c>
      <c r="K92" s="77">
        <f t="shared" si="38"/>
        <v>19.377823136000004</v>
      </c>
      <c r="L92" s="77">
        <f t="shared" si="38"/>
        <v>7.520366832</v>
      </c>
      <c r="M92" s="77">
        <f t="shared" si="38"/>
        <v>44.03570707199999</v>
      </c>
      <c r="N92" s="77">
        <f t="shared" si="38"/>
        <v>62.877154559999994</v>
      </c>
      <c r="O92" s="106">
        <f t="shared" si="28"/>
        <v>311.315853648</v>
      </c>
    </row>
    <row r="93" spans="1:16" ht="11.25">
      <c r="A93" s="82" t="s">
        <v>61</v>
      </c>
      <c r="B93" s="82"/>
      <c r="C93" s="99">
        <f aca="true" t="shared" si="39" ref="C93:N93">SUM(C82:C92)</f>
        <v>33.40481146800003</v>
      </c>
      <c r="D93" s="100">
        <f t="shared" si="39"/>
        <v>8.005152870000014</v>
      </c>
      <c r="E93" s="100">
        <f t="shared" si="39"/>
        <v>-10.212068538000008</v>
      </c>
      <c r="F93" s="100">
        <f t="shared" si="39"/>
        <v>5.388011052000008</v>
      </c>
      <c r="G93" s="100">
        <f t="shared" si="39"/>
        <v>37.219441266000025</v>
      </c>
      <c r="H93" s="100">
        <f t="shared" si="39"/>
        <v>10.050799445999989</v>
      </c>
      <c r="I93" s="100">
        <f t="shared" si="39"/>
        <v>30.634727047999995</v>
      </c>
      <c r="J93" s="100">
        <f t="shared" si="39"/>
        <v>66.25760156600002</v>
      </c>
      <c r="K93" s="105">
        <f t="shared" si="39"/>
        <v>32.44240888</v>
      </c>
      <c r="L93" s="105">
        <f t="shared" si="39"/>
        <v>19.93194880799998</v>
      </c>
      <c r="M93" s="105">
        <f t="shared" si="39"/>
        <v>97.787155256</v>
      </c>
      <c r="N93" s="105">
        <f t="shared" si="39"/>
        <v>161.47561056</v>
      </c>
      <c r="O93" s="106">
        <f>SUM(C93:N93)</f>
        <v>492.3855996820001</v>
      </c>
      <c r="P93" s="106">
        <f>O93/2</f>
        <v>246.19279984100004</v>
      </c>
    </row>
    <row r="94" spans="1:15" ht="11.25">
      <c r="A94" s="82" t="s">
        <v>62</v>
      </c>
      <c r="B94" s="82"/>
      <c r="C94" s="99">
        <f aca="true" t="shared" si="40" ref="C94:N94">+C93/C66</f>
        <v>8.372133200000006</v>
      </c>
      <c r="D94" s="100">
        <f t="shared" si="40"/>
        <v>1.3684022000000025</v>
      </c>
      <c r="E94" s="100">
        <f t="shared" si="40"/>
        <v>-2.4142006000000014</v>
      </c>
      <c r="F94" s="100">
        <f t="shared" si="40"/>
        <v>1.2053716000000019</v>
      </c>
      <c r="G94" s="100">
        <f t="shared" si="40"/>
        <v>8.216212200000005</v>
      </c>
      <c r="H94" s="100">
        <f t="shared" si="40"/>
        <v>2.5971057999999974</v>
      </c>
      <c r="I94" s="100">
        <f t="shared" si="40"/>
        <v>7.6971675999999984</v>
      </c>
      <c r="J94" s="100">
        <f t="shared" si="40"/>
        <v>16.441092200000003</v>
      </c>
      <c r="K94" s="124">
        <f t="shared" si="40"/>
        <v>6.348808</v>
      </c>
      <c r="L94" s="124">
        <f t="shared" si="40"/>
        <v>4.970560799999995</v>
      </c>
      <c r="M94" s="124">
        <f t="shared" si="40"/>
        <v>19.136429600000003</v>
      </c>
      <c r="N94" s="124">
        <f t="shared" si="40"/>
        <v>30.582502000000005</v>
      </c>
      <c r="O94" s="106"/>
    </row>
    <row r="95" ht="7.5" customHeight="1"/>
    <row r="96" spans="1:14" ht="11.25">
      <c r="A96" s="82"/>
      <c r="C96" s="106">
        <v>19.1</v>
      </c>
      <c r="D96" s="106">
        <v>18.32</v>
      </c>
      <c r="E96" s="106">
        <v>16.11</v>
      </c>
      <c r="F96" s="106">
        <v>11.73</v>
      </c>
      <c r="G96" s="106">
        <v>8.9</v>
      </c>
      <c r="H96" s="106">
        <v>1.16</v>
      </c>
      <c r="I96" s="106">
        <v>9.23</v>
      </c>
      <c r="J96" s="106">
        <v>10.44</v>
      </c>
      <c r="K96" s="106">
        <v>0.57</v>
      </c>
      <c r="L96" s="106">
        <v>5.29</v>
      </c>
      <c r="M96" s="106">
        <v>10.42</v>
      </c>
      <c r="N96" s="106">
        <v>6.91</v>
      </c>
    </row>
    <row r="97" spans="3:14" ht="11.25">
      <c r="C97" s="97">
        <f>C94-C96</f>
        <v>-10.727866799999996</v>
      </c>
      <c r="D97" s="97">
        <f aca="true" t="shared" si="41" ref="D97:N97">D94-D96</f>
        <v>-16.9515978</v>
      </c>
      <c r="E97" s="97">
        <f t="shared" si="41"/>
        <v>-18.5242006</v>
      </c>
      <c r="F97" s="97">
        <f t="shared" si="41"/>
        <v>-10.5246284</v>
      </c>
      <c r="G97" s="97">
        <f t="shared" si="41"/>
        <v>-0.6837877999999957</v>
      </c>
      <c r="H97" s="97">
        <f t="shared" si="41"/>
        <v>1.4371057999999974</v>
      </c>
      <c r="I97" s="97">
        <f t="shared" si="41"/>
        <v>-1.532832400000002</v>
      </c>
      <c r="J97" s="97">
        <f t="shared" si="41"/>
        <v>6.001092200000004</v>
      </c>
      <c r="K97" s="97">
        <f t="shared" si="41"/>
        <v>5.778808</v>
      </c>
      <c r="L97" s="97">
        <f t="shared" si="41"/>
        <v>-0.31943920000000503</v>
      </c>
      <c r="M97" s="97">
        <f t="shared" si="41"/>
        <v>8.716429600000003</v>
      </c>
      <c r="N97" s="97">
        <f t="shared" si="41"/>
        <v>23.672502000000005</v>
      </c>
    </row>
    <row r="98" spans="1:10" ht="11.25">
      <c r="A98" s="82"/>
      <c r="B98" s="82"/>
      <c r="C98" s="99"/>
      <c r="D98" s="99"/>
      <c r="E98" s="99"/>
      <c r="F98" s="99"/>
      <c r="G98" s="99"/>
      <c r="H98" s="99"/>
      <c r="I98" s="99"/>
      <c r="J98" s="103"/>
    </row>
    <row r="99" spans="3:10" ht="7.5" customHeight="1">
      <c r="C99" s="102"/>
      <c r="D99" s="102"/>
      <c r="E99" s="102"/>
      <c r="F99" s="102"/>
      <c r="G99" s="102"/>
      <c r="H99" s="102"/>
      <c r="I99" s="102"/>
      <c r="J99" s="102"/>
    </row>
    <row r="100" spans="1:10" ht="11.25">
      <c r="A100" s="82"/>
      <c r="B100" s="82"/>
      <c r="C100" s="103"/>
      <c r="D100" s="103"/>
      <c r="E100" s="103"/>
      <c r="F100" s="103"/>
      <c r="G100" s="103"/>
      <c r="H100" s="103"/>
      <c r="I100" s="103"/>
      <c r="J100" s="103"/>
    </row>
    <row r="101" spans="3:10" ht="7.5" customHeight="1">
      <c r="C101" s="102"/>
      <c r="D101" s="102"/>
      <c r="E101" s="102"/>
      <c r="F101" s="102"/>
      <c r="G101" s="102"/>
      <c r="H101" s="102"/>
      <c r="I101" s="102"/>
      <c r="J101" s="102"/>
    </row>
    <row r="102" spans="1:10" ht="11.25">
      <c r="A102" s="82"/>
      <c r="C102" s="101"/>
      <c r="D102" s="101"/>
      <c r="E102" s="101"/>
      <c r="F102" s="101"/>
      <c r="G102" s="101"/>
      <c r="H102" s="101"/>
      <c r="I102" s="101"/>
      <c r="J102" s="104"/>
    </row>
  </sheetData>
  <sheetProtection/>
  <printOptions/>
  <pageMargins left="0.25" right="0.25" top="0.75" bottom="0.75" header="0.3" footer="0.3"/>
  <pageSetup fitToWidth="0" fitToHeight="1" orientation="portrait" scale="62" r:id="rId3"/>
  <rowBreaks count="1" manualBreakCount="1">
    <brk id="53" max="13" man="1"/>
  </rowBreaks>
  <legacyDrawing r:id="rId2"/>
</worksheet>
</file>

<file path=xl/worksheets/sheet7.xml><?xml version="1.0" encoding="utf-8"?>
<worksheet xmlns="http://schemas.openxmlformats.org/spreadsheetml/2006/main" xmlns:r="http://schemas.openxmlformats.org/officeDocument/2006/relationships">
  <dimension ref="A4:F24"/>
  <sheetViews>
    <sheetView zoomScalePageLayoutView="0" workbookViewId="0" topLeftCell="A1">
      <selection activeCell="H29" sqref="H29"/>
    </sheetView>
  </sheetViews>
  <sheetFormatPr defaultColWidth="9.140625" defaultRowHeight="12.75"/>
  <cols>
    <col min="1" max="1" width="37.7109375" style="0" bestFit="1" customWidth="1"/>
    <col min="2" max="2" width="11.28125" style="0" bestFit="1" customWidth="1"/>
    <col min="3" max="3" width="10.28125" style="0" bestFit="1" customWidth="1"/>
    <col min="4" max="4" width="12.28125" style="0" bestFit="1" customWidth="1"/>
    <col min="5" max="5" width="10.421875" style="0" bestFit="1" customWidth="1"/>
    <col min="6" max="6" width="10.7109375" style="0" bestFit="1" customWidth="1"/>
  </cols>
  <sheetData>
    <row r="3" ht="13.5" thickBot="1"/>
    <row r="4" spans="1:4" ht="13.5" thickBot="1">
      <c r="A4" s="161" t="s">
        <v>91</v>
      </c>
      <c r="B4" s="162"/>
      <c r="C4" s="163">
        <v>7387.225475000014</v>
      </c>
      <c r="D4" s="176"/>
    </row>
    <row r="5" spans="3:4" ht="12.75">
      <c r="C5" s="164"/>
      <c r="D5" s="164"/>
    </row>
    <row r="6" spans="1:6" ht="12.75">
      <c r="A6" s="149" t="s">
        <v>92</v>
      </c>
      <c r="E6" s="149" t="s">
        <v>93</v>
      </c>
      <c r="F6" s="149" t="s">
        <v>94</v>
      </c>
    </row>
    <row r="7" spans="1:6" ht="12.75">
      <c r="A7" s="166" t="s">
        <v>95</v>
      </c>
      <c r="C7" s="164">
        <f>$C$4*(D12/$D$15)</f>
        <v>2367.9943247818615</v>
      </c>
      <c r="D7" s="164"/>
      <c r="E7" s="165">
        <f>C7*E12</f>
        <v>2168.576020259499</v>
      </c>
      <c r="F7" s="177">
        <f>C7*F12</f>
        <v>199.41830452236283</v>
      </c>
    </row>
    <row r="8" spans="1:6" ht="12.75">
      <c r="A8" s="166" t="s">
        <v>96</v>
      </c>
      <c r="C8" s="164">
        <f>$C$4*(D13/$D$15)</f>
        <v>4083.045540539289</v>
      </c>
      <c r="D8" s="164"/>
      <c r="E8" s="165">
        <f>C8*E13</f>
        <v>4053.9820221752716</v>
      </c>
      <c r="F8" s="177">
        <f>C8*F13</f>
        <v>29.063518364017142</v>
      </c>
    </row>
    <row r="9" spans="1:6" ht="12.75">
      <c r="A9" s="166" t="s">
        <v>97</v>
      </c>
      <c r="C9" s="164">
        <f>$C$4*(D14/$D$15)</f>
        <v>936.1856096788639</v>
      </c>
      <c r="D9" s="164"/>
      <c r="E9" s="165">
        <f>C9*E14</f>
        <v>901.0221114684289</v>
      </c>
      <c r="F9" s="177">
        <f>C9*F14</f>
        <v>35.16349821043512</v>
      </c>
    </row>
    <row r="11" spans="1:6" ht="12.75">
      <c r="A11" t="s">
        <v>98</v>
      </c>
      <c r="B11" t="s">
        <v>99</v>
      </c>
      <c r="C11" t="s">
        <v>100</v>
      </c>
      <c r="D11" t="s">
        <v>29</v>
      </c>
      <c r="E11" t="s">
        <v>101</v>
      </c>
      <c r="F11" t="s">
        <v>102</v>
      </c>
    </row>
    <row r="12" spans="1:6" ht="12.75">
      <c r="A12">
        <v>4172</v>
      </c>
      <c r="B12" s="178">
        <v>38221.28186979701</v>
      </c>
      <c r="C12" s="178">
        <v>3514.759526961001</v>
      </c>
      <c r="D12" s="178">
        <f>B12+C12</f>
        <v>41736.04139675801</v>
      </c>
      <c r="E12" s="179">
        <f>B12/$D$12</f>
        <v>0.9157859871388276</v>
      </c>
      <c r="F12" s="179">
        <f>C12/$D$12</f>
        <v>0.08421401286117236</v>
      </c>
    </row>
    <row r="13" spans="1:6" ht="12.75">
      <c r="A13">
        <v>4176</v>
      </c>
      <c r="B13" s="180">
        <v>71451.67525467202</v>
      </c>
      <c r="C13" s="180">
        <v>512.2462469110001</v>
      </c>
      <c r="D13" s="178">
        <f>B13+C13</f>
        <v>71963.92150158303</v>
      </c>
      <c r="E13" s="179">
        <f>B13/$D$13</f>
        <v>0.9928819019833468</v>
      </c>
      <c r="F13" s="179">
        <f>C13/$D$13</f>
        <v>0.007118098016653135</v>
      </c>
    </row>
    <row r="14" spans="1:6" ht="12.75">
      <c r="A14">
        <v>4183</v>
      </c>
      <c r="B14" s="180">
        <v>15880.568525900004</v>
      </c>
      <c r="C14" s="180">
        <v>619.7587560100001</v>
      </c>
      <c r="D14" s="178">
        <f>B14+C14</f>
        <v>16500.327281910002</v>
      </c>
      <c r="E14" s="179">
        <f>B14/$D$14</f>
        <v>0.9624396082925297</v>
      </c>
      <c r="F14" s="179">
        <f>C14/$D$14</f>
        <v>0.0375603917074704</v>
      </c>
    </row>
    <row r="15" spans="4:6" ht="12.75">
      <c r="D15" s="181">
        <f>SUM(D12:D14)</f>
        <v>130200.29018025103</v>
      </c>
      <c r="E15" s="167"/>
      <c r="F15" s="167"/>
    </row>
    <row r="20" spans="1:5" ht="12.75">
      <c r="A20" s="166" t="s">
        <v>109</v>
      </c>
      <c r="E20" s="164">
        <f>+F8</f>
        <v>29.063518364017142</v>
      </c>
    </row>
    <row r="22" spans="1:5" ht="12.75">
      <c r="A22" s="166" t="s">
        <v>20</v>
      </c>
      <c r="E22" s="168">
        <v>3849.9299999999994</v>
      </c>
    </row>
    <row r="24" spans="1:5" ht="12.75">
      <c r="A24" s="166" t="s">
        <v>103</v>
      </c>
      <c r="E24" s="182">
        <f>E20/E22</f>
        <v>0.00754910306525499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Robinson, Kristen</cp:lastModifiedBy>
  <cp:lastPrinted>2019-06-14T17:34:22Z</cp:lastPrinted>
  <dcterms:created xsi:type="dcterms:W3CDTF">2008-05-23T15:47:44Z</dcterms:created>
  <dcterms:modified xsi:type="dcterms:W3CDTF">2021-06-14T18:31:52Z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Fiorito Enterprises Inc. &amp; Rabanco Companies</vt:lpwstr>
  </property>
  <property fmtid="{D5CDD505-2E9C-101B-9397-08002B2CF9AE}" pid="7" name="IsConfidenti">
    <vt:lpwstr>0</vt:lpwstr>
  </property>
  <property fmtid="{D5CDD505-2E9C-101B-9397-08002B2CF9AE}" pid="8" name="IsEFS">
    <vt:lpwstr>0</vt:lpwstr>
  </property>
  <property fmtid="{D5CDD505-2E9C-101B-9397-08002B2CF9AE}" pid="9" name="DocketNumb">
    <vt:lpwstr>210463</vt:lpwstr>
  </property>
  <property fmtid="{D5CDD505-2E9C-101B-9397-08002B2CF9AE}" pid="10" name="Dat">
    <vt:lpwstr>2021-06-14T00:00:00Z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2021-06-14T00:00:00Z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