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66925"/>
  <mc:AlternateContent xmlns:mc="http://schemas.openxmlformats.org/markup-compatibility/2006">
    <mc:Choice Requires="x15">
      <x15ac:absPath xmlns:x15ac="http://schemas.microsoft.com/office/spreadsheetml/2010/11/ac" url="\\cngc-sea-fp1\Data\Dept\Rates\ENERGY EFFICIENCY\CPA 2020\Phase 2\FINAL CPA 2020 Phase 2 Files\E-Filed 06.15.21\"/>
    </mc:Choice>
  </mc:AlternateContent>
  <xr:revisionPtr revIDLastSave="0" documentId="13_ncr:1_{5E961228-0460-4F75-AF8F-58A6FEF8A823}" xr6:coauthVersionLast="45" xr6:coauthVersionMax="45" xr10:uidLastSave="{00000000-0000-0000-0000-000000000000}"/>
  <bookViews>
    <workbookView xWindow="-28920" yWindow="-120" windowWidth="29040" windowHeight="15840" firstSheet="7" activeTab="12" xr2:uid="{78B4EB8C-1C98-4BA4-8952-D0A42100AD17}"/>
  </bookViews>
  <sheets>
    <sheet name="SUMMARY" sheetId="1" r:id="rId1"/>
    <sheet name="NEW FINAL CALCULATION " sheetId="20" r:id="rId2"/>
    <sheet name="INCRM FIXED TRANSPORT" sheetId="2" r:id="rId3"/>
    <sheet name="VARIABLE TRANSPORT" sheetId="3" r:id="rId4"/>
    <sheet name="FUEL" sheetId="13" r:id="rId5"/>
    <sheet name="FIXED STORAGE" sheetId="4" r:id="rId6"/>
    <sheet name="VARIABLE STORAGE" sheetId="5" r:id="rId7"/>
    <sheet name="COMMODITY COST" sheetId="6" r:id="rId8"/>
    <sheet name="CARBON TAX" sheetId="7" r:id="rId9"/>
    <sheet name="NEW CARBON TAX" sheetId="19" r:id="rId10"/>
    <sheet name="Upstream Emissions" sheetId="21" r:id="rId11"/>
    <sheet name="ENVIRONMENTAL ADDER" sheetId="8" r:id="rId12"/>
    <sheet name="DISTRIBUTION SYSTEM" sheetId="9" r:id="rId13"/>
    <sheet name="RISK PREMIUM" sheetId="10" r:id="rId14"/>
    <sheet name="INFLATION" sheetId="11" r:id="rId15"/>
    <sheet name="CARBON SENSITIVITIES ---&gt;" sheetId="14" r:id="rId16"/>
    <sheet name="Cap and Trade" sheetId="16" r:id="rId17"/>
    <sheet name="Market Choice" sheetId="17" r:id="rId18"/>
    <sheet name="Raise Wages" sheetId="18" r:id="rId19"/>
  </sheets>
  <definedNames>
    <definedName name="_xlnm.Print_Area" localSheetId="8">'CARBON TAX'!$A$1:$V$39</definedName>
    <definedName name="_xlnm.Print_Area" localSheetId="12">'DISTRIBUTION SYSTEM'!$A$1:$H$24</definedName>
    <definedName name="_xlnm.Print_Area" localSheetId="5">'FIXED STORAGE'!$A$1:$F$25</definedName>
    <definedName name="_xlnm.Print_Area" localSheetId="4">FUEL!$A$1:$H$47</definedName>
    <definedName name="_xlnm.Print_Area" localSheetId="2">'INCRM FIXED TRANSPORT'!$A$1:$F$33</definedName>
    <definedName name="_xlnm.Print_Area" localSheetId="14">INFLATION!$A$1:$B$51</definedName>
    <definedName name="_xlnm.Print_Area" localSheetId="9">'NEW CARBON TAX'!$A$1:$V$39</definedName>
    <definedName name="_xlnm.Print_Area" localSheetId="1">'NEW FINAL CALCULATION '!$A$1:$V$48</definedName>
    <definedName name="_xlnm.Print_Area" localSheetId="6">'VARIABLE STORAGE'!$A$1:$E$25</definedName>
    <definedName name="_xlnm.Print_Area" localSheetId="3">'VARIABLE TRANSPORT'!$A$1:$J$35</definedName>
  </definedNames>
  <calcPr calcId="191029" iterate="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21" l="1"/>
  <c r="G24" i="21" s="1"/>
  <c r="G3" i="21"/>
  <c r="C2" i="21"/>
  <c r="G27" i="21" l="1"/>
  <c r="F27" i="21"/>
  <c r="H27" i="21" s="1"/>
  <c r="I27" i="21" l="1"/>
  <c r="E3" i="21"/>
  <c r="F3" i="21" s="1"/>
  <c r="H3" i="21" s="1"/>
  <c r="N37" i="19" s="1"/>
  <c r="J6" i="19" s="1"/>
  <c r="H38" i="19"/>
  <c r="B38" i="19"/>
  <c r="R25" i="19"/>
  <c r="N25" i="19"/>
  <c r="J25" i="19"/>
  <c r="C25" i="19" s="1"/>
  <c r="B25" i="19"/>
  <c r="N24" i="19"/>
  <c r="J24" i="19"/>
  <c r="B24" i="19" s="1"/>
  <c r="C24" i="19"/>
  <c r="R23" i="19"/>
  <c r="N23" i="19"/>
  <c r="J23" i="19"/>
  <c r="C23" i="19" s="1"/>
  <c r="R22" i="19"/>
  <c r="J22" i="19"/>
  <c r="C22" i="19" s="1"/>
  <c r="R21" i="19"/>
  <c r="N21" i="19"/>
  <c r="J21" i="19"/>
  <c r="C21" i="19" s="1"/>
  <c r="R20" i="19"/>
  <c r="N20" i="19"/>
  <c r="J20" i="19"/>
  <c r="C20" i="19" s="1"/>
  <c r="B20" i="19"/>
  <c r="R19" i="19"/>
  <c r="N19" i="19"/>
  <c r="J19" i="19"/>
  <c r="C19" i="19" s="1"/>
  <c r="R18" i="19"/>
  <c r="N18" i="19"/>
  <c r="J18" i="19"/>
  <c r="C18" i="19" s="1"/>
  <c r="R17" i="19"/>
  <c r="N17" i="19"/>
  <c r="J17" i="19"/>
  <c r="C17" i="19" s="1"/>
  <c r="R16" i="19"/>
  <c r="N16" i="19"/>
  <c r="J16" i="19"/>
  <c r="C16" i="19" s="1"/>
  <c r="R15" i="19"/>
  <c r="N15" i="19"/>
  <c r="J15" i="19"/>
  <c r="C15" i="19" s="1"/>
  <c r="R14" i="19"/>
  <c r="N14" i="19"/>
  <c r="J14" i="19"/>
  <c r="C14" i="19" s="1"/>
  <c r="R13" i="19"/>
  <c r="N13" i="19"/>
  <c r="J13" i="19"/>
  <c r="C13" i="19" s="1"/>
  <c r="R12" i="19"/>
  <c r="N12" i="19"/>
  <c r="J12" i="19"/>
  <c r="C12" i="19" s="1"/>
  <c r="R11" i="19"/>
  <c r="N11" i="19"/>
  <c r="J11" i="19"/>
  <c r="C11" i="19" s="1"/>
  <c r="R10" i="19"/>
  <c r="N10" i="19"/>
  <c r="J10" i="19"/>
  <c r="C10" i="19" s="1"/>
  <c r="R9" i="19"/>
  <c r="N9" i="19"/>
  <c r="J9" i="19"/>
  <c r="C9" i="19" s="1"/>
  <c r="R8" i="19"/>
  <c r="N8" i="19"/>
  <c r="J8" i="19"/>
  <c r="C8" i="19" s="1"/>
  <c r="B8" i="19"/>
  <c r="R7" i="19"/>
  <c r="N7" i="19"/>
  <c r="J7" i="19"/>
  <c r="C7" i="19" s="1"/>
  <c r="R6" i="19"/>
  <c r="N6" i="19"/>
  <c r="C6" i="19"/>
  <c r="N22" i="19" l="1"/>
  <c r="R24" i="19"/>
  <c r="E10" i="20"/>
  <c r="N10" i="20" s="1"/>
  <c r="F10" i="20"/>
  <c r="O10" i="20" s="1"/>
  <c r="F8" i="20"/>
  <c r="O8" i="20" s="1"/>
  <c r="E8" i="20"/>
  <c r="N8" i="20" s="1"/>
  <c r="F4" i="20"/>
  <c r="O4" i="20" s="1"/>
  <c r="E4" i="20"/>
  <c r="N4" i="20" s="1"/>
  <c r="F12" i="20"/>
  <c r="O12" i="20" s="1"/>
  <c r="E12" i="20"/>
  <c r="N12" i="20" s="1"/>
  <c r="E6" i="20"/>
  <c r="N6" i="20" s="1"/>
  <c r="F6" i="20"/>
  <c r="O6" i="20" s="1"/>
  <c r="D24" i="19"/>
  <c r="H21" i="20" s="1"/>
  <c r="C21" i="20"/>
  <c r="L21" i="20" s="1"/>
  <c r="B21" i="20"/>
  <c r="K21" i="20" s="1"/>
  <c r="G21" i="20"/>
  <c r="P21" i="20" s="1"/>
  <c r="D21" i="20"/>
  <c r="M21" i="20" s="1"/>
  <c r="D20" i="19"/>
  <c r="H17" i="20" s="1"/>
  <c r="G17" i="20"/>
  <c r="P17" i="20" s="1"/>
  <c r="C17" i="20"/>
  <c r="L17" i="20" s="1"/>
  <c r="D17" i="20"/>
  <c r="M17" i="20" s="1"/>
  <c r="B17" i="20"/>
  <c r="K17" i="20" s="1"/>
  <c r="F17" i="20"/>
  <c r="O17" i="20" s="1"/>
  <c r="E17" i="20"/>
  <c r="N17" i="20" s="1"/>
  <c r="F5" i="20"/>
  <c r="O5" i="20" s="1"/>
  <c r="E5" i="20"/>
  <c r="N5" i="20" s="1"/>
  <c r="E7" i="20"/>
  <c r="N7" i="20" s="1"/>
  <c r="F7" i="20"/>
  <c r="O7" i="20" s="1"/>
  <c r="F9" i="20"/>
  <c r="O9" i="20" s="1"/>
  <c r="E9" i="20"/>
  <c r="N9" i="20" s="1"/>
  <c r="F11" i="20"/>
  <c r="O11" i="20" s="1"/>
  <c r="E11" i="20"/>
  <c r="N11" i="20" s="1"/>
  <c r="B16" i="19"/>
  <c r="E15" i="20"/>
  <c r="N15" i="20" s="1"/>
  <c r="F15" i="20"/>
  <c r="O15" i="20" s="1"/>
  <c r="E14" i="20"/>
  <c r="N14" i="20" s="1"/>
  <c r="F14" i="20"/>
  <c r="O14" i="20" s="1"/>
  <c r="F3" i="20"/>
  <c r="O3" i="20" s="1"/>
  <c r="E3" i="20"/>
  <c r="N3" i="20" s="1"/>
  <c r="F20" i="20"/>
  <c r="O20" i="20" s="1"/>
  <c r="E20" i="20"/>
  <c r="N20" i="20" s="1"/>
  <c r="B7" i="19"/>
  <c r="E22" i="20"/>
  <c r="F22" i="20"/>
  <c r="E19" i="20"/>
  <c r="N19" i="20" s="1"/>
  <c r="F19" i="20"/>
  <c r="O19" i="20" s="1"/>
  <c r="F13" i="20"/>
  <c r="O13" i="20" s="1"/>
  <c r="E13" i="20"/>
  <c r="N13" i="20" s="1"/>
  <c r="D22" i="20"/>
  <c r="C22" i="20"/>
  <c r="B22" i="20"/>
  <c r="G22" i="20"/>
  <c r="B9" i="19"/>
  <c r="B11" i="19"/>
  <c r="B13" i="19"/>
  <c r="B15" i="19"/>
  <c r="F16" i="20"/>
  <c r="O16" i="20" s="1"/>
  <c r="E16" i="20"/>
  <c r="N16" i="20" s="1"/>
  <c r="E18" i="20"/>
  <c r="N18" i="20" s="1"/>
  <c r="F18" i="20"/>
  <c r="O18" i="20" s="1"/>
  <c r="F21" i="20"/>
  <c r="O21" i="20" s="1"/>
  <c r="E21" i="20"/>
  <c r="N21" i="20" s="1"/>
  <c r="C5" i="20"/>
  <c r="L5" i="20" s="1"/>
  <c r="B5" i="20"/>
  <c r="K5" i="20" s="1"/>
  <c r="G5" i="20"/>
  <c r="P5" i="20" s="1"/>
  <c r="D5" i="20"/>
  <c r="M5" i="20" s="1"/>
  <c r="B17" i="19"/>
  <c r="B19" i="19"/>
  <c r="B21" i="19"/>
  <c r="B23" i="19"/>
  <c r="D25" i="19"/>
  <c r="H22" i="20" s="1"/>
  <c r="B12" i="19"/>
  <c r="D16" i="19"/>
  <c r="H13" i="20" s="1"/>
  <c r="D8" i="19"/>
  <c r="H5" i="20" s="1"/>
  <c r="B6" i="19"/>
  <c r="B10" i="19"/>
  <c r="B14" i="19"/>
  <c r="B18" i="19"/>
  <c r="B22" i="19"/>
  <c r="L88" i="3"/>
  <c r="D19" i="19" l="1"/>
  <c r="H16" i="20" s="1"/>
  <c r="C16" i="20"/>
  <c r="L16" i="20" s="1"/>
  <c r="G16" i="20"/>
  <c r="P16" i="20" s="1"/>
  <c r="D16" i="20"/>
  <c r="M16" i="20" s="1"/>
  <c r="B16" i="20"/>
  <c r="K16" i="20" s="1"/>
  <c r="Q5" i="20"/>
  <c r="M22" i="20"/>
  <c r="D23" i="20"/>
  <c r="C13" i="20"/>
  <c r="L13" i="20" s="1"/>
  <c r="B13" i="20"/>
  <c r="K13" i="20" s="1"/>
  <c r="G13" i="20"/>
  <c r="P13" i="20" s="1"/>
  <c r="D13" i="20"/>
  <c r="M13" i="20" s="1"/>
  <c r="D15" i="19"/>
  <c r="H12" i="20" s="1"/>
  <c r="B12" i="20"/>
  <c r="K12" i="20" s="1"/>
  <c r="G12" i="20"/>
  <c r="P12" i="20" s="1"/>
  <c r="C12" i="20"/>
  <c r="L12" i="20" s="1"/>
  <c r="D12" i="20"/>
  <c r="M12" i="20" s="1"/>
  <c r="D13" i="19"/>
  <c r="H10" i="20" s="1"/>
  <c r="G10" i="20"/>
  <c r="P10" i="20" s="1"/>
  <c r="D10" i="20"/>
  <c r="M10" i="20" s="1"/>
  <c r="C10" i="20"/>
  <c r="L10" i="20" s="1"/>
  <c r="B10" i="20"/>
  <c r="K10" i="20" s="1"/>
  <c r="D10" i="19"/>
  <c r="H7" i="20" s="1"/>
  <c r="D7" i="20"/>
  <c r="M7" i="20" s="1"/>
  <c r="C7" i="20"/>
  <c r="L7" i="20" s="1"/>
  <c r="B7" i="20"/>
  <c r="K7" i="20" s="1"/>
  <c r="G7" i="20"/>
  <c r="P7" i="20" s="1"/>
  <c r="D14" i="20"/>
  <c r="M14" i="20" s="1"/>
  <c r="C14" i="20"/>
  <c r="L14" i="20" s="1"/>
  <c r="B14" i="20"/>
  <c r="K14" i="20" s="1"/>
  <c r="G14" i="20"/>
  <c r="P14" i="20" s="1"/>
  <c r="Q17" i="20"/>
  <c r="Q22" i="20"/>
  <c r="H23" i="20"/>
  <c r="D11" i="19"/>
  <c r="H8" i="20" s="1"/>
  <c r="C8" i="20"/>
  <c r="L8" i="20" s="1"/>
  <c r="D8" i="20"/>
  <c r="M8" i="20" s="1"/>
  <c r="G8" i="20"/>
  <c r="P8" i="20" s="1"/>
  <c r="B8" i="20"/>
  <c r="K8" i="20" s="1"/>
  <c r="E23" i="20"/>
  <c r="N22" i="20"/>
  <c r="D6" i="19"/>
  <c r="H3" i="20" s="1"/>
  <c r="B3" i="20"/>
  <c r="K3" i="20" s="1"/>
  <c r="G3" i="20"/>
  <c r="P3" i="20" s="1"/>
  <c r="D3" i="20"/>
  <c r="M3" i="20" s="1"/>
  <c r="C3" i="20"/>
  <c r="L3" i="20" s="1"/>
  <c r="D7" i="19"/>
  <c r="H4" i="20" s="1"/>
  <c r="B4" i="20"/>
  <c r="K4" i="20" s="1"/>
  <c r="G4" i="20"/>
  <c r="P4" i="20" s="1"/>
  <c r="D4" i="20"/>
  <c r="M4" i="20" s="1"/>
  <c r="C4" i="20"/>
  <c r="L4" i="20" s="1"/>
  <c r="Q13" i="20"/>
  <c r="D12" i="19"/>
  <c r="H9" i="20" s="1"/>
  <c r="G9" i="20"/>
  <c r="P9" i="20" s="1"/>
  <c r="D9" i="20"/>
  <c r="M9" i="20" s="1"/>
  <c r="C9" i="20"/>
  <c r="L9" i="20" s="1"/>
  <c r="B9" i="20"/>
  <c r="K9" i="20" s="1"/>
  <c r="D22" i="19"/>
  <c r="H19" i="20" s="1"/>
  <c r="G19" i="20"/>
  <c r="P19" i="20" s="1"/>
  <c r="B19" i="20"/>
  <c r="K19" i="20" s="1"/>
  <c r="D19" i="20"/>
  <c r="M19" i="20" s="1"/>
  <c r="C19" i="20"/>
  <c r="L19" i="20" s="1"/>
  <c r="D23" i="19"/>
  <c r="H20" i="20" s="1"/>
  <c r="B20" i="20"/>
  <c r="K20" i="20" s="1"/>
  <c r="G20" i="20"/>
  <c r="P20" i="20" s="1"/>
  <c r="C20" i="20"/>
  <c r="L20" i="20" s="1"/>
  <c r="D20" i="20"/>
  <c r="M20" i="20" s="1"/>
  <c r="D9" i="19"/>
  <c r="H6" i="20" s="1"/>
  <c r="D6" i="20"/>
  <c r="M6" i="20" s="1"/>
  <c r="C6" i="20"/>
  <c r="L6" i="20" s="1"/>
  <c r="B6" i="20"/>
  <c r="K6" i="20" s="1"/>
  <c r="G6" i="20"/>
  <c r="P6" i="20" s="1"/>
  <c r="Q21" i="20"/>
  <c r="K22" i="20"/>
  <c r="B23" i="20"/>
  <c r="D17" i="19"/>
  <c r="H14" i="20" s="1"/>
  <c r="L22" i="20"/>
  <c r="C23" i="20"/>
  <c r="D18" i="19"/>
  <c r="H15" i="20" s="1"/>
  <c r="D15" i="20"/>
  <c r="M15" i="20" s="1"/>
  <c r="C15" i="20"/>
  <c r="L15" i="20" s="1"/>
  <c r="B15" i="20"/>
  <c r="K15" i="20" s="1"/>
  <c r="G15" i="20"/>
  <c r="P15" i="20" s="1"/>
  <c r="D14" i="19"/>
  <c r="H11" i="20" s="1"/>
  <c r="G11" i="20"/>
  <c r="P11" i="20" s="1"/>
  <c r="D11" i="20"/>
  <c r="M11" i="20" s="1"/>
  <c r="C11" i="20"/>
  <c r="L11" i="20" s="1"/>
  <c r="B11" i="20"/>
  <c r="K11" i="20" s="1"/>
  <c r="D21" i="19"/>
  <c r="H18" i="20" s="1"/>
  <c r="G18" i="20"/>
  <c r="P18" i="20" s="1"/>
  <c r="D18" i="20"/>
  <c r="M18" i="20" s="1"/>
  <c r="C18" i="20"/>
  <c r="L18" i="20" s="1"/>
  <c r="B18" i="20"/>
  <c r="K18" i="20" s="1"/>
  <c r="P22" i="20"/>
  <c r="G23" i="20"/>
  <c r="F23" i="20"/>
  <c r="O22" i="20"/>
  <c r="B9" i="7"/>
  <c r="B25" i="7"/>
  <c r="C25" i="7"/>
  <c r="R25" i="7"/>
  <c r="R24" i="7"/>
  <c r="R23" i="7"/>
  <c r="R22" i="7"/>
  <c r="R21" i="7"/>
  <c r="R20" i="7"/>
  <c r="R19" i="7"/>
  <c r="R18" i="7"/>
  <c r="R17" i="7"/>
  <c r="R16" i="7"/>
  <c r="R15" i="7"/>
  <c r="R14" i="7"/>
  <c r="R13" i="7"/>
  <c r="R12" i="7"/>
  <c r="R11" i="7"/>
  <c r="R10" i="7"/>
  <c r="R9" i="7"/>
  <c r="R8" i="7"/>
  <c r="R7" i="7"/>
  <c r="R6" i="7"/>
  <c r="N25" i="7"/>
  <c r="N24" i="7"/>
  <c r="N23" i="7"/>
  <c r="N22" i="7"/>
  <c r="N21" i="7"/>
  <c r="N20" i="7"/>
  <c r="N19" i="7"/>
  <c r="N18" i="7"/>
  <c r="N17" i="7"/>
  <c r="N16" i="7"/>
  <c r="N15" i="7"/>
  <c r="N14" i="7"/>
  <c r="N13" i="7"/>
  <c r="N12" i="7"/>
  <c r="N11" i="7"/>
  <c r="N10" i="7"/>
  <c r="N9" i="7"/>
  <c r="N8" i="7"/>
  <c r="N7" i="7"/>
  <c r="N6" i="7"/>
  <c r="J7" i="7"/>
  <c r="B7" i="7" s="1"/>
  <c r="J8" i="7"/>
  <c r="B8" i="7" s="1"/>
  <c r="J9" i="7"/>
  <c r="C9" i="7" s="1"/>
  <c r="J10" i="7"/>
  <c r="B10" i="7" s="1"/>
  <c r="J11" i="7"/>
  <c r="B11" i="7" s="1"/>
  <c r="J12" i="7"/>
  <c r="B12" i="7" s="1"/>
  <c r="J13" i="7"/>
  <c r="B13" i="7" s="1"/>
  <c r="J14" i="7"/>
  <c r="B14" i="7" s="1"/>
  <c r="J15" i="7"/>
  <c r="B15" i="7" s="1"/>
  <c r="J16" i="7"/>
  <c r="B16" i="7" s="1"/>
  <c r="J17" i="7"/>
  <c r="B17" i="7" s="1"/>
  <c r="J18" i="7"/>
  <c r="B18" i="7" s="1"/>
  <c r="J19" i="7"/>
  <c r="B19" i="7" s="1"/>
  <c r="J20" i="7"/>
  <c r="B20" i="7" s="1"/>
  <c r="J21" i="7"/>
  <c r="B21" i="7" s="1"/>
  <c r="J22" i="7"/>
  <c r="B22" i="7" s="1"/>
  <c r="J23" i="7"/>
  <c r="B23" i="7" s="1"/>
  <c r="J24" i="7"/>
  <c r="B24" i="7" s="1"/>
  <c r="J25" i="7"/>
  <c r="J6" i="7"/>
  <c r="B6" i="7" s="1"/>
  <c r="B4" i="6"/>
  <c r="Q8" i="20" l="1"/>
  <c r="Q3" i="20"/>
  <c r="Q23" i="20"/>
  <c r="H24" i="20"/>
  <c r="Q15" i="20"/>
  <c r="Q18" i="20"/>
  <c r="N23" i="20"/>
  <c r="E24" i="20"/>
  <c r="Q10" i="20"/>
  <c r="Q6" i="20"/>
  <c r="Q7" i="20"/>
  <c r="O23" i="20"/>
  <c r="F24" i="20"/>
  <c r="G24" i="20"/>
  <c r="P23" i="20"/>
  <c r="Q20" i="20"/>
  <c r="Q4" i="20"/>
  <c r="K23" i="20"/>
  <c r="B24" i="20"/>
  <c r="Q19" i="20"/>
  <c r="Q12" i="20"/>
  <c r="L23" i="20"/>
  <c r="C24" i="20"/>
  <c r="Q11" i="20"/>
  <c r="Q14" i="20"/>
  <c r="Q9" i="20"/>
  <c r="M23" i="20"/>
  <c r="D24" i="20"/>
  <c r="Q16" i="20"/>
  <c r="C21" i="7"/>
  <c r="C17" i="7"/>
  <c r="C13" i="7"/>
  <c r="C24" i="7"/>
  <c r="C20" i="7"/>
  <c r="C16" i="7"/>
  <c r="C12" i="7"/>
  <c r="C8" i="7"/>
  <c r="C23" i="7"/>
  <c r="C19" i="7"/>
  <c r="C15" i="7"/>
  <c r="C11" i="7"/>
  <c r="C7" i="7"/>
  <c r="C22" i="7"/>
  <c r="C18" i="7"/>
  <c r="C14" i="7"/>
  <c r="C10" i="7"/>
  <c r="C6" i="7"/>
  <c r="D6" i="7" s="1"/>
  <c r="G25" i="20" l="1"/>
  <c r="P24" i="20"/>
  <c r="Q24" i="20"/>
  <c r="H25" i="20"/>
  <c r="B25" i="20"/>
  <c r="K24" i="20"/>
  <c r="O24" i="20"/>
  <c r="F25" i="20"/>
  <c r="N24" i="20"/>
  <c r="E25" i="20"/>
  <c r="M24" i="20"/>
  <c r="D25" i="20"/>
  <c r="L24" i="20"/>
  <c r="C25" i="20"/>
  <c r="H38" i="7"/>
  <c r="B38" i="7"/>
  <c r="P25" i="20" l="1"/>
  <c r="G26" i="20"/>
  <c r="C26" i="20"/>
  <c r="L25" i="20"/>
  <c r="K25" i="20"/>
  <c r="B26" i="20"/>
  <c r="M25" i="20"/>
  <c r="D26" i="20"/>
  <c r="Q25" i="20"/>
  <c r="H26" i="20"/>
  <c r="O25" i="20"/>
  <c r="F26" i="20"/>
  <c r="N25" i="20"/>
  <c r="E26" i="20"/>
  <c r="H9" i="5"/>
  <c r="E5" i="5" s="1"/>
  <c r="I9" i="5"/>
  <c r="J9" i="5"/>
  <c r="K9" i="5"/>
  <c r="L9" i="5"/>
  <c r="M9" i="5"/>
  <c r="N9" i="5"/>
  <c r="O9" i="5"/>
  <c r="H11" i="5"/>
  <c r="I11" i="5"/>
  <c r="J11" i="5"/>
  <c r="K11" i="5"/>
  <c r="L11" i="5"/>
  <c r="M11" i="5"/>
  <c r="N11" i="5"/>
  <c r="O11" i="5"/>
  <c r="J80" i="5"/>
  <c r="E47" i="13"/>
  <c r="M68" i="13"/>
  <c r="B5" i="13" s="1"/>
  <c r="G34" i="3"/>
  <c r="C32" i="3"/>
  <c r="B32" i="3"/>
  <c r="G32" i="3"/>
  <c r="C30" i="3"/>
  <c r="B30" i="3"/>
  <c r="F27" i="20" l="1"/>
  <c r="O26" i="20"/>
  <c r="M26" i="20"/>
  <c r="D27" i="20"/>
  <c r="E27" i="20"/>
  <c r="N26" i="20"/>
  <c r="Q26" i="20"/>
  <c r="H27" i="20"/>
  <c r="G27" i="20"/>
  <c r="P26" i="20"/>
  <c r="K26" i="20"/>
  <c r="B27" i="20"/>
  <c r="L26" i="20"/>
  <c r="C27" i="20"/>
  <c r="H1" i="5"/>
  <c r="B9" i="5" s="1"/>
  <c r="K27" i="20" l="1"/>
  <c r="B28" i="20"/>
  <c r="M27" i="20"/>
  <c r="D28" i="20"/>
  <c r="L27" i="20"/>
  <c r="C28" i="20"/>
  <c r="N27" i="20"/>
  <c r="E28" i="20"/>
  <c r="G28" i="20"/>
  <c r="P27" i="20"/>
  <c r="H28" i="20"/>
  <c r="Q27" i="20"/>
  <c r="O27" i="20"/>
  <c r="F28" i="20"/>
  <c r="B15" i="5"/>
  <c r="B11" i="5"/>
  <c r="B7" i="5"/>
  <c r="B6" i="5"/>
  <c r="B24" i="5"/>
  <c r="B22" i="5"/>
  <c r="B8" i="5"/>
  <c r="B18" i="5"/>
  <c r="B23" i="5"/>
  <c r="B14" i="5"/>
  <c r="B19" i="5"/>
  <c r="B10" i="5"/>
  <c r="B5" i="5"/>
  <c r="B20" i="5"/>
  <c r="B21" i="5"/>
  <c r="B17" i="5"/>
  <c r="B16" i="5"/>
  <c r="B13" i="5"/>
  <c r="B12" i="5"/>
  <c r="E29" i="20" l="1"/>
  <c r="N28" i="20"/>
  <c r="M28" i="20"/>
  <c r="D29" i="20"/>
  <c r="O28" i="20"/>
  <c r="F29" i="20"/>
  <c r="B29" i="20"/>
  <c r="K28" i="20"/>
  <c r="L28" i="20"/>
  <c r="C29" i="20"/>
  <c r="Q28" i="20"/>
  <c r="H29" i="20"/>
  <c r="P28" i="20"/>
  <c r="G29" i="20"/>
  <c r="B6" i="13"/>
  <c r="B7" i="13"/>
  <c r="B8" i="13"/>
  <c r="B9" i="13"/>
  <c r="B10" i="13"/>
  <c r="B11" i="13"/>
  <c r="B12" i="13"/>
  <c r="B13" i="13"/>
  <c r="B14" i="13"/>
  <c r="B15" i="13"/>
  <c r="B16" i="13"/>
  <c r="B17" i="13"/>
  <c r="B18" i="13"/>
  <c r="B19" i="13"/>
  <c r="B20" i="13"/>
  <c r="B21" i="13"/>
  <c r="B22" i="13"/>
  <c r="B23" i="13"/>
  <c r="B24" i="13"/>
  <c r="P29" i="20" l="1"/>
  <c r="G30" i="20"/>
  <c r="Q29" i="20"/>
  <c r="H30" i="20"/>
  <c r="O29" i="20"/>
  <c r="F30" i="20"/>
  <c r="K29" i="20"/>
  <c r="B30" i="20"/>
  <c r="D30" i="20"/>
  <c r="M29" i="20"/>
  <c r="C30" i="20"/>
  <c r="L29" i="20"/>
  <c r="N29" i="20"/>
  <c r="E30" i="20"/>
  <c r="F4" i="6"/>
  <c r="B7" i="10"/>
  <c r="B8" i="10"/>
  <c r="B9" i="10"/>
  <c r="B10" i="10"/>
  <c r="B11" i="10"/>
  <c r="B12" i="10"/>
  <c r="B13" i="10"/>
  <c r="B14" i="10"/>
  <c r="B15" i="10"/>
  <c r="B16" i="10"/>
  <c r="B17" i="10"/>
  <c r="B18" i="10"/>
  <c r="B19" i="10"/>
  <c r="B20" i="10"/>
  <c r="B21" i="10"/>
  <c r="B22" i="10"/>
  <c r="B23" i="10"/>
  <c r="B24" i="10"/>
  <c r="B25" i="10"/>
  <c r="B6" i="10"/>
  <c r="B6" i="8"/>
  <c r="B7" i="8"/>
  <c r="B8" i="8"/>
  <c r="B9" i="8"/>
  <c r="B10" i="8"/>
  <c r="B11" i="8"/>
  <c r="B12" i="8"/>
  <c r="B13" i="8"/>
  <c r="B14" i="8"/>
  <c r="B15" i="8"/>
  <c r="B16" i="8"/>
  <c r="B17" i="8"/>
  <c r="B18" i="8"/>
  <c r="B19" i="8"/>
  <c r="B20" i="8"/>
  <c r="B21" i="8"/>
  <c r="B22" i="8"/>
  <c r="B23" i="8"/>
  <c r="B24" i="8"/>
  <c r="B5" i="8"/>
  <c r="Q30" i="20" l="1"/>
  <c r="H31" i="20"/>
  <c r="L30" i="20"/>
  <c r="C31" i="20"/>
  <c r="M30" i="20"/>
  <c r="D31" i="20"/>
  <c r="P30" i="20"/>
  <c r="G31" i="20"/>
  <c r="E31" i="20"/>
  <c r="N30" i="20"/>
  <c r="F31" i="20"/>
  <c r="O30" i="20"/>
  <c r="K30" i="20"/>
  <c r="B31" i="20"/>
  <c r="D23" i="7"/>
  <c r="D21" i="7"/>
  <c r="D19" i="7"/>
  <c r="D17" i="7"/>
  <c r="D15" i="7"/>
  <c r="D13" i="7"/>
  <c r="D11" i="7"/>
  <c r="D9" i="7"/>
  <c r="D7" i="7"/>
  <c r="D25" i="7"/>
  <c r="D22" i="7"/>
  <c r="D20" i="7"/>
  <c r="D18" i="7"/>
  <c r="D16" i="7"/>
  <c r="D14" i="7"/>
  <c r="D12" i="7"/>
  <c r="D10" i="7"/>
  <c r="D8" i="7"/>
  <c r="D24" i="7"/>
  <c r="O31" i="20" l="1"/>
  <c r="F32" i="20"/>
  <c r="B32" i="20"/>
  <c r="K31" i="20"/>
  <c r="M31" i="20"/>
  <c r="D32" i="20"/>
  <c r="Q31" i="20"/>
  <c r="H32" i="20"/>
  <c r="N31" i="20"/>
  <c r="E32" i="20"/>
  <c r="L31" i="20"/>
  <c r="C32" i="20"/>
  <c r="G32" i="20"/>
  <c r="P31" i="20"/>
  <c r="B5" i="6"/>
  <c r="C5" i="6"/>
  <c r="D5" i="6"/>
  <c r="E5" i="6"/>
  <c r="F5" i="6"/>
  <c r="G5" i="6"/>
  <c r="H5" i="6"/>
  <c r="B6" i="6"/>
  <c r="C6" i="6"/>
  <c r="D6" i="6"/>
  <c r="E6" i="6"/>
  <c r="F6" i="6"/>
  <c r="G6" i="6"/>
  <c r="H6" i="6"/>
  <c r="B7" i="6"/>
  <c r="C7" i="6"/>
  <c r="D7" i="6"/>
  <c r="E7" i="6"/>
  <c r="F7" i="6"/>
  <c r="G7" i="6"/>
  <c r="H7" i="6"/>
  <c r="B8" i="6"/>
  <c r="C8" i="6"/>
  <c r="D8" i="6"/>
  <c r="E8" i="6"/>
  <c r="F8" i="6"/>
  <c r="G8" i="6"/>
  <c r="H8" i="6"/>
  <c r="B9" i="6"/>
  <c r="C9" i="6"/>
  <c r="D9" i="6"/>
  <c r="E9" i="6"/>
  <c r="F9" i="6"/>
  <c r="G9" i="6"/>
  <c r="H9" i="6"/>
  <c r="B10" i="6"/>
  <c r="C10" i="6"/>
  <c r="D10" i="6"/>
  <c r="E10" i="6"/>
  <c r="F10" i="6"/>
  <c r="G10" i="6"/>
  <c r="H10" i="6"/>
  <c r="B11" i="6"/>
  <c r="C11" i="6"/>
  <c r="D11" i="6"/>
  <c r="E11" i="6"/>
  <c r="F11" i="6"/>
  <c r="G11" i="6"/>
  <c r="H11" i="6"/>
  <c r="B12" i="6"/>
  <c r="C12" i="6"/>
  <c r="D12" i="6"/>
  <c r="E12" i="6"/>
  <c r="F12" i="6"/>
  <c r="G12" i="6"/>
  <c r="H12" i="6"/>
  <c r="B13" i="6"/>
  <c r="C13" i="6"/>
  <c r="D13" i="6"/>
  <c r="E13" i="6"/>
  <c r="F13" i="6"/>
  <c r="G13" i="6"/>
  <c r="H13" i="6"/>
  <c r="B14" i="6"/>
  <c r="C14" i="6"/>
  <c r="D14" i="6"/>
  <c r="E14" i="6"/>
  <c r="F14" i="6"/>
  <c r="G14" i="6"/>
  <c r="H14" i="6"/>
  <c r="B15" i="6"/>
  <c r="C15" i="6"/>
  <c r="D15" i="6"/>
  <c r="E15" i="6"/>
  <c r="F15" i="6"/>
  <c r="G15" i="6"/>
  <c r="H15" i="6"/>
  <c r="B16" i="6"/>
  <c r="C16" i="6"/>
  <c r="D16" i="6"/>
  <c r="E16" i="6"/>
  <c r="F16" i="6"/>
  <c r="G16" i="6"/>
  <c r="H16" i="6"/>
  <c r="B17" i="6"/>
  <c r="C17" i="6"/>
  <c r="D17" i="6"/>
  <c r="E17" i="6"/>
  <c r="F17" i="6"/>
  <c r="G17" i="6"/>
  <c r="H17" i="6"/>
  <c r="B18" i="6"/>
  <c r="C18" i="6"/>
  <c r="D18" i="6"/>
  <c r="E18" i="6"/>
  <c r="F18" i="6"/>
  <c r="G18" i="6"/>
  <c r="H18" i="6"/>
  <c r="B19" i="6"/>
  <c r="C19" i="6"/>
  <c r="D19" i="6"/>
  <c r="E19" i="6"/>
  <c r="F19" i="6"/>
  <c r="G19" i="6"/>
  <c r="H19" i="6"/>
  <c r="B20" i="6"/>
  <c r="C20" i="6"/>
  <c r="D20" i="6"/>
  <c r="E20" i="6"/>
  <c r="F20" i="6"/>
  <c r="G20" i="6"/>
  <c r="H20" i="6"/>
  <c r="B21" i="6"/>
  <c r="C21" i="6"/>
  <c r="D21" i="6"/>
  <c r="E21" i="6"/>
  <c r="F21" i="6"/>
  <c r="G21" i="6"/>
  <c r="H21" i="6"/>
  <c r="B22" i="6"/>
  <c r="C22" i="6"/>
  <c r="D22" i="6"/>
  <c r="E22" i="6"/>
  <c r="F22" i="6"/>
  <c r="G22" i="6"/>
  <c r="H22" i="6"/>
  <c r="B23" i="6"/>
  <c r="C23" i="6"/>
  <c r="D23" i="6"/>
  <c r="E23" i="6"/>
  <c r="F23" i="6"/>
  <c r="G23" i="6"/>
  <c r="H23" i="6"/>
  <c r="C4" i="6"/>
  <c r="D4" i="6"/>
  <c r="E4" i="6"/>
  <c r="G4" i="6"/>
  <c r="H4" i="6"/>
  <c r="P32" i="20" l="1"/>
  <c r="G33" i="20"/>
  <c r="B33" i="20"/>
  <c r="K32" i="20"/>
  <c r="M32" i="20"/>
  <c r="D33" i="20"/>
  <c r="C33" i="20"/>
  <c r="L32" i="20"/>
  <c r="N32" i="20"/>
  <c r="E33" i="20"/>
  <c r="O32" i="20"/>
  <c r="F33" i="20"/>
  <c r="Q32" i="20"/>
  <c r="H33" i="20"/>
  <c r="B24" i="4"/>
  <c r="B23" i="4"/>
  <c r="B22" i="4"/>
  <c r="B21" i="4"/>
  <c r="B20" i="4"/>
  <c r="B19" i="4"/>
  <c r="B18" i="4"/>
  <c r="B17" i="4"/>
  <c r="B16" i="4"/>
  <c r="B15" i="4"/>
  <c r="B14" i="4"/>
  <c r="B13" i="4"/>
  <c r="B12" i="4"/>
  <c r="B11" i="4"/>
  <c r="B10" i="4"/>
  <c r="B9" i="4"/>
  <c r="B8" i="4"/>
  <c r="B7" i="4"/>
  <c r="B6" i="4"/>
  <c r="B5" i="4"/>
  <c r="E5" i="4"/>
  <c r="N12" i="3"/>
  <c r="O12" i="3"/>
  <c r="P12" i="3"/>
  <c r="Q12" i="3"/>
  <c r="R12" i="3"/>
  <c r="S12" i="3"/>
  <c r="T12" i="3"/>
  <c r="M12" i="3"/>
  <c r="E7" i="2"/>
  <c r="F7" i="2"/>
  <c r="E8" i="2"/>
  <c r="F8" i="2"/>
  <c r="E9" i="2"/>
  <c r="F9" i="2"/>
  <c r="E10" i="2"/>
  <c r="F10" i="2"/>
  <c r="E11" i="2"/>
  <c r="F11" i="2"/>
  <c r="E12" i="2"/>
  <c r="F12" i="2"/>
  <c r="E13" i="2"/>
  <c r="F13" i="2"/>
  <c r="E14" i="2"/>
  <c r="F14" i="2"/>
  <c r="E15" i="2"/>
  <c r="F15" i="2"/>
  <c r="E16" i="2"/>
  <c r="F16" i="2"/>
  <c r="E17" i="2"/>
  <c r="F17" i="2"/>
  <c r="E18" i="2"/>
  <c r="F18" i="2"/>
  <c r="E19" i="2"/>
  <c r="F19" i="2"/>
  <c r="E20" i="2"/>
  <c r="F20" i="2"/>
  <c r="E21" i="2"/>
  <c r="F21" i="2"/>
  <c r="E22" i="2"/>
  <c r="F22" i="2"/>
  <c r="E23" i="2"/>
  <c r="F23" i="2"/>
  <c r="E24" i="2"/>
  <c r="F24" i="2"/>
  <c r="E25" i="2"/>
  <c r="F25" i="2"/>
  <c r="F6" i="2"/>
  <c r="E6" i="2"/>
  <c r="N10" i="3"/>
  <c r="F5" i="3" s="1"/>
  <c r="O10" i="3"/>
  <c r="P10" i="3"/>
  <c r="Q10" i="3"/>
  <c r="R10" i="3"/>
  <c r="S10" i="3"/>
  <c r="T10" i="3"/>
  <c r="M10" i="3"/>
  <c r="E5" i="3" s="1"/>
  <c r="F5" i="2"/>
  <c r="E5" i="2"/>
  <c r="Q33" i="20" l="1"/>
  <c r="H34" i="20"/>
  <c r="F34" i="20"/>
  <c r="O33" i="20"/>
  <c r="K33" i="20"/>
  <c r="B34" i="20"/>
  <c r="P33" i="20"/>
  <c r="G34" i="20"/>
  <c r="L33" i="20"/>
  <c r="C34" i="20"/>
  <c r="M33" i="20"/>
  <c r="D34" i="20"/>
  <c r="N33" i="20"/>
  <c r="E34" i="20"/>
  <c r="E6" i="3"/>
  <c r="F20" i="3"/>
  <c r="F1" i="3"/>
  <c r="M4" i="3"/>
  <c r="B24" i="2"/>
  <c r="B22" i="2"/>
  <c r="B20" i="2"/>
  <c r="B18" i="2"/>
  <c r="B16" i="2"/>
  <c r="B14" i="2"/>
  <c r="B12" i="2"/>
  <c r="B10" i="2"/>
  <c r="B8" i="2"/>
  <c r="F16" i="3"/>
  <c r="B23" i="2"/>
  <c r="B21" i="2"/>
  <c r="B19" i="2"/>
  <c r="B17" i="2"/>
  <c r="B15" i="2"/>
  <c r="B13" i="2"/>
  <c r="B11" i="2"/>
  <c r="B9" i="2"/>
  <c r="B7" i="2"/>
  <c r="F12" i="3"/>
  <c r="F24" i="3"/>
  <c r="B6" i="2"/>
  <c r="F11" i="3"/>
  <c r="B5" i="2"/>
  <c r="F25" i="3"/>
  <c r="F21" i="3"/>
  <c r="F17" i="3"/>
  <c r="F13" i="3"/>
  <c r="F10" i="3"/>
  <c r="F22" i="3"/>
  <c r="F18" i="3"/>
  <c r="F14" i="3"/>
  <c r="F23" i="3"/>
  <c r="F19" i="3"/>
  <c r="F15" i="3"/>
  <c r="F6" i="3"/>
  <c r="E25" i="3"/>
  <c r="E24" i="3"/>
  <c r="E23" i="3"/>
  <c r="E22" i="3"/>
  <c r="E21" i="3"/>
  <c r="E20" i="3"/>
  <c r="E19" i="3"/>
  <c r="E18" i="3"/>
  <c r="E17" i="3"/>
  <c r="E16" i="3"/>
  <c r="E15" i="3"/>
  <c r="E14" i="3"/>
  <c r="E13" i="3"/>
  <c r="E12" i="3"/>
  <c r="E11" i="3"/>
  <c r="E10" i="3"/>
  <c r="E9" i="3"/>
  <c r="E8" i="3"/>
  <c r="E7" i="3"/>
  <c r="F9" i="3"/>
  <c r="F8" i="3"/>
  <c r="F7" i="3"/>
  <c r="E35" i="20" l="1"/>
  <c r="N34" i="20"/>
  <c r="L34" i="20"/>
  <c r="C35" i="20"/>
  <c r="Q34" i="20"/>
  <c r="H35" i="20"/>
  <c r="D35" i="20"/>
  <c r="M34" i="20"/>
  <c r="K34" i="20"/>
  <c r="B35" i="20"/>
  <c r="F35" i="20"/>
  <c r="O34" i="20"/>
  <c r="P34" i="20"/>
  <c r="G35" i="20"/>
  <c r="B6" i="3"/>
  <c r="B14" i="3"/>
  <c r="B22" i="3"/>
  <c r="B15" i="3"/>
  <c r="B23" i="3"/>
  <c r="B8" i="3"/>
  <c r="B24" i="3"/>
  <c r="B9" i="3"/>
  <c r="B17" i="3"/>
  <c r="B5" i="3"/>
  <c r="B10" i="3"/>
  <c r="B18" i="3"/>
  <c r="B7" i="3"/>
  <c r="B16" i="3"/>
  <c r="B11" i="3"/>
  <c r="B19" i="3"/>
  <c r="B12" i="3"/>
  <c r="B20" i="3"/>
  <c r="B13" i="3"/>
  <c r="B21" i="3"/>
  <c r="G36" i="20" l="1"/>
  <c r="P35" i="20"/>
  <c r="D36" i="20"/>
  <c r="M35" i="20"/>
  <c r="H36" i="20"/>
  <c r="Q35" i="20"/>
  <c r="O35" i="20"/>
  <c r="F36" i="20"/>
  <c r="L35" i="20"/>
  <c r="C36" i="20"/>
  <c r="B36" i="20"/>
  <c r="K35" i="20"/>
  <c r="N35" i="20"/>
  <c r="E36" i="20"/>
  <c r="N36" i="20" l="1"/>
  <c r="E37" i="20"/>
  <c r="H37" i="20"/>
  <c r="Q36" i="20"/>
  <c r="C37" i="20"/>
  <c r="L36" i="20"/>
  <c r="D37" i="20"/>
  <c r="M36" i="20"/>
  <c r="K36" i="20"/>
  <c r="B37" i="20"/>
  <c r="F37" i="20"/>
  <c r="O36" i="20"/>
  <c r="P36" i="20"/>
  <c r="G37" i="20"/>
  <c r="D38" i="20" l="1"/>
  <c r="M37" i="20"/>
  <c r="C38" i="20"/>
  <c r="L37" i="20"/>
  <c r="P37" i="20"/>
  <c r="G38" i="20"/>
  <c r="O37" i="20"/>
  <c r="F38" i="20"/>
  <c r="N37" i="20"/>
  <c r="E38" i="20"/>
  <c r="Q37" i="20"/>
  <c r="H38" i="20"/>
  <c r="B38" i="20"/>
  <c r="K37" i="20"/>
  <c r="D39" i="20" l="1"/>
  <c r="M38" i="20"/>
  <c r="F39" i="20"/>
  <c r="O38" i="20"/>
  <c r="K38" i="20"/>
  <c r="B39" i="20"/>
  <c r="H39" i="20"/>
  <c r="Q38" i="20"/>
  <c r="P38" i="20"/>
  <c r="G39" i="20"/>
  <c r="L38" i="20"/>
  <c r="C39" i="20"/>
  <c r="E39" i="20"/>
  <c r="N38" i="20"/>
  <c r="F40" i="20" l="1"/>
  <c r="O39" i="20"/>
  <c r="Q39" i="20"/>
  <c r="H40" i="20"/>
  <c r="E40" i="20"/>
  <c r="N39" i="20"/>
  <c r="G40" i="20"/>
  <c r="P39" i="20"/>
  <c r="B40" i="20"/>
  <c r="K39" i="20"/>
  <c r="C40" i="20"/>
  <c r="L39" i="20"/>
  <c r="M39" i="20"/>
  <c r="D40" i="20"/>
  <c r="G41" i="20" l="1"/>
  <c r="P40" i="20"/>
  <c r="M40" i="20"/>
  <c r="D41" i="20"/>
  <c r="H41" i="20"/>
  <c r="Q40" i="20"/>
  <c r="B41" i="20"/>
  <c r="K40" i="20"/>
  <c r="N40" i="20"/>
  <c r="E41" i="20"/>
  <c r="C41" i="20"/>
  <c r="L40" i="20"/>
  <c r="O40" i="20"/>
  <c r="F41" i="20"/>
  <c r="K41" i="20" l="1"/>
  <c r="B42" i="20"/>
  <c r="N41" i="20"/>
  <c r="E42" i="20"/>
  <c r="H42" i="20"/>
  <c r="Q41" i="20"/>
  <c r="D42" i="20"/>
  <c r="M41" i="20"/>
  <c r="O41" i="20"/>
  <c r="F42" i="20"/>
  <c r="C42" i="20"/>
  <c r="L41" i="20"/>
  <c r="G42" i="20"/>
  <c r="P41" i="20"/>
  <c r="M42" i="20" l="1"/>
  <c r="D43" i="20"/>
  <c r="G43" i="20"/>
  <c r="P42" i="20"/>
  <c r="L42" i="20"/>
  <c r="C43" i="20"/>
  <c r="O42" i="20"/>
  <c r="F43" i="20"/>
  <c r="H43" i="20"/>
  <c r="Q42" i="20"/>
  <c r="E43" i="20"/>
  <c r="N42" i="20"/>
  <c r="B43" i="20"/>
  <c r="K42" i="20"/>
  <c r="O43" i="20" l="1"/>
  <c r="F44" i="20"/>
  <c r="K43" i="20"/>
  <c r="B44" i="20"/>
  <c r="N43" i="20"/>
  <c r="E44" i="20"/>
  <c r="L43" i="20"/>
  <c r="C44" i="20"/>
  <c r="D44" i="20"/>
  <c r="M43" i="20"/>
  <c r="P43" i="20"/>
  <c r="G44" i="20"/>
  <c r="Q43" i="20"/>
  <c r="H44" i="20"/>
  <c r="Q44" i="20" l="1"/>
  <c r="H45" i="20"/>
  <c r="N44" i="20"/>
  <c r="E45" i="20"/>
  <c r="F45" i="20"/>
  <c r="O44" i="20"/>
  <c r="C45" i="20"/>
  <c r="L44" i="20"/>
  <c r="G45" i="20"/>
  <c r="P44" i="20"/>
  <c r="B45" i="20"/>
  <c r="K44" i="20"/>
  <c r="M44" i="20"/>
  <c r="D45" i="20"/>
  <c r="C46" i="20" l="1"/>
  <c r="L45" i="20"/>
  <c r="F46" i="20"/>
  <c r="O45" i="20"/>
  <c r="N45" i="20"/>
  <c r="E46" i="20"/>
  <c r="H46" i="20"/>
  <c r="Q45" i="20"/>
  <c r="D46" i="20"/>
  <c r="M45" i="20"/>
  <c r="K45" i="20"/>
  <c r="B46" i="20"/>
  <c r="P45" i="20"/>
  <c r="G46" i="20"/>
  <c r="Q46" i="20" l="1"/>
  <c r="H47" i="20"/>
  <c r="G47" i="20"/>
  <c r="P46" i="20"/>
  <c r="M46" i="20"/>
  <c r="D47" i="20"/>
  <c r="E47" i="20"/>
  <c r="N46" i="20"/>
  <c r="K46" i="20"/>
  <c r="B47" i="20"/>
  <c r="F47" i="20"/>
  <c r="O46" i="20"/>
  <c r="L46" i="20"/>
  <c r="C47" i="20"/>
  <c r="C48" i="20" l="1"/>
  <c r="L48" i="20" s="1"/>
  <c r="L47" i="20"/>
  <c r="B48" i="20"/>
  <c r="K48" i="20" s="1"/>
  <c r="K47" i="20"/>
  <c r="E48" i="20"/>
  <c r="N48" i="20" s="1"/>
  <c r="N47" i="20"/>
  <c r="P47" i="20"/>
  <c r="G48" i="20"/>
  <c r="P48" i="20" s="1"/>
  <c r="D48" i="20"/>
  <c r="M48" i="20" s="1"/>
  <c r="M47" i="20"/>
  <c r="O47" i="20"/>
  <c r="F48" i="20"/>
  <c r="O48" i="20" s="1"/>
  <c r="Q47" i="20"/>
  <c r="H48" i="20"/>
  <c r="Q48" i="20" l="1"/>
</calcChain>
</file>

<file path=xl/sharedStrings.xml><?xml version="1.0" encoding="utf-8"?>
<sst xmlns="http://schemas.openxmlformats.org/spreadsheetml/2006/main" count="590" uniqueCount="254">
  <si>
    <t>Avoided Cost Workbook</t>
  </si>
  <si>
    <t>Summary of tabs</t>
  </si>
  <si>
    <t>INCRM FIXED TRANSPORT</t>
  </si>
  <si>
    <t>Name</t>
  </si>
  <si>
    <t>Description</t>
  </si>
  <si>
    <t>Fixed cost of contracts that will be used to solve pre-DSM identified shortfalls</t>
  </si>
  <si>
    <t>Cost</t>
  </si>
  <si>
    <t>Year in Service</t>
  </si>
  <si>
    <t>Allocated Cost</t>
  </si>
  <si>
    <t>VARIABLE TRANSPORT</t>
  </si>
  <si>
    <t>Variable cost of Contracts. Once a shortfall is identified this should only use new contract costs</t>
  </si>
  <si>
    <t>Existing Contracts</t>
  </si>
  <si>
    <t>Contracts</t>
  </si>
  <si>
    <t>New Contracts</t>
  </si>
  <si>
    <t>Shortfalls Begin:</t>
  </si>
  <si>
    <t>New Allocated Cost</t>
  </si>
  <si>
    <t>Contract</t>
  </si>
  <si>
    <t>Average</t>
  </si>
  <si>
    <t>Color Code</t>
  </si>
  <si>
    <t>You should change this box</t>
  </si>
  <si>
    <t>You probably don't need to change this box</t>
  </si>
  <si>
    <t>Don't change this box</t>
  </si>
  <si>
    <t>Result that will go into the final calculation</t>
  </si>
  <si>
    <t>INCRM FIXED STORAGE</t>
  </si>
  <si>
    <t>Fixed cost of storage contracts that are selected as cost effective pre-DSM</t>
  </si>
  <si>
    <t>Variable cost of storage contracts. Once a shortfall is identified this should only use new contract costs</t>
  </si>
  <si>
    <t>I-5 Exp</t>
  </si>
  <si>
    <t>Zone 1</t>
  </si>
  <si>
    <t>Zone 2</t>
  </si>
  <si>
    <t>Zone 3</t>
  </si>
  <si>
    <t>Zone 4</t>
  </si>
  <si>
    <t>Oregon</t>
  </si>
  <si>
    <t>Washington</t>
  </si>
  <si>
    <t>System</t>
  </si>
  <si>
    <t>Basin Weights (From SENDOUT)</t>
  </si>
  <si>
    <t>Aeco</t>
  </si>
  <si>
    <t>Sumas</t>
  </si>
  <si>
    <t>Rockies</t>
  </si>
  <si>
    <t>Price Forecast (Annual)</t>
  </si>
  <si>
    <t>Price Forecast (Peak)</t>
  </si>
  <si>
    <t>Forecast Type?</t>
  </si>
  <si>
    <t>Annual</t>
  </si>
  <si>
    <t>Peak</t>
  </si>
  <si>
    <t>COMMODITY COST</t>
  </si>
  <si>
    <t>Price of gas based on CNGC price forecast. Can be modified for either Peak AC or annual. Need to input weights for each zone, which should be calculated by SENDOUT supply take by zone</t>
  </si>
  <si>
    <t>Year</t>
  </si>
  <si>
    <t>$/ton</t>
  </si>
  <si>
    <t>$/dth</t>
  </si>
  <si>
    <t>PSU Study</t>
  </si>
  <si>
    <t>Scenario?</t>
  </si>
  <si>
    <t>Scenarios</t>
  </si>
  <si>
    <t>CARBON TAX</t>
  </si>
  <si>
    <t>Adder to the commodity cost based on the desried carbon scenario</t>
  </si>
  <si>
    <t>Adder</t>
  </si>
  <si>
    <t>ENVIRONMENTAL ADDER</t>
  </si>
  <si>
    <t>Should stay 10% as per NWPCC recommendation unless scenario analysis</t>
  </si>
  <si>
    <t>DISTRIBUTION SYSTEM</t>
  </si>
  <si>
    <t>RISK PREMIUM</t>
  </si>
  <si>
    <t>Average Annual Portfolio Cost</t>
  </si>
  <si>
    <t>Cost To Fully Hedge</t>
  </si>
  <si>
    <t>Risk Premium</t>
  </si>
  <si>
    <t>Theoretical Cost to fully hedge natural gas portfolio</t>
  </si>
  <si>
    <t>INFLATION</t>
  </si>
  <si>
    <t>Estimated rate of inflation, modeled off the CPI.</t>
  </si>
  <si>
    <t>FINAL CALCULATION</t>
  </si>
  <si>
    <t>Current Avoided Cost Formula</t>
  </si>
  <si>
    <t>Inflation Factor</t>
  </si>
  <si>
    <t>System Therm Weight</t>
  </si>
  <si>
    <t>Aggregator of data from all other tabs. Currently costs past 20 years = 20th year cost</t>
  </si>
  <si>
    <t>Discount Rate</t>
  </si>
  <si>
    <t>GTN</t>
  </si>
  <si>
    <t>Source: https://www.zillow.com/mortgage-rates/30-year-fixed/</t>
  </si>
  <si>
    <t>As of -</t>
  </si>
  <si>
    <t xml:space="preserve">GTN13687 </t>
  </si>
  <si>
    <t xml:space="preserve">GTN13688 </t>
  </si>
  <si>
    <t xml:space="preserve">GTN17019W </t>
  </si>
  <si>
    <t xml:space="preserve">GTN17021 </t>
  </si>
  <si>
    <t xml:space="preserve">GTN17022 </t>
  </si>
  <si>
    <t xml:space="preserve">GTN17023 </t>
  </si>
  <si>
    <t xml:space="preserve">GTN17025 </t>
  </si>
  <si>
    <t xml:space="preserve">GTN17026 </t>
  </si>
  <si>
    <t xml:space="preserve">GTN17028 </t>
  </si>
  <si>
    <t xml:space="preserve">GTN17031 </t>
  </si>
  <si>
    <t xml:space="preserve">GTN17033 </t>
  </si>
  <si>
    <t xml:space="preserve">GTN17034 </t>
  </si>
  <si>
    <t xml:space="preserve">GTN17036 </t>
  </si>
  <si>
    <t xml:space="preserve">GTN17037 </t>
  </si>
  <si>
    <t xml:space="preserve">NWP100002N </t>
  </si>
  <si>
    <t xml:space="preserve">NWP100064Z20 </t>
  </si>
  <si>
    <t xml:space="preserve">NWP100134N11 </t>
  </si>
  <si>
    <t xml:space="preserve">NWP100149S </t>
  </si>
  <si>
    <t xml:space="preserve">NWP100150N </t>
  </si>
  <si>
    <t xml:space="preserve">NWP132329Z3W </t>
  </si>
  <si>
    <t xml:space="preserve">NWP135558SS </t>
  </si>
  <si>
    <t xml:space="preserve">NWP139090Z26 </t>
  </si>
  <si>
    <t xml:space="preserve">NWP139382 </t>
  </si>
  <si>
    <t xml:space="preserve">NWP139383 </t>
  </si>
  <si>
    <t xml:space="preserve">NWP139384 </t>
  </si>
  <si>
    <t xml:space="preserve">NWP139630MEO </t>
  </si>
  <si>
    <t xml:space="preserve">NWP139637Z3W </t>
  </si>
  <si>
    <t xml:space="preserve">NWP140047DC </t>
  </si>
  <si>
    <t xml:space="preserve">NWP140748Z26 </t>
  </si>
  <si>
    <t xml:space="preserve">RUBY6103600B </t>
  </si>
  <si>
    <t>GTN18507</t>
  </si>
  <si>
    <t xml:space="preserve">JPWD-100302 </t>
  </si>
  <si>
    <t xml:space="preserve">JPWD-100401 </t>
  </si>
  <si>
    <t xml:space="preserve">JPWD-135365 </t>
  </si>
  <si>
    <t xml:space="preserve">JPWD-139622 </t>
  </si>
  <si>
    <t xml:space="preserve">JPWD-139624 </t>
  </si>
  <si>
    <t xml:space="preserve">JPWD-139626 </t>
  </si>
  <si>
    <t xml:space="preserve">JPWD-139627 </t>
  </si>
  <si>
    <t xml:space="preserve">NWP100002S </t>
  </si>
  <si>
    <t xml:space="preserve">NWP100064MEO </t>
  </si>
  <si>
    <t xml:space="preserve">NWP100134S3S </t>
  </si>
  <si>
    <t xml:space="preserve">NWP100149N </t>
  </si>
  <si>
    <t xml:space="preserve">NWP100150S </t>
  </si>
  <si>
    <t xml:space="preserve">NWP132329MEO </t>
  </si>
  <si>
    <t xml:space="preserve">NWP135558P3W </t>
  </si>
  <si>
    <t xml:space="preserve">PLWD-100304 </t>
  </si>
  <si>
    <t xml:space="preserve">PLWD-100601 </t>
  </si>
  <si>
    <t xml:space="preserve">PLWD-140857 </t>
  </si>
  <si>
    <t xml:space="preserve">PLWD-141193 </t>
  </si>
  <si>
    <t xml:space="preserve">GTN18057 </t>
  </si>
  <si>
    <t>CEC Mid</t>
  </si>
  <si>
    <t>Probability</t>
  </si>
  <si>
    <t>EV</t>
  </si>
  <si>
    <t>Weighted average authorized margin, currently for Washington core cust.</t>
  </si>
  <si>
    <t>Nominal Avoided Cost (By Zone) - $/Therm</t>
  </si>
  <si>
    <t>Source</t>
  </si>
  <si>
    <t>NWP Presentation April 8th, 2014</t>
  </si>
  <si>
    <t>Blend of cost for milage based incrm. GTN capacity</t>
  </si>
  <si>
    <t>Total Cost - $/dth</t>
  </si>
  <si>
    <t>Total Cost $/dth</t>
  </si>
  <si>
    <t>Total Cost - dth</t>
  </si>
  <si>
    <t>EPA 40 CFR Part 98 Subpart NN default higher heating value is 1.026 mmbtu/Mscf</t>
  </si>
  <si>
    <t>EPA 40 CFR Part 98 Subpart NN Methodology 2 default CO2 emissions factor - 0.0544 metric tons CO2/Mscf</t>
  </si>
  <si>
    <t>average</t>
  </si>
  <si>
    <t>mmbtu/Mscf</t>
  </si>
  <si>
    <t>CNGC WA heating values - from EPA Subpart NN reporting</t>
  </si>
  <si>
    <t>Market Choice</t>
  </si>
  <si>
    <t>FUEL</t>
  </si>
  <si>
    <t>Average fuel loss across all of Cascade's Contracts</t>
  </si>
  <si>
    <t>VARIABLE STORAGE</t>
  </si>
  <si>
    <t>Incremental Fixed Transportation</t>
  </si>
  <si>
    <t>Variable Transportation</t>
  </si>
  <si>
    <t>Fuel</t>
  </si>
  <si>
    <t>Fixed Storage</t>
  </si>
  <si>
    <t>Variable Storage</t>
  </si>
  <si>
    <t>Commodity Cost</t>
  </si>
  <si>
    <t>Carbon Tax</t>
  </si>
  <si>
    <t>Carbon Forecasts</t>
  </si>
  <si>
    <t>Environmental Adder</t>
  </si>
  <si>
    <t>Inflation</t>
  </si>
  <si>
    <t>House of Representatives Market Choice Bill</t>
  </si>
  <si>
    <t>Distribution System Costs in dth</t>
  </si>
  <si>
    <t>CO2 to Therm Conversion</t>
  </si>
  <si>
    <t>SCC 2.5%</t>
  </si>
  <si>
    <t>Cap Trade</t>
  </si>
  <si>
    <t>N/A</t>
  </si>
  <si>
    <t xml:space="preserve">GTN18507 </t>
  </si>
  <si>
    <t xml:space="preserve">GTN2023 </t>
  </si>
  <si>
    <t xml:space="preserve">NWP100002STN </t>
  </si>
  <si>
    <t xml:space="preserve">NWP100134N20 </t>
  </si>
  <si>
    <t xml:space="preserve">NWP100134N3S </t>
  </si>
  <si>
    <t xml:space="preserve">NWP100134S11 </t>
  </si>
  <si>
    <t xml:space="preserve">NWP100134S20 </t>
  </si>
  <si>
    <t xml:space="preserve">NWP10030226B </t>
  </si>
  <si>
    <t xml:space="preserve">NWP100302ME </t>
  </si>
  <si>
    <t xml:space="preserve">NWP100302MEB </t>
  </si>
  <si>
    <t xml:space="preserve">NWP100302SMS </t>
  </si>
  <si>
    <t xml:space="preserve">NWP100302STN </t>
  </si>
  <si>
    <t xml:space="preserve">NWP100302Z10 </t>
  </si>
  <si>
    <t xml:space="preserve">NWP100302Z11 </t>
  </si>
  <si>
    <t xml:space="preserve">NWP100302Z20 </t>
  </si>
  <si>
    <t xml:space="preserve">NWP100302Z24 </t>
  </si>
  <si>
    <t xml:space="preserve">NWP100302Z26 </t>
  </si>
  <si>
    <t xml:space="preserve">NWP100302Z3S </t>
  </si>
  <si>
    <t xml:space="preserve">NWP100302Z3W </t>
  </si>
  <si>
    <t xml:space="preserve">NWP139090B3S </t>
  </si>
  <si>
    <t xml:space="preserve">NWP139090B3W </t>
  </si>
  <si>
    <t xml:space="preserve">NWP139090DC </t>
  </si>
  <si>
    <t xml:space="preserve">NWP139090ME </t>
  </si>
  <si>
    <t xml:space="preserve">NWP139090Z10 </t>
  </si>
  <si>
    <t xml:space="preserve">NWP139090Z11 </t>
  </si>
  <si>
    <t xml:space="preserve">NWP139382SMS </t>
  </si>
  <si>
    <t xml:space="preserve">NWP139382W </t>
  </si>
  <si>
    <t xml:space="preserve">NWP139383SMS </t>
  </si>
  <si>
    <t xml:space="preserve">NWP139383W </t>
  </si>
  <si>
    <t xml:space="preserve">NWP139384SMS </t>
  </si>
  <si>
    <t xml:space="preserve">NWP139384W </t>
  </si>
  <si>
    <t xml:space="preserve">NWP139624SMS </t>
  </si>
  <si>
    <t xml:space="preserve">NWP139624Z3W </t>
  </si>
  <si>
    <t xml:space="preserve">NWP139627SMS </t>
  </si>
  <si>
    <t xml:space="preserve">NWP139627Z3W </t>
  </si>
  <si>
    <t xml:space="preserve">NWP139630ME </t>
  </si>
  <si>
    <t xml:space="preserve">NWP139630Z24 </t>
  </si>
  <si>
    <t xml:space="preserve">NWP139637DC </t>
  </si>
  <si>
    <t xml:space="preserve">NWP139637ME </t>
  </si>
  <si>
    <t xml:space="preserve">NWP139637Z11 </t>
  </si>
  <si>
    <t xml:space="preserve">NWP140047Z3W </t>
  </si>
  <si>
    <t xml:space="preserve">NWP140748ME </t>
  </si>
  <si>
    <t xml:space="preserve">NWP140748Z24 </t>
  </si>
  <si>
    <t>Cap and Trade</t>
  </si>
  <si>
    <t>Real 2020$ Avoided Cost (By Zone)</t>
  </si>
  <si>
    <t>Raise Wages</t>
  </si>
  <si>
    <t>Raise Wages, Cut Carbon Act</t>
  </si>
  <si>
    <t>Results of a Carbon sensitivity using the House of Representative's Market Choice Carbon Tax proposal instead of SCC with 2.5% Discount rate. Still uses 10% Environmental Adder</t>
  </si>
  <si>
    <t>Results of a Carbon sensitivity using market driven pricing for carbon offset credits instead of SCC with 2.5% Discount rate. Still uses 10% Environmental Adder</t>
  </si>
  <si>
    <t>Results of a Carbon sensitivity using the House of Representative's Raise Wages, Cut Carbon act instead of SCC with 2.5% Discount rate. Still uses 10% Environmental Adder</t>
  </si>
  <si>
    <t>Nominal Avoided Cost including upstream emissions (By Zone) - $/Therm</t>
  </si>
  <si>
    <t>Carbon Tax including upstream emissions</t>
  </si>
  <si>
    <t>CNGC Emission Factor for Upstream Natural Gas System  (assumed % of GHG emitted upstream of natural  gas delivered)</t>
  </si>
  <si>
    <t>Upstream Emission Rate, CH4 g/mmbtu</t>
  </si>
  <si>
    <t>Upstream Emission Rate, CO2e g/mmbtu</t>
  </si>
  <si>
    <t xml:space="preserve">End Use Emission Rate, CO2e g/mmbtu (based on  on Table NN-2 of 40 CFR Part 98 Subpart NN and company heating value) </t>
  </si>
  <si>
    <t>Total Emission Rate CO2e Metric Tons/therm</t>
  </si>
  <si>
    <t>Upstream Natural Gas System GHG Emission Rates (assumed % of GHG lost upstream of naturual gas delivered)</t>
  </si>
  <si>
    <t>GHGenius - from Puget Sound Clean Air Agency LCA Worksheet for PSE Tacoma LNG Facility (Canada supply)</t>
  </si>
  <si>
    <t>2020 EPA Annual GHG Inventory of US GHG Emissions and Sinks (1990-2018) (US Rockies supply)</t>
  </si>
  <si>
    <t>GWP of Methane - 100 yr</t>
  </si>
  <si>
    <t>Source: 2007 IPCC Report</t>
  </si>
  <si>
    <t>therms per mmbtu - conversion</t>
  </si>
  <si>
    <t>CNGC Gas Supply</t>
  </si>
  <si>
    <t>%</t>
  </si>
  <si>
    <t>Sumas (BC Canada)</t>
  </si>
  <si>
    <t>AECO (AB Canada)</t>
  </si>
  <si>
    <t>US Rockies</t>
  </si>
  <si>
    <t>mmbtu</t>
  </si>
  <si>
    <t>mcf</t>
  </si>
  <si>
    <t>EIA</t>
  </si>
  <si>
    <t>Mcf NatGas</t>
  </si>
  <si>
    <t>mmbtu NatGas - 2019 EPA eGGRT Cascade WA Subpart NN Report Value</t>
  </si>
  <si>
    <t>Metric Ton CH4 in 1 Mcf of CH4</t>
  </si>
  <si>
    <t>&lt;----------</t>
  </si>
  <si>
    <t>From 40 CFR Part 98 Subpart W Equation W-36</t>
  </si>
  <si>
    <t>ρi = Density of GHGi. Use 0.0526 kg/ft3 for CO2 and N2O, and 0.0192 kg/ft3 for CH4 at 60 °F and 14.7 psia.</t>
  </si>
  <si>
    <t>1)</t>
  </si>
  <si>
    <t>unit of delivered natural gas - 1 mmbtu &amp; mcf equivalent</t>
  </si>
  <si>
    <t>https://www.eia.gov/tools/faqs/faq.php?id=45&amp;t=8</t>
  </si>
  <si>
    <r>
      <t>% CH</t>
    </r>
    <r>
      <rPr>
        <b/>
        <vertAlign val="subscript"/>
        <sz val="10"/>
        <color theme="1"/>
        <rFont val="Arial"/>
        <family val="2"/>
      </rPr>
      <t>4</t>
    </r>
  </si>
  <si>
    <r>
      <t>mcf of CH</t>
    </r>
    <r>
      <rPr>
        <b/>
        <vertAlign val="subscript"/>
        <sz val="10"/>
        <color theme="1"/>
        <rFont val="Arial"/>
        <family val="2"/>
      </rPr>
      <t>4</t>
    </r>
  </si>
  <si>
    <t>2)</t>
  </si>
  <si>
    <t>Assumption on the % of the delivered gas that is methane</t>
  </si>
  <si>
    <t>Metric Ton MT</t>
  </si>
  <si>
    <t>Grams g</t>
  </si>
  <si>
    <t>Ton</t>
  </si>
  <si>
    <t>lbs</t>
  </si>
  <si>
    <t>lb/mmbtu</t>
  </si>
  <si>
    <t>g/mmbtu</t>
  </si>
  <si>
    <t>lb/mcf</t>
  </si>
  <si>
    <t>g/mcf</t>
  </si>
  <si>
    <t>3)</t>
  </si>
  <si>
    <r>
      <t>Calculation of the amount of methane</t>
    </r>
    <r>
      <rPr>
        <vertAlign val="subscript"/>
        <sz val="10"/>
        <color theme="1"/>
        <rFont val="Arial"/>
        <family val="2"/>
      </rPr>
      <t xml:space="preserve"> </t>
    </r>
    <r>
      <rPr>
        <sz val="11"/>
        <color theme="1"/>
        <rFont val="Calibri"/>
        <family val="2"/>
        <scheme val="minor"/>
      </rPr>
      <t>in a delivered unit of natural gas</t>
    </r>
  </si>
  <si>
    <t>Real 2020$ Avoided Cost including upstream emissions (By Zone) - $/Therm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</si>
</sst>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0000000"/>
    <numFmt numFmtId="165" formatCode="_(* #,##0_);_(* \(#,##0\);_(* &quot;-&quot;??_);_(@_)"/>
    <numFmt numFmtId="166" formatCode="_(* #,##0.00000_);_(* \(#,##0.00000\);_(* &quot;-&quot;??_);_(@_)"/>
    <numFmt numFmtId="167" formatCode="_(* #,##0.0000_);_(* \(#,##0.0000\);_(* &quot;-&quot;??_);_(@_)"/>
    <numFmt numFmtId="168" formatCode="0.0%"/>
    <numFmt numFmtId="169" formatCode="0.000"/>
    <numFmt numFmtId="170" formatCode="_(&quot;$&quot;* #,##0.000_);_(&quot;$&quot;* \(#,##0.000\);_(&quot;$&quot;* &quot;-&quot;??_);_(@_)"/>
  </numFmts>
  <fonts count="20"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8"/>
      <color theme="1"/>
      <name val="Calibri"/>
      <family val="2"/>
      <scheme val="minor"/>
    </font>
    <font>
      <b/>
      <sz val="24"/>
      <color theme="1"/>
      <name val="Calibri"/>
      <family val="2"/>
      <scheme val="minor"/>
    </font>
    <font>
      <sz val="24"/>
      <color rgb="FF9C0006"/>
      <name val="Calibri"/>
      <family val="2"/>
      <scheme val="minor"/>
    </font>
    <font>
      <sz val="18"/>
      <color theme="1"/>
      <name val="Calibri"/>
      <family val="2"/>
      <scheme val="minor"/>
    </font>
    <font>
      <sz val="10"/>
      <color rgb="FF000000"/>
      <name val="Times New Roman"/>
      <family val="1"/>
    </font>
    <font>
      <b/>
      <sz val="11"/>
      <color theme="1"/>
      <name val="Calibri"/>
      <family val="2"/>
      <scheme val="minor"/>
    </font>
    <font>
      <b/>
      <sz val="16"/>
      <color theme="1"/>
      <name val="Calibri"/>
      <family val="2"/>
      <scheme val="minor"/>
    </font>
    <font>
      <b/>
      <sz val="16"/>
      <color indexed="8"/>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sz val="10"/>
      <color rgb="FF000000"/>
      <name val="Arial"/>
      <family val="2"/>
    </font>
    <font>
      <sz val="11"/>
      <name val="Calibri"/>
      <family val="2"/>
      <scheme val="minor"/>
    </font>
    <font>
      <b/>
      <sz val="10"/>
      <color theme="1"/>
      <name val="Arial"/>
      <family val="2"/>
    </font>
    <font>
      <b/>
      <vertAlign val="subscript"/>
      <sz val="10"/>
      <color theme="1"/>
      <name val="Arial"/>
      <family val="2"/>
    </font>
    <font>
      <vertAlign val="subscript"/>
      <sz val="10"/>
      <color theme="1"/>
      <name val="Arial"/>
      <family val="2"/>
    </font>
  </fonts>
  <fills count="1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bgColor indexed="64"/>
      </patternFill>
    </fill>
    <fill>
      <patternFill patternType="solid">
        <fgColor rgb="FF00B0F0"/>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2"/>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ck">
        <color auto="1"/>
      </top>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thick">
        <color indexed="64"/>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9">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8" fillId="0" borderId="0"/>
    <xf numFmtId="9"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4" fillId="0" borderId="0" applyNumberFormat="0" applyFill="0" applyBorder="0" applyAlignment="0" applyProtection="0"/>
  </cellStyleXfs>
  <cellXfs count="240">
    <xf numFmtId="0" fontId="0" fillId="0" borderId="0" xfId="0"/>
    <xf numFmtId="0" fontId="0" fillId="0" borderId="4" xfId="0" applyBorder="1"/>
    <xf numFmtId="0" fontId="0" fillId="0" borderId="0" xfId="0" applyBorder="1"/>
    <xf numFmtId="0" fontId="0" fillId="5" borderId="0" xfId="0" applyFill="1"/>
    <xf numFmtId="0" fontId="0" fillId="6" borderId="0" xfId="0" applyFill="1"/>
    <xf numFmtId="0" fontId="0" fillId="0" borderId="10" xfId="0" applyBorder="1"/>
    <xf numFmtId="0" fontId="0" fillId="0" borderId="0" xfId="0" applyBorder="1" applyAlignment="1"/>
    <xf numFmtId="0" fontId="1" fillId="2" borderId="4" xfId="1" applyBorder="1"/>
    <xf numFmtId="0" fontId="1" fillId="2" borderId="0" xfId="1" applyBorder="1"/>
    <xf numFmtId="0" fontId="1" fillId="2" borderId="5" xfId="1" applyBorder="1"/>
    <xf numFmtId="0" fontId="1" fillId="2" borderId="7" xfId="1" applyBorder="1"/>
    <xf numFmtId="0" fontId="1" fillId="2" borderId="8" xfId="1" applyBorder="1"/>
    <xf numFmtId="0" fontId="3" fillId="4" borderId="0" xfId="3" applyBorder="1"/>
    <xf numFmtId="0" fontId="2" fillId="3" borderId="4" xfId="2" applyBorder="1"/>
    <xf numFmtId="0" fontId="2" fillId="3" borderId="6" xfId="2" applyBorder="1"/>
    <xf numFmtId="0" fontId="3" fillId="4" borderId="4" xfId="3" applyBorder="1"/>
    <xf numFmtId="0" fontId="3" fillId="4" borderId="6" xfId="3" applyBorder="1"/>
    <xf numFmtId="0" fontId="2" fillId="3" borderId="0" xfId="2" applyBorder="1"/>
    <xf numFmtId="0" fontId="2" fillId="3" borderId="5" xfId="2" applyBorder="1"/>
    <xf numFmtId="0" fontId="1" fillId="2" borderId="0" xfId="1"/>
    <xf numFmtId="0" fontId="2" fillId="3" borderId="0" xfId="2"/>
    <xf numFmtId="0" fontId="2" fillId="3" borderId="2" xfId="2" applyBorder="1"/>
    <xf numFmtId="0" fontId="2" fillId="3" borderId="3" xfId="2" applyBorder="1"/>
    <xf numFmtId="0" fontId="1" fillId="2" borderId="6" xfId="1" applyBorder="1"/>
    <xf numFmtId="0" fontId="2" fillId="3" borderId="9" xfId="2" applyBorder="1"/>
    <xf numFmtId="0" fontId="2" fillId="3" borderId="10" xfId="2" applyBorder="1"/>
    <xf numFmtId="0" fontId="3" fillId="4" borderId="3" xfId="3" applyBorder="1"/>
    <xf numFmtId="0" fontId="3" fillId="4" borderId="5" xfId="3" applyBorder="1"/>
    <xf numFmtId="0" fontId="3" fillId="4" borderId="8" xfId="3" applyBorder="1"/>
    <xf numFmtId="0" fontId="2" fillId="3" borderId="1" xfId="2" applyBorder="1"/>
    <xf numFmtId="0" fontId="0" fillId="5" borderId="11" xfId="0" applyFill="1" applyBorder="1" applyAlignment="1">
      <alignment horizontal="center"/>
    </xf>
    <xf numFmtId="0" fontId="0" fillId="0" borderId="11" xfId="0" applyBorder="1"/>
    <xf numFmtId="0" fontId="0" fillId="5" borderId="11" xfId="0" applyFill="1" applyBorder="1"/>
    <xf numFmtId="0" fontId="0" fillId="5" borderId="11" xfId="0" applyFill="1" applyBorder="1" applyAlignment="1">
      <alignment horizontal="center" wrapText="1"/>
    </xf>
    <xf numFmtId="0" fontId="0" fillId="0" borderId="0" xfId="0" applyAlignment="1"/>
    <xf numFmtId="0" fontId="3" fillId="4" borderId="0" xfId="3" applyAlignment="1"/>
    <xf numFmtId="0" fontId="1" fillId="2" borderId="0" xfId="1" applyAlignment="1"/>
    <xf numFmtId="0" fontId="0" fillId="0" borderId="5" xfId="0" applyBorder="1"/>
    <xf numFmtId="0" fontId="0" fillId="0" borderId="7" xfId="0" applyBorder="1"/>
    <xf numFmtId="0" fontId="0" fillId="0" borderId="8" xfId="0" applyBorder="1"/>
    <xf numFmtId="0" fontId="0" fillId="0" borderId="6" xfId="0" applyBorder="1"/>
    <xf numFmtId="0" fontId="1" fillId="2" borderId="12" xfId="1" applyBorder="1"/>
    <xf numFmtId="10" fontId="0" fillId="6" borderId="0" xfId="0" applyNumberFormat="1" applyFill="1"/>
    <xf numFmtId="0" fontId="2" fillId="3" borderId="0" xfId="2" applyAlignment="1"/>
    <xf numFmtId="0" fontId="2" fillId="3" borderId="0" xfId="2" applyAlignment="1">
      <alignment horizontal="center"/>
    </xf>
    <xf numFmtId="0" fontId="0" fillId="0" borderId="0" xfId="0"/>
    <xf numFmtId="2" fontId="0" fillId="0" borderId="0" xfId="0" applyNumberFormat="1" applyFill="1"/>
    <xf numFmtId="9" fontId="1" fillId="2" borderId="0" xfId="1" applyNumberFormat="1" applyAlignment="1"/>
    <xf numFmtId="9" fontId="1" fillId="2" borderId="0" xfId="1" applyNumberFormat="1"/>
    <xf numFmtId="0" fontId="2" fillId="3" borderId="4" xfId="2" applyBorder="1" applyAlignment="1">
      <alignment horizontal="center"/>
    </xf>
    <xf numFmtId="0" fontId="2" fillId="3" borderId="13" xfId="2" applyBorder="1" applyAlignment="1">
      <alignment horizontal="center"/>
    </xf>
    <xf numFmtId="0" fontId="2" fillId="3" borderId="14" xfId="2" applyBorder="1" applyAlignment="1">
      <alignment horizontal="center"/>
    </xf>
    <xf numFmtId="164" fontId="2" fillId="3" borderId="4" xfId="2" applyNumberFormat="1" applyBorder="1" applyAlignment="1">
      <alignment horizontal="center"/>
    </xf>
    <xf numFmtId="164" fontId="2" fillId="3" borderId="14" xfId="2" applyNumberFormat="1" applyBorder="1" applyAlignment="1">
      <alignment horizontal="center"/>
    </xf>
    <xf numFmtId="164" fontId="2" fillId="3" borderId="13" xfId="2" applyNumberFormat="1" applyBorder="1" applyAlignment="1">
      <alignment horizontal="center"/>
    </xf>
    <xf numFmtId="0" fontId="1" fillId="2" borderId="11" xfId="1" applyBorder="1" applyAlignment="1">
      <alignment wrapText="1"/>
    </xf>
    <xf numFmtId="0" fontId="1" fillId="2" borderId="11" xfId="1" applyBorder="1"/>
    <xf numFmtId="0" fontId="1" fillId="2" borderId="10" xfId="1" applyBorder="1"/>
    <xf numFmtId="0" fontId="0" fillId="6" borderId="12" xfId="0" applyFill="1" applyBorder="1"/>
    <xf numFmtId="0" fontId="2" fillId="3" borderId="4" xfId="2" applyBorder="1" applyAlignment="1">
      <alignment horizontal="center"/>
    </xf>
    <xf numFmtId="0" fontId="2" fillId="3" borderId="0" xfId="2" applyBorder="1" applyAlignment="1">
      <alignment horizontal="center"/>
    </xf>
    <xf numFmtId="0" fontId="9" fillId="0" borderId="1" xfId="0" applyFont="1" applyBorder="1"/>
    <xf numFmtId="0" fontId="0" fillId="0" borderId="2" xfId="0" applyBorder="1"/>
    <xf numFmtId="0" fontId="0" fillId="0" borderId="3" xfId="0" applyBorder="1"/>
    <xf numFmtId="0" fontId="0" fillId="6" borderId="6" xfId="0" applyFill="1" applyBorder="1"/>
    <xf numFmtId="14" fontId="0" fillId="0" borderId="7" xfId="0" applyNumberFormat="1" applyBorder="1"/>
    <xf numFmtId="0" fontId="6" fillId="3" borderId="2" xfId="2" applyFont="1" applyBorder="1" applyAlignment="1"/>
    <xf numFmtId="0" fontId="6" fillId="3" borderId="3" xfId="2" applyFont="1" applyBorder="1" applyAlignment="1"/>
    <xf numFmtId="0" fontId="6" fillId="3" borderId="0" xfId="2" applyFont="1" applyBorder="1" applyAlignment="1"/>
    <xf numFmtId="0" fontId="6" fillId="3" borderId="5" xfId="2" applyFont="1" applyBorder="1" applyAlignment="1"/>
    <xf numFmtId="0" fontId="6" fillId="3" borderId="7" xfId="2" applyFont="1" applyBorder="1" applyAlignment="1"/>
    <xf numFmtId="0" fontId="6" fillId="3" borderId="8" xfId="2" applyFont="1" applyBorder="1" applyAlignment="1"/>
    <xf numFmtId="0" fontId="0" fillId="6" borderId="1" xfId="0" applyFill="1" applyBorder="1"/>
    <xf numFmtId="0" fontId="0" fillId="6" borderId="3" xfId="0" applyFill="1" applyBorder="1"/>
    <xf numFmtId="0" fontId="0" fillId="6" borderId="4" xfId="0" applyFill="1" applyBorder="1"/>
    <xf numFmtId="0" fontId="0" fillId="6" borderId="5" xfId="0" applyFill="1" applyBorder="1"/>
    <xf numFmtId="0" fontId="0" fillId="6" borderId="8" xfId="0" applyFill="1" applyBorder="1"/>
    <xf numFmtId="0" fontId="3" fillId="4" borderId="7" xfId="3" applyBorder="1"/>
    <xf numFmtId="0" fontId="0" fillId="0" borderId="0" xfId="0" applyFill="1"/>
    <xf numFmtId="0" fontId="2" fillId="3" borderId="11" xfId="2" applyBorder="1"/>
    <xf numFmtId="0" fontId="0" fillId="6" borderId="5" xfId="0" applyNumberFormat="1" applyFill="1" applyBorder="1"/>
    <xf numFmtId="0" fontId="0" fillId="6" borderId="8" xfId="0" applyNumberFormat="1" applyFill="1" applyBorder="1"/>
    <xf numFmtId="0" fontId="3" fillId="0" borderId="0" xfId="3" applyFill="1" applyBorder="1"/>
    <xf numFmtId="0" fontId="2" fillId="3" borderId="15" xfId="2" applyBorder="1"/>
    <xf numFmtId="0" fontId="0" fillId="6" borderId="2" xfId="0" applyFill="1" applyBorder="1"/>
    <xf numFmtId="0" fontId="0" fillId="6" borderId="0" xfId="0" applyFill="1" applyBorder="1"/>
    <xf numFmtId="0" fontId="0" fillId="6" borderId="7" xfId="0" applyFill="1" applyBorder="1"/>
    <xf numFmtId="0" fontId="0" fillId="0" borderId="1" xfId="0" applyBorder="1"/>
    <xf numFmtId="0" fontId="0" fillId="0" borderId="2" xfId="0" applyBorder="1" applyAlignment="1"/>
    <xf numFmtId="0" fontId="3" fillId="4" borderId="3" xfId="3" applyBorder="1" applyAlignment="1"/>
    <xf numFmtId="0" fontId="2" fillId="3" borderId="5" xfId="2" applyBorder="1" applyAlignment="1">
      <alignment horizontal="center"/>
    </xf>
    <xf numFmtId="0" fontId="3" fillId="0" borderId="0" xfId="3" applyFill="1" applyAlignment="1"/>
    <xf numFmtId="0" fontId="2" fillId="0" borderId="0" xfId="2" applyFill="1" applyAlignment="1">
      <alignment horizontal="center"/>
    </xf>
    <xf numFmtId="0" fontId="3" fillId="0" borderId="0" xfId="3" applyFill="1"/>
    <xf numFmtId="0" fontId="0" fillId="0" borderId="16" xfId="0" applyBorder="1"/>
    <xf numFmtId="0" fontId="0" fillId="6" borderId="17" xfId="0" applyFill="1" applyBorder="1"/>
    <xf numFmtId="0" fontId="0" fillId="6" borderId="18" xfId="0" applyFill="1" applyBorder="1"/>
    <xf numFmtId="0" fontId="0" fillId="6" borderId="19" xfId="0" applyFill="1" applyBorder="1"/>
    <xf numFmtId="0" fontId="0" fillId="0" borderId="18" xfId="0" applyBorder="1"/>
    <xf numFmtId="0" fontId="0" fillId="0" borderId="20" xfId="0" applyFill="1" applyBorder="1"/>
    <xf numFmtId="0" fontId="0" fillId="0" borderId="21" xfId="0" applyFill="1" applyBorder="1"/>
    <xf numFmtId="0" fontId="0" fillId="0" borderId="22" xfId="0" applyFill="1" applyBorder="1"/>
    <xf numFmtId="9" fontId="3" fillId="4" borderId="5" xfId="3" applyNumberFormat="1" applyBorder="1"/>
    <xf numFmtId="9" fontId="0" fillId="6" borderId="0" xfId="0" applyNumberFormat="1" applyFill="1" applyBorder="1"/>
    <xf numFmtId="9" fontId="0" fillId="6" borderId="7" xfId="0" applyNumberFormat="1" applyFill="1" applyBorder="1"/>
    <xf numFmtId="164" fontId="0" fillId="6" borderId="0" xfId="0" applyNumberFormat="1" applyFill="1" applyBorder="1"/>
    <xf numFmtId="164" fontId="0" fillId="6" borderId="5" xfId="0" applyNumberFormat="1" applyFill="1" applyBorder="1"/>
    <xf numFmtId="0" fontId="0" fillId="0" borderId="12" xfId="0" applyBorder="1"/>
    <xf numFmtId="0" fontId="2" fillId="3" borderId="4" xfId="2" applyBorder="1" applyAlignment="1">
      <alignment horizontal="center"/>
    </xf>
    <xf numFmtId="0" fontId="2" fillId="3" borderId="0" xfId="2" applyBorder="1" applyAlignment="1">
      <alignment horizontal="center"/>
    </xf>
    <xf numFmtId="0" fontId="2" fillId="3" borderId="5" xfId="2" applyBorder="1" applyAlignment="1">
      <alignment horizontal="center"/>
    </xf>
    <xf numFmtId="0" fontId="2" fillId="3" borderId="0" xfId="2" applyAlignment="1">
      <alignment horizontal="center"/>
    </xf>
    <xf numFmtId="0" fontId="2" fillId="3" borderId="4" xfId="2" applyBorder="1" applyAlignment="1">
      <alignment horizontal="center"/>
    </xf>
    <xf numFmtId="0" fontId="2" fillId="3" borderId="0" xfId="2" applyBorder="1" applyAlignment="1">
      <alignment horizontal="center"/>
    </xf>
    <xf numFmtId="0" fontId="2" fillId="3" borderId="5" xfId="2" applyBorder="1" applyAlignment="1">
      <alignment horizontal="center"/>
    </xf>
    <xf numFmtId="0" fontId="0" fillId="0" borderId="0" xfId="0" applyAlignment="1">
      <alignment wrapText="1"/>
    </xf>
    <xf numFmtId="10" fontId="0" fillId="0" borderId="0" xfId="0" applyNumberFormat="1"/>
    <xf numFmtId="165" fontId="0" fillId="0" borderId="0" xfId="6" applyNumberFormat="1" applyFont="1"/>
    <xf numFmtId="165" fontId="0" fillId="0" borderId="0" xfId="0" applyNumberFormat="1"/>
    <xf numFmtId="166" fontId="0" fillId="0" borderId="0" xfId="0" applyNumberFormat="1" applyAlignment="1">
      <alignment wrapText="1"/>
    </xf>
    <xf numFmtId="167" fontId="0" fillId="0" borderId="0" xfId="0" applyNumberFormat="1" applyAlignment="1">
      <alignment wrapText="1"/>
    </xf>
    <xf numFmtId="0" fontId="15" fillId="0" borderId="0" xfId="0" applyFont="1" applyAlignment="1">
      <alignment wrapText="1"/>
    </xf>
    <xf numFmtId="10" fontId="15" fillId="0" borderId="0" xfId="5" applyNumberFormat="1" applyFont="1" applyBorder="1"/>
    <xf numFmtId="0" fontId="16" fillId="0" borderId="0" xfId="0" applyFont="1" applyAlignment="1">
      <alignment wrapText="1"/>
    </xf>
    <xf numFmtId="0" fontId="16" fillId="0" borderId="0" xfId="0" applyFont="1"/>
    <xf numFmtId="0" fontId="9" fillId="0" borderId="23" xfId="0" applyFont="1" applyBorder="1" applyAlignment="1">
      <alignment horizontal="center"/>
    </xf>
    <xf numFmtId="168" fontId="0" fillId="7" borderId="0" xfId="5" applyNumberFormat="1" applyFont="1" applyFill="1"/>
    <xf numFmtId="168" fontId="0" fillId="0" borderId="0" xfId="0" applyNumberFormat="1"/>
    <xf numFmtId="0" fontId="0" fillId="8" borderId="0" xfId="0" applyFill="1"/>
    <xf numFmtId="0" fontId="0" fillId="8" borderId="0" xfId="0" applyFill="1" applyAlignment="1">
      <alignment horizontal="center" vertical="center"/>
    </xf>
    <xf numFmtId="0" fontId="0" fillId="0" borderId="0" xfId="0" applyAlignment="1">
      <alignment horizontal="center" vertical="center"/>
    </xf>
    <xf numFmtId="0" fontId="17" fillId="0" borderId="24" xfId="0" applyFont="1" applyBorder="1" applyAlignment="1">
      <alignment horizontal="center" vertical="center"/>
    </xf>
    <xf numFmtId="0" fontId="0" fillId="9" borderId="1" xfId="0" applyFill="1" applyBorder="1" applyAlignment="1">
      <alignment horizontal="center" vertical="center" wrapText="1"/>
    </xf>
    <xf numFmtId="0" fontId="0" fillId="9" borderId="2" xfId="0" applyFill="1" applyBorder="1" applyAlignment="1">
      <alignment horizontal="center" vertical="center" wrapText="1"/>
    </xf>
    <xf numFmtId="0" fontId="0" fillId="9" borderId="3" xfId="0" applyFill="1" applyBorder="1" applyAlignment="1">
      <alignment wrapText="1"/>
    </xf>
    <xf numFmtId="0" fontId="0" fillId="0" borderId="0" xfId="0" applyAlignment="1">
      <alignment horizontal="center" vertical="center" wrapText="1"/>
    </xf>
    <xf numFmtId="0" fontId="0" fillId="9" borderId="0" xfId="0" applyFill="1" applyAlignment="1">
      <alignment horizontal="center" vertical="center" wrapText="1"/>
    </xf>
    <xf numFmtId="0" fontId="17" fillId="10" borderId="0" xfId="0" applyFont="1" applyFill="1" applyAlignment="1">
      <alignment horizontal="center" vertical="center" wrapText="1"/>
    </xf>
    <xf numFmtId="169" fontId="0" fillId="0" borderId="0" xfId="0" applyNumberFormat="1" applyAlignment="1">
      <alignment horizontal="center" vertical="center" wrapText="1"/>
    </xf>
    <xf numFmtId="0" fontId="14" fillId="0" borderId="6" xfId="8" applyBorder="1" applyAlignment="1">
      <alignment horizontal="center" vertical="center" wrapText="1"/>
    </xf>
    <xf numFmtId="0" fontId="0" fillId="0" borderId="7" xfId="0" applyBorder="1" applyAlignment="1">
      <alignment horizontal="center" vertical="center" wrapText="1"/>
    </xf>
    <xf numFmtId="0" fontId="0" fillId="7" borderId="7" xfId="0" applyFill="1" applyBorder="1" applyAlignment="1">
      <alignment horizontal="center" vertical="center" wrapText="1"/>
    </xf>
    <xf numFmtId="0" fontId="0" fillId="0" borderId="8" xfId="0" applyBorder="1" applyAlignment="1">
      <alignment horizontal="center" vertical="center"/>
    </xf>
    <xf numFmtId="0" fontId="17" fillId="0" borderId="24" xfId="0" applyFont="1" applyBorder="1" applyAlignment="1">
      <alignment horizontal="center" vertical="center" wrapText="1"/>
    </xf>
    <xf numFmtId="169" fontId="17" fillId="0" borderId="24" xfId="0" applyNumberFormat="1" applyFont="1" applyBorder="1" applyAlignment="1">
      <alignment horizontal="center" vertical="center" wrapText="1"/>
    </xf>
    <xf numFmtId="0" fontId="17" fillId="10" borderId="0" xfId="0" applyFont="1" applyFill="1" applyAlignment="1">
      <alignment horizontal="center" vertical="center"/>
    </xf>
    <xf numFmtId="0" fontId="0" fillId="7" borderId="0" xfId="0" applyFill="1" applyAlignment="1">
      <alignment horizontal="center" vertical="center"/>
    </xf>
    <xf numFmtId="169" fontId="0" fillId="0" borderId="0" xfId="0" applyNumberFormat="1" applyAlignment="1">
      <alignment horizontal="center" vertical="center"/>
    </xf>
    <xf numFmtId="0" fontId="0" fillId="9" borderId="3" xfId="0" applyFill="1" applyBorder="1" applyAlignment="1">
      <alignment horizontal="center" vertical="center" wrapText="1"/>
    </xf>
    <xf numFmtId="0" fontId="0" fillId="0" borderId="6" xfId="0" applyBorder="1" applyAlignment="1">
      <alignment horizontal="center" vertical="center" wrapText="1"/>
    </xf>
    <xf numFmtId="3" fontId="0" fillId="0" borderId="7" xfId="0" applyNumberFormat="1" applyBorder="1" applyAlignment="1">
      <alignment horizontal="center" vertical="center" wrapText="1"/>
    </xf>
    <xf numFmtId="0" fontId="0" fillId="0" borderId="8" xfId="0" applyBorder="1" applyAlignment="1">
      <alignment horizontal="center" vertical="center" wrapText="1"/>
    </xf>
    <xf numFmtId="3" fontId="0" fillId="0" borderId="0" xfId="0" applyNumberFormat="1" applyAlignment="1">
      <alignment horizontal="center" vertical="center"/>
    </xf>
    <xf numFmtId="0" fontId="15" fillId="0" borderId="0" xfId="0" applyFont="1"/>
    <xf numFmtId="0" fontId="13" fillId="0" borderId="0" xfId="0" applyFont="1"/>
    <xf numFmtId="0" fontId="9" fillId="0" borderId="0" xfId="0" applyFont="1" applyAlignment="1">
      <alignment horizontal="center"/>
    </xf>
    <xf numFmtId="9" fontId="0" fillId="0" borderId="0" xfId="5" applyFont="1" applyBorder="1"/>
    <xf numFmtId="0" fontId="0" fillId="11" borderId="12" xfId="0" applyFill="1" applyBorder="1"/>
    <xf numFmtId="0" fontId="0" fillId="11" borderId="28" xfId="0" applyFill="1" applyBorder="1"/>
    <xf numFmtId="0" fontId="0" fillId="11" borderId="29" xfId="0" applyFill="1" applyBorder="1"/>
    <xf numFmtId="0" fontId="0" fillId="11" borderId="30" xfId="0" applyFill="1" applyBorder="1"/>
    <xf numFmtId="170" fontId="0" fillId="0" borderId="12" xfId="7" applyNumberFormat="1" applyFont="1" applyFill="1" applyBorder="1"/>
    <xf numFmtId="0" fontId="5" fillId="0" borderId="0" xfId="0" applyFont="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1" xfId="0" applyBorder="1" applyAlignment="1">
      <alignment horizontal="center" wrapText="1"/>
    </xf>
    <xf numFmtId="0" fontId="0" fillId="0" borderId="10" xfId="0"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0" fillId="0" borderId="7" xfId="0" applyBorder="1" applyAlignment="1">
      <alignment horizontal="center" wrapText="1"/>
    </xf>
    <xf numFmtId="0" fontId="4" fillId="0" borderId="0" xfId="0" applyFont="1" applyAlignment="1">
      <alignment horizontal="center"/>
    </xf>
    <xf numFmtId="0" fontId="0" fillId="0" borderId="9" xfId="0" applyBorder="1" applyAlignment="1">
      <alignment horizontal="center"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10" fontId="7" fillId="0" borderId="0" xfId="0" applyNumberFormat="1" applyFont="1" applyBorder="1" applyAlignment="1">
      <alignment horizontal="center"/>
    </xf>
    <xf numFmtId="10" fontId="7" fillId="0" borderId="5" xfId="0" applyNumberFormat="1" applyFont="1" applyBorder="1" applyAlignment="1">
      <alignment horizontal="center"/>
    </xf>
    <xf numFmtId="10" fontId="7" fillId="0" borderId="7" xfId="0" applyNumberFormat="1" applyFont="1" applyBorder="1" applyAlignment="1">
      <alignment horizontal="center"/>
    </xf>
    <xf numFmtId="10" fontId="7" fillId="0" borderId="8" xfId="0" applyNumberFormat="1" applyFont="1" applyBorder="1" applyAlignment="1">
      <alignment horizontal="center"/>
    </xf>
    <xf numFmtId="0" fontId="0" fillId="0" borderId="0" xfId="0" applyBorder="1" applyAlignment="1">
      <alignment horizontal="center" wrapText="1"/>
    </xf>
    <xf numFmtId="0" fontId="0" fillId="0" borderId="5" xfId="0" applyBorder="1" applyAlignment="1">
      <alignment horizontal="center" wrapText="1"/>
    </xf>
    <xf numFmtId="0" fontId="9" fillId="12" borderId="25" xfId="0" applyFont="1" applyFill="1" applyBorder="1" applyAlignment="1">
      <alignment horizontal="center"/>
    </xf>
    <xf numFmtId="0" fontId="9" fillId="12" borderId="26" xfId="0" applyFont="1" applyFill="1" applyBorder="1" applyAlignment="1">
      <alignment horizontal="center"/>
    </xf>
    <xf numFmtId="0" fontId="9" fillId="12" borderId="27" xfId="0" applyFont="1" applyFill="1" applyBorder="1" applyAlignment="1">
      <alignment horizontal="center"/>
    </xf>
    <xf numFmtId="0" fontId="1" fillId="2" borderId="7" xfId="1" applyBorder="1" applyAlignment="1">
      <alignment horizontal="center" wrapText="1"/>
    </xf>
    <xf numFmtId="0" fontId="10" fillId="0" borderId="0" xfId="0" applyFont="1" applyAlignment="1">
      <alignment horizontal="center"/>
    </xf>
    <xf numFmtId="0" fontId="1" fillId="2" borderId="8" xfId="1" applyBorder="1" applyAlignment="1">
      <alignment horizontal="center" wrapText="1"/>
    </xf>
    <xf numFmtId="0" fontId="1" fillId="2" borderId="0" xfId="1" applyBorder="1" applyAlignment="1">
      <alignment horizontal="center"/>
    </xf>
    <xf numFmtId="0" fontId="1" fillId="2" borderId="5" xfId="1" applyBorder="1" applyAlignment="1">
      <alignment horizontal="center"/>
    </xf>
    <xf numFmtId="0" fontId="2" fillId="3" borderId="1" xfId="2" applyBorder="1" applyAlignment="1">
      <alignment horizontal="center"/>
    </xf>
    <xf numFmtId="0" fontId="2" fillId="3" borderId="2" xfId="2" applyBorder="1" applyAlignment="1">
      <alignment horizontal="center"/>
    </xf>
    <xf numFmtId="0" fontId="2" fillId="3" borderId="3" xfId="2" applyBorder="1" applyAlignment="1">
      <alignment horizontal="center"/>
    </xf>
    <xf numFmtId="0" fontId="6" fillId="3" borderId="1" xfId="2" applyFont="1" applyBorder="1" applyAlignment="1">
      <alignment horizontal="center"/>
    </xf>
    <xf numFmtId="0" fontId="6" fillId="3" borderId="2" xfId="2" applyFont="1" applyBorder="1" applyAlignment="1">
      <alignment horizontal="center"/>
    </xf>
    <xf numFmtId="0" fontId="6" fillId="3" borderId="4" xfId="2" applyFont="1" applyBorder="1" applyAlignment="1">
      <alignment horizontal="center"/>
    </xf>
    <xf numFmtId="0" fontId="6" fillId="3" borderId="0" xfId="2" applyFont="1" applyBorder="1" applyAlignment="1">
      <alignment horizontal="center"/>
    </xf>
    <xf numFmtId="0" fontId="6" fillId="3" borderId="6" xfId="2" applyFont="1" applyBorder="1" applyAlignment="1">
      <alignment horizontal="center"/>
    </xf>
    <xf numFmtId="0" fontId="6" fillId="3" borderId="7" xfId="2" applyFont="1" applyBorder="1" applyAlignment="1">
      <alignment horizontal="center"/>
    </xf>
    <xf numFmtId="0" fontId="6" fillId="3" borderId="3" xfId="2" applyFont="1" applyBorder="1" applyAlignment="1">
      <alignment horizontal="center"/>
    </xf>
    <xf numFmtId="0" fontId="6" fillId="3" borderId="5" xfId="2" applyFont="1" applyBorder="1" applyAlignment="1">
      <alignment horizontal="center"/>
    </xf>
    <xf numFmtId="0" fontId="6" fillId="3" borderId="8" xfId="2" applyFont="1" applyBorder="1" applyAlignment="1">
      <alignment horizontal="center"/>
    </xf>
    <xf numFmtId="0" fontId="10" fillId="0" borderId="0" xfId="0" applyFont="1" applyAlignment="1">
      <alignment horizontal="center" vertical="center"/>
    </xf>
    <xf numFmtId="0" fontId="6" fillId="3" borderId="1" xfId="2" applyFont="1" applyBorder="1" applyAlignment="1">
      <alignment horizontal="center" wrapText="1"/>
    </xf>
    <xf numFmtId="0" fontId="6" fillId="3" borderId="2" xfId="2" applyFont="1" applyBorder="1" applyAlignment="1">
      <alignment horizontal="center" wrapText="1"/>
    </xf>
    <xf numFmtId="0" fontId="6" fillId="3" borderId="3" xfId="2" applyFont="1" applyBorder="1" applyAlignment="1">
      <alignment horizontal="center" wrapText="1"/>
    </xf>
    <xf numFmtId="0" fontId="6" fillId="3" borderId="4" xfId="2" applyFont="1" applyBorder="1" applyAlignment="1">
      <alignment horizontal="center" wrapText="1"/>
    </xf>
    <xf numFmtId="0" fontId="6" fillId="3" borderId="0" xfId="2" applyFont="1" applyBorder="1" applyAlignment="1">
      <alignment horizontal="center" wrapText="1"/>
    </xf>
    <xf numFmtId="0" fontId="6" fillId="3" borderId="5" xfId="2" applyFont="1" applyBorder="1" applyAlignment="1">
      <alignment horizontal="center" wrapText="1"/>
    </xf>
    <xf numFmtId="0" fontId="6" fillId="3" borderId="6" xfId="2" applyFont="1" applyBorder="1" applyAlignment="1">
      <alignment horizontal="center" wrapText="1"/>
    </xf>
    <xf numFmtId="0" fontId="6" fillId="3" borderId="7" xfId="2" applyFont="1" applyBorder="1" applyAlignment="1">
      <alignment horizontal="center" wrapText="1"/>
    </xf>
    <xf numFmtId="0" fontId="6" fillId="3" borderId="8" xfId="2" applyFont="1" applyBorder="1" applyAlignment="1">
      <alignment horizontal="center" wrapText="1"/>
    </xf>
    <xf numFmtId="0" fontId="10" fillId="0" borderId="5" xfId="0" applyFont="1" applyBorder="1" applyAlignment="1">
      <alignment horizontal="center" vertical="center"/>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center"/>
    </xf>
    <xf numFmtId="0" fontId="2" fillId="3" borderId="0" xfId="2" applyAlignment="1">
      <alignment horizontal="center"/>
    </xf>
    <xf numFmtId="0" fontId="0" fillId="0" borderId="0" xfId="0" applyAlignment="1">
      <alignment horizontal="center" wrapText="1"/>
    </xf>
    <xf numFmtId="0" fontId="10" fillId="0" borderId="4" xfId="0" applyFont="1" applyBorder="1" applyAlignment="1">
      <alignment horizontal="center"/>
    </xf>
    <xf numFmtId="0" fontId="10" fillId="0" borderId="0" xfId="0" applyFont="1" applyBorder="1" applyAlignment="1">
      <alignment horizontal="center"/>
    </xf>
    <xf numFmtId="0" fontId="10" fillId="0" borderId="5" xfId="0" applyFont="1" applyBorder="1" applyAlignment="1">
      <alignment horizontal="center"/>
    </xf>
    <xf numFmtId="164" fontId="2" fillId="3" borderId="4" xfId="2" applyNumberFormat="1" applyBorder="1" applyAlignment="1">
      <alignment horizontal="center"/>
    </xf>
    <xf numFmtId="164" fontId="2" fillId="3" borderId="5" xfId="2" applyNumberFormat="1" applyBorder="1" applyAlignment="1">
      <alignment horizontal="center"/>
    </xf>
    <xf numFmtId="164" fontId="2" fillId="3" borderId="6" xfId="2" applyNumberFormat="1" applyBorder="1" applyAlignment="1">
      <alignment horizontal="center"/>
    </xf>
    <xf numFmtId="164" fontId="2" fillId="3" borderId="8" xfId="2" applyNumberFormat="1" applyBorder="1" applyAlignment="1">
      <alignment horizontal="center"/>
    </xf>
    <xf numFmtId="164" fontId="2" fillId="0" borderId="0" xfId="2" applyNumberFormat="1" applyFill="1" applyBorder="1" applyAlignment="1">
      <alignment horizontal="center"/>
    </xf>
    <xf numFmtId="0" fontId="2" fillId="3" borderId="4" xfId="2" applyBorder="1" applyAlignment="1">
      <alignment horizontal="center"/>
    </xf>
    <xf numFmtId="0" fontId="2" fillId="3" borderId="0" xfId="2" applyBorder="1" applyAlignment="1">
      <alignment horizontal="center"/>
    </xf>
    <xf numFmtId="0" fontId="2" fillId="3" borderId="6" xfId="2" applyBorder="1" applyAlignment="1">
      <alignment horizontal="center"/>
    </xf>
    <xf numFmtId="0" fontId="2" fillId="3" borderId="7" xfId="2" applyBorder="1" applyAlignment="1">
      <alignment horizontal="center"/>
    </xf>
    <xf numFmtId="0" fontId="2" fillId="3" borderId="5" xfId="2" applyBorder="1" applyAlignment="1">
      <alignment horizontal="center"/>
    </xf>
    <xf numFmtId="0" fontId="2" fillId="3" borderId="1" xfId="2" applyBorder="1" applyAlignment="1">
      <alignment horizontal="center" wrapText="1"/>
    </xf>
    <xf numFmtId="0" fontId="2" fillId="3" borderId="3" xfId="2" applyBorder="1" applyAlignment="1">
      <alignment horizontal="center" wrapText="1"/>
    </xf>
    <xf numFmtId="0" fontId="11" fillId="0" borderId="0" xfId="0" applyFont="1" applyBorder="1" applyAlignment="1">
      <alignment horizontal="center"/>
    </xf>
    <xf numFmtId="0" fontId="11" fillId="0" borderId="7" xfId="0" applyFont="1" applyBorder="1" applyAlignment="1">
      <alignment horizontal="center"/>
    </xf>
  </cellXfs>
  <cellStyles count="9">
    <cellStyle name="Bad" xfId="2" builtinId="27"/>
    <cellStyle name="Comma" xfId="6" builtinId="3"/>
    <cellStyle name="Currency" xfId="7" builtinId="4"/>
    <cellStyle name="Good" xfId="1" builtinId="26"/>
    <cellStyle name="Hyperlink" xfId="8" builtinId="8"/>
    <cellStyle name="Neutral" xfId="3" builtinId="28"/>
    <cellStyle name="Normal" xfId="0" builtinId="0"/>
    <cellStyle name="Normal 2" xfId="4" xr:uid="{00000000-0005-0000-0000-00000200000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0</xdr:colOff>
      <xdr:row>11</xdr:row>
      <xdr:rowOff>0</xdr:rowOff>
    </xdr:from>
    <xdr:to>
      <xdr:col>21</xdr:col>
      <xdr:colOff>184150</xdr:colOff>
      <xdr:row>12</xdr:row>
      <xdr:rowOff>6350</xdr:rowOff>
    </xdr:to>
    <xdr:pic>
      <xdr:nvPicPr>
        <xdr:cNvPr id="3" name="Picture 2">
          <a:extLst>
            <a:ext uri="{FF2B5EF4-FFF2-40B4-BE49-F238E27FC236}">
              <a16:creationId xmlns:a16="http://schemas.microsoft.com/office/drawing/2014/main" id="{49DAFE93-26EE-4944-856C-225D87466E5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28050" y="3702050"/>
          <a:ext cx="445135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eia.gov/tools/faqs/faq.php?id=45&amp;t=8"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3B45E-6288-47A1-8DB8-9DD2EE0C0904}">
  <sheetPr>
    <tabColor rgb="FFFF0000"/>
  </sheetPr>
  <dimension ref="A1:X21"/>
  <sheetViews>
    <sheetView view="pageBreakPreview" zoomScaleNormal="120" zoomScaleSheetLayoutView="100" workbookViewId="0">
      <selection activeCell="C20" sqref="C20"/>
    </sheetView>
  </sheetViews>
  <sheetFormatPr defaultRowHeight="15" x14ac:dyDescent="0.25"/>
  <cols>
    <col min="5" max="5" width="4.140625" style="3" customWidth="1"/>
    <col min="12" max="12" width="13.140625" customWidth="1"/>
    <col min="20" max="20" width="12.85546875" customWidth="1"/>
  </cols>
  <sheetData>
    <row r="1" spans="1:24" ht="32.25" thickBot="1" x14ac:dyDescent="0.55000000000000004">
      <c r="A1" s="162" t="s">
        <v>0</v>
      </c>
      <c r="B1" s="162"/>
      <c r="C1" s="162"/>
      <c r="D1" s="162"/>
      <c r="E1" s="162"/>
      <c r="F1" s="162"/>
      <c r="G1" s="162"/>
      <c r="H1" s="162"/>
      <c r="I1" s="162"/>
      <c r="J1" s="162"/>
      <c r="K1" s="162"/>
      <c r="L1" s="162"/>
      <c r="M1" s="162" t="s">
        <v>0</v>
      </c>
      <c r="N1" s="162"/>
      <c r="O1" s="162"/>
      <c r="P1" s="162"/>
      <c r="Q1" s="162"/>
      <c r="R1" s="162"/>
      <c r="S1" s="162"/>
      <c r="T1" s="162"/>
      <c r="U1" s="162"/>
      <c r="V1" s="162"/>
      <c r="W1" s="162"/>
      <c r="X1" s="162"/>
    </row>
    <row r="2" spans="1:24" ht="24" thickBot="1" x14ac:dyDescent="0.4">
      <c r="A2" s="172" t="s">
        <v>1</v>
      </c>
      <c r="B2" s="172"/>
      <c r="C2" s="172"/>
      <c r="D2" s="172"/>
      <c r="E2" s="172"/>
      <c r="F2" s="172"/>
      <c r="G2" s="172"/>
      <c r="H2" s="172"/>
      <c r="I2" s="172"/>
      <c r="J2" s="172"/>
      <c r="K2" s="172"/>
      <c r="L2" s="172"/>
      <c r="P2" s="61" t="s">
        <v>18</v>
      </c>
      <c r="Q2" s="62"/>
      <c r="R2" s="62"/>
      <c r="S2" s="62"/>
      <c r="T2" s="63"/>
    </row>
    <row r="3" spans="1:24" ht="15.75" thickBot="1" x14ac:dyDescent="0.3">
      <c r="A3" s="173" t="s">
        <v>3</v>
      </c>
      <c r="B3" s="166"/>
      <c r="C3" s="166"/>
      <c r="D3" s="166"/>
      <c r="E3" s="33"/>
      <c r="F3" s="169" t="s">
        <v>4</v>
      </c>
      <c r="G3" s="169"/>
      <c r="H3" s="169"/>
      <c r="I3" s="169"/>
      <c r="J3" s="169"/>
      <c r="K3" s="169"/>
      <c r="L3" s="170"/>
      <c r="P3" s="7"/>
      <c r="Q3" s="2" t="s">
        <v>19</v>
      </c>
      <c r="R3" s="2"/>
      <c r="S3" s="2"/>
      <c r="T3" s="37"/>
    </row>
    <row r="4" spans="1:24" ht="30.6" customHeight="1" thickBot="1" x14ac:dyDescent="0.3">
      <c r="A4" s="168" t="s">
        <v>64</v>
      </c>
      <c r="B4" s="169"/>
      <c r="C4" s="169"/>
      <c r="D4" s="169"/>
      <c r="E4" s="33"/>
      <c r="F4" s="166" t="s">
        <v>68</v>
      </c>
      <c r="G4" s="166"/>
      <c r="H4" s="166"/>
      <c r="I4" s="166"/>
      <c r="J4" s="166"/>
      <c r="K4" s="166"/>
      <c r="L4" s="167"/>
      <c r="P4" s="7"/>
      <c r="Q4" s="2"/>
      <c r="R4" s="2"/>
      <c r="S4" s="2"/>
      <c r="T4" s="37"/>
    </row>
    <row r="5" spans="1:24" ht="15.75" thickBot="1" x14ac:dyDescent="0.3">
      <c r="A5" s="168" t="s">
        <v>2</v>
      </c>
      <c r="B5" s="169"/>
      <c r="C5" s="169"/>
      <c r="D5" s="169"/>
      <c r="E5" s="30"/>
      <c r="F5" s="31" t="s">
        <v>5</v>
      </c>
      <c r="G5" s="31"/>
      <c r="H5" s="31"/>
      <c r="I5" s="31"/>
      <c r="J5" s="31"/>
      <c r="K5" s="31"/>
      <c r="L5" s="5"/>
      <c r="P5" s="15"/>
      <c r="Q5" s="2" t="s">
        <v>20</v>
      </c>
      <c r="R5" s="2"/>
      <c r="S5" s="2"/>
      <c r="T5" s="37"/>
    </row>
    <row r="6" spans="1:24" ht="30.95" customHeight="1" thickBot="1" x14ac:dyDescent="0.3">
      <c r="A6" s="168" t="s">
        <v>9</v>
      </c>
      <c r="B6" s="169"/>
      <c r="C6" s="169"/>
      <c r="D6" s="169"/>
      <c r="E6" s="32"/>
      <c r="F6" s="166" t="s">
        <v>10</v>
      </c>
      <c r="G6" s="166"/>
      <c r="H6" s="166"/>
      <c r="I6" s="166"/>
      <c r="J6" s="166"/>
      <c r="K6" s="166"/>
      <c r="L6" s="167"/>
      <c r="P6" s="13"/>
      <c r="Q6" s="2" t="s">
        <v>21</v>
      </c>
      <c r="R6" s="2"/>
      <c r="S6" s="2"/>
      <c r="T6" s="37"/>
    </row>
    <row r="7" spans="1:24" s="45" customFormat="1" ht="30.95" customHeight="1" thickBot="1" x14ac:dyDescent="0.3">
      <c r="A7" s="168" t="s">
        <v>140</v>
      </c>
      <c r="B7" s="169"/>
      <c r="C7" s="169"/>
      <c r="D7" s="169"/>
      <c r="E7" s="32"/>
      <c r="F7" s="166" t="s">
        <v>141</v>
      </c>
      <c r="G7" s="166"/>
      <c r="H7" s="166"/>
      <c r="I7" s="166"/>
      <c r="J7" s="166"/>
      <c r="K7" s="166"/>
      <c r="L7" s="167"/>
      <c r="P7" s="13"/>
      <c r="Q7" s="2"/>
      <c r="R7" s="2"/>
      <c r="S7" s="2"/>
      <c r="T7" s="37"/>
    </row>
    <row r="8" spans="1:24" ht="15.75" thickBot="1" x14ac:dyDescent="0.3">
      <c r="A8" s="168" t="s">
        <v>23</v>
      </c>
      <c r="B8" s="169"/>
      <c r="C8" s="169"/>
      <c r="D8" s="169"/>
      <c r="E8" s="32"/>
      <c r="F8" s="5" t="s">
        <v>24</v>
      </c>
      <c r="G8" s="31"/>
      <c r="H8" s="31"/>
      <c r="I8" s="31"/>
      <c r="J8" s="31"/>
      <c r="K8" s="31"/>
      <c r="L8" s="5"/>
      <c r="P8" s="64"/>
      <c r="Q8" s="38" t="s">
        <v>22</v>
      </c>
      <c r="R8" s="38"/>
      <c r="S8" s="38"/>
      <c r="T8" s="39"/>
    </row>
    <row r="9" spans="1:24" ht="33" customHeight="1" thickBot="1" x14ac:dyDescent="0.3">
      <c r="A9" s="168" t="s">
        <v>142</v>
      </c>
      <c r="B9" s="169"/>
      <c r="C9" s="169"/>
      <c r="D9" s="170"/>
      <c r="F9" s="171" t="s">
        <v>25</v>
      </c>
      <c r="G9" s="166"/>
      <c r="H9" s="166"/>
      <c r="I9" s="166"/>
      <c r="J9" s="166"/>
      <c r="K9" s="166"/>
      <c r="L9" s="167"/>
    </row>
    <row r="10" spans="1:24" ht="51" customHeight="1" thickBot="1" x14ac:dyDescent="0.3">
      <c r="A10" s="168" t="s">
        <v>43</v>
      </c>
      <c r="B10" s="169"/>
      <c r="C10" s="169"/>
      <c r="D10" s="170"/>
      <c r="F10" s="171" t="s">
        <v>44</v>
      </c>
      <c r="G10" s="166"/>
      <c r="H10" s="166"/>
      <c r="I10" s="166"/>
      <c r="J10" s="166"/>
      <c r="K10" s="166"/>
      <c r="L10" s="167"/>
    </row>
    <row r="11" spans="1:24" ht="15.75" thickBot="1" x14ac:dyDescent="0.3">
      <c r="A11" s="168" t="s">
        <v>51</v>
      </c>
      <c r="B11" s="169"/>
      <c r="C11" s="169"/>
      <c r="D11" s="170"/>
      <c r="F11" s="171" t="s">
        <v>52</v>
      </c>
      <c r="G11" s="166"/>
      <c r="H11" s="166"/>
      <c r="I11" s="166"/>
      <c r="J11" s="166"/>
      <c r="K11" s="166"/>
      <c r="L11" s="167"/>
      <c r="N11" s="163" t="s">
        <v>65</v>
      </c>
      <c r="O11" s="164"/>
      <c r="P11" s="164"/>
      <c r="Q11" s="164"/>
      <c r="R11" s="164"/>
      <c r="S11" s="164"/>
      <c r="T11" s="164"/>
      <c r="U11" s="164"/>
      <c r="V11" s="164"/>
      <c r="W11" s="165"/>
    </row>
    <row r="12" spans="1:24" ht="15.75" thickBot="1" x14ac:dyDescent="0.3">
      <c r="A12" s="168" t="s">
        <v>54</v>
      </c>
      <c r="B12" s="169"/>
      <c r="C12" s="169"/>
      <c r="D12" s="170"/>
      <c r="F12" s="171" t="s">
        <v>55</v>
      </c>
      <c r="G12" s="166"/>
      <c r="H12" s="166"/>
      <c r="I12" s="166"/>
      <c r="J12" s="166"/>
      <c r="K12" s="166"/>
      <c r="L12" s="167"/>
      <c r="N12" s="1"/>
      <c r="P12" s="2"/>
      <c r="Q12" s="2"/>
      <c r="R12" s="2"/>
      <c r="S12" s="2"/>
      <c r="T12" s="2"/>
      <c r="U12" s="2"/>
      <c r="V12" s="2"/>
      <c r="W12" s="37"/>
    </row>
    <row r="13" spans="1:24" ht="15.75" thickBot="1" x14ac:dyDescent="0.3">
      <c r="A13" s="168" t="s">
        <v>56</v>
      </c>
      <c r="B13" s="169"/>
      <c r="C13" s="169"/>
      <c r="D13" s="170"/>
      <c r="F13" s="171" t="s">
        <v>126</v>
      </c>
      <c r="G13" s="166"/>
      <c r="H13" s="166"/>
      <c r="I13" s="166"/>
      <c r="J13" s="166"/>
      <c r="K13" s="166"/>
      <c r="L13" s="167"/>
      <c r="N13" s="40"/>
      <c r="O13" s="38"/>
      <c r="P13" s="38"/>
      <c r="Q13" s="38"/>
      <c r="R13" s="38"/>
      <c r="S13" s="38"/>
      <c r="T13" s="38"/>
      <c r="U13" s="38"/>
      <c r="V13" s="38"/>
      <c r="W13" s="39"/>
    </row>
    <row r="14" spans="1:24" ht="15.75" thickBot="1" x14ac:dyDescent="0.3">
      <c r="A14" s="168" t="s">
        <v>57</v>
      </c>
      <c r="B14" s="169"/>
      <c r="C14" s="169"/>
      <c r="D14" s="170"/>
      <c r="F14" s="171" t="s">
        <v>61</v>
      </c>
      <c r="G14" s="166"/>
      <c r="H14" s="166"/>
      <c r="I14" s="166"/>
      <c r="J14" s="166"/>
      <c r="K14" s="166"/>
      <c r="L14" s="167"/>
    </row>
    <row r="15" spans="1:24" ht="15.75" thickBot="1" x14ac:dyDescent="0.3">
      <c r="A15" s="168" t="s">
        <v>62</v>
      </c>
      <c r="B15" s="169"/>
      <c r="C15" s="169"/>
      <c r="D15" s="170"/>
      <c r="F15" s="171" t="s">
        <v>63</v>
      </c>
      <c r="G15" s="166"/>
      <c r="H15" s="166"/>
      <c r="I15" s="166"/>
      <c r="J15" s="166"/>
      <c r="K15" s="166"/>
      <c r="L15" s="167"/>
    </row>
    <row r="16" spans="1:24" ht="46.5" customHeight="1" thickBot="1" x14ac:dyDescent="0.3">
      <c r="A16" s="168" t="s">
        <v>202</v>
      </c>
      <c r="B16" s="169"/>
      <c r="C16" s="169"/>
      <c r="D16" s="170"/>
      <c r="F16" s="171" t="s">
        <v>207</v>
      </c>
      <c r="G16" s="166"/>
      <c r="H16" s="166"/>
      <c r="I16" s="166"/>
      <c r="J16" s="166"/>
      <c r="K16" s="166"/>
      <c r="L16" s="167"/>
    </row>
    <row r="17" spans="1:12" ht="47.1" customHeight="1" thickBot="1" x14ac:dyDescent="0.3">
      <c r="A17" s="168" t="s">
        <v>139</v>
      </c>
      <c r="B17" s="169"/>
      <c r="C17" s="169"/>
      <c r="D17" s="170"/>
      <c r="F17" s="171" t="s">
        <v>206</v>
      </c>
      <c r="G17" s="166"/>
      <c r="H17" s="166"/>
      <c r="I17" s="166"/>
      <c r="J17" s="166"/>
      <c r="K17" s="166"/>
      <c r="L17" s="167"/>
    </row>
    <row r="18" spans="1:12" ht="47.25" customHeight="1" thickBot="1" x14ac:dyDescent="0.3">
      <c r="A18" s="168" t="s">
        <v>204</v>
      </c>
      <c r="B18" s="169"/>
      <c r="C18" s="169"/>
      <c r="D18" s="170"/>
      <c r="F18" s="171" t="s">
        <v>208</v>
      </c>
      <c r="G18" s="166"/>
      <c r="H18" s="166"/>
      <c r="I18" s="166"/>
      <c r="J18" s="166"/>
      <c r="K18" s="166"/>
      <c r="L18" s="167"/>
    </row>
    <row r="19" spans="1:12" ht="44.45" customHeight="1" x14ac:dyDescent="0.25">
      <c r="D19" s="45"/>
      <c r="E19" s="45"/>
    </row>
    <row r="20" spans="1:12" ht="46.5" customHeight="1" x14ac:dyDescent="0.25">
      <c r="D20" s="45"/>
      <c r="E20" s="45"/>
    </row>
    <row r="21" spans="1:12" ht="47.45" customHeight="1" x14ac:dyDescent="0.25">
      <c r="D21" s="45"/>
      <c r="E21" s="45"/>
    </row>
  </sheetData>
  <mergeCells count="34">
    <mergeCell ref="A5:D5"/>
    <mergeCell ref="A4:D4"/>
    <mergeCell ref="A15:D15"/>
    <mergeCell ref="F15:L15"/>
    <mergeCell ref="A10:D10"/>
    <mergeCell ref="F10:L10"/>
    <mergeCell ref="A11:D11"/>
    <mergeCell ref="F11:L11"/>
    <mergeCell ref="A12:D12"/>
    <mergeCell ref="F12:L12"/>
    <mergeCell ref="A14:D14"/>
    <mergeCell ref="F14:L14"/>
    <mergeCell ref="A16:D16"/>
    <mergeCell ref="F16:L16"/>
    <mergeCell ref="A17:D17"/>
    <mergeCell ref="F17:L17"/>
    <mergeCell ref="A18:D18"/>
    <mergeCell ref="F18:L18"/>
    <mergeCell ref="M1:X1"/>
    <mergeCell ref="N11:W11"/>
    <mergeCell ref="F4:L4"/>
    <mergeCell ref="A13:D13"/>
    <mergeCell ref="F13:L13"/>
    <mergeCell ref="A8:D8"/>
    <mergeCell ref="A9:D9"/>
    <mergeCell ref="F9:L9"/>
    <mergeCell ref="A6:D6"/>
    <mergeCell ref="F6:L6"/>
    <mergeCell ref="A7:D7"/>
    <mergeCell ref="F7:L7"/>
    <mergeCell ref="A1:L1"/>
    <mergeCell ref="A2:L2"/>
    <mergeCell ref="A3:D3"/>
    <mergeCell ref="F3:L3"/>
  </mergeCells>
  <pageMargins left="0.7" right="0.7" top="0.75" bottom="0.75" header="0.3" footer="0.3"/>
  <pageSetup scale="79" orientation="portrait" r:id="rId1"/>
  <colBreaks count="1" manualBreakCount="1">
    <brk id="12"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5E3FF-406D-44E2-8D6A-24C888394C7D}">
  <sheetPr>
    <tabColor rgb="FFFFC000"/>
  </sheetPr>
  <dimension ref="A1:AD38"/>
  <sheetViews>
    <sheetView view="pageBreakPreview" topLeftCell="A4" zoomScaleNormal="100" zoomScaleSheetLayoutView="100" workbookViewId="0">
      <selection activeCell="N37" sqref="N37"/>
    </sheetView>
  </sheetViews>
  <sheetFormatPr defaultRowHeight="15" x14ac:dyDescent="0.25"/>
  <cols>
    <col min="1" max="1" width="9.140625" style="45"/>
    <col min="2" max="2" width="10.85546875" style="45" bestFit="1" customWidth="1"/>
    <col min="3" max="4" width="9.140625" style="45"/>
    <col min="5" max="5" width="8.7109375" style="45" customWidth="1"/>
    <col min="6" max="6" width="9.140625" style="78"/>
    <col min="7" max="17" width="9.140625" style="45"/>
    <col min="18" max="18" width="13.85546875" style="45" bestFit="1" customWidth="1"/>
    <col min="19" max="19" width="8.7109375" style="45" customWidth="1"/>
    <col min="20" max="20" width="9.85546875" style="45" customWidth="1"/>
    <col min="21" max="21" width="9.7109375" style="45" bestFit="1" customWidth="1"/>
    <col min="22" max="22" width="13.140625" style="45" bestFit="1" customWidth="1"/>
    <col min="23" max="16384" width="9.140625" style="45"/>
  </cols>
  <sheetData>
    <row r="1" spans="1:30" ht="14.45" customHeight="1" x14ac:dyDescent="0.25">
      <c r="A1" s="215" t="s">
        <v>210</v>
      </c>
      <c r="B1" s="216"/>
      <c r="C1" s="216"/>
      <c r="D1" s="216"/>
      <c r="E1" s="216"/>
      <c r="F1" s="217"/>
      <c r="G1" s="223" t="s">
        <v>150</v>
      </c>
      <c r="H1" s="224"/>
      <c r="I1" s="224"/>
      <c r="J1" s="224"/>
      <c r="K1" s="224"/>
      <c r="L1" s="224"/>
      <c r="M1" s="224"/>
      <c r="N1" s="224"/>
      <c r="O1" s="224"/>
      <c r="P1" s="224"/>
      <c r="Q1" s="224"/>
      <c r="R1" s="224"/>
      <c r="S1" s="224"/>
      <c r="T1" s="224"/>
      <c r="U1" s="224"/>
      <c r="V1" s="224"/>
      <c r="W1" s="224"/>
    </row>
    <row r="2" spans="1:30" ht="15" customHeight="1" x14ac:dyDescent="0.25">
      <c r="A2" s="223"/>
      <c r="B2" s="188"/>
      <c r="C2" s="188"/>
      <c r="D2" s="188"/>
      <c r="E2" s="188"/>
      <c r="F2" s="225"/>
      <c r="G2" s="223"/>
      <c r="H2" s="224"/>
      <c r="I2" s="224"/>
      <c r="J2" s="224"/>
      <c r="K2" s="224"/>
      <c r="L2" s="224"/>
      <c r="M2" s="224"/>
      <c r="N2" s="224"/>
      <c r="O2" s="224"/>
      <c r="P2" s="224"/>
      <c r="Q2" s="224"/>
      <c r="R2" s="224"/>
      <c r="S2" s="224"/>
      <c r="T2" s="224"/>
      <c r="U2" s="224"/>
      <c r="V2" s="224"/>
      <c r="W2" s="224"/>
    </row>
    <row r="3" spans="1:30" ht="15" customHeight="1" thickBot="1" x14ac:dyDescent="0.3">
      <c r="A3" s="218"/>
      <c r="B3" s="219"/>
      <c r="C3" s="219"/>
      <c r="D3" s="219"/>
      <c r="E3" s="219"/>
      <c r="F3" s="220"/>
      <c r="G3" s="223"/>
      <c r="H3" s="224"/>
      <c r="I3" s="224"/>
      <c r="J3" s="224"/>
      <c r="K3" s="224"/>
      <c r="L3" s="224"/>
      <c r="M3" s="224"/>
      <c r="N3" s="224"/>
      <c r="O3" s="224"/>
      <c r="P3" s="224"/>
      <c r="Q3" s="224"/>
      <c r="R3" s="224"/>
      <c r="S3" s="224"/>
      <c r="T3" s="224"/>
      <c r="U3" s="224"/>
      <c r="V3" s="224"/>
      <c r="W3" s="224"/>
    </row>
    <row r="4" spans="1:30" ht="15.75" thickBot="1" x14ac:dyDescent="0.3">
      <c r="A4" s="14" t="s">
        <v>49</v>
      </c>
      <c r="B4" s="10" t="s">
        <v>156</v>
      </c>
      <c r="C4" s="11" t="s">
        <v>156</v>
      </c>
      <c r="F4" s="99"/>
      <c r="H4" s="87"/>
      <c r="I4" s="88"/>
      <c r="J4" s="89" t="s">
        <v>156</v>
      </c>
      <c r="L4" s="87"/>
      <c r="M4" s="62"/>
      <c r="N4" s="89" t="s">
        <v>157</v>
      </c>
      <c r="P4" s="87"/>
      <c r="Q4" s="62"/>
      <c r="R4" s="89" t="s">
        <v>139</v>
      </c>
      <c r="S4" s="91"/>
      <c r="T4" s="87"/>
      <c r="U4" s="62"/>
      <c r="V4" s="89" t="s">
        <v>204</v>
      </c>
      <c r="W4" s="35"/>
      <c r="X4" s="3"/>
      <c r="Z4" s="20" t="s">
        <v>50</v>
      </c>
      <c r="AA4" s="20" t="s">
        <v>124</v>
      </c>
      <c r="AC4" s="221" t="s">
        <v>67</v>
      </c>
      <c r="AD4" s="221"/>
    </row>
    <row r="5" spans="1:30" x14ac:dyDescent="0.25">
      <c r="A5" s="72" t="s">
        <v>47</v>
      </c>
      <c r="B5" s="84" t="s">
        <v>32</v>
      </c>
      <c r="C5" s="84" t="s">
        <v>31</v>
      </c>
      <c r="D5" s="73" t="s">
        <v>33</v>
      </c>
      <c r="F5" s="100"/>
      <c r="H5" s="112" t="s">
        <v>45</v>
      </c>
      <c r="I5" s="113" t="s">
        <v>46</v>
      </c>
      <c r="J5" s="114" t="s">
        <v>47</v>
      </c>
      <c r="L5" s="112" t="s">
        <v>45</v>
      </c>
      <c r="M5" s="113" t="s">
        <v>46</v>
      </c>
      <c r="N5" s="114" t="s">
        <v>47</v>
      </c>
      <c r="P5" s="112" t="s">
        <v>45</v>
      </c>
      <c r="Q5" s="113" t="s">
        <v>46</v>
      </c>
      <c r="R5" s="114" t="s">
        <v>47</v>
      </c>
      <c r="S5" s="92"/>
      <c r="T5" s="112" t="s">
        <v>45</v>
      </c>
      <c r="U5" s="113" t="s">
        <v>46</v>
      </c>
      <c r="V5" s="114" t="s">
        <v>47</v>
      </c>
      <c r="W5" s="111"/>
      <c r="X5" s="3"/>
      <c r="Z5" s="36" t="s">
        <v>157</v>
      </c>
      <c r="AA5" s="47">
        <v>0.15</v>
      </c>
      <c r="AB5" s="34"/>
      <c r="AC5" s="43" t="s">
        <v>32</v>
      </c>
      <c r="AD5" s="19">
        <v>0.75</v>
      </c>
    </row>
    <row r="6" spans="1:30" x14ac:dyDescent="0.25">
      <c r="A6" s="74">
        <v>2021</v>
      </c>
      <c r="B6" s="85">
        <f>HLOOKUP($B$4,$H$4:$W$25,(ROW()-3),FALSE)</f>
        <v>4.2156931999700111</v>
      </c>
      <c r="C6" s="85">
        <f t="shared" ref="B6:C25" si="0">HLOOKUP($B$4,$H$4:$W$25,(ROW()-3),FALSE)</f>
        <v>4.2156931999700111</v>
      </c>
      <c r="D6" s="75">
        <f t="shared" ref="D6:D25" si="1">(B6*$AD$5)+(C6*$AD$6)</f>
        <v>4.2156931999700111</v>
      </c>
      <c r="F6" s="100"/>
      <c r="H6" s="15">
        <v>2021</v>
      </c>
      <c r="I6" s="8">
        <v>78.131900085670921</v>
      </c>
      <c r="J6" s="27">
        <f>I6*$N$37*10</f>
        <v>4.2156931999700111</v>
      </c>
      <c r="L6" s="15">
        <v>2021</v>
      </c>
      <c r="M6" s="8">
        <v>21.951754949311628</v>
      </c>
      <c r="N6" s="27">
        <f>M6*$N$37*10</f>
        <v>1.1844312497936151</v>
      </c>
      <c r="P6" s="15">
        <v>2021</v>
      </c>
      <c r="Q6" s="8">
        <v>24.48</v>
      </c>
      <c r="R6" s="27">
        <f>Q6*$N$37*10</f>
        <v>1.320845511527402</v>
      </c>
      <c r="S6" s="93"/>
      <c r="T6" s="15">
        <v>2021</v>
      </c>
      <c r="U6" s="8">
        <v>41</v>
      </c>
      <c r="V6" s="27">
        <v>2.1097353599999997</v>
      </c>
      <c r="W6" s="3"/>
      <c r="Z6" s="36" t="s">
        <v>48</v>
      </c>
      <c r="AA6" s="47">
        <v>0.05</v>
      </c>
      <c r="AC6" s="43" t="s">
        <v>31</v>
      </c>
      <c r="AD6" s="19">
        <v>0.25</v>
      </c>
    </row>
    <row r="7" spans="1:30" x14ac:dyDescent="0.25">
      <c r="A7" s="74">
        <v>2022</v>
      </c>
      <c r="B7" s="85">
        <f t="shared" si="0"/>
        <v>4.2826089650489001</v>
      </c>
      <c r="C7" s="85">
        <f t="shared" si="0"/>
        <v>4.2826089650489001</v>
      </c>
      <c r="D7" s="75">
        <f t="shared" si="1"/>
        <v>4.2826089650489001</v>
      </c>
      <c r="F7" s="100"/>
      <c r="H7" s="15">
        <v>2022</v>
      </c>
      <c r="I7" s="8">
        <v>79.372088975919667</v>
      </c>
      <c r="J7" s="27">
        <f t="shared" ref="J7:J25" si="2">I7*$N$37*10</f>
        <v>4.2826089650489001</v>
      </c>
      <c r="L7" s="15">
        <v>2022</v>
      </c>
      <c r="M7" s="8">
        <v>24.697916523717975</v>
      </c>
      <c r="N7" s="27">
        <f t="shared" ref="N7:N25" si="3">M7*$N$37*10</f>
        <v>1.3326034389065091</v>
      </c>
      <c r="P7" s="15">
        <v>2022</v>
      </c>
      <c r="Q7" s="8">
        <v>24.9696</v>
      </c>
      <c r="R7" s="27">
        <f t="shared" ref="R7:R25" si="4">Q7*$N$37*10</f>
        <v>1.3472624217579501</v>
      </c>
      <c r="S7" s="93"/>
      <c r="T7" s="15">
        <v>2022</v>
      </c>
      <c r="U7" s="8">
        <v>42.024999999999999</v>
      </c>
      <c r="V7" s="27">
        <v>2.162478744</v>
      </c>
      <c r="W7" s="3"/>
      <c r="Z7" s="19" t="s">
        <v>204</v>
      </c>
      <c r="AA7" s="48">
        <v>0.1</v>
      </c>
    </row>
    <row r="8" spans="1:30" x14ac:dyDescent="0.25">
      <c r="A8" s="74">
        <v>2023</v>
      </c>
      <c r="B8" s="85">
        <f t="shared" si="0"/>
        <v>4.34952473012779</v>
      </c>
      <c r="C8" s="85">
        <f t="shared" si="0"/>
        <v>4.34952473012779</v>
      </c>
      <c r="D8" s="75">
        <f t="shared" si="1"/>
        <v>4.34952473012779</v>
      </c>
      <c r="F8" s="100"/>
      <c r="H8" s="15">
        <v>2023</v>
      </c>
      <c r="I8" s="8">
        <v>80.612277866168412</v>
      </c>
      <c r="J8" s="27">
        <f t="shared" si="2"/>
        <v>4.34952473012779</v>
      </c>
      <c r="L8" s="15">
        <v>2023</v>
      </c>
      <c r="M8" s="8">
        <v>27.809529969286007</v>
      </c>
      <c r="N8" s="27">
        <f t="shared" si="3"/>
        <v>1.5004939884647954</v>
      </c>
      <c r="P8" s="15">
        <v>2023</v>
      </c>
      <c r="Q8" s="8">
        <v>25.468992</v>
      </c>
      <c r="R8" s="27">
        <f t="shared" si="4"/>
        <v>1.3742076701931092</v>
      </c>
      <c r="S8" s="93"/>
      <c r="T8" s="15">
        <v>2023</v>
      </c>
      <c r="U8" s="8">
        <v>43.075624999999995</v>
      </c>
      <c r="V8" s="27">
        <v>2.2165407125999996</v>
      </c>
      <c r="W8" s="3"/>
      <c r="Z8" s="19" t="s">
        <v>123</v>
      </c>
      <c r="AA8" s="48">
        <v>0.2</v>
      </c>
    </row>
    <row r="9" spans="1:30" x14ac:dyDescent="0.25">
      <c r="A9" s="74">
        <v>2024</v>
      </c>
      <c r="B9" s="85">
        <f t="shared" si="0"/>
        <v>4.416440495206678</v>
      </c>
      <c r="C9" s="85">
        <f t="shared" si="0"/>
        <v>4.416440495206678</v>
      </c>
      <c r="D9" s="75">
        <f t="shared" si="1"/>
        <v>4.416440495206678</v>
      </c>
      <c r="F9" s="100"/>
      <c r="H9" s="15">
        <v>2024</v>
      </c>
      <c r="I9" s="8">
        <v>81.852466756417158</v>
      </c>
      <c r="J9" s="27">
        <f t="shared" si="2"/>
        <v>4.416440495206678</v>
      </c>
      <c r="L9" s="15">
        <v>2024</v>
      </c>
      <c r="M9" s="8">
        <v>31.309673537104725</v>
      </c>
      <c r="N9" s="27">
        <f t="shared" si="3"/>
        <v>1.6893481110650757</v>
      </c>
      <c r="P9" s="15">
        <v>2024</v>
      </c>
      <c r="Q9" s="8">
        <v>25.978371840000001</v>
      </c>
      <c r="R9" s="27">
        <f t="shared" si="4"/>
        <v>1.4016918235969713</v>
      </c>
      <c r="S9" s="93"/>
      <c r="T9" s="15">
        <v>2024</v>
      </c>
      <c r="U9" s="8">
        <v>44.152515624999992</v>
      </c>
      <c r="V9" s="27">
        <v>2.2719542304149996</v>
      </c>
      <c r="W9" s="3"/>
      <c r="Z9" s="19" t="s">
        <v>156</v>
      </c>
      <c r="AA9" s="48">
        <v>0.5</v>
      </c>
    </row>
    <row r="10" spans="1:30" x14ac:dyDescent="0.25">
      <c r="A10" s="74">
        <v>2025</v>
      </c>
      <c r="B10" s="85">
        <f t="shared" si="0"/>
        <v>4.550272025364456</v>
      </c>
      <c r="C10" s="85">
        <f t="shared" si="0"/>
        <v>4.550272025364456</v>
      </c>
      <c r="D10" s="75">
        <f t="shared" si="1"/>
        <v>4.550272025364456</v>
      </c>
      <c r="F10" s="100"/>
      <c r="H10" s="15">
        <v>2025</v>
      </c>
      <c r="I10" s="8">
        <v>84.332844536914649</v>
      </c>
      <c r="J10" s="27">
        <f t="shared" si="2"/>
        <v>4.550272025364456</v>
      </c>
      <c r="L10" s="15">
        <v>2025</v>
      </c>
      <c r="M10" s="8">
        <v>35.260897327933968</v>
      </c>
      <c r="N10" s="27">
        <f t="shared" si="3"/>
        <v>1.9025407666678982</v>
      </c>
      <c r="P10" s="15">
        <v>2025</v>
      </c>
      <c r="Q10" s="8">
        <v>26.4979392768</v>
      </c>
      <c r="R10" s="27">
        <f t="shared" si="4"/>
        <v>1.4297256600689106</v>
      </c>
      <c r="S10" s="93"/>
      <c r="T10" s="15">
        <v>2025</v>
      </c>
      <c r="U10" s="8">
        <v>45.256328515624986</v>
      </c>
      <c r="V10" s="27">
        <v>2.3287530861753742</v>
      </c>
      <c r="W10" s="3"/>
      <c r="Z10" s="19" t="s">
        <v>139</v>
      </c>
      <c r="AA10" s="19"/>
    </row>
    <row r="11" spans="1:30" x14ac:dyDescent="0.25">
      <c r="A11" s="74">
        <v>2026</v>
      </c>
      <c r="B11" s="85">
        <f t="shared" si="0"/>
        <v>4.6171877904433458</v>
      </c>
      <c r="C11" s="85">
        <f t="shared" si="0"/>
        <v>4.6171877904433458</v>
      </c>
      <c r="D11" s="75">
        <f t="shared" si="1"/>
        <v>4.6171877904433458</v>
      </c>
      <c r="F11" s="100"/>
      <c r="H11" s="15">
        <v>2026</v>
      </c>
      <c r="I11" s="8">
        <v>85.573033427163395</v>
      </c>
      <c r="J11" s="27">
        <f t="shared" si="2"/>
        <v>4.6171877904433458</v>
      </c>
      <c r="L11" s="15">
        <v>2026</v>
      </c>
      <c r="M11" s="8">
        <v>39.716715307264508</v>
      </c>
      <c r="N11" s="27">
        <f t="shared" si="3"/>
        <v>2.1429593605478754</v>
      </c>
      <c r="P11" s="15">
        <v>2026</v>
      </c>
      <c r="Q11" s="8">
        <v>27.027898062336</v>
      </c>
      <c r="R11" s="27">
        <f t="shared" si="4"/>
        <v>1.4583201732702888</v>
      </c>
      <c r="S11" s="93"/>
      <c r="T11" s="15">
        <v>2026</v>
      </c>
      <c r="U11" s="8">
        <v>46.387736728515605</v>
      </c>
      <c r="V11" s="27">
        <v>2.3869719133297584</v>
      </c>
      <c r="W11" s="3"/>
      <c r="Z11" s="19" t="s">
        <v>125</v>
      </c>
      <c r="AA11" s="19"/>
    </row>
    <row r="12" spans="1:30" x14ac:dyDescent="0.25">
      <c r="A12" s="74">
        <v>2027</v>
      </c>
      <c r="B12" s="85">
        <f t="shared" si="0"/>
        <v>4.6841035555222348</v>
      </c>
      <c r="C12" s="85">
        <f t="shared" si="0"/>
        <v>4.6841035555222348</v>
      </c>
      <c r="D12" s="75">
        <f t="shared" si="1"/>
        <v>4.6841035555222348</v>
      </c>
      <c r="F12" s="100"/>
      <c r="H12" s="15">
        <v>2027</v>
      </c>
      <c r="I12" s="8">
        <v>86.813222317412141</v>
      </c>
      <c r="J12" s="27">
        <f t="shared" si="2"/>
        <v>4.6841035555222348</v>
      </c>
      <c r="L12" s="15">
        <v>2027</v>
      </c>
      <c r="M12" s="8">
        <v>44.729023608920066</v>
      </c>
      <c r="N12" s="27">
        <f t="shared" si="3"/>
        <v>2.4134040060802802</v>
      </c>
      <c r="P12" s="15">
        <v>2027</v>
      </c>
      <c r="Q12" s="8">
        <v>27.568456023582719</v>
      </c>
      <c r="R12" s="27">
        <f t="shared" si="4"/>
        <v>1.4874865767356946</v>
      </c>
      <c r="S12" s="93"/>
      <c r="T12" s="15">
        <v>2027</v>
      </c>
      <c r="U12" s="8">
        <v>47.547430146728495</v>
      </c>
      <c r="V12" s="27">
        <v>2.4466462111630021</v>
      </c>
      <c r="W12" s="3"/>
      <c r="Y12" s="19"/>
      <c r="Z12" s="19"/>
    </row>
    <row r="13" spans="1:30" x14ac:dyDescent="0.25">
      <c r="A13" s="74">
        <v>2028</v>
      </c>
      <c r="B13" s="85">
        <f t="shared" si="0"/>
        <v>4.7510193206011238</v>
      </c>
      <c r="C13" s="85">
        <f t="shared" si="0"/>
        <v>4.7510193206011238</v>
      </c>
      <c r="D13" s="75">
        <f t="shared" si="1"/>
        <v>4.7510193206011238</v>
      </c>
      <c r="F13" s="100"/>
      <c r="H13" s="15">
        <v>2028</v>
      </c>
      <c r="I13" s="8">
        <v>88.053411207660886</v>
      </c>
      <c r="J13" s="27">
        <f t="shared" si="2"/>
        <v>4.7510193206011238</v>
      </c>
      <c r="L13" s="15">
        <v>2028</v>
      </c>
      <c r="M13" s="8">
        <v>50.374854292133868</v>
      </c>
      <c r="N13" s="27">
        <f t="shared" si="3"/>
        <v>2.718031053333819</v>
      </c>
      <c r="P13" s="15">
        <v>2028</v>
      </c>
      <c r="Q13" s="8">
        <v>28.119825144054374</v>
      </c>
      <c r="R13" s="27">
        <f t="shared" si="4"/>
        <v>1.5172363082704086</v>
      </c>
      <c r="S13" s="93"/>
      <c r="T13" s="15">
        <v>2028</v>
      </c>
      <c r="U13" s="8">
        <v>48.736115900396705</v>
      </c>
      <c r="V13" s="27">
        <v>2.5078123664420771</v>
      </c>
      <c r="W13" s="3"/>
      <c r="Y13" s="19"/>
      <c r="Z13" s="19"/>
    </row>
    <row r="14" spans="1:30" x14ac:dyDescent="0.25">
      <c r="A14" s="74">
        <v>2029</v>
      </c>
      <c r="B14" s="85">
        <f t="shared" si="0"/>
        <v>4.8179350856800127</v>
      </c>
      <c r="C14" s="85">
        <f t="shared" si="0"/>
        <v>4.8179350856800127</v>
      </c>
      <c r="D14" s="75">
        <f t="shared" si="1"/>
        <v>4.8179350856800127</v>
      </c>
      <c r="F14" s="100"/>
      <c r="H14" s="15">
        <v>2029</v>
      </c>
      <c r="I14" s="8">
        <v>89.293600097909632</v>
      </c>
      <c r="J14" s="27">
        <f t="shared" si="2"/>
        <v>4.8179350856800127</v>
      </c>
      <c r="L14" s="15">
        <v>2029</v>
      </c>
      <c r="M14" s="8">
        <v>56.722278248106377</v>
      </c>
      <c r="N14" s="27">
        <f t="shared" si="3"/>
        <v>3.0605133426315234</v>
      </c>
      <c r="P14" s="15">
        <v>2029</v>
      </c>
      <c r="Q14" s="8">
        <v>28.682221646935464</v>
      </c>
      <c r="R14" s="27">
        <f t="shared" si="4"/>
        <v>1.5475810344358167</v>
      </c>
      <c r="S14" s="93"/>
      <c r="T14" s="15">
        <v>2029</v>
      </c>
      <c r="U14" s="8">
        <v>49.954518797906616</v>
      </c>
      <c r="V14" s="27">
        <v>2.5705076756031287</v>
      </c>
      <c r="W14" s="3"/>
      <c r="Y14" s="19"/>
      <c r="Z14" s="19"/>
    </row>
    <row r="15" spans="1:30" x14ac:dyDescent="0.25">
      <c r="A15" s="74">
        <v>2030</v>
      </c>
      <c r="B15" s="85">
        <f t="shared" si="0"/>
        <v>4.8848508507589008</v>
      </c>
      <c r="C15" s="85">
        <f t="shared" si="0"/>
        <v>4.8848508507589008</v>
      </c>
      <c r="D15" s="75">
        <f t="shared" si="1"/>
        <v>4.8848508507589008</v>
      </c>
      <c r="F15" s="100"/>
      <c r="H15" s="15">
        <v>2030</v>
      </c>
      <c r="I15" s="8">
        <v>90.533788988158364</v>
      </c>
      <c r="J15" s="27">
        <f t="shared" si="2"/>
        <v>4.8848508507589008</v>
      </c>
      <c r="L15" s="15">
        <v>2030</v>
      </c>
      <c r="M15" s="8">
        <v>63.881361932898578</v>
      </c>
      <c r="N15" s="27">
        <f t="shared" si="3"/>
        <v>3.4467896315084365</v>
      </c>
      <c r="P15" s="15">
        <v>2030</v>
      </c>
      <c r="Q15" s="8">
        <v>29.255866079874174</v>
      </c>
      <c r="R15" s="27">
        <f t="shared" si="4"/>
        <v>1.5785326551245333</v>
      </c>
      <c r="S15" s="93"/>
      <c r="T15" s="15">
        <v>2030</v>
      </c>
      <c r="U15" s="8">
        <v>51.203381767854275</v>
      </c>
      <c r="V15" s="27">
        <v>2.6347703674932066</v>
      </c>
      <c r="W15" s="3"/>
      <c r="Y15" s="19"/>
      <c r="Z15" s="19"/>
    </row>
    <row r="16" spans="1:30" x14ac:dyDescent="0.25">
      <c r="A16" s="74">
        <v>2031</v>
      </c>
      <c r="B16" s="85">
        <f t="shared" si="0"/>
        <v>4.9517666158377907</v>
      </c>
      <c r="C16" s="85">
        <f t="shared" si="0"/>
        <v>4.9517666158377907</v>
      </c>
      <c r="D16" s="75">
        <f t="shared" si="1"/>
        <v>4.9517666158377907</v>
      </c>
      <c r="F16" s="100"/>
      <c r="H16" s="15">
        <v>2031</v>
      </c>
      <c r="I16" s="8">
        <v>91.773977878407109</v>
      </c>
      <c r="J16" s="27">
        <f t="shared" si="2"/>
        <v>4.9517666158377907</v>
      </c>
      <c r="L16" s="15">
        <v>2031</v>
      </c>
      <c r="M16" s="8">
        <v>63.881361932898578</v>
      </c>
      <c r="N16" s="27">
        <f t="shared" si="3"/>
        <v>3.4467896315084365</v>
      </c>
      <c r="P16" s="15">
        <v>2031</v>
      </c>
      <c r="Q16" s="8">
        <v>29.840983401471657</v>
      </c>
      <c r="R16" s="27">
        <f t="shared" si="4"/>
        <v>1.610103308227024</v>
      </c>
      <c r="S16" s="93"/>
      <c r="T16" s="15">
        <v>2031</v>
      </c>
      <c r="U16" s="8">
        <v>52.483466312050624</v>
      </c>
      <c r="V16" s="27">
        <v>2.7006396266805366</v>
      </c>
      <c r="W16" s="3"/>
      <c r="Y16" s="19"/>
      <c r="Z16" s="19"/>
    </row>
    <row r="17" spans="1:25" x14ac:dyDescent="0.25">
      <c r="A17" s="74">
        <v>2032</v>
      </c>
      <c r="B17" s="85">
        <f t="shared" si="0"/>
        <v>5.0186823809166796</v>
      </c>
      <c r="C17" s="85">
        <f t="shared" si="0"/>
        <v>5.0186823809166796</v>
      </c>
      <c r="D17" s="75">
        <f t="shared" si="1"/>
        <v>5.0186823809166796</v>
      </c>
      <c r="F17" s="100"/>
      <c r="H17" s="15">
        <v>2032</v>
      </c>
      <c r="I17" s="8">
        <v>93.014166768655855</v>
      </c>
      <c r="J17" s="27">
        <f t="shared" si="2"/>
        <v>5.0186823809166796</v>
      </c>
      <c r="L17" s="15">
        <v>2032</v>
      </c>
      <c r="M17" s="8">
        <v>63.881361932898578</v>
      </c>
      <c r="N17" s="27">
        <f t="shared" si="3"/>
        <v>3.4467896315084365</v>
      </c>
      <c r="P17" s="15">
        <v>2032</v>
      </c>
      <c r="Q17" s="8">
        <v>30.43780306950109</v>
      </c>
      <c r="R17" s="27">
        <f t="shared" si="4"/>
        <v>1.6423053743915641</v>
      </c>
      <c r="S17" s="93"/>
      <c r="T17" s="15">
        <v>2032</v>
      </c>
      <c r="U17" s="8">
        <v>53.795552969851883</v>
      </c>
      <c r="V17" s="27">
        <v>2.7681556173475497</v>
      </c>
      <c r="W17" s="3"/>
      <c r="Y17" s="19"/>
    </row>
    <row r="18" spans="1:25" x14ac:dyDescent="0.25">
      <c r="A18" s="74">
        <v>2033</v>
      </c>
      <c r="B18" s="85">
        <f t="shared" si="0"/>
        <v>5.0855981459955686</v>
      </c>
      <c r="C18" s="85">
        <f t="shared" si="0"/>
        <v>5.0855981459955686</v>
      </c>
      <c r="D18" s="75">
        <f t="shared" si="1"/>
        <v>5.0855981459955686</v>
      </c>
      <c r="F18" s="100"/>
      <c r="H18" s="15">
        <v>2033</v>
      </c>
      <c r="I18" s="8">
        <v>94.254355658904601</v>
      </c>
      <c r="J18" s="27">
        <f t="shared" si="2"/>
        <v>5.0855981459955686</v>
      </c>
      <c r="L18" s="15">
        <v>2033</v>
      </c>
      <c r="M18" s="8">
        <v>63.881361932898578</v>
      </c>
      <c r="N18" s="27">
        <f t="shared" si="3"/>
        <v>3.4467896315084365</v>
      </c>
      <c r="P18" s="15">
        <v>2033</v>
      </c>
      <c r="Q18" s="8">
        <v>31.046559130891112</v>
      </c>
      <c r="R18" s="27">
        <f t="shared" si="4"/>
        <v>1.6751514818793956</v>
      </c>
      <c r="S18" s="93"/>
      <c r="T18" s="15">
        <v>2033</v>
      </c>
      <c r="U18" s="8">
        <v>55.140441794098173</v>
      </c>
      <c r="V18" s="27">
        <v>2.8373595077812381</v>
      </c>
      <c r="W18" s="3"/>
    </row>
    <row r="19" spans="1:25" x14ac:dyDescent="0.25">
      <c r="A19" s="74">
        <v>2034</v>
      </c>
      <c r="B19" s="85">
        <f t="shared" si="0"/>
        <v>5.1525139110744576</v>
      </c>
      <c r="C19" s="85">
        <f t="shared" si="0"/>
        <v>5.1525139110744576</v>
      </c>
      <c r="D19" s="75">
        <f t="shared" si="1"/>
        <v>5.1525139110744576</v>
      </c>
      <c r="F19" s="100"/>
      <c r="H19" s="15">
        <v>2034</v>
      </c>
      <c r="I19" s="8">
        <v>95.494544549153346</v>
      </c>
      <c r="J19" s="27">
        <f t="shared" si="2"/>
        <v>5.1525139110744576</v>
      </c>
      <c r="L19" s="15">
        <v>2034</v>
      </c>
      <c r="M19" s="8">
        <v>63.881361932898578</v>
      </c>
      <c r="N19" s="27">
        <f t="shared" si="3"/>
        <v>3.4467896315084365</v>
      </c>
      <c r="P19" s="15">
        <v>2034</v>
      </c>
      <c r="Q19" s="8">
        <v>31.667490313508935</v>
      </c>
      <c r="R19" s="27">
        <f t="shared" si="4"/>
        <v>1.7086545115169836</v>
      </c>
      <c r="S19" s="93"/>
      <c r="T19" s="15">
        <v>2034</v>
      </c>
      <c r="U19" s="8">
        <v>56.518952838950625</v>
      </c>
      <c r="V19" s="27">
        <v>2.9082934954757689</v>
      </c>
      <c r="W19" s="3"/>
    </row>
    <row r="20" spans="1:25" x14ac:dyDescent="0.25">
      <c r="A20" s="74">
        <v>2035</v>
      </c>
      <c r="B20" s="85">
        <f t="shared" si="0"/>
        <v>5.2194296761533465</v>
      </c>
      <c r="C20" s="85">
        <f t="shared" si="0"/>
        <v>5.2194296761533465</v>
      </c>
      <c r="D20" s="75">
        <f t="shared" si="1"/>
        <v>5.2194296761533465</v>
      </c>
      <c r="F20" s="100"/>
      <c r="H20" s="15">
        <v>2035</v>
      </c>
      <c r="I20" s="8">
        <v>96.734733439402092</v>
      </c>
      <c r="J20" s="27">
        <f t="shared" si="2"/>
        <v>5.2194296761533465</v>
      </c>
      <c r="L20" s="15">
        <v>2035</v>
      </c>
      <c r="M20" s="8">
        <v>63.881361932898578</v>
      </c>
      <c r="N20" s="27">
        <f t="shared" si="3"/>
        <v>3.4467896315084365</v>
      </c>
      <c r="P20" s="15">
        <v>2035</v>
      </c>
      <c r="Q20" s="8">
        <v>32.300840119779117</v>
      </c>
      <c r="R20" s="27">
        <f t="shared" si="4"/>
        <v>1.7428276017473234</v>
      </c>
      <c r="S20" s="93"/>
      <c r="T20" s="15">
        <v>2035</v>
      </c>
      <c r="U20" s="8">
        <v>57.931926659924386</v>
      </c>
      <c r="V20" s="27">
        <v>2.9810008328626623</v>
      </c>
      <c r="W20" s="3"/>
    </row>
    <row r="21" spans="1:25" x14ac:dyDescent="0.25">
      <c r="A21" s="74">
        <v>2036</v>
      </c>
      <c r="B21" s="85">
        <f t="shared" si="0"/>
        <v>5.2863454412322364</v>
      </c>
      <c r="C21" s="85">
        <f t="shared" si="0"/>
        <v>5.2863454412322364</v>
      </c>
      <c r="D21" s="75">
        <f t="shared" si="1"/>
        <v>5.2863454412322364</v>
      </c>
      <c r="F21" s="100"/>
      <c r="H21" s="15">
        <v>2036</v>
      </c>
      <c r="I21" s="8">
        <v>97.974922329650838</v>
      </c>
      <c r="J21" s="27">
        <f t="shared" si="2"/>
        <v>5.2863454412322364</v>
      </c>
      <c r="L21" s="15">
        <v>2036</v>
      </c>
      <c r="M21" s="8">
        <v>63.881361932898578</v>
      </c>
      <c r="N21" s="27">
        <f t="shared" si="3"/>
        <v>3.4467896315084365</v>
      </c>
      <c r="P21" s="15">
        <v>2036</v>
      </c>
      <c r="Q21" s="8">
        <v>32.946856922174703</v>
      </c>
      <c r="R21" s="27">
        <f t="shared" si="4"/>
        <v>1.7776841537822698</v>
      </c>
      <c r="S21" s="93"/>
      <c r="T21" s="15">
        <v>2036</v>
      </c>
      <c r="U21" s="8">
        <v>59.380224826422491</v>
      </c>
      <c r="V21" s="27">
        <v>3.0555258536842289</v>
      </c>
      <c r="W21" s="3"/>
    </row>
    <row r="22" spans="1:25" x14ac:dyDescent="0.25">
      <c r="A22" s="74">
        <v>2037</v>
      </c>
      <c r="B22" s="85">
        <f t="shared" si="0"/>
        <v>5.4201769713900134</v>
      </c>
      <c r="C22" s="85">
        <f t="shared" si="0"/>
        <v>5.4201769713900134</v>
      </c>
      <c r="D22" s="75">
        <f t="shared" si="1"/>
        <v>5.4201769713900134</v>
      </c>
      <c r="F22" s="100"/>
      <c r="H22" s="15">
        <v>2037</v>
      </c>
      <c r="I22" s="8">
        <v>100.45530011014833</v>
      </c>
      <c r="J22" s="27">
        <f t="shared" si="2"/>
        <v>5.4201769713900134</v>
      </c>
      <c r="L22" s="15">
        <v>2037</v>
      </c>
      <c r="M22" s="8">
        <v>63.881361932898578</v>
      </c>
      <c r="N22" s="27">
        <f t="shared" si="3"/>
        <v>3.4467896315084365</v>
      </c>
      <c r="P22" s="15">
        <v>2037</v>
      </c>
      <c r="Q22" s="8">
        <v>33.605794060618194</v>
      </c>
      <c r="R22" s="27">
        <f t="shared" si="4"/>
        <v>1.8132378368579152</v>
      </c>
      <c r="S22" s="93"/>
      <c r="T22" s="15">
        <v>2037</v>
      </c>
      <c r="U22" s="8">
        <v>60.864730447083048</v>
      </c>
      <c r="V22" s="27">
        <v>3.1319140000263346</v>
      </c>
      <c r="W22" s="3"/>
    </row>
    <row r="23" spans="1:25" x14ac:dyDescent="0.25">
      <c r="A23" s="74">
        <v>2038</v>
      </c>
      <c r="B23" s="85">
        <f t="shared" si="0"/>
        <v>5.4870927364689042</v>
      </c>
      <c r="C23" s="85">
        <f t="shared" si="0"/>
        <v>5.4870927364689042</v>
      </c>
      <c r="D23" s="75">
        <f t="shared" si="1"/>
        <v>5.4870927364689042</v>
      </c>
      <c r="F23" s="100"/>
      <c r="H23" s="15">
        <v>2038</v>
      </c>
      <c r="I23" s="8">
        <v>101.69548900039707</v>
      </c>
      <c r="J23" s="27">
        <f t="shared" si="2"/>
        <v>5.4870927364689042</v>
      </c>
      <c r="L23" s="15">
        <v>2038</v>
      </c>
      <c r="M23" s="8">
        <v>63.881361932898578</v>
      </c>
      <c r="N23" s="27">
        <f t="shared" si="3"/>
        <v>3.4467896315084365</v>
      </c>
      <c r="P23" s="15">
        <v>2038</v>
      </c>
      <c r="Q23" s="8">
        <v>34.277909941830558</v>
      </c>
      <c r="R23" s="27">
        <f t="shared" si="4"/>
        <v>1.8495025935950735</v>
      </c>
      <c r="S23" s="93"/>
      <c r="T23" s="15">
        <v>2038</v>
      </c>
      <c r="U23" s="8">
        <v>62.386348708260115</v>
      </c>
      <c r="V23" s="27">
        <v>3.2102118500269921</v>
      </c>
      <c r="W23" s="3"/>
    </row>
    <row r="24" spans="1:25" x14ac:dyDescent="0.25">
      <c r="A24" s="74">
        <v>2039</v>
      </c>
      <c r="B24" s="85">
        <f t="shared" si="0"/>
        <v>5.5540085015477922</v>
      </c>
      <c r="C24" s="85">
        <f t="shared" si="0"/>
        <v>5.5540085015477922</v>
      </c>
      <c r="D24" s="75">
        <f t="shared" si="1"/>
        <v>5.5540085015477922</v>
      </c>
      <c r="F24" s="100"/>
      <c r="H24" s="15">
        <v>2039</v>
      </c>
      <c r="I24" s="8">
        <v>102.93567789064582</v>
      </c>
      <c r="J24" s="27">
        <f t="shared" si="2"/>
        <v>5.5540085015477922</v>
      </c>
      <c r="L24" s="15">
        <v>2039</v>
      </c>
      <c r="M24" s="8">
        <v>63.881361932898578</v>
      </c>
      <c r="N24" s="27">
        <f t="shared" si="3"/>
        <v>3.4467896315084365</v>
      </c>
      <c r="P24" s="15">
        <v>2039</v>
      </c>
      <c r="Q24" s="8">
        <v>34.963468140667167</v>
      </c>
      <c r="R24" s="27">
        <f t="shared" si="4"/>
        <v>1.886492645466975</v>
      </c>
      <c r="S24" s="93"/>
      <c r="T24" s="15">
        <v>2039</v>
      </c>
      <c r="U24" s="8">
        <v>63.946007425966613</v>
      </c>
      <c r="V24" s="27">
        <v>3.2904671462776669</v>
      </c>
      <c r="W24" s="3"/>
    </row>
    <row r="25" spans="1:25" ht="15.75" thickBot="1" x14ac:dyDescent="0.3">
      <c r="A25" s="95">
        <v>2040</v>
      </c>
      <c r="B25" s="96">
        <f t="shared" si="0"/>
        <v>5.6209242666266812</v>
      </c>
      <c r="C25" s="96">
        <f t="shared" si="0"/>
        <v>5.6209242666266812</v>
      </c>
      <c r="D25" s="97">
        <f t="shared" si="1"/>
        <v>5.6209242666266812</v>
      </c>
      <c r="E25" s="98"/>
      <c r="F25" s="101"/>
      <c r="H25" s="15">
        <v>2040</v>
      </c>
      <c r="I25" s="8">
        <v>104.17586678089457</v>
      </c>
      <c r="J25" s="27">
        <f t="shared" si="2"/>
        <v>5.6209242666266812</v>
      </c>
      <c r="L25" s="15">
        <v>2040</v>
      </c>
      <c r="M25" s="8">
        <v>63.881361932898578</v>
      </c>
      <c r="N25" s="27">
        <f t="shared" si="3"/>
        <v>3.4467896315084365</v>
      </c>
      <c r="P25" s="15">
        <v>2040</v>
      </c>
      <c r="Q25" s="8">
        <v>35.662737503480514</v>
      </c>
      <c r="R25" s="27">
        <f t="shared" si="4"/>
        <v>1.9242224983763145</v>
      </c>
      <c r="S25" s="93"/>
      <c r="T25" s="15">
        <v>2040</v>
      </c>
      <c r="U25" s="8">
        <v>65.544657611615776</v>
      </c>
      <c r="V25" s="27">
        <v>3.3727288249346081</v>
      </c>
      <c r="W25" s="3"/>
    </row>
    <row r="26" spans="1:25" ht="15.75" thickTop="1" x14ac:dyDescent="0.25">
      <c r="G26" s="94"/>
      <c r="H26" s="94"/>
      <c r="I26" s="94"/>
      <c r="J26" s="94"/>
      <c r="K26" s="94"/>
      <c r="L26" s="94"/>
      <c r="M26" s="94"/>
      <c r="N26" s="94"/>
      <c r="O26" s="94"/>
      <c r="P26" s="94"/>
      <c r="Q26" s="94"/>
      <c r="R26" s="94"/>
      <c r="S26" s="94"/>
      <c r="T26" s="94"/>
      <c r="U26" s="94"/>
      <c r="V26" s="94"/>
    </row>
    <row r="27" spans="1:25" x14ac:dyDescent="0.25">
      <c r="A27" s="222" t="s">
        <v>134</v>
      </c>
      <c r="B27" s="222"/>
      <c r="C27" s="222"/>
      <c r="D27" s="222"/>
      <c r="E27" s="222"/>
      <c r="G27" s="46"/>
      <c r="H27" s="46"/>
      <c r="I27" s="46"/>
    </row>
    <row r="28" spans="1:25" x14ac:dyDescent="0.25">
      <c r="A28" s="222"/>
      <c r="B28" s="222"/>
      <c r="C28" s="222"/>
      <c r="D28" s="222"/>
      <c r="E28" s="222"/>
    </row>
    <row r="29" spans="1:25" x14ac:dyDescent="0.25">
      <c r="A29" s="222" t="s">
        <v>135</v>
      </c>
      <c r="B29" s="222"/>
      <c r="C29" s="222"/>
      <c r="D29" s="222"/>
      <c r="E29" s="222"/>
      <c r="G29" s="45" t="s">
        <v>134</v>
      </c>
      <c r="R29" s="46"/>
      <c r="S29" s="46"/>
      <c r="T29" s="46"/>
      <c r="U29" s="46"/>
      <c r="V29" s="46"/>
    </row>
    <row r="30" spans="1:25" x14ac:dyDescent="0.25">
      <c r="A30" s="222"/>
      <c r="B30" s="222"/>
      <c r="C30" s="222"/>
      <c r="D30" s="222"/>
      <c r="E30" s="222"/>
      <c r="G30" s="45" t="s">
        <v>135</v>
      </c>
    </row>
    <row r="31" spans="1:25" x14ac:dyDescent="0.25">
      <c r="A31" s="45" t="s">
        <v>138</v>
      </c>
      <c r="G31" s="45" t="s">
        <v>138</v>
      </c>
    </row>
    <row r="32" spans="1:25" x14ac:dyDescent="0.25">
      <c r="A32" s="45">
        <v>2012</v>
      </c>
      <c r="B32" s="45">
        <v>1.032</v>
      </c>
      <c r="C32" s="45" t="s">
        <v>137</v>
      </c>
      <c r="G32" s="45">
        <v>2012</v>
      </c>
      <c r="H32" s="45">
        <v>1.032</v>
      </c>
      <c r="I32" s="45" t="s">
        <v>137</v>
      </c>
    </row>
    <row r="33" spans="1:14" x14ac:dyDescent="0.25">
      <c r="A33" s="45">
        <v>2013</v>
      </c>
      <c r="B33" s="45">
        <v>1.0349999999999999</v>
      </c>
      <c r="C33" s="45" t="s">
        <v>137</v>
      </c>
      <c r="G33" s="45">
        <v>2013</v>
      </c>
      <c r="H33" s="45">
        <v>1.0349999999999999</v>
      </c>
      <c r="I33" s="45" t="s">
        <v>137</v>
      </c>
    </row>
    <row r="34" spans="1:14" x14ac:dyDescent="0.25">
      <c r="A34" s="45">
        <v>2014</v>
      </c>
      <c r="B34" s="45">
        <v>1.0429999999999999</v>
      </c>
      <c r="C34" s="45" t="s">
        <v>137</v>
      </c>
      <c r="G34" s="45">
        <v>2014</v>
      </c>
      <c r="H34" s="45">
        <v>1.0429999999999999</v>
      </c>
      <c r="I34" s="45" t="s">
        <v>137</v>
      </c>
    </row>
    <row r="35" spans="1:14" x14ac:dyDescent="0.25">
      <c r="A35" s="45">
        <v>2015</v>
      </c>
      <c r="B35" s="45">
        <v>1.0620000000000001</v>
      </c>
      <c r="C35" s="45" t="s">
        <v>137</v>
      </c>
      <c r="G35" s="45">
        <v>2015</v>
      </c>
      <c r="H35" s="45">
        <v>1.0620000000000001</v>
      </c>
      <c r="I35" s="45" t="s">
        <v>137</v>
      </c>
    </row>
    <row r="36" spans="1:14" x14ac:dyDescent="0.25">
      <c r="A36" s="45">
        <v>2016</v>
      </c>
      <c r="B36" s="45">
        <v>1.073</v>
      </c>
      <c r="C36" s="45" t="s">
        <v>137</v>
      </c>
      <c r="G36" s="45">
        <v>2016</v>
      </c>
      <c r="H36" s="45">
        <v>1.073</v>
      </c>
      <c r="I36" s="45" t="s">
        <v>137</v>
      </c>
      <c r="N36" s="45" t="s">
        <v>155</v>
      </c>
    </row>
    <row r="37" spans="1:14" x14ac:dyDescent="0.25">
      <c r="A37" s="45">
        <v>2017</v>
      </c>
      <c r="B37" s="45">
        <v>1.075</v>
      </c>
      <c r="C37" s="45" t="s">
        <v>137</v>
      </c>
      <c r="G37" s="45">
        <v>2017</v>
      </c>
      <c r="H37" s="45">
        <v>1.075</v>
      </c>
      <c r="I37" s="45" t="s">
        <v>137</v>
      </c>
      <c r="N37" s="45">
        <f>'Upstream Emissions'!H3</f>
        <v>5.3956107497034394E-3</v>
      </c>
    </row>
    <row r="38" spans="1:14" x14ac:dyDescent="0.25">
      <c r="A38" s="45" t="s">
        <v>136</v>
      </c>
      <c r="B38" s="45">
        <f>AVERAGE(B32:B37)</f>
        <v>1.0533333333333335</v>
      </c>
      <c r="C38" s="45" t="s">
        <v>137</v>
      </c>
      <c r="G38" s="45" t="s">
        <v>136</v>
      </c>
      <c r="H38" s="45">
        <f>AVERAGE(H32:H37)</f>
        <v>1.0533333333333335</v>
      </c>
    </row>
  </sheetData>
  <mergeCells count="5">
    <mergeCell ref="A1:F3"/>
    <mergeCell ref="G1:W3"/>
    <mergeCell ref="AC4:AD4"/>
    <mergeCell ref="A27:E28"/>
    <mergeCell ref="A29:E30"/>
  </mergeCells>
  <dataValidations count="2">
    <dataValidation type="list" allowBlank="1" showInputMessage="1" showErrorMessage="1" sqref="C4" xr:uid="{59A8EEAB-318D-402E-A1CC-3C9B60728779}">
      <formula1>$Z$5:$Z$13</formula1>
    </dataValidation>
    <dataValidation type="list" allowBlank="1" showInputMessage="1" showErrorMessage="1" sqref="B4" xr:uid="{DDDEDFA3-E543-41B4-ADC7-95210D0AB89E}">
      <formula1>$Z$5:$Z$12</formula1>
    </dataValidation>
  </dataValidations>
  <pageMargins left="0.7" right="0.7" top="0.75" bottom="0.75" header="0.3" footer="0.3"/>
  <pageSetup scale="58" orientation="portrait" r:id="rId1"/>
  <colBreaks count="1" manualBreakCount="1">
    <brk id="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02928-8FBC-4BC5-8F7E-A2D21C6ED006}">
  <sheetPr>
    <tabColor theme="7"/>
  </sheetPr>
  <dimension ref="A2:U77"/>
  <sheetViews>
    <sheetView view="pageBreakPreview" zoomScale="60" zoomScaleNormal="100" workbookViewId="0"/>
  </sheetViews>
  <sheetFormatPr defaultRowHeight="15" x14ac:dyDescent="0.25"/>
  <cols>
    <col min="1" max="1" width="9.140625" style="45"/>
    <col min="2" max="2" width="23.85546875" style="45" customWidth="1"/>
    <col min="3" max="3" width="21.5703125" style="45" customWidth="1"/>
    <col min="4" max="4" width="13.28515625" style="45" customWidth="1"/>
    <col min="5" max="5" width="15.85546875" style="45" customWidth="1"/>
    <col min="6" max="6" width="13.5703125" style="45" customWidth="1"/>
    <col min="7" max="7" width="23.140625" style="45" customWidth="1"/>
    <col min="8" max="8" width="15.140625" style="45" customWidth="1"/>
    <col min="9" max="15" width="9.140625" style="45"/>
    <col min="16" max="16" width="10.5703125" style="45" customWidth="1"/>
    <col min="17" max="17" width="11.140625" style="45" customWidth="1"/>
    <col min="18" max="19" width="9.140625" style="45"/>
    <col min="20" max="20" width="15.28515625" style="45" customWidth="1"/>
    <col min="21" max="21" width="37.5703125" style="45" bestFit="1" customWidth="1"/>
    <col min="22" max="16384" width="9.140625" style="45"/>
  </cols>
  <sheetData>
    <row r="2" spans="2:8" ht="110.25" customHeight="1" x14ac:dyDescent="0.25">
      <c r="B2" s="115" t="s">
        <v>211</v>
      </c>
      <c r="C2" s="116">
        <f>(C7*(C14+C15)+C8*C16)</f>
        <v>8.5224799999999989E-3</v>
      </c>
      <c r="E2" s="115" t="s">
        <v>212</v>
      </c>
      <c r="F2" s="115" t="s">
        <v>213</v>
      </c>
      <c r="G2" s="115" t="s">
        <v>214</v>
      </c>
      <c r="H2" s="115" t="s">
        <v>215</v>
      </c>
    </row>
    <row r="3" spans="2:8" ht="19.5" customHeight="1" x14ac:dyDescent="0.25">
      <c r="B3" s="115"/>
      <c r="C3" s="116"/>
      <c r="E3" s="117">
        <f>G27*C2</f>
        <v>141.63694519572954</v>
      </c>
      <c r="F3" s="118">
        <f>E3*C9</f>
        <v>3540.9236298932383</v>
      </c>
      <c r="G3" s="117">
        <f>0.0544*P26*P21/Q21</f>
        <v>50415.183867141161</v>
      </c>
      <c r="H3" s="119">
        <f>(F3+G3)/1000000/$C$10</f>
        <v>5.3956107497034394E-3</v>
      </c>
    </row>
    <row r="4" spans="2:8" ht="19.5" customHeight="1" x14ac:dyDescent="0.25">
      <c r="B4" s="115"/>
      <c r="C4" s="116"/>
      <c r="E4" s="115"/>
      <c r="G4" s="115"/>
      <c r="H4" s="115"/>
    </row>
    <row r="5" spans="2:8" x14ac:dyDescent="0.25">
      <c r="E5" s="117"/>
      <c r="G5" s="118"/>
      <c r="H5" s="120"/>
    </row>
    <row r="6" spans="2:8" ht="82.5" customHeight="1" x14ac:dyDescent="0.25">
      <c r="C6" s="121" t="s">
        <v>216</v>
      </c>
      <c r="D6" s="115"/>
      <c r="E6" s="117"/>
      <c r="F6" s="118"/>
      <c r="G6" s="120"/>
    </row>
    <row r="7" spans="2:8" ht="64.5" x14ac:dyDescent="0.25">
      <c r="B7" s="121" t="s">
        <v>217</v>
      </c>
      <c r="C7" s="122">
        <v>7.7000000000000002E-3</v>
      </c>
      <c r="D7" s="117"/>
    </row>
    <row r="8" spans="2:8" ht="64.5" x14ac:dyDescent="0.25">
      <c r="B8" s="121" t="s">
        <v>218</v>
      </c>
      <c r="C8" s="122">
        <v>0.01</v>
      </c>
      <c r="D8" s="117"/>
    </row>
    <row r="9" spans="2:8" x14ac:dyDescent="0.25">
      <c r="B9" s="45" t="s">
        <v>219</v>
      </c>
      <c r="C9" s="45">
        <v>25</v>
      </c>
      <c r="D9" s="45" t="s">
        <v>220</v>
      </c>
    </row>
    <row r="10" spans="2:8" ht="32.25" customHeight="1" x14ac:dyDescent="0.25">
      <c r="B10" s="123" t="s">
        <v>221</v>
      </c>
      <c r="C10" s="124">
        <v>10</v>
      </c>
      <c r="E10" s="118"/>
      <c r="F10" s="120"/>
    </row>
    <row r="11" spans="2:8" x14ac:dyDescent="0.25">
      <c r="B11" s="124"/>
      <c r="C11" s="124"/>
      <c r="E11" s="118"/>
      <c r="F11" s="120"/>
    </row>
    <row r="12" spans="2:8" x14ac:dyDescent="0.25">
      <c r="D12" s="117"/>
      <c r="E12" s="118"/>
      <c r="F12" s="120"/>
    </row>
    <row r="13" spans="2:8" x14ac:dyDescent="0.25">
      <c r="B13" s="125" t="s">
        <v>222</v>
      </c>
      <c r="C13" s="45" t="s">
        <v>223</v>
      </c>
    </row>
    <row r="14" spans="2:8" x14ac:dyDescent="0.25">
      <c r="B14" s="45" t="s">
        <v>224</v>
      </c>
      <c r="C14" s="126">
        <v>0.52439999999999998</v>
      </c>
    </row>
    <row r="15" spans="2:8" x14ac:dyDescent="0.25">
      <c r="B15" s="45" t="s">
        <v>225</v>
      </c>
      <c r="C15" s="126">
        <v>0.11799999999999999</v>
      </c>
    </row>
    <row r="16" spans="2:8" x14ac:dyDescent="0.25">
      <c r="B16" s="45" t="s">
        <v>226</v>
      </c>
      <c r="C16" s="126">
        <v>0.35759999999999997</v>
      </c>
    </row>
    <row r="17" spans="1:21" x14ac:dyDescent="0.25">
      <c r="C17" s="127"/>
    </row>
    <row r="19" spans="1:21" ht="15.75" thickBot="1" x14ac:dyDescent="0.3">
      <c r="A19" s="128"/>
      <c r="B19" s="128"/>
      <c r="C19" s="129"/>
      <c r="D19" s="129"/>
      <c r="E19" s="129"/>
      <c r="F19" s="129"/>
      <c r="G19" s="129"/>
      <c r="H19" s="129"/>
      <c r="I19" s="129"/>
      <c r="J19" s="129"/>
      <c r="K19" s="129"/>
      <c r="L19" s="129"/>
      <c r="M19" s="129"/>
      <c r="N19" s="130"/>
    </row>
    <row r="20" spans="1:21" ht="135.75" thickBot="1" x14ac:dyDescent="0.3">
      <c r="A20" s="128"/>
      <c r="C20" s="130"/>
      <c r="D20" s="130"/>
      <c r="E20" s="130"/>
      <c r="F20" s="131" t="s">
        <v>227</v>
      </c>
      <c r="G20" s="131" t="s">
        <v>228</v>
      </c>
      <c r="H20" s="130"/>
      <c r="I20" s="130"/>
      <c r="J20" s="130"/>
      <c r="K20" s="130"/>
      <c r="L20" s="130"/>
      <c r="M20" s="129"/>
      <c r="N20" s="130"/>
      <c r="O20" s="132" t="s">
        <v>229</v>
      </c>
      <c r="P20" s="133" t="s">
        <v>230</v>
      </c>
      <c r="Q20" s="133" t="s">
        <v>231</v>
      </c>
      <c r="R20" s="134" t="s">
        <v>232</v>
      </c>
      <c r="S20" s="135" t="s">
        <v>233</v>
      </c>
      <c r="T20" s="136" t="s">
        <v>234</v>
      </c>
      <c r="U20" s="115" t="s">
        <v>235</v>
      </c>
    </row>
    <row r="21" spans="1:21" ht="91.5" thickTop="1" thickBot="1" x14ac:dyDescent="0.3">
      <c r="A21" s="128"/>
      <c r="C21" s="137" t="s">
        <v>236</v>
      </c>
      <c r="D21" s="135" t="s">
        <v>237</v>
      </c>
      <c r="E21" s="135"/>
      <c r="F21" s="135">
        <v>1</v>
      </c>
      <c r="G21" s="138">
        <f>F21/Q21</f>
        <v>0.92674970344009489</v>
      </c>
      <c r="H21" s="130"/>
      <c r="I21" s="130"/>
      <c r="J21" s="130"/>
      <c r="K21" s="130"/>
      <c r="L21" s="130"/>
      <c r="M21" s="129"/>
      <c r="N21" s="130"/>
      <c r="O21" s="139" t="s">
        <v>238</v>
      </c>
      <c r="P21" s="140">
        <v>1</v>
      </c>
      <c r="Q21" s="141">
        <v>1.07904</v>
      </c>
      <c r="R21" s="142">
        <v>1.9199999999999998E-2</v>
      </c>
    </row>
    <row r="22" spans="1:21" x14ac:dyDescent="0.25">
      <c r="A22" s="128"/>
      <c r="C22" s="135"/>
      <c r="D22" s="135"/>
      <c r="E22" s="135"/>
      <c r="F22" s="135"/>
      <c r="G22" s="138"/>
      <c r="H22" s="130"/>
      <c r="I22" s="130"/>
      <c r="J22" s="130"/>
      <c r="K22" s="130"/>
      <c r="L22" s="130"/>
      <c r="M22" s="129"/>
      <c r="N22" s="130"/>
    </row>
    <row r="23" spans="1:21" ht="15.75" thickBot="1" x14ac:dyDescent="0.3">
      <c r="A23" s="128"/>
      <c r="C23" s="135"/>
      <c r="D23" s="135"/>
      <c r="E23" s="135"/>
      <c r="F23" s="143" t="s">
        <v>239</v>
      </c>
      <c r="G23" s="144" t="s">
        <v>240</v>
      </c>
      <c r="H23" s="130"/>
      <c r="I23" s="130"/>
      <c r="J23" s="130"/>
      <c r="K23" s="130"/>
      <c r="L23" s="130"/>
      <c r="M23" s="129"/>
      <c r="N23" s="130"/>
    </row>
    <row r="24" spans="1:21" ht="86.25" customHeight="1" thickTop="1" thickBot="1" x14ac:dyDescent="0.3">
      <c r="A24" s="128"/>
      <c r="C24" s="145" t="s">
        <v>241</v>
      </c>
      <c r="D24" s="135" t="s">
        <v>242</v>
      </c>
      <c r="E24" s="130"/>
      <c r="F24" s="146">
        <v>93.4</v>
      </c>
      <c r="G24" s="147">
        <f>(F24/100)*G21</f>
        <v>0.86558422301304871</v>
      </c>
      <c r="H24" s="130"/>
      <c r="I24" s="130"/>
      <c r="J24" s="130"/>
      <c r="K24" s="130"/>
      <c r="L24" s="130"/>
      <c r="M24" s="129"/>
      <c r="N24" s="130"/>
    </row>
    <row r="25" spans="1:21" ht="30" x14ac:dyDescent="0.25">
      <c r="A25" s="128"/>
      <c r="C25" s="130"/>
      <c r="D25" s="130"/>
      <c r="E25" s="130"/>
      <c r="F25" s="130"/>
      <c r="G25" s="130"/>
      <c r="H25" s="130"/>
      <c r="I25" s="130"/>
      <c r="J25" s="130"/>
      <c r="K25" s="130"/>
      <c r="L25" s="130"/>
      <c r="M25" s="129"/>
      <c r="N25" s="130"/>
      <c r="O25" s="132" t="s">
        <v>243</v>
      </c>
      <c r="P25" s="133" t="s">
        <v>244</v>
      </c>
      <c r="Q25" s="133" t="s">
        <v>245</v>
      </c>
      <c r="R25" s="148" t="s">
        <v>246</v>
      </c>
    </row>
    <row r="26" spans="1:21" ht="15.75" thickBot="1" x14ac:dyDescent="0.3">
      <c r="A26" s="128"/>
      <c r="C26" s="130"/>
      <c r="D26" s="130"/>
      <c r="E26" s="130"/>
      <c r="F26" s="131" t="s">
        <v>247</v>
      </c>
      <c r="G26" s="131" t="s">
        <v>248</v>
      </c>
      <c r="H26" s="131" t="s">
        <v>249</v>
      </c>
      <c r="I26" s="131" t="s">
        <v>250</v>
      </c>
      <c r="J26" s="130"/>
      <c r="K26" s="130"/>
      <c r="L26" s="130"/>
      <c r="M26" s="129"/>
      <c r="N26" s="130"/>
      <c r="O26" s="149">
        <v>1</v>
      </c>
      <c r="P26" s="150">
        <v>1000000</v>
      </c>
      <c r="Q26" s="140">
        <v>1.1023099999999999</v>
      </c>
      <c r="R26" s="151">
        <v>2204.62</v>
      </c>
    </row>
    <row r="27" spans="1:21" ht="91.5" thickTop="1" x14ac:dyDescent="0.25">
      <c r="A27" s="128"/>
      <c r="C27" s="145" t="s">
        <v>251</v>
      </c>
      <c r="D27" s="135" t="s">
        <v>252</v>
      </c>
      <c r="E27" s="130"/>
      <c r="F27" s="147">
        <f>(G24/F21)*(R21/P21)*(R26/O26)</f>
        <v>36.639058362989324</v>
      </c>
      <c r="G27" s="152">
        <f>(G24/F21)*(R21/P21)*(P26/O26)</f>
        <v>16619.217081850536</v>
      </c>
      <c r="H27" s="147">
        <f>F27*(F21/G21)</f>
        <v>39.535009535999997</v>
      </c>
      <c r="I27" s="152">
        <f>G27*(F21/G21)</f>
        <v>17932.800000000003</v>
      </c>
      <c r="J27" s="130"/>
      <c r="K27" s="130"/>
      <c r="L27" s="130"/>
      <c r="M27" s="129"/>
      <c r="N27" s="130"/>
    </row>
    <row r="66" spans="3:4" x14ac:dyDescent="0.25">
      <c r="D66" s="121"/>
    </row>
    <row r="67" spans="3:4" x14ac:dyDescent="0.25">
      <c r="C67" s="153"/>
      <c r="D67" s="122"/>
    </row>
    <row r="68" spans="3:4" x14ac:dyDescent="0.25">
      <c r="C68" s="121"/>
      <c r="D68" s="122"/>
    </row>
    <row r="71" spans="3:4" x14ac:dyDescent="0.25">
      <c r="C71" s="154"/>
    </row>
    <row r="72" spans="3:4" x14ac:dyDescent="0.25">
      <c r="C72" s="124"/>
      <c r="D72" s="124"/>
    </row>
    <row r="74" spans="3:4" x14ac:dyDescent="0.25">
      <c r="C74" s="155"/>
    </row>
    <row r="75" spans="3:4" x14ac:dyDescent="0.25">
      <c r="D75" s="156"/>
    </row>
    <row r="76" spans="3:4" x14ac:dyDescent="0.25">
      <c r="D76" s="156"/>
    </row>
    <row r="77" spans="3:4" x14ac:dyDescent="0.25">
      <c r="D77" s="156"/>
    </row>
  </sheetData>
  <hyperlinks>
    <hyperlink ref="O21" r:id="rId1" xr:uid="{51AC736C-7E71-43F8-B617-AE1828E8EBA7}"/>
  </hyperlinks>
  <pageMargins left="0.7" right="0.7" top="0.75" bottom="0.75" header="0.3" footer="0.3"/>
  <pageSetup scale="2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9D921-6C79-4FA4-8C8C-39E579F0FFCB}">
  <sheetPr>
    <tabColor rgb="FFFFC000"/>
  </sheetPr>
  <dimension ref="A1:F24"/>
  <sheetViews>
    <sheetView view="pageBreakPreview" zoomScale="60" zoomScaleNormal="100" workbookViewId="0">
      <selection activeCell="A5" sqref="A5:A24"/>
    </sheetView>
  </sheetViews>
  <sheetFormatPr defaultRowHeight="15" x14ac:dyDescent="0.25"/>
  <sheetData>
    <row r="1" spans="1:6" s="45" customFormat="1" x14ac:dyDescent="0.25">
      <c r="A1" s="215" t="s">
        <v>151</v>
      </c>
      <c r="B1" s="216"/>
      <c r="C1" s="216"/>
      <c r="D1" s="216"/>
      <c r="E1" s="216"/>
      <c r="F1" s="217"/>
    </row>
    <row r="2" spans="1:6" s="45" customFormat="1" x14ac:dyDescent="0.25">
      <c r="A2" s="223"/>
      <c r="B2" s="224"/>
      <c r="C2" s="224"/>
      <c r="D2" s="224"/>
      <c r="E2" s="224"/>
      <c r="F2" s="225"/>
    </row>
    <row r="3" spans="1:6" s="45" customFormat="1" ht="15.75" thickBot="1" x14ac:dyDescent="0.3">
      <c r="A3" s="218"/>
      <c r="B3" s="219"/>
      <c r="C3" s="219"/>
      <c r="D3" s="219"/>
      <c r="E3" s="219"/>
      <c r="F3" s="220"/>
    </row>
    <row r="4" spans="1:6" x14ac:dyDescent="0.25">
      <c r="A4" s="1"/>
      <c r="B4" s="85" t="s">
        <v>33</v>
      </c>
      <c r="C4" s="2"/>
      <c r="D4" s="2"/>
      <c r="E4" s="17" t="s">
        <v>53</v>
      </c>
      <c r="F4" s="102">
        <v>0.1</v>
      </c>
    </row>
    <row r="5" spans="1:6" x14ac:dyDescent="0.25">
      <c r="A5" s="74">
        <v>2021</v>
      </c>
      <c r="B5" s="103">
        <f>$F$4+1</f>
        <v>1.1000000000000001</v>
      </c>
      <c r="C5" s="2"/>
      <c r="D5" s="2"/>
      <c r="E5" s="2"/>
      <c r="F5" s="37"/>
    </row>
    <row r="6" spans="1:6" x14ac:dyDescent="0.25">
      <c r="A6" s="74">
        <v>2022</v>
      </c>
      <c r="B6" s="103">
        <f t="shared" ref="B6:B24" si="0">$F$4+1</f>
        <v>1.1000000000000001</v>
      </c>
      <c r="C6" s="2"/>
      <c r="D6" s="2"/>
      <c r="E6" s="2"/>
      <c r="F6" s="37"/>
    </row>
    <row r="7" spans="1:6" x14ac:dyDescent="0.25">
      <c r="A7" s="74">
        <v>2023</v>
      </c>
      <c r="B7" s="103">
        <f t="shared" si="0"/>
        <v>1.1000000000000001</v>
      </c>
      <c r="C7" s="2"/>
      <c r="D7" s="2"/>
      <c r="E7" s="2"/>
      <c r="F7" s="37"/>
    </row>
    <row r="8" spans="1:6" x14ac:dyDescent="0.25">
      <c r="A8" s="74">
        <v>2024</v>
      </c>
      <c r="B8" s="103">
        <f t="shared" si="0"/>
        <v>1.1000000000000001</v>
      </c>
      <c r="C8" s="2"/>
      <c r="D8" s="2"/>
      <c r="E8" s="2"/>
      <c r="F8" s="37"/>
    </row>
    <row r="9" spans="1:6" x14ac:dyDescent="0.25">
      <c r="A9" s="74">
        <v>2025</v>
      </c>
      <c r="B9" s="103">
        <f t="shared" si="0"/>
        <v>1.1000000000000001</v>
      </c>
      <c r="C9" s="2"/>
      <c r="D9" s="2"/>
      <c r="E9" s="2"/>
      <c r="F9" s="37"/>
    </row>
    <row r="10" spans="1:6" x14ac:dyDescent="0.25">
      <c r="A10" s="74">
        <v>2026</v>
      </c>
      <c r="B10" s="103">
        <f t="shared" si="0"/>
        <v>1.1000000000000001</v>
      </c>
      <c r="C10" s="2"/>
      <c r="D10" s="2"/>
      <c r="E10" s="2"/>
      <c r="F10" s="37"/>
    </row>
    <row r="11" spans="1:6" x14ac:dyDescent="0.25">
      <c r="A11" s="74">
        <v>2027</v>
      </c>
      <c r="B11" s="103">
        <f t="shared" si="0"/>
        <v>1.1000000000000001</v>
      </c>
      <c r="C11" s="2"/>
      <c r="D11" s="2"/>
      <c r="E11" s="2"/>
      <c r="F11" s="37"/>
    </row>
    <row r="12" spans="1:6" x14ac:dyDescent="0.25">
      <c r="A12" s="74">
        <v>2028</v>
      </c>
      <c r="B12" s="103">
        <f t="shared" si="0"/>
        <v>1.1000000000000001</v>
      </c>
      <c r="C12" s="2"/>
      <c r="D12" s="2"/>
      <c r="E12" s="2"/>
      <c r="F12" s="37"/>
    </row>
    <row r="13" spans="1:6" x14ac:dyDescent="0.25">
      <c r="A13" s="74">
        <v>2029</v>
      </c>
      <c r="B13" s="103">
        <f t="shared" si="0"/>
        <v>1.1000000000000001</v>
      </c>
      <c r="C13" s="2"/>
      <c r="D13" s="2"/>
      <c r="E13" s="2"/>
      <c r="F13" s="37"/>
    </row>
    <row r="14" spans="1:6" x14ac:dyDescent="0.25">
      <c r="A14" s="74">
        <v>2030</v>
      </c>
      <c r="B14" s="103">
        <f t="shared" si="0"/>
        <v>1.1000000000000001</v>
      </c>
      <c r="C14" s="2"/>
      <c r="D14" s="2"/>
      <c r="E14" s="2"/>
      <c r="F14" s="37"/>
    </row>
    <row r="15" spans="1:6" x14ac:dyDescent="0.25">
      <c r="A15" s="74">
        <v>2031</v>
      </c>
      <c r="B15" s="103">
        <f t="shared" si="0"/>
        <v>1.1000000000000001</v>
      </c>
      <c r="C15" s="2"/>
      <c r="D15" s="2"/>
      <c r="E15" s="2"/>
      <c r="F15" s="37"/>
    </row>
    <row r="16" spans="1:6" x14ac:dyDescent="0.25">
      <c r="A16" s="74">
        <v>2032</v>
      </c>
      <c r="B16" s="103">
        <f t="shared" si="0"/>
        <v>1.1000000000000001</v>
      </c>
      <c r="C16" s="2"/>
      <c r="D16" s="2"/>
      <c r="E16" s="2"/>
      <c r="F16" s="37"/>
    </row>
    <row r="17" spans="1:6" x14ac:dyDescent="0.25">
      <c r="A17" s="74">
        <v>2033</v>
      </c>
      <c r="B17" s="103">
        <f t="shared" si="0"/>
        <v>1.1000000000000001</v>
      </c>
      <c r="C17" s="2"/>
      <c r="D17" s="2"/>
      <c r="E17" s="2"/>
      <c r="F17" s="37"/>
    </row>
    <row r="18" spans="1:6" x14ac:dyDescent="0.25">
      <c r="A18" s="74">
        <v>2034</v>
      </c>
      <c r="B18" s="103">
        <f t="shared" si="0"/>
        <v>1.1000000000000001</v>
      </c>
      <c r="C18" s="2"/>
      <c r="D18" s="2"/>
      <c r="E18" s="2"/>
      <c r="F18" s="37"/>
    </row>
    <row r="19" spans="1:6" x14ac:dyDescent="0.25">
      <c r="A19" s="74">
        <v>2035</v>
      </c>
      <c r="B19" s="103">
        <f t="shared" si="0"/>
        <v>1.1000000000000001</v>
      </c>
      <c r="C19" s="2"/>
      <c r="D19" s="2"/>
      <c r="E19" s="2"/>
      <c r="F19" s="37"/>
    </row>
    <row r="20" spans="1:6" x14ac:dyDescent="0.25">
      <c r="A20" s="74">
        <v>2036</v>
      </c>
      <c r="B20" s="103">
        <f t="shared" si="0"/>
        <v>1.1000000000000001</v>
      </c>
      <c r="C20" s="2"/>
      <c r="D20" s="2"/>
      <c r="E20" s="2"/>
      <c r="F20" s="37"/>
    </row>
    <row r="21" spans="1:6" x14ac:dyDescent="0.25">
      <c r="A21" s="74">
        <v>2037</v>
      </c>
      <c r="B21" s="103">
        <f t="shared" si="0"/>
        <v>1.1000000000000001</v>
      </c>
      <c r="C21" s="2"/>
      <c r="D21" s="2"/>
      <c r="E21" s="2"/>
      <c r="F21" s="37"/>
    </row>
    <row r="22" spans="1:6" x14ac:dyDescent="0.25">
      <c r="A22" s="74">
        <v>2038</v>
      </c>
      <c r="B22" s="103">
        <f t="shared" si="0"/>
        <v>1.1000000000000001</v>
      </c>
      <c r="C22" s="2"/>
      <c r="D22" s="2"/>
      <c r="E22" s="2"/>
      <c r="F22" s="37"/>
    </row>
    <row r="23" spans="1:6" x14ac:dyDescent="0.25">
      <c r="A23" s="74">
        <v>2039</v>
      </c>
      <c r="B23" s="103">
        <f t="shared" si="0"/>
        <v>1.1000000000000001</v>
      </c>
      <c r="C23" s="2"/>
      <c r="D23" s="2"/>
      <c r="E23" s="2"/>
      <c r="F23" s="37"/>
    </row>
    <row r="24" spans="1:6" ht="15.75" thickBot="1" x14ac:dyDescent="0.3">
      <c r="A24" s="64">
        <v>2040</v>
      </c>
      <c r="B24" s="104">
        <f t="shared" si="0"/>
        <v>1.1000000000000001</v>
      </c>
      <c r="C24" s="38"/>
      <c r="D24" s="38"/>
      <c r="E24" s="38"/>
      <c r="F24" s="39"/>
    </row>
  </sheetData>
  <mergeCells count="1">
    <mergeCell ref="A1:F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E6E9C-2B1C-4A55-8EA6-EFFDAADD13A7}">
  <sheetPr>
    <tabColor rgb="FFFFFF00"/>
  </sheetPr>
  <dimension ref="A1:W41"/>
  <sheetViews>
    <sheetView tabSelected="1" view="pageBreakPreview" topLeftCell="B1" zoomScale="118" zoomScaleNormal="100" zoomScaleSheetLayoutView="118" workbookViewId="0">
      <selection activeCell="B5" sqref="B5"/>
    </sheetView>
  </sheetViews>
  <sheetFormatPr defaultRowHeight="15" x14ac:dyDescent="0.25"/>
  <cols>
    <col min="2" max="2" width="12" bestFit="1" customWidth="1"/>
    <col min="3" max="3" width="12" customWidth="1"/>
    <col min="4" max="4" width="11.85546875" bestFit="1" customWidth="1"/>
    <col min="5" max="6" width="10.85546875" bestFit="1" customWidth="1"/>
    <col min="7" max="8" width="11.85546875" bestFit="1" customWidth="1"/>
    <col min="9" max="9" width="13" bestFit="1" customWidth="1"/>
    <col min="10" max="10" width="8.7109375" style="78"/>
    <col min="12" max="12" width="12.85546875" bestFit="1" customWidth="1"/>
    <col min="13" max="13" width="13.140625" bestFit="1" customWidth="1"/>
    <col min="14" max="14" width="10.140625" customWidth="1"/>
    <col min="15" max="15" width="21.7109375" bestFit="1" customWidth="1"/>
  </cols>
  <sheetData>
    <row r="1" spans="1:15" s="45" customFormat="1" x14ac:dyDescent="0.25">
      <c r="A1" s="215" t="s">
        <v>154</v>
      </c>
      <c r="B1" s="216"/>
      <c r="C1" s="216"/>
      <c r="D1" s="216"/>
      <c r="E1" s="216"/>
      <c r="F1" s="216"/>
      <c r="G1" s="216"/>
      <c r="H1" s="217"/>
      <c r="J1" s="78"/>
    </row>
    <row r="2" spans="1:15" s="45" customFormat="1" x14ac:dyDescent="0.25">
      <c r="A2" s="223"/>
      <c r="B2" s="224"/>
      <c r="C2" s="224"/>
      <c r="D2" s="224"/>
      <c r="E2" s="224"/>
      <c r="F2" s="224"/>
      <c r="G2" s="224"/>
      <c r="H2" s="225"/>
      <c r="J2" s="78"/>
    </row>
    <row r="3" spans="1:15" s="45" customFormat="1" ht="15.75" thickBot="1" x14ac:dyDescent="0.3">
      <c r="A3" s="218"/>
      <c r="B3" s="219"/>
      <c r="C3" s="219"/>
      <c r="D3" s="219"/>
      <c r="E3" s="219"/>
      <c r="F3" s="219"/>
      <c r="G3" s="219"/>
      <c r="H3" s="220"/>
      <c r="J3" s="78"/>
    </row>
    <row r="4" spans="1:15" x14ac:dyDescent="0.25">
      <c r="A4" s="72" t="s">
        <v>47</v>
      </c>
      <c r="B4" s="84" t="s">
        <v>27</v>
      </c>
      <c r="C4" s="84" t="s">
        <v>28</v>
      </c>
      <c r="D4" s="84" t="s">
        <v>29</v>
      </c>
      <c r="E4" s="84" t="s">
        <v>30</v>
      </c>
      <c r="F4" s="84" t="s">
        <v>31</v>
      </c>
      <c r="G4" s="84" t="s">
        <v>32</v>
      </c>
      <c r="H4" s="73" t="s">
        <v>33</v>
      </c>
    </row>
    <row r="5" spans="1:15" x14ac:dyDescent="0.25">
      <c r="A5" s="74">
        <v>2021</v>
      </c>
      <c r="B5" s="105">
        <v>0.17435757603960114</v>
      </c>
      <c r="C5" s="105">
        <v>0.17140621980020421</v>
      </c>
      <c r="D5" s="105">
        <v>0.17201063725282739</v>
      </c>
      <c r="E5" s="105">
        <v>0.18054241309427166</v>
      </c>
      <c r="F5" s="105">
        <v>0.18054241309427166</v>
      </c>
      <c r="G5" s="105">
        <v>0.17276027573191538</v>
      </c>
      <c r="H5" s="106">
        <v>0.17499891400555259</v>
      </c>
    </row>
    <row r="6" spans="1:15" ht="15.75" thickBot="1" x14ac:dyDescent="0.3">
      <c r="A6" s="74">
        <v>2022</v>
      </c>
      <c r="B6" s="85">
        <v>0.18402169497748377</v>
      </c>
      <c r="C6" s="85">
        <v>0.18092101806880226</v>
      </c>
      <c r="D6" s="85">
        <v>0.18153168702302691</v>
      </c>
      <c r="E6" s="85">
        <v>0.19079732938534594</v>
      </c>
      <c r="F6" s="85">
        <v>0.19079732938534594</v>
      </c>
      <c r="G6" s="85">
        <v>0.18232984989137652</v>
      </c>
      <c r="H6" s="75">
        <v>0.1847789143351469</v>
      </c>
    </row>
    <row r="7" spans="1:15" ht="14.1" customHeight="1" x14ac:dyDescent="0.25">
      <c r="A7" s="74">
        <v>2023</v>
      </c>
      <c r="B7" s="85">
        <v>0.18893331612728925</v>
      </c>
      <c r="C7" s="85">
        <v>0.18581852341832589</v>
      </c>
      <c r="D7" s="85">
        <v>0.18639020056979624</v>
      </c>
      <c r="E7" s="85">
        <v>0.19614467182646039</v>
      </c>
      <c r="F7" s="85">
        <v>0.19614467182646039</v>
      </c>
      <c r="G7" s="85">
        <v>0.18720452347006575</v>
      </c>
      <c r="H7" s="75">
        <v>0.18980440364263734</v>
      </c>
      <c r="L7" s="195"/>
      <c r="M7" s="196"/>
      <c r="N7" s="196"/>
      <c r="O7" s="196"/>
    </row>
    <row r="8" spans="1:15" ht="14.45" customHeight="1" x14ac:dyDescent="0.25">
      <c r="A8" s="74">
        <v>2024</v>
      </c>
      <c r="B8" s="85">
        <v>0.17109436655694107</v>
      </c>
      <c r="C8" s="85">
        <v>0.16830460242712647</v>
      </c>
      <c r="D8" s="85">
        <v>0.16893626605945725</v>
      </c>
      <c r="E8" s="85">
        <v>0.17794185406736285</v>
      </c>
      <c r="F8" s="85">
        <v>0.17794185406736285</v>
      </c>
      <c r="G8" s="85">
        <v>0.16960508160906956</v>
      </c>
      <c r="H8" s="75">
        <v>0.17206076170925955</v>
      </c>
      <c r="L8" s="197"/>
      <c r="M8" s="198"/>
      <c r="N8" s="198"/>
      <c r="O8" s="198"/>
    </row>
    <row r="9" spans="1:15" ht="15" customHeight="1" thickBot="1" x14ac:dyDescent="0.3">
      <c r="A9" s="74">
        <v>2025</v>
      </c>
      <c r="B9" s="85">
        <v>0.20503093046501006</v>
      </c>
      <c r="C9" s="85">
        <v>0.20173828940909572</v>
      </c>
      <c r="D9" s="85">
        <v>0.20250446225999552</v>
      </c>
      <c r="E9" s="85">
        <v>0.21348958148755731</v>
      </c>
      <c r="F9" s="85">
        <v>0.21348958148755731</v>
      </c>
      <c r="G9" s="85">
        <v>0.20326729982164404</v>
      </c>
      <c r="H9" s="75">
        <v>0.20628895284111448</v>
      </c>
      <c r="L9" s="199"/>
      <c r="M9" s="200"/>
      <c r="N9" s="200"/>
      <c r="O9" s="200"/>
    </row>
    <row r="10" spans="1:15" x14ac:dyDescent="0.25">
      <c r="A10" s="74">
        <v>2026</v>
      </c>
      <c r="B10" s="85">
        <v>0.18461124425278772</v>
      </c>
      <c r="C10" s="85">
        <v>0.18167913684456194</v>
      </c>
      <c r="D10" s="85">
        <v>0.18218090839910292</v>
      </c>
      <c r="E10" s="85">
        <v>0.19234187798450497</v>
      </c>
      <c r="F10" s="85">
        <v>0.19234187798450497</v>
      </c>
      <c r="G10" s="85">
        <v>0.18295739097481262</v>
      </c>
      <c r="H10" s="75">
        <v>0.18572382964669371</v>
      </c>
      <c r="L10" s="13"/>
      <c r="M10" s="13"/>
      <c r="N10" s="13"/>
      <c r="O10" s="13"/>
    </row>
    <row r="11" spans="1:15" x14ac:dyDescent="0.25">
      <c r="A11" s="74">
        <v>2027</v>
      </c>
      <c r="B11" s="85">
        <v>0.18460113811299761</v>
      </c>
      <c r="C11" s="85">
        <v>0.18173302991719537</v>
      </c>
      <c r="D11" s="85">
        <v>0.18214869555517768</v>
      </c>
      <c r="E11" s="85">
        <v>0.19255561358214018</v>
      </c>
      <c r="F11" s="85">
        <v>0.19255561358214018</v>
      </c>
      <c r="G11" s="85">
        <v>0.18295157898579822</v>
      </c>
      <c r="H11" s="75">
        <v>0.18580104473356965</v>
      </c>
      <c r="L11" s="49"/>
      <c r="M11" s="41"/>
      <c r="N11" s="41"/>
      <c r="O11" s="52"/>
    </row>
    <row r="12" spans="1:15" x14ac:dyDescent="0.25">
      <c r="A12" s="74">
        <v>2028</v>
      </c>
      <c r="B12" s="85">
        <v>0.18426906388286846</v>
      </c>
      <c r="C12" s="85">
        <v>0.18143186238644776</v>
      </c>
      <c r="D12" s="85">
        <v>0.1818178797474122</v>
      </c>
      <c r="E12" s="85">
        <v>0.1924062225241211</v>
      </c>
      <c r="F12" s="85">
        <v>0.1924062225241211</v>
      </c>
      <c r="G12" s="85">
        <v>0.18263167558756691</v>
      </c>
      <c r="H12" s="75">
        <v>0.1855397231165104</v>
      </c>
      <c r="L12" s="51"/>
      <c r="M12" s="41"/>
      <c r="N12" s="41"/>
      <c r="O12" s="53"/>
    </row>
    <row r="13" spans="1:15" x14ac:dyDescent="0.25">
      <c r="A13" s="74">
        <v>2029</v>
      </c>
      <c r="B13" s="85">
        <v>0.1842554665959594</v>
      </c>
      <c r="C13" s="85">
        <v>0.1814579280202975</v>
      </c>
      <c r="D13" s="85">
        <v>0.18183777700427731</v>
      </c>
      <c r="E13" s="85">
        <v>0.19259725342263231</v>
      </c>
      <c r="F13" s="85">
        <v>0.19259725342263231</v>
      </c>
      <c r="G13" s="85">
        <v>0.18264648702006625</v>
      </c>
      <c r="H13" s="75">
        <v>0.18562651762206311</v>
      </c>
      <c r="L13" s="49"/>
      <c r="M13" s="41"/>
      <c r="N13" s="41"/>
      <c r="O13" s="52"/>
    </row>
    <row r="14" spans="1:15" x14ac:dyDescent="0.25">
      <c r="A14" s="74">
        <v>2030</v>
      </c>
      <c r="B14" s="85">
        <v>0.18513372911715606</v>
      </c>
      <c r="C14" s="85">
        <v>0.18238118707336057</v>
      </c>
      <c r="D14" s="85">
        <v>0.18288077492058169</v>
      </c>
      <c r="E14" s="85">
        <v>0.19380370385552881</v>
      </c>
      <c r="F14" s="85">
        <v>0.19380370385552881</v>
      </c>
      <c r="G14" s="85">
        <v>0.18359123273972588</v>
      </c>
      <c r="H14" s="75">
        <v>0.18668664824042475</v>
      </c>
      <c r="L14" s="49"/>
      <c r="M14" s="41"/>
      <c r="N14" s="41"/>
      <c r="O14" s="52"/>
    </row>
    <row r="15" spans="1:15" x14ac:dyDescent="0.25">
      <c r="A15" s="74">
        <v>2031</v>
      </c>
      <c r="B15" s="85">
        <v>0.18246010986853617</v>
      </c>
      <c r="C15" s="85">
        <v>0.17978567462252806</v>
      </c>
      <c r="D15" s="85">
        <v>0.18030963654914181</v>
      </c>
      <c r="E15" s="85">
        <v>0.19119067173930271</v>
      </c>
      <c r="F15" s="85">
        <v>0.19119067173930271</v>
      </c>
      <c r="G15" s="85">
        <v>0.18096557100291874</v>
      </c>
      <c r="H15" s="75">
        <v>0.1840712255531661</v>
      </c>
      <c r="L15" s="49"/>
      <c r="M15" s="41"/>
      <c r="N15" s="41"/>
      <c r="O15" s="52"/>
    </row>
    <row r="16" spans="1:15" x14ac:dyDescent="0.25">
      <c r="A16" s="74">
        <v>2032</v>
      </c>
      <c r="B16" s="85">
        <v>0.18208665216588896</v>
      </c>
      <c r="C16" s="85">
        <v>0.17943893589301241</v>
      </c>
      <c r="D16" s="85">
        <v>0.17969918642952237</v>
      </c>
      <c r="E16" s="85">
        <v>0.19085196391177658</v>
      </c>
      <c r="F16" s="85">
        <v>0.19085196391177658</v>
      </c>
      <c r="G16" s="85">
        <v>0.18050138320164869</v>
      </c>
      <c r="H16" s="75">
        <v>0.18364219046187985</v>
      </c>
      <c r="L16" s="49"/>
      <c r="M16" s="41"/>
      <c r="N16" s="41"/>
      <c r="O16" s="52"/>
    </row>
    <row r="17" spans="1:23" x14ac:dyDescent="0.25">
      <c r="A17" s="74">
        <v>2033</v>
      </c>
      <c r="B17" s="85">
        <v>0.18482678878589773</v>
      </c>
      <c r="C17" s="85">
        <v>0.18216124890405885</v>
      </c>
      <c r="D17" s="85">
        <v>0.18241394941588829</v>
      </c>
      <c r="E17" s="85">
        <v>0.19390930580502719</v>
      </c>
      <c r="F17" s="85">
        <v>0.19390930580502719</v>
      </c>
      <c r="G17" s="85">
        <v>0.1832332043292858</v>
      </c>
      <c r="H17" s="75">
        <v>0.18648649664850211</v>
      </c>
      <c r="L17" s="49"/>
      <c r="M17" s="41"/>
      <c r="N17" s="41"/>
      <c r="O17" s="52"/>
    </row>
    <row r="18" spans="1:23" x14ac:dyDescent="0.25">
      <c r="A18" s="74">
        <v>2034</v>
      </c>
      <c r="B18" s="85">
        <v>0.18571613917253346</v>
      </c>
      <c r="C18" s="85">
        <v>0.18310025419822243</v>
      </c>
      <c r="D18" s="85">
        <v>0.18331317162127475</v>
      </c>
      <c r="E18" s="85">
        <v>0.19501154103359922</v>
      </c>
      <c r="F18" s="85">
        <v>0.19501154103359922</v>
      </c>
      <c r="G18" s="85">
        <v>0.18413650649123331</v>
      </c>
      <c r="H18" s="75">
        <v>0.18746452686370282</v>
      </c>
      <c r="L18" s="49"/>
      <c r="M18" s="41"/>
      <c r="N18" s="41"/>
      <c r="O18" s="52"/>
    </row>
    <row r="19" spans="1:23" x14ac:dyDescent="0.25">
      <c r="A19" s="74">
        <v>2035</v>
      </c>
      <c r="B19" s="85">
        <v>0.18585879753074797</v>
      </c>
      <c r="C19" s="85">
        <v>0.18325319845715127</v>
      </c>
      <c r="D19" s="85">
        <v>0.18345378061553758</v>
      </c>
      <c r="E19" s="85">
        <v>0.19532769632705377</v>
      </c>
      <c r="F19" s="85">
        <v>0.19532769632705377</v>
      </c>
      <c r="G19" s="85">
        <v>0.18428701671354236</v>
      </c>
      <c r="H19" s="75">
        <v>0.18767966713434397</v>
      </c>
      <c r="L19" s="49"/>
      <c r="M19" s="41"/>
      <c r="N19" s="41"/>
      <c r="O19" s="52"/>
    </row>
    <row r="20" spans="1:23" s="3" customFormat="1" ht="15.75" thickBot="1" x14ac:dyDescent="0.3">
      <c r="A20" s="74">
        <v>2036</v>
      </c>
      <c r="B20" s="85">
        <v>0.18549678137285244</v>
      </c>
      <c r="C20" s="85">
        <v>0.18296094323087408</v>
      </c>
      <c r="D20" s="85">
        <v>0.18337891921984739</v>
      </c>
      <c r="E20" s="85">
        <v>0.19520603931871866</v>
      </c>
      <c r="F20" s="85">
        <v>0.19520603931871866</v>
      </c>
      <c r="G20" s="85">
        <v>0.18404686288429986</v>
      </c>
      <c r="H20" s="75">
        <v>0.18750690741329568</v>
      </c>
      <c r="I20"/>
      <c r="J20" s="78"/>
      <c r="K20"/>
      <c r="L20" s="50"/>
      <c r="M20" s="41"/>
      <c r="N20" s="41"/>
      <c r="O20" s="54"/>
      <c r="P20"/>
      <c r="Q20"/>
      <c r="R20"/>
      <c r="S20"/>
      <c r="T20"/>
      <c r="U20"/>
      <c r="V20"/>
      <c r="W20"/>
    </row>
    <row r="21" spans="1:23" s="3" customFormat="1" ht="15.75" thickBot="1" x14ac:dyDescent="0.3">
      <c r="A21" s="74">
        <v>2037</v>
      </c>
      <c r="B21" s="85">
        <v>0.18258753170693526</v>
      </c>
      <c r="C21" s="85">
        <v>0.18009143200496242</v>
      </c>
      <c r="D21" s="85">
        <v>0.1802716808906295</v>
      </c>
      <c r="E21" s="85">
        <v>0.19217151286941453</v>
      </c>
      <c r="F21" s="85">
        <v>0.19217151286941453</v>
      </c>
      <c r="G21" s="85">
        <v>0.18106400196450118</v>
      </c>
      <c r="H21" s="75">
        <v>0.18449510991877283</v>
      </c>
      <c r="I21"/>
      <c r="J21" s="78"/>
      <c r="K21"/>
      <c r="L21" s="231"/>
      <c r="M21" s="232"/>
      <c r="N21" s="232"/>
      <c r="O21" s="54"/>
      <c r="P21"/>
      <c r="Q21"/>
      <c r="R21"/>
      <c r="S21"/>
      <c r="T21"/>
      <c r="U21"/>
      <c r="V21"/>
      <c r="W21"/>
    </row>
    <row r="22" spans="1:23" s="3" customFormat="1" x14ac:dyDescent="0.25">
      <c r="A22" s="74">
        <v>2038</v>
      </c>
      <c r="B22" s="85">
        <v>0.18623278247586028</v>
      </c>
      <c r="C22" s="85">
        <v>0.18374761293212699</v>
      </c>
      <c r="D22" s="85">
        <v>0.18390122448817409</v>
      </c>
      <c r="E22" s="85">
        <v>0.19616199611071911</v>
      </c>
      <c r="F22" s="85">
        <v>0.19616199611071911</v>
      </c>
      <c r="G22" s="85">
        <v>0.18470450987054857</v>
      </c>
      <c r="H22" s="75">
        <v>0.18826264367311632</v>
      </c>
      <c r="I22"/>
      <c r="J22" s="78"/>
      <c r="K22"/>
      <c r="L22"/>
      <c r="M22"/>
      <c r="N22"/>
      <c r="O22"/>
      <c r="P22"/>
      <c r="Q22"/>
      <c r="R22"/>
      <c r="S22"/>
      <c r="T22"/>
      <c r="U22"/>
      <c r="V22"/>
    </row>
    <row r="23" spans="1:23" s="3" customFormat="1" x14ac:dyDescent="0.25">
      <c r="A23" s="74">
        <v>2039</v>
      </c>
      <c r="B23" s="85">
        <v>0.18635812911151284</v>
      </c>
      <c r="C23" s="85">
        <v>0.18388408628927244</v>
      </c>
      <c r="D23" s="85">
        <v>0.18404758617528155</v>
      </c>
      <c r="E23" s="85">
        <v>0.19644579172978421</v>
      </c>
      <c r="F23" s="85">
        <v>0.19644579172978421</v>
      </c>
      <c r="G23" s="85">
        <v>0.18484061894502293</v>
      </c>
      <c r="H23" s="75">
        <v>0.18845308658276602</v>
      </c>
      <c r="I23"/>
      <c r="J23" s="78"/>
      <c r="K23"/>
      <c r="L23"/>
      <c r="M23"/>
      <c r="N23"/>
      <c r="O23"/>
      <c r="P23"/>
      <c r="Q23"/>
      <c r="R23"/>
      <c r="S23"/>
      <c r="T23"/>
      <c r="U23"/>
      <c r="V23"/>
      <c r="W23"/>
    </row>
    <row r="24" spans="1:23" s="3" customFormat="1" ht="15.75" thickBot="1" x14ac:dyDescent="0.3">
      <c r="A24" s="64">
        <v>2040</v>
      </c>
      <c r="B24" s="86">
        <v>0.18600490834508421</v>
      </c>
      <c r="C24" s="86">
        <v>0.1835689448231346</v>
      </c>
      <c r="D24" s="86">
        <v>0.18363979750826526</v>
      </c>
      <c r="E24" s="86">
        <v>0.19620376636963022</v>
      </c>
      <c r="F24" s="86">
        <v>0.19620376636963022</v>
      </c>
      <c r="G24" s="86">
        <v>0.18448265750183471</v>
      </c>
      <c r="H24" s="76">
        <v>0.18815618242219306</v>
      </c>
      <c r="I24"/>
      <c r="J24" s="78"/>
      <c r="K24"/>
      <c r="L24"/>
      <c r="M24"/>
      <c r="N24"/>
      <c r="O24"/>
      <c r="P24"/>
      <c r="Q24"/>
      <c r="R24"/>
      <c r="S24"/>
      <c r="T24"/>
      <c r="U24"/>
      <c r="V24"/>
      <c r="W24"/>
    </row>
    <row r="25" spans="1:23" s="3" customFormat="1" ht="15.75" thickBot="1" x14ac:dyDescent="0.3">
      <c r="A25"/>
      <c r="B25"/>
      <c r="C25"/>
      <c r="D25"/>
      <c r="E25"/>
      <c r="F25"/>
      <c r="G25"/>
      <c r="H25"/>
      <c r="I25"/>
      <c r="J25" s="78"/>
      <c r="K25"/>
      <c r="L25"/>
      <c r="M25"/>
      <c r="N25"/>
      <c r="O25"/>
      <c r="P25"/>
      <c r="Q25"/>
      <c r="R25"/>
      <c r="S25"/>
      <c r="T25"/>
      <c r="U25"/>
      <c r="V25"/>
      <c r="W25"/>
    </row>
    <row r="26" spans="1:23" s="3" customFormat="1" ht="14.45" customHeight="1" x14ac:dyDescent="0.25">
      <c r="A26" s="195"/>
      <c r="B26" s="196"/>
      <c r="C26" s="196"/>
      <c r="D26" s="196"/>
      <c r="E26" s="201"/>
      <c r="F26"/>
      <c r="G26"/>
      <c r="H26"/>
      <c r="I26"/>
      <c r="J26" s="78"/>
      <c r="K26"/>
      <c r="L26"/>
      <c r="M26"/>
      <c r="N26"/>
      <c r="O26"/>
      <c r="P26"/>
      <c r="Q26"/>
      <c r="R26"/>
      <c r="S26"/>
      <c r="T26"/>
      <c r="U26"/>
      <c r="V26"/>
      <c r="W26"/>
    </row>
    <row r="27" spans="1:23" ht="14.45" customHeight="1" x14ac:dyDescent="0.25">
      <c r="A27" s="197"/>
      <c r="B27" s="198"/>
      <c r="C27" s="198"/>
      <c r="D27" s="198"/>
      <c r="E27" s="202"/>
    </row>
    <row r="28" spans="1:23" ht="15" customHeight="1" x14ac:dyDescent="0.25">
      <c r="A28" s="197"/>
      <c r="B28" s="198"/>
      <c r="C28" s="198"/>
      <c r="D28" s="198"/>
      <c r="E28" s="202"/>
    </row>
    <row r="29" spans="1:23" x14ac:dyDescent="0.25">
      <c r="A29" s="13"/>
      <c r="B29" s="13"/>
      <c r="C29" s="13"/>
      <c r="D29" s="231"/>
      <c r="E29" s="235"/>
    </row>
    <row r="30" spans="1:23" x14ac:dyDescent="0.25">
      <c r="A30" s="59"/>
      <c r="B30" s="41"/>
      <c r="C30" s="41"/>
      <c r="D30" s="226"/>
      <c r="E30" s="227"/>
    </row>
    <row r="31" spans="1:23" x14ac:dyDescent="0.25">
      <c r="A31" s="51"/>
      <c r="B31" s="41"/>
      <c r="C31" s="41"/>
      <c r="D31" s="226"/>
      <c r="E31" s="227"/>
    </row>
    <row r="32" spans="1:23" x14ac:dyDescent="0.25">
      <c r="A32" s="59"/>
      <c r="B32" s="41"/>
      <c r="C32" s="41"/>
      <c r="D32" s="226"/>
      <c r="E32" s="227"/>
    </row>
    <row r="33" spans="1:5" x14ac:dyDescent="0.25">
      <c r="A33" s="59"/>
      <c r="B33" s="41"/>
      <c r="C33" s="41"/>
      <c r="D33" s="226"/>
      <c r="E33" s="227"/>
    </row>
    <row r="34" spans="1:5" x14ac:dyDescent="0.25">
      <c r="A34" s="59"/>
      <c r="B34" s="41"/>
      <c r="C34" s="41"/>
      <c r="D34" s="226"/>
      <c r="E34" s="227"/>
    </row>
    <row r="35" spans="1:5" x14ac:dyDescent="0.25">
      <c r="A35" s="59"/>
      <c r="B35" s="41"/>
      <c r="C35" s="41"/>
      <c r="D35" s="226"/>
      <c r="E35" s="227"/>
    </row>
    <row r="36" spans="1:5" x14ac:dyDescent="0.25">
      <c r="A36" s="59"/>
      <c r="B36" s="41"/>
      <c r="C36" s="41"/>
      <c r="D36" s="226"/>
      <c r="E36" s="227"/>
    </row>
    <row r="37" spans="1:5" x14ac:dyDescent="0.25">
      <c r="A37" s="59"/>
      <c r="B37" s="41"/>
      <c r="C37" s="41"/>
      <c r="D37" s="226"/>
      <c r="E37" s="227"/>
    </row>
    <row r="38" spans="1:5" x14ac:dyDescent="0.25">
      <c r="A38" s="59"/>
      <c r="B38" s="41"/>
      <c r="C38" s="41"/>
      <c r="D38" s="226"/>
      <c r="E38" s="227"/>
    </row>
    <row r="39" spans="1:5" ht="15.75" thickBot="1" x14ac:dyDescent="0.3">
      <c r="A39" s="50"/>
      <c r="B39" s="41"/>
      <c r="C39" s="41"/>
      <c r="D39" s="226"/>
      <c r="E39" s="227"/>
    </row>
    <row r="40" spans="1:5" ht="15.75" thickBot="1" x14ac:dyDescent="0.3">
      <c r="A40" s="233"/>
      <c r="B40" s="234"/>
      <c r="C40" s="234"/>
      <c r="D40" s="228"/>
      <c r="E40" s="229"/>
    </row>
    <row r="41" spans="1:5" x14ac:dyDescent="0.25">
      <c r="D41" s="230"/>
      <c r="E41" s="230"/>
    </row>
  </sheetData>
  <mergeCells count="18">
    <mergeCell ref="A1:H3"/>
    <mergeCell ref="L7:O9"/>
    <mergeCell ref="L21:N21"/>
    <mergeCell ref="A40:C40"/>
    <mergeCell ref="D29:E29"/>
    <mergeCell ref="A26:E28"/>
    <mergeCell ref="D30:E30"/>
    <mergeCell ref="D31:E31"/>
    <mergeCell ref="D32:E32"/>
    <mergeCell ref="D33:E33"/>
    <mergeCell ref="D34:E34"/>
    <mergeCell ref="D35:E35"/>
    <mergeCell ref="D36:E36"/>
    <mergeCell ref="D37:E37"/>
    <mergeCell ref="D38:E38"/>
    <mergeCell ref="D39:E39"/>
    <mergeCell ref="D40:E40"/>
    <mergeCell ref="D41:E4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A3415-32AE-46D4-A5B7-6FF030C70C0B}">
  <sheetPr>
    <tabColor rgb="FF00B0F0"/>
  </sheetPr>
  <dimension ref="A1:R25"/>
  <sheetViews>
    <sheetView view="pageBreakPreview" zoomScale="60" zoomScaleNormal="100" workbookViewId="0">
      <selection activeCell="A6" sqref="A6:A25"/>
    </sheetView>
  </sheetViews>
  <sheetFormatPr defaultRowHeight="15" x14ac:dyDescent="0.25"/>
  <cols>
    <col min="2" max="2" width="12.140625" bestFit="1" customWidth="1"/>
    <col min="3" max="7" width="8.7109375" style="78"/>
  </cols>
  <sheetData>
    <row r="1" spans="1:18" s="45" customFormat="1" x14ac:dyDescent="0.25">
      <c r="A1" s="215" t="s">
        <v>60</v>
      </c>
      <c r="B1" s="216"/>
      <c r="C1" s="216"/>
      <c r="D1" s="216"/>
      <c r="E1" s="216"/>
      <c r="F1" s="216"/>
      <c r="G1" s="216"/>
      <c r="H1" s="217"/>
    </row>
    <row r="2" spans="1:18" s="45" customFormat="1" x14ac:dyDescent="0.25">
      <c r="A2" s="223"/>
      <c r="B2" s="224"/>
      <c r="C2" s="224"/>
      <c r="D2" s="224"/>
      <c r="E2" s="224"/>
      <c r="F2" s="224"/>
      <c r="G2" s="224"/>
      <c r="H2" s="225"/>
    </row>
    <row r="3" spans="1:18" s="45" customFormat="1" ht="15.75" thickBot="1" x14ac:dyDescent="0.3">
      <c r="A3" s="223"/>
      <c r="B3" s="224"/>
      <c r="C3" s="219"/>
      <c r="D3" s="219"/>
      <c r="E3" s="219"/>
      <c r="F3" s="219"/>
      <c r="G3" s="219"/>
      <c r="H3" s="220"/>
    </row>
    <row r="4" spans="1:18" ht="28.5" customHeight="1" x14ac:dyDescent="0.25">
      <c r="A4" s="72"/>
      <c r="B4" s="73" t="s">
        <v>33</v>
      </c>
      <c r="C4" s="3"/>
      <c r="D4" s="236" t="s">
        <v>58</v>
      </c>
      <c r="E4" s="237"/>
      <c r="F4" s="3"/>
      <c r="G4" s="236" t="s">
        <v>59</v>
      </c>
      <c r="H4" s="237"/>
    </row>
    <row r="5" spans="1:18" x14ac:dyDescent="0.25">
      <c r="A5" s="74" t="s">
        <v>45</v>
      </c>
      <c r="B5" s="75" t="s">
        <v>60</v>
      </c>
      <c r="C5" s="3"/>
      <c r="D5" s="59" t="s">
        <v>45</v>
      </c>
      <c r="E5" s="90" t="s">
        <v>6</v>
      </c>
      <c r="F5" s="3"/>
      <c r="G5" s="59" t="s">
        <v>45</v>
      </c>
      <c r="H5" s="90" t="s">
        <v>6</v>
      </c>
      <c r="I5" s="34"/>
      <c r="J5" s="34"/>
    </row>
    <row r="6" spans="1:18" x14ac:dyDescent="0.25">
      <c r="A6" s="74">
        <v>2021</v>
      </c>
      <c r="B6" s="75">
        <f t="shared" ref="B6:B25" si="0">IF(E6-H6,0,E6-H6)</f>
        <v>0</v>
      </c>
      <c r="C6" s="3"/>
      <c r="D6" s="15">
        <v>2019</v>
      </c>
      <c r="E6" s="9">
        <v>0</v>
      </c>
      <c r="F6" s="3"/>
      <c r="G6" s="15">
        <v>2019</v>
      </c>
      <c r="H6" s="9">
        <v>0</v>
      </c>
      <c r="Q6" s="34"/>
      <c r="R6" s="34"/>
    </row>
    <row r="7" spans="1:18" x14ac:dyDescent="0.25">
      <c r="A7" s="74">
        <v>2022</v>
      </c>
      <c r="B7" s="75">
        <f t="shared" si="0"/>
        <v>0</v>
      </c>
      <c r="C7" s="3"/>
      <c r="D7" s="15">
        <v>2020</v>
      </c>
      <c r="E7" s="9">
        <v>0</v>
      </c>
      <c r="F7" s="3"/>
      <c r="G7" s="15">
        <v>2020</v>
      </c>
      <c r="H7" s="9">
        <v>0</v>
      </c>
      <c r="Q7" s="34"/>
      <c r="R7" s="34"/>
    </row>
    <row r="8" spans="1:18" x14ac:dyDescent="0.25">
      <c r="A8" s="74">
        <v>2023</v>
      </c>
      <c r="B8" s="75">
        <f t="shared" si="0"/>
        <v>0</v>
      </c>
      <c r="C8" s="3"/>
      <c r="D8" s="15">
        <v>2021</v>
      </c>
      <c r="E8" s="9">
        <v>0</v>
      </c>
      <c r="F8" s="3"/>
      <c r="G8" s="15">
        <v>2021</v>
      </c>
      <c r="H8" s="9">
        <v>0</v>
      </c>
    </row>
    <row r="9" spans="1:18" x14ac:dyDescent="0.25">
      <c r="A9" s="74">
        <v>2024</v>
      </c>
      <c r="B9" s="75">
        <f t="shared" si="0"/>
        <v>0</v>
      </c>
      <c r="C9" s="3"/>
      <c r="D9" s="15">
        <v>2022</v>
      </c>
      <c r="E9" s="9">
        <v>0</v>
      </c>
      <c r="F9" s="3"/>
      <c r="G9" s="15">
        <v>2022</v>
      </c>
      <c r="H9" s="9">
        <v>0</v>
      </c>
    </row>
    <row r="10" spans="1:18" x14ac:dyDescent="0.25">
      <c r="A10" s="74">
        <v>2025</v>
      </c>
      <c r="B10" s="75">
        <f t="shared" si="0"/>
        <v>0</v>
      </c>
      <c r="C10" s="3"/>
      <c r="D10" s="15">
        <v>2023</v>
      </c>
      <c r="E10" s="9">
        <v>0</v>
      </c>
      <c r="F10" s="3"/>
      <c r="G10" s="15">
        <v>2023</v>
      </c>
      <c r="H10" s="9">
        <v>0</v>
      </c>
    </row>
    <row r="11" spans="1:18" x14ac:dyDescent="0.25">
      <c r="A11" s="74">
        <v>2026</v>
      </c>
      <c r="B11" s="75">
        <f t="shared" si="0"/>
        <v>0</v>
      </c>
      <c r="C11" s="3"/>
      <c r="D11" s="15">
        <v>2024</v>
      </c>
      <c r="E11" s="9">
        <v>0</v>
      </c>
      <c r="F11" s="3"/>
      <c r="G11" s="15">
        <v>2024</v>
      </c>
      <c r="H11" s="9">
        <v>0</v>
      </c>
    </row>
    <row r="12" spans="1:18" x14ac:dyDescent="0.25">
      <c r="A12" s="74">
        <v>2027</v>
      </c>
      <c r="B12" s="75">
        <f t="shared" si="0"/>
        <v>0</v>
      </c>
      <c r="C12" s="3"/>
      <c r="D12" s="15">
        <v>2025</v>
      </c>
      <c r="E12" s="9">
        <v>0</v>
      </c>
      <c r="F12" s="3"/>
      <c r="G12" s="15">
        <v>2025</v>
      </c>
      <c r="H12" s="9">
        <v>0</v>
      </c>
    </row>
    <row r="13" spans="1:18" x14ac:dyDescent="0.25">
      <c r="A13" s="74">
        <v>2028</v>
      </c>
      <c r="B13" s="75">
        <f t="shared" si="0"/>
        <v>0</v>
      </c>
      <c r="C13" s="3"/>
      <c r="D13" s="15">
        <v>2026</v>
      </c>
      <c r="E13" s="9">
        <v>0</v>
      </c>
      <c r="F13" s="3"/>
      <c r="G13" s="15">
        <v>2026</v>
      </c>
      <c r="H13" s="9">
        <v>0</v>
      </c>
    </row>
    <row r="14" spans="1:18" x14ac:dyDescent="0.25">
      <c r="A14" s="74">
        <v>2029</v>
      </c>
      <c r="B14" s="75">
        <f t="shared" si="0"/>
        <v>0</v>
      </c>
      <c r="C14" s="3"/>
      <c r="D14" s="15">
        <v>2027</v>
      </c>
      <c r="E14" s="9">
        <v>0</v>
      </c>
      <c r="F14" s="3"/>
      <c r="G14" s="15">
        <v>2027</v>
      </c>
      <c r="H14" s="9">
        <v>0</v>
      </c>
    </row>
    <row r="15" spans="1:18" x14ac:dyDescent="0.25">
      <c r="A15" s="74">
        <v>2030</v>
      </c>
      <c r="B15" s="75">
        <f t="shared" si="0"/>
        <v>0</v>
      </c>
      <c r="C15" s="3"/>
      <c r="D15" s="15">
        <v>2028</v>
      </c>
      <c r="E15" s="9">
        <v>0</v>
      </c>
      <c r="F15" s="3"/>
      <c r="G15" s="15">
        <v>2028</v>
      </c>
      <c r="H15" s="9">
        <v>0</v>
      </c>
    </row>
    <row r="16" spans="1:18" x14ac:dyDescent="0.25">
      <c r="A16" s="74">
        <v>2031</v>
      </c>
      <c r="B16" s="75">
        <f t="shared" si="0"/>
        <v>0</v>
      </c>
      <c r="C16" s="3"/>
      <c r="D16" s="15">
        <v>2029</v>
      </c>
      <c r="E16" s="9">
        <v>0</v>
      </c>
      <c r="F16" s="3"/>
      <c r="G16" s="15">
        <v>2029</v>
      </c>
      <c r="H16" s="9">
        <v>0</v>
      </c>
    </row>
    <row r="17" spans="1:8" x14ac:dyDescent="0.25">
      <c r="A17" s="74">
        <v>2032</v>
      </c>
      <c r="B17" s="75">
        <f t="shared" si="0"/>
        <v>0</v>
      </c>
      <c r="C17" s="3"/>
      <c r="D17" s="15">
        <v>2030</v>
      </c>
      <c r="E17" s="9">
        <v>0</v>
      </c>
      <c r="F17" s="3"/>
      <c r="G17" s="15">
        <v>2030</v>
      </c>
      <c r="H17" s="9">
        <v>0</v>
      </c>
    </row>
    <row r="18" spans="1:8" x14ac:dyDescent="0.25">
      <c r="A18" s="74">
        <v>2033</v>
      </c>
      <c r="B18" s="75">
        <f t="shared" si="0"/>
        <v>0</v>
      </c>
      <c r="C18" s="3"/>
      <c r="D18" s="15">
        <v>2031</v>
      </c>
      <c r="E18" s="9">
        <v>0</v>
      </c>
      <c r="F18" s="3"/>
      <c r="G18" s="15">
        <v>2031</v>
      </c>
      <c r="H18" s="9">
        <v>0</v>
      </c>
    </row>
    <row r="19" spans="1:8" x14ac:dyDescent="0.25">
      <c r="A19" s="74">
        <v>2034</v>
      </c>
      <c r="B19" s="75">
        <f t="shared" si="0"/>
        <v>0</v>
      </c>
      <c r="C19" s="3"/>
      <c r="D19" s="15">
        <v>2032</v>
      </c>
      <c r="E19" s="9">
        <v>0</v>
      </c>
      <c r="F19" s="3"/>
      <c r="G19" s="15">
        <v>2032</v>
      </c>
      <c r="H19" s="9">
        <v>0</v>
      </c>
    </row>
    <row r="20" spans="1:8" x14ac:dyDescent="0.25">
      <c r="A20" s="74">
        <v>2035</v>
      </c>
      <c r="B20" s="75">
        <f t="shared" si="0"/>
        <v>0</v>
      </c>
      <c r="C20" s="3"/>
      <c r="D20" s="15">
        <v>2033</v>
      </c>
      <c r="E20" s="9">
        <v>0</v>
      </c>
      <c r="F20" s="3"/>
      <c r="G20" s="15">
        <v>2033</v>
      </c>
      <c r="H20" s="9">
        <v>0</v>
      </c>
    </row>
    <row r="21" spans="1:8" x14ac:dyDescent="0.25">
      <c r="A21" s="74">
        <v>2036</v>
      </c>
      <c r="B21" s="75">
        <f t="shared" si="0"/>
        <v>0</v>
      </c>
      <c r="C21" s="3"/>
      <c r="D21" s="15">
        <v>2034</v>
      </c>
      <c r="E21" s="9">
        <v>0</v>
      </c>
      <c r="F21" s="3"/>
      <c r="G21" s="15">
        <v>2034</v>
      </c>
      <c r="H21" s="9">
        <v>0</v>
      </c>
    </row>
    <row r="22" spans="1:8" x14ac:dyDescent="0.25">
      <c r="A22" s="74">
        <v>2037</v>
      </c>
      <c r="B22" s="75">
        <f t="shared" si="0"/>
        <v>0</v>
      </c>
      <c r="C22" s="3"/>
      <c r="D22" s="15">
        <v>2035</v>
      </c>
      <c r="E22" s="9">
        <v>0</v>
      </c>
      <c r="F22" s="3"/>
      <c r="G22" s="15">
        <v>2035</v>
      </c>
      <c r="H22" s="9">
        <v>0</v>
      </c>
    </row>
    <row r="23" spans="1:8" x14ac:dyDescent="0.25">
      <c r="A23" s="74">
        <v>2038</v>
      </c>
      <c r="B23" s="75">
        <f t="shared" si="0"/>
        <v>0</v>
      </c>
      <c r="C23" s="3"/>
      <c r="D23" s="15">
        <v>2036</v>
      </c>
      <c r="E23" s="9">
        <v>0</v>
      </c>
      <c r="F23" s="3"/>
      <c r="G23" s="15">
        <v>2036</v>
      </c>
      <c r="H23" s="9">
        <v>0</v>
      </c>
    </row>
    <row r="24" spans="1:8" x14ac:dyDescent="0.25">
      <c r="A24" s="74">
        <v>2039</v>
      </c>
      <c r="B24" s="75">
        <f t="shared" si="0"/>
        <v>0</v>
      </c>
      <c r="C24" s="3"/>
      <c r="D24" s="15">
        <v>2037</v>
      </c>
      <c r="E24" s="9">
        <v>0</v>
      </c>
      <c r="F24" s="3"/>
      <c r="G24" s="15">
        <v>2037</v>
      </c>
      <c r="H24" s="9">
        <v>0</v>
      </c>
    </row>
    <row r="25" spans="1:8" ht="15.75" thickBot="1" x14ac:dyDescent="0.3">
      <c r="A25" s="64">
        <v>2040</v>
      </c>
      <c r="B25" s="76">
        <f t="shared" si="0"/>
        <v>0</v>
      </c>
      <c r="C25" s="3"/>
      <c r="D25" s="16">
        <v>2038</v>
      </c>
      <c r="E25" s="11">
        <v>0</v>
      </c>
      <c r="F25" s="3"/>
      <c r="G25" s="16">
        <v>2038</v>
      </c>
      <c r="H25" s="11">
        <v>0</v>
      </c>
    </row>
  </sheetData>
  <mergeCells count="3">
    <mergeCell ref="D4:E4"/>
    <mergeCell ref="G4:H4"/>
    <mergeCell ref="A1:H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D92A2-F2C9-43D0-AE51-C23C4EA4A693}">
  <sheetPr>
    <tabColor rgb="FF0070C0"/>
  </sheetPr>
  <dimension ref="A1:B51"/>
  <sheetViews>
    <sheetView view="pageBreakPreview" topLeftCell="A10" zoomScale="60" zoomScaleNormal="100" workbookViewId="0">
      <selection activeCell="B37" sqref="B37"/>
    </sheetView>
  </sheetViews>
  <sheetFormatPr defaultRowHeight="15" x14ac:dyDescent="0.25"/>
  <cols>
    <col min="2" max="2" width="13.5703125" bestFit="1" customWidth="1"/>
  </cols>
  <sheetData>
    <row r="1" spans="1:2" s="45" customFormat="1" x14ac:dyDescent="0.25">
      <c r="A1" s="204" t="s">
        <v>152</v>
      </c>
      <c r="B1" s="204"/>
    </row>
    <row r="2" spans="1:2" s="45" customFormat="1" x14ac:dyDescent="0.25">
      <c r="A2" s="204"/>
      <c r="B2" s="204"/>
    </row>
    <row r="3" spans="1:2" s="45" customFormat="1" x14ac:dyDescent="0.25">
      <c r="A3" s="204"/>
      <c r="B3" s="204"/>
    </row>
    <row r="4" spans="1:2" x14ac:dyDescent="0.25">
      <c r="B4" s="4" t="s">
        <v>33</v>
      </c>
    </row>
    <row r="5" spans="1:2" x14ac:dyDescent="0.25">
      <c r="A5" s="4" t="s">
        <v>45</v>
      </c>
      <c r="B5" s="4" t="s">
        <v>66</v>
      </c>
    </row>
    <row r="6" spans="1:2" x14ac:dyDescent="0.25">
      <c r="A6" s="4">
        <v>2021</v>
      </c>
      <c r="B6" s="42">
        <v>0.02</v>
      </c>
    </row>
    <row r="7" spans="1:2" x14ac:dyDescent="0.25">
      <c r="A7" s="4">
        <v>2022</v>
      </c>
      <c r="B7" s="42">
        <v>0.02</v>
      </c>
    </row>
    <row r="8" spans="1:2" x14ac:dyDescent="0.25">
      <c r="A8" s="4">
        <v>2023</v>
      </c>
      <c r="B8" s="42">
        <v>0.02</v>
      </c>
    </row>
    <row r="9" spans="1:2" x14ac:dyDescent="0.25">
      <c r="A9" s="4">
        <v>2024</v>
      </c>
      <c r="B9" s="42">
        <v>0.02</v>
      </c>
    </row>
    <row r="10" spans="1:2" x14ac:dyDescent="0.25">
      <c r="A10" s="4">
        <v>2025</v>
      </c>
      <c r="B10" s="42">
        <v>0.02</v>
      </c>
    </row>
    <row r="11" spans="1:2" x14ac:dyDescent="0.25">
      <c r="A11" s="4">
        <v>2026</v>
      </c>
      <c r="B11" s="42">
        <v>0.02</v>
      </c>
    </row>
    <row r="12" spans="1:2" x14ac:dyDescent="0.25">
      <c r="A12" s="4">
        <v>2027</v>
      </c>
      <c r="B12" s="42">
        <v>0.02</v>
      </c>
    </row>
    <row r="13" spans="1:2" x14ac:dyDescent="0.25">
      <c r="A13" s="4">
        <v>2028</v>
      </c>
      <c r="B13" s="42">
        <v>0.02</v>
      </c>
    </row>
    <row r="14" spans="1:2" x14ac:dyDescent="0.25">
      <c r="A14" s="4">
        <v>2029</v>
      </c>
      <c r="B14" s="42">
        <v>0.02</v>
      </c>
    </row>
    <row r="15" spans="1:2" x14ac:dyDescent="0.25">
      <c r="A15" s="4">
        <v>2030</v>
      </c>
      <c r="B15" s="42">
        <v>0.02</v>
      </c>
    </row>
    <row r="16" spans="1:2" x14ac:dyDescent="0.25">
      <c r="A16" s="4">
        <v>2031</v>
      </c>
      <c r="B16" s="42">
        <v>0.02</v>
      </c>
    </row>
    <row r="17" spans="1:2" x14ac:dyDescent="0.25">
      <c r="A17" s="4">
        <v>2032</v>
      </c>
      <c r="B17" s="42">
        <v>0.02</v>
      </c>
    </row>
    <row r="18" spans="1:2" x14ac:dyDescent="0.25">
      <c r="A18" s="4">
        <v>2033</v>
      </c>
      <c r="B18" s="42">
        <v>0.02</v>
      </c>
    </row>
    <row r="19" spans="1:2" x14ac:dyDescent="0.25">
      <c r="A19" s="4">
        <v>2034</v>
      </c>
      <c r="B19" s="42">
        <v>0.02</v>
      </c>
    </row>
    <row r="20" spans="1:2" x14ac:dyDescent="0.25">
      <c r="A20" s="4">
        <v>2035</v>
      </c>
      <c r="B20" s="42">
        <v>0.02</v>
      </c>
    </row>
    <row r="21" spans="1:2" x14ac:dyDescent="0.25">
      <c r="A21" s="4">
        <v>2036</v>
      </c>
      <c r="B21" s="42">
        <v>0.02</v>
      </c>
    </row>
    <row r="22" spans="1:2" x14ac:dyDescent="0.25">
      <c r="A22" s="4">
        <v>2037</v>
      </c>
      <c r="B22" s="42">
        <v>0.02</v>
      </c>
    </row>
    <row r="23" spans="1:2" x14ac:dyDescent="0.25">
      <c r="A23" s="4">
        <v>2038</v>
      </c>
      <c r="B23" s="42">
        <v>0.02</v>
      </c>
    </row>
    <row r="24" spans="1:2" x14ac:dyDescent="0.25">
      <c r="A24" s="4">
        <v>2039</v>
      </c>
      <c r="B24" s="42">
        <v>0.02</v>
      </c>
    </row>
    <row r="25" spans="1:2" x14ac:dyDescent="0.25">
      <c r="A25" s="4">
        <v>2040</v>
      </c>
      <c r="B25" s="42">
        <v>0.02</v>
      </c>
    </row>
    <row r="26" spans="1:2" x14ac:dyDescent="0.25">
      <c r="A26" s="4">
        <v>2041</v>
      </c>
      <c r="B26" s="42">
        <v>0.02</v>
      </c>
    </row>
    <row r="27" spans="1:2" x14ac:dyDescent="0.25">
      <c r="A27" s="4">
        <v>2042</v>
      </c>
      <c r="B27" s="42">
        <v>0.02</v>
      </c>
    </row>
    <row r="28" spans="1:2" x14ac:dyDescent="0.25">
      <c r="A28" s="4">
        <v>2043</v>
      </c>
      <c r="B28" s="42">
        <v>0.02</v>
      </c>
    </row>
    <row r="29" spans="1:2" x14ac:dyDescent="0.25">
      <c r="A29" s="4">
        <v>2044</v>
      </c>
      <c r="B29" s="42">
        <v>0.02</v>
      </c>
    </row>
    <row r="30" spans="1:2" x14ac:dyDescent="0.25">
      <c r="A30" s="4">
        <v>2045</v>
      </c>
      <c r="B30" s="42">
        <v>0.02</v>
      </c>
    </row>
    <row r="31" spans="1:2" x14ac:dyDescent="0.25">
      <c r="A31" s="4">
        <v>2046</v>
      </c>
      <c r="B31" s="42">
        <v>0.02</v>
      </c>
    </row>
    <row r="32" spans="1:2" x14ac:dyDescent="0.25">
      <c r="A32" s="4">
        <v>2047</v>
      </c>
      <c r="B32" s="42">
        <v>0.02</v>
      </c>
    </row>
    <row r="33" spans="1:2" x14ac:dyDescent="0.25">
      <c r="A33" s="4">
        <v>2048</v>
      </c>
      <c r="B33" s="42">
        <v>0.02</v>
      </c>
    </row>
    <row r="34" spans="1:2" x14ac:dyDescent="0.25">
      <c r="A34" s="4">
        <v>2049</v>
      </c>
      <c r="B34" s="42">
        <v>0.02</v>
      </c>
    </row>
    <row r="35" spans="1:2" x14ac:dyDescent="0.25">
      <c r="A35" s="4">
        <v>2050</v>
      </c>
      <c r="B35" s="42">
        <v>0.02</v>
      </c>
    </row>
    <row r="36" spans="1:2" x14ac:dyDescent="0.25">
      <c r="A36" s="4">
        <v>2051</v>
      </c>
      <c r="B36" s="42">
        <v>0.02</v>
      </c>
    </row>
    <row r="37" spans="1:2" x14ac:dyDescent="0.25">
      <c r="A37" s="4">
        <v>2052</v>
      </c>
      <c r="B37" s="42">
        <v>0.02</v>
      </c>
    </row>
    <row r="38" spans="1:2" x14ac:dyDescent="0.25">
      <c r="A38" s="4">
        <v>2053</v>
      </c>
      <c r="B38" s="42">
        <v>0.02</v>
      </c>
    </row>
    <row r="39" spans="1:2" x14ac:dyDescent="0.25">
      <c r="A39" s="4">
        <v>2054</v>
      </c>
      <c r="B39" s="42">
        <v>0.02</v>
      </c>
    </row>
    <row r="40" spans="1:2" x14ac:dyDescent="0.25">
      <c r="A40" s="4">
        <v>2055</v>
      </c>
      <c r="B40" s="42">
        <v>0.02</v>
      </c>
    </row>
    <row r="41" spans="1:2" x14ac:dyDescent="0.25">
      <c r="A41" s="4">
        <v>2056</v>
      </c>
      <c r="B41" s="42">
        <v>0.02</v>
      </c>
    </row>
    <row r="42" spans="1:2" x14ac:dyDescent="0.25">
      <c r="A42" s="4">
        <v>2057</v>
      </c>
      <c r="B42" s="42">
        <v>0.02</v>
      </c>
    </row>
    <row r="43" spans="1:2" x14ac:dyDescent="0.25">
      <c r="A43" s="4">
        <v>2058</v>
      </c>
      <c r="B43" s="42">
        <v>0.02</v>
      </c>
    </row>
    <row r="44" spans="1:2" x14ac:dyDescent="0.25">
      <c r="A44" s="4">
        <v>2059</v>
      </c>
      <c r="B44" s="42">
        <v>0.02</v>
      </c>
    </row>
    <row r="45" spans="1:2" x14ac:dyDescent="0.25">
      <c r="A45" s="4">
        <v>2060</v>
      </c>
      <c r="B45" s="42">
        <v>0.02</v>
      </c>
    </row>
    <row r="46" spans="1:2" x14ac:dyDescent="0.25">
      <c r="A46" s="4">
        <v>2061</v>
      </c>
      <c r="B46" s="42">
        <v>0.02</v>
      </c>
    </row>
    <row r="47" spans="1:2" x14ac:dyDescent="0.25">
      <c r="A47" s="4">
        <v>2062</v>
      </c>
      <c r="B47" s="42">
        <v>0.02</v>
      </c>
    </row>
    <row r="48" spans="1:2" x14ac:dyDescent="0.25">
      <c r="A48" s="4">
        <v>2063</v>
      </c>
      <c r="B48" s="42">
        <v>0.02</v>
      </c>
    </row>
    <row r="49" spans="1:2" x14ac:dyDescent="0.25">
      <c r="A49" s="4">
        <v>2064</v>
      </c>
      <c r="B49" s="42">
        <v>0.02</v>
      </c>
    </row>
    <row r="50" spans="1:2" x14ac:dyDescent="0.25">
      <c r="A50" s="4">
        <v>2065</v>
      </c>
      <c r="B50" s="42">
        <v>0.02</v>
      </c>
    </row>
    <row r="51" spans="1:2" x14ac:dyDescent="0.25">
      <c r="A51" s="4">
        <v>2066</v>
      </c>
      <c r="B51" s="42">
        <v>0.02</v>
      </c>
    </row>
  </sheetData>
  <mergeCells count="1">
    <mergeCell ref="A1:B3"/>
  </mergeCells>
  <pageMargins left="0.7" right="0.7" top="0.75" bottom="0.75" header="0.3" footer="0.3"/>
  <pageSetup scale="9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A4158-F835-4426-887D-CF11E12984E0}">
  <sheetPr>
    <tabColor rgb="FF00B050"/>
  </sheetPr>
  <dimension ref="A1"/>
  <sheetViews>
    <sheetView workbookViewId="0">
      <selection sqref="A1:J48"/>
    </sheetView>
  </sheetViews>
  <sheetFormatPr defaultRowHeight="15" x14ac:dyDescent="0.25"/>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67FD1-87DB-4869-9411-16B771BC18FD}">
  <sheetPr>
    <tabColor rgb="FF00B050"/>
  </sheetPr>
  <dimension ref="A1:V51"/>
  <sheetViews>
    <sheetView view="pageBreakPreview" zoomScale="60" zoomScaleNormal="100" workbookViewId="0">
      <selection activeCell="M13" sqref="M13"/>
    </sheetView>
  </sheetViews>
  <sheetFormatPr defaultColWidth="8.7109375" defaultRowHeight="15" x14ac:dyDescent="0.25"/>
  <cols>
    <col min="1" max="4" width="8.7109375" style="45"/>
    <col min="5" max="5" width="8.42578125" style="45" customWidth="1"/>
    <col min="6" max="6" width="8.7109375" style="45"/>
    <col min="7" max="7" width="10.85546875" style="45" bestFit="1" customWidth="1"/>
    <col min="8" max="18" width="8.7109375" style="45"/>
    <col min="19" max="19" width="11.28515625" style="45" bestFit="1" customWidth="1"/>
    <col min="20" max="16384" width="8.7109375" style="45"/>
  </cols>
  <sheetData>
    <row r="1" spans="1:22" ht="14.45" customHeight="1" x14ac:dyDescent="0.25">
      <c r="A1" s="238" t="s">
        <v>202</v>
      </c>
      <c r="B1" s="238"/>
      <c r="C1" s="238"/>
      <c r="D1" s="238"/>
      <c r="E1" s="238"/>
      <c r="F1" s="238"/>
      <c r="G1" s="238"/>
      <c r="H1" s="238"/>
      <c r="J1" s="238" t="s">
        <v>202</v>
      </c>
      <c r="K1" s="238"/>
      <c r="L1" s="238"/>
      <c r="M1" s="238"/>
      <c r="N1" s="238"/>
      <c r="O1" s="238"/>
      <c r="P1" s="238"/>
      <c r="Q1" s="238"/>
    </row>
    <row r="2" spans="1:22" ht="14.45" customHeight="1" x14ac:dyDescent="0.25">
      <c r="A2" s="238"/>
      <c r="B2" s="238"/>
      <c r="C2" s="238"/>
      <c r="D2" s="238"/>
      <c r="E2" s="238"/>
      <c r="F2" s="238"/>
      <c r="G2" s="238"/>
      <c r="H2" s="238"/>
      <c r="J2" s="238"/>
      <c r="K2" s="238"/>
      <c r="L2" s="238"/>
      <c r="M2" s="238"/>
      <c r="N2" s="238"/>
      <c r="O2" s="238"/>
      <c r="P2" s="238"/>
      <c r="Q2" s="238"/>
    </row>
    <row r="3" spans="1:22" ht="14.45" customHeight="1" thickBot="1" x14ac:dyDescent="0.3">
      <c r="A3" s="239"/>
      <c r="B3" s="239"/>
      <c r="C3" s="239"/>
      <c r="D3" s="239"/>
      <c r="E3" s="239"/>
      <c r="F3" s="239"/>
      <c r="G3" s="239"/>
      <c r="H3" s="239"/>
      <c r="J3" s="239"/>
      <c r="K3" s="239"/>
      <c r="L3" s="239"/>
      <c r="M3" s="239"/>
      <c r="N3" s="239"/>
      <c r="O3" s="239"/>
      <c r="P3" s="239"/>
      <c r="Q3" s="239"/>
    </row>
    <row r="4" spans="1:22" ht="15.75" thickBot="1" x14ac:dyDescent="0.3">
      <c r="A4" s="45" t="s">
        <v>127</v>
      </c>
      <c r="J4" s="45" t="s">
        <v>203</v>
      </c>
    </row>
    <row r="5" spans="1:22" x14ac:dyDescent="0.25">
      <c r="A5" s="107"/>
      <c r="B5" s="58" t="s">
        <v>27</v>
      </c>
      <c r="C5" s="58" t="s">
        <v>28</v>
      </c>
      <c r="D5" s="58" t="s">
        <v>29</v>
      </c>
      <c r="E5" s="58" t="s">
        <v>30</v>
      </c>
      <c r="F5" s="58" t="s">
        <v>31</v>
      </c>
      <c r="G5" s="58" t="s">
        <v>32</v>
      </c>
      <c r="H5" s="58" t="s">
        <v>33</v>
      </c>
      <c r="J5" s="107"/>
      <c r="K5" s="58" t="s">
        <v>27</v>
      </c>
      <c r="L5" s="58" t="s">
        <v>28</v>
      </c>
      <c r="M5" s="58" t="s">
        <v>29</v>
      </c>
      <c r="N5" s="58" t="s">
        <v>30</v>
      </c>
      <c r="O5" s="58" t="s">
        <v>31</v>
      </c>
      <c r="P5" s="58" t="s">
        <v>32</v>
      </c>
      <c r="Q5" s="58" t="s">
        <v>33</v>
      </c>
      <c r="R5" s="174" t="s">
        <v>69</v>
      </c>
      <c r="S5" s="174"/>
      <c r="T5" s="174"/>
      <c r="U5" s="174"/>
      <c r="V5" s="175"/>
    </row>
    <row r="6" spans="1:22" x14ac:dyDescent="0.25">
      <c r="A6" s="58">
        <v>2021</v>
      </c>
      <c r="B6" s="58">
        <v>0.54579054939983362</v>
      </c>
      <c r="C6" s="58">
        <v>0.53682646826283542</v>
      </c>
      <c r="D6" s="58">
        <v>0.53843903829437068</v>
      </c>
      <c r="E6" s="58">
        <v>0.49930895811497089</v>
      </c>
      <c r="F6" s="58">
        <v>0.49930895811497089</v>
      </c>
      <c r="G6" s="58">
        <v>0.54497814376634834</v>
      </c>
      <c r="H6" s="58">
        <v>0.50961275853003696</v>
      </c>
      <c r="J6" s="58">
        <v>2021</v>
      </c>
      <c r="K6" s="58">
        <v>0.54579054939983362</v>
      </c>
      <c r="L6" s="58">
        <v>0.53682646826283542</v>
      </c>
      <c r="M6" s="58">
        <v>0.53843903829437068</v>
      </c>
      <c r="N6" s="58">
        <v>0.49930895811497089</v>
      </c>
      <c r="O6" s="58">
        <v>0.49930895811497089</v>
      </c>
      <c r="P6" s="58">
        <v>0.54497814376634834</v>
      </c>
      <c r="Q6" s="58">
        <v>0.50961275853003696</v>
      </c>
      <c r="R6" s="176"/>
      <c r="S6" s="176"/>
      <c r="T6" s="176"/>
      <c r="U6" s="176"/>
      <c r="V6" s="177"/>
    </row>
    <row r="7" spans="1:22" x14ac:dyDescent="0.25">
      <c r="A7" s="58">
        <v>2022</v>
      </c>
      <c r="B7" s="58">
        <v>0.51059933548542391</v>
      </c>
      <c r="C7" s="58">
        <v>0.50578586817684168</v>
      </c>
      <c r="D7" s="58">
        <v>0.50665324466557227</v>
      </c>
      <c r="E7" s="58">
        <v>0.47820933790684156</v>
      </c>
      <c r="F7" s="58">
        <v>0.47820933790684156</v>
      </c>
      <c r="G7" s="58">
        <v>0.51009109485339665</v>
      </c>
      <c r="H7" s="58">
        <v>0.48450842303041614</v>
      </c>
      <c r="J7" s="58">
        <v>2022</v>
      </c>
      <c r="K7" s="58">
        <v>0.49380980221027454</v>
      </c>
      <c r="L7" s="58">
        <v>0.48915461138959543</v>
      </c>
      <c r="M7" s="58">
        <v>0.4899934667945573</v>
      </c>
      <c r="N7" s="58">
        <v>0.46248485290797053</v>
      </c>
      <c r="O7" s="58">
        <v>0.46248485290797053</v>
      </c>
      <c r="P7" s="58">
        <v>0.49331827355260799</v>
      </c>
      <c r="Q7" s="58">
        <v>0.46857681144140823</v>
      </c>
      <c r="R7" s="178">
        <v>3.4000000000000002E-2</v>
      </c>
      <c r="S7" s="178"/>
      <c r="T7" s="178"/>
      <c r="U7" s="178"/>
      <c r="V7" s="179"/>
    </row>
    <row r="8" spans="1:22" ht="15.75" thickBot="1" x14ac:dyDescent="0.3">
      <c r="A8" s="58">
        <v>2023</v>
      </c>
      <c r="B8" s="58">
        <v>0.49308613770605569</v>
      </c>
      <c r="C8" s="58">
        <v>0.49073613207774142</v>
      </c>
      <c r="D8" s="58">
        <v>0.49115828702425307</v>
      </c>
      <c r="E8" s="58">
        <v>0.47035021605475763</v>
      </c>
      <c r="F8" s="58">
        <v>0.47035021605475763</v>
      </c>
      <c r="G8" s="58">
        <v>0.49275977997897069</v>
      </c>
      <c r="H8" s="58">
        <v>0.47408396639229106</v>
      </c>
      <c r="J8" s="58">
        <v>2023</v>
      </c>
      <c r="K8" s="58">
        <v>0.46119194739220065</v>
      </c>
      <c r="L8" s="58">
        <v>0.458993946699772</v>
      </c>
      <c r="M8" s="58">
        <v>0.45938879548377698</v>
      </c>
      <c r="N8" s="58">
        <v>0.43992664873485032</v>
      </c>
      <c r="O8" s="58">
        <v>0.43992664873485032</v>
      </c>
      <c r="P8" s="58">
        <v>0.46088669939557059</v>
      </c>
      <c r="Q8" s="58">
        <v>0.44341888965903109</v>
      </c>
      <c r="R8" s="180"/>
      <c r="S8" s="180"/>
      <c r="T8" s="180"/>
      <c r="U8" s="180"/>
      <c r="V8" s="181"/>
    </row>
    <row r="9" spans="1:22" ht="14.45" customHeight="1" x14ac:dyDescent="0.25">
      <c r="A9" s="58">
        <v>2024</v>
      </c>
      <c r="B9" s="58">
        <v>0.52975206151764076</v>
      </c>
      <c r="C9" s="58">
        <v>0.52636767182773758</v>
      </c>
      <c r="D9" s="58">
        <v>0.52698684581386046</v>
      </c>
      <c r="E9" s="58">
        <v>0.50422691930560126</v>
      </c>
      <c r="F9" s="58">
        <v>0.50422691930560126</v>
      </c>
      <c r="G9" s="58">
        <v>0.52936932979048268</v>
      </c>
      <c r="H9" s="58">
        <v>0.50889684291341186</v>
      </c>
      <c r="J9" s="58">
        <v>2024</v>
      </c>
      <c r="K9" s="58">
        <v>0.47919363318619984</v>
      </c>
      <c r="L9" s="58">
        <v>0.47613224256701747</v>
      </c>
      <c r="M9" s="58">
        <v>0.47669232388342542</v>
      </c>
      <c r="N9" s="58">
        <v>0.45610455713967968</v>
      </c>
      <c r="O9" s="58">
        <v>0.45610455713967968</v>
      </c>
      <c r="P9" s="58">
        <v>0.47884742857427798</v>
      </c>
      <c r="Q9" s="58">
        <v>0.46032879300941448</v>
      </c>
      <c r="R9" s="2"/>
      <c r="S9" s="2"/>
      <c r="T9" s="2"/>
      <c r="U9" s="2"/>
      <c r="V9" s="37"/>
    </row>
    <row r="10" spans="1:22" ht="15" customHeight="1" x14ac:dyDescent="0.25">
      <c r="A10" s="58">
        <v>2025</v>
      </c>
      <c r="B10" s="58">
        <v>0.58064044454097197</v>
      </c>
      <c r="C10" s="58">
        <v>0.57555256076915151</v>
      </c>
      <c r="D10" s="58">
        <v>0.57648118343095578</v>
      </c>
      <c r="E10" s="58">
        <v>0.55147795776697239</v>
      </c>
      <c r="F10" s="58">
        <v>0.55147795776697239</v>
      </c>
      <c r="G10" s="58">
        <v>0.58010581010971107</v>
      </c>
      <c r="H10" s="58">
        <v>0.55732696297734097</v>
      </c>
      <c r="J10" s="58">
        <v>2025</v>
      </c>
      <c r="K10" s="58">
        <v>0.50795486983503635</v>
      </c>
      <c r="L10" s="58">
        <v>0.50350389615011848</v>
      </c>
      <c r="M10" s="58">
        <v>0.50431627222163999</v>
      </c>
      <c r="N10" s="58">
        <v>0.4824429935738786</v>
      </c>
      <c r="O10" s="58">
        <v>0.4824429935738786</v>
      </c>
      <c r="P10" s="58">
        <v>0.50748716186620002</v>
      </c>
      <c r="Q10" s="58">
        <v>0.48755981019977856</v>
      </c>
      <c r="R10" s="182" t="s">
        <v>71</v>
      </c>
      <c r="S10" s="182"/>
      <c r="T10" s="182"/>
      <c r="U10" s="182"/>
      <c r="V10" s="183"/>
    </row>
    <row r="11" spans="1:22" x14ac:dyDescent="0.25">
      <c r="A11" s="58">
        <v>2026</v>
      </c>
      <c r="B11" s="58">
        <v>0.62024472703897071</v>
      </c>
      <c r="C11" s="58">
        <v>0.61468277343343458</v>
      </c>
      <c r="D11" s="58">
        <v>0.61567629079342701</v>
      </c>
      <c r="E11" s="58">
        <v>0.59005926927320562</v>
      </c>
      <c r="F11" s="58">
        <v>0.59005926927320562</v>
      </c>
      <c r="G11" s="58">
        <v>0.61968266371618452</v>
      </c>
      <c r="H11" s="58">
        <v>0.59633855354593979</v>
      </c>
      <c r="J11" s="58">
        <v>2026</v>
      </c>
      <c r="K11" s="58">
        <v>0.52475959359655677</v>
      </c>
      <c r="L11" s="58">
        <v>0.52005388891837634</v>
      </c>
      <c r="M11" s="58">
        <v>0.52089445675125368</v>
      </c>
      <c r="N11" s="58">
        <v>0.49922111199541669</v>
      </c>
      <c r="O11" s="58">
        <v>0.49922111199541669</v>
      </c>
      <c r="P11" s="58">
        <v>0.52428405852470072</v>
      </c>
      <c r="Q11" s="58">
        <v>0.50453371606827679</v>
      </c>
      <c r="R11" s="182"/>
      <c r="S11" s="182"/>
      <c r="T11" s="182"/>
      <c r="U11" s="182"/>
      <c r="V11" s="183"/>
    </row>
    <row r="12" spans="1:22" x14ac:dyDescent="0.25">
      <c r="A12" s="58">
        <v>2027</v>
      </c>
      <c r="B12" s="58">
        <v>0.65425393659466358</v>
      </c>
      <c r="C12" s="58">
        <v>0.64911713276080518</v>
      </c>
      <c r="D12" s="58">
        <v>0.65002706461013293</v>
      </c>
      <c r="E12" s="58">
        <v>0.62502974461715088</v>
      </c>
      <c r="F12" s="58">
        <v>0.62502974461715088</v>
      </c>
      <c r="G12" s="58">
        <v>0.65372382991372191</v>
      </c>
      <c r="H12" s="58">
        <v>0.63096670490056916</v>
      </c>
      <c r="J12" s="58">
        <v>2027</v>
      </c>
      <c r="K12" s="58">
        <v>0.53533188579072744</v>
      </c>
      <c r="L12" s="58">
        <v>0.53112878554248222</v>
      </c>
      <c r="M12" s="58">
        <v>0.53187332142617449</v>
      </c>
      <c r="N12" s="58">
        <v>0.51141969982290403</v>
      </c>
      <c r="O12" s="58">
        <v>0.51141969982290403</v>
      </c>
      <c r="P12" s="58">
        <v>0.53489813523409213</v>
      </c>
      <c r="Q12" s="58">
        <v>0.51627751414639045</v>
      </c>
      <c r="R12" s="2"/>
      <c r="S12" s="2"/>
      <c r="T12" s="2"/>
      <c r="U12" s="2"/>
      <c r="V12" s="37"/>
    </row>
    <row r="13" spans="1:22" ht="15.75" thickBot="1" x14ac:dyDescent="0.3">
      <c r="A13" s="58">
        <v>2028</v>
      </c>
      <c r="B13" s="58">
        <v>0.68178627141671932</v>
      </c>
      <c r="C13" s="58">
        <v>0.67754920286000453</v>
      </c>
      <c r="D13" s="58">
        <v>0.67829563046475672</v>
      </c>
      <c r="E13" s="58">
        <v>0.65111513192412684</v>
      </c>
      <c r="F13" s="58">
        <v>0.65111513192412684</v>
      </c>
      <c r="G13" s="58">
        <v>0.68132488922901513</v>
      </c>
      <c r="H13" s="58">
        <v>0.65684647134752916</v>
      </c>
      <c r="J13" s="58">
        <v>2028</v>
      </c>
      <c r="K13" s="58">
        <v>0.53951618869934492</v>
      </c>
      <c r="L13" s="58">
        <v>0.5361632800609436</v>
      </c>
      <c r="M13" s="58">
        <v>0.53675394871084037</v>
      </c>
      <c r="N13" s="58">
        <v>0.51524527422680155</v>
      </c>
      <c r="O13" s="58">
        <v>0.51524527422680155</v>
      </c>
      <c r="P13" s="58">
        <v>0.53915108431124004</v>
      </c>
      <c r="Q13" s="58">
        <v>0.51978064041337935</v>
      </c>
      <c r="R13" s="38" t="s">
        <v>72</v>
      </c>
      <c r="S13" s="65">
        <v>44008</v>
      </c>
      <c r="T13" s="38"/>
      <c r="U13" s="38"/>
      <c r="V13" s="39"/>
    </row>
    <row r="14" spans="1:22" x14ac:dyDescent="0.25">
      <c r="A14" s="58">
        <v>2029</v>
      </c>
      <c r="B14" s="58">
        <v>0.72571095207770864</v>
      </c>
      <c r="C14" s="58">
        <v>0.7216764302570795</v>
      </c>
      <c r="D14" s="58">
        <v>0.72238668625870239</v>
      </c>
      <c r="E14" s="58">
        <v>0.69450109402177052</v>
      </c>
      <c r="F14" s="58">
        <v>0.69450109402177052</v>
      </c>
      <c r="G14" s="58">
        <v>0.72526736167042505</v>
      </c>
      <c r="H14" s="58">
        <v>0.70021334135899305</v>
      </c>
      <c r="J14" s="58">
        <v>2029</v>
      </c>
      <c r="K14" s="58">
        <v>0.55539167703255099</v>
      </c>
      <c r="L14" s="58">
        <v>0.55230402921137867</v>
      </c>
      <c r="M14" s="58">
        <v>0.55284759310652787</v>
      </c>
      <c r="N14" s="58">
        <v>0.53150655395977797</v>
      </c>
      <c r="O14" s="58">
        <v>0.53150655395977797</v>
      </c>
      <c r="P14" s="58">
        <v>0.55505219418540441</v>
      </c>
      <c r="Q14" s="58">
        <v>0.53587817687543304</v>
      </c>
    </row>
    <row r="15" spans="1:22" x14ac:dyDescent="0.25">
      <c r="A15" s="58">
        <v>2030</v>
      </c>
      <c r="B15" s="58">
        <v>0.77526333147507187</v>
      </c>
      <c r="C15" s="58">
        <v>0.77137024687530398</v>
      </c>
      <c r="D15" s="58">
        <v>0.7720679588248327</v>
      </c>
      <c r="E15" s="58">
        <v>0.74392725152313943</v>
      </c>
      <c r="F15" s="58">
        <v>0.74392725152313943</v>
      </c>
      <c r="G15" s="58">
        <v>0.77483669927012033</v>
      </c>
      <c r="H15" s="58">
        <v>0.74958568736954334</v>
      </c>
      <c r="J15" s="58">
        <v>2030</v>
      </c>
      <c r="K15" s="58">
        <v>0.573805087256123</v>
      </c>
      <c r="L15" s="58">
        <v>0.57092365115851351</v>
      </c>
      <c r="M15" s="58">
        <v>0.57144005719737168</v>
      </c>
      <c r="N15" s="58">
        <v>0.55061193292897093</v>
      </c>
      <c r="O15" s="58">
        <v>0.55061193292897093</v>
      </c>
      <c r="P15" s="58">
        <v>0.5734893187686303</v>
      </c>
      <c r="Q15" s="58">
        <v>0.55479997993540076</v>
      </c>
    </row>
    <row r="16" spans="1:22" x14ac:dyDescent="0.25">
      <c r="A16" s="58">
        <v>2031</v>
      </c>
      <c r="B16" s="58">
        <v>0.77449406905192142</v>
      </c>
      <c r="C16" s="58">
        <v>0.77060309112364012</v>
      </c>
      <c r="D16" s="58">
        <v>0.77130426175325728</v>
      </c>
      <c r="E16" s="58">
        <v>0.74374196279459537</v>
      </c>
      <c r="F16" s="58">
        <v>0.74374196279459537</v>
      </c>
      <c r="G16" s="58">
        <v>0.77407180314948931</v>
      </c>
      <c r="H16" s="58">
        <v>0.74931807049489785</v>
      </c>
      <c r="J16" s="58">
        <v>2031</v>
      </c>
      <c r="K16" s="58">
        <v>0.55438657997504626</v>
      </c>
      <c r="L16" s="58">
        <v>0.55160139925822183</v>
      </c>
      <c r="M16" s="58">
        <v>0.55210330056756085</v>
      </c>
      <c r="N16" s="58">
        <v>0.53237407439718198</v>
      </c>
      <c r="O16" s="58">
        <v>0.53237407439718198</v>
      </c>
      <c r="P16" s="58">
        <v>0.5540843200109693</v>
      </c>
      <c r="Q16" s="58">
        <v>0.53636547911036125</v>
      </c>
    </row>
    <row r="17" spans="1:17" x14ac:dyDescent="0.25">
      <c r="A17" s="58">
        <v>2032</v>
      </c>
      <c r="B17" s="58">
        <v>0.78684853135593846</v>
      </c>
      <c r="C17" s="58">
        <v>0.78275945348476017</v>
      </c>
      <c r="D17" s="58">
        <v>0.78347020009855617</v>
      </c>
      <c r="E17" s="58">
        <v>0.75568584724119647</v>
      </c>
      <c r="F17" s="58">
        <v>0.75568584724119647</v>
      </c>
      <c r="G17" s="58">
        <v>0.78640207654729666</v>
      </c>
      <c r="H17" s="58">
        <v>0.76140521551908413</v>
      </c>
      <c r="J17" s="58">
        <v>2032</v>
      </c>
      <c r="K17" s="58">
        <v>0.54470982932081535</v>
      </c>
      <c r="L17" s="58">
        <v>0.54187909275522661</v>
      </c>
      <c r="M17" s="58">
        <v>0.54237111968450613</v>
      </c>
      <c r="N17" s="58">
        <v>0.52313690941453039</v>
      </c>
      <c r="O17" s="58">
        <v>0.52313690941453039</v>
      </c>
      <c r="P17" s="58">
        <v>0.54440076307372498</v>
      </c>
      <c r="Q17" s="58">
        <v>0.52709624338329619</v>
      </c>
    </row>
    <row r="18" spans="1:17" x14ac:dyDescent="0.25">
      <c r="A18" s="58">
        <v>2033</v>
      </c>
      <c r="B18" s="58">
        <v>0.79718400962472735</v>
      </c>
      <c r="C18" s="58">
        <v>0.79315116484641801</v>
      </c>
      <c r="D18" s="58">
        <v>0.7938507691013259</v>
      </c>
      <c r="E18" s="58">
        <v>0.76574447177432259</v>
      </c>
      <c r="F18" s="58">
        <v>0.76574447177432259</v>
      </c>
      <c r="G18" s="58">
        <v>0.79674109118809044</v>
      </c>
      <c r="H18" s="58">
        <v>0.77146128396941949</v>
      </c>
      <c r="J18" s="58">
        <v>2033</v>
      </c>
      <c r="K18" s="58">
        <v>0.53371832415156373</v>
      </c>
      <c r="L18" s="58">
        <v>0.53101831621029061</v>
      </c>
      <c r="M18" s="58">
        <v>0.53148670444436286</v>
      </c>
      <c r="N18" s="58">
        <v>0.51266941041141378</v>
      </c>
      <c r="O18" s="58">
        <v>0.51266941041141378</v>
      </c>
      <c r="P18" s="58">
        <v>0.53342178824155595</v>
      </c>
      <c r="Q18" s="58">
        <v>0.51649684220560232</v>
      </c>
    </row>
    <row r="19" spans="1:17" x14ac:dyDescent="0.25">
      <c r="A19" s="58">
        <v>2034</v>
      </c>
      <c r="B19" s="58">
        <v>0.79727179563172346</v>
      </c>
      <c r="C19" s="58">
        <v>0.79353995919303666</v>
      </c>
      <c r="D19" s="58">
        <v>0.79418258025179567</v>
      </c>
      <c r="E19" s="58">
        <v>0.76617847371402248</v>
      </c>
      <c r="F19" s="58">
        <v>0.76617847371402248</v>
      </c>
      <c r="G19" s="58">
        <v>0.7968525611209466</v>
      </c>
      <c r="H19" s="58">
        <v>0.7717001597194576</v>
      </c>
      <c r="J19" s="58">
        <v>2034</v>
      </c>
      <c r="K19" s="58">
        <v>0.51622543257538833</v>
      </c>
      <c r="L19" s="58">
        <v>0.51380910618529541</v>
      </c>
      <c r="M19" s="58">
        <v>0.51422519682823242</v>
      </c>
      <c r="N19" s="58">
        <v>0.49609282077961703</v>
      </c>
      <c r="O19" s="58">
        <v>0.49609282077961703</v>
      </c>
      <c r="P19" s="58">
        <v>0.51595398246532287</v>
      </c>
      <c r="Q19" s="58">
        <v>0.49966805668074737</v>
      </c>
    </row>
    <row r="20" spans="1:17" x14ac:dyDescent="0.25">
      <c r="A20" s="58">
        <v>2035</v>
      </c>
      <c r="B20" s="58">
        <v>0.80723987071114001</v>
      </c>
      <c r="C20" s="58">
        <v>0.8041260269986481</v>
      </c>
      <c r="D20" s="58">
        <v>0.80465695040518825</v>
      </c>
      <c r="E20" s="58">
        <v>0.7753963886541998</v>
      </c>
      <c r="F20" s="58">
        <v>0.7753963886541998</v>
      </c>
      <c r="G20" s="58">
        <v>0.80686787195435217</v>
      </c>
      <c r="H20" s="58">
        <v>0.78073892044547577</v>
      </c>
      <c r="J20" s="58">
        <v>2035</v>
      </c>
      <c r="K20" s="58">
        <v>0.50549290181683482</v>
      </c>
      <c r="L20" s="58">
        <v>0.50354301560439474</v>
      </c>
      <c r="M20" s="58">
        <v>0.5038754793777438</v>
      </c>
      <c r="N20" s="58">
        <v>0.48555254117194424</v>
      </c>
      <c r="O20" s="58">
        <v>0.48555254117194424</v>
      </c>
      <c r="P20" s="58">
        <v>0.50525995652032063</v>
      </c>
      <c r="Q20" s="58">
        <v>0.48889802991228815</v>
      </c>
    </row>
    <row r="21" spans="1:17" x14ac:dyDescent="0.25">
      <c r="A21" s="58">
        <v>2036</v>
      </c>
      <c r="B21" s="58">
        <v>0.8135655327361262</v>
      </c>
      <c r="C21" s="58">
        <v>0.81064795765489317</v>
      </c>
      <c r="D21" s="58">
        <v>0.81116672862889383</v>
      </c>
      <c r="E21" s="58">
        <v>0.78170252917873695</v>
      </c>
      <c r="F21" s="58">
        <v>0.78170252917873695</v>
      </c>
      <c r="G21" s="58">
        <v>0.81321997184421657</v>
      </c>
      <c r="H21" s="58">
        <v>0.78695995712764988</v>
      </c>
      <c r="J21" s="58">
        <v>2036</v>
      </c>
      <c r="K21" s="58">
        <v>0.49270215266019718</v>
      </c>
      <c r="L21" s="58">
        <v>0.49093524456831084</v>
      </c>
      <c r="M21" s="58">
        <v>0.49124941664830069</v>
      </c>
      <c r="N21" s="58">
        <v>0.47340564880002561</v>
      </c>
      <c r="O21" s="58">
        <v>0.47340564880002561</v>
      </c>
      <c r="P21" s="58">
        <v>0.49249287806771724</v>
      </c>
      <c r="Q21" s="58">
        <v>0.47658959153562014</v>
      </c>
    </row>
    <row r="22" spans="1:17" x14ac:dyDescent="0.25">
      <c r="A22" s="58">
        <v>2037</v>
      </c>
      <c r="B22" s="58">
        <v>0.82256887541872226</v>
      </c>
      <c r="C22" s="58">
        <v>0.81867574346281136</v>
      </c>
      <c r="D22" s="58">
        <v>0.81934612145789676</v>
      </c>
      <c r="E22" s="58">
        <v>0.79056548598251863</v>
      </c>
      <c r="F22" s="58">
        <v>0.79056548598251863</v>
      </c>
      <c r="G22" s="58">
        <v>0.82214220558501128</v>
      </c>
      <c r="H22" s="58">
        <v>0.79629089747751269</v>
      </c>
      <c r="J22" s="58">
        <v>2037</v>
      </c>
      <c r="K22" s="58">
        <v>0.48177432589160762</v>
      </c>
      <c r="L22" s="58">
        <v>0.47949413868818191</v>
      </c>
      <c r="M22" s="58">
        <v>0.47988677560446502</v>
      </c>
      <c r="N22" s="58">
        <v>0.46303010661389066</v>
      </c>
      <c r="O22" s="58">
        <v>0.46303010661389066</v>
      </c>
      <c r="P22" s="58">
        <v>0.48152442758198616</v>
      </c>
      <c r="Q22" s="58">
        <v>0.46638345044427654</v>
      </c>
    </row>
    <row r="23" spans="1:17" x14ac:dyDescent="0.25">
      <c r="A23" s="58">
        <v>2038</v>
      </c>
      <c r="B23" s="58">
        <v>0.83724814639194278</v>
      </c>
      <c r="C23" s="58">
        <v>0.83316235169188391</v>
      </c>
      <c r="D23" s="58">
        <v>0.83386475688558903</v>
      </c>
      <c r="E23" s="58">
        <v>0.80491015758255424</v>
      </c>
      <c r="F23" s="58">
        <v>0.80491015758255424</v>
      </c>
      <c r="G23" s="58">
        <v>0.83680641460874683</v>
      </c>
      <c r="H23" s="58">
        <v>0.81075578149353011</v>
      </c>
      <c r="J23" s="58">
        <v>2038</v>
      </c>
      <c r="K23" s="58">
        <v>0.4742474843316502</v>
      </c>
      <c r="L23" s="58">
        <v>0.47193314315771173</v>
      </c>
      <c r="M23" s="58">
        <v>0.47233101074037726</v>
      </c>
      <c r="N23" s="58">
        <v>0.45593008356189296</v>
      </c>
      <c r="O23" s="58">
        <v>0.45593008356189296</v>
      </c>
      <c r="P23" s="58">
        <v>0.4739972715508482</v>
      </c>
      <c r="Q23" s="58">
        <v>0.45924125534062565</v>
      </c>
    </row>
    <row r="24" spans="1:17" x14ac:dyDescent="0.25">
      <c r="A24" s="58">
        <v>2039</v>
      </c>
      <c r="B24" s="58">
        <v>0.85321607985129577</v>
      </c>
      <c r="C24" s="58">
        <v>0.84887227400378895</v>
      </c>
      <c r="D24" s="58">
        <v>0.84962206276321051</v>
      </c>
      <c r="E24" s="58">
        <v>0.82059026586253181</v>
      </c>
      <c r="F24" s="58">
        <v>0.82059026586253181</v>
      </c>
      <c r="G24" s="58">
        <v>0.85275591515773963</v>
      </c>
      <c r="H24" s="58">
        <v>0.82658929831760175</v>
      </c>
      <c r="J24" s="58">
        <v>2039</v>
      </c>
      <c r="K24" s="58">
        <v>0.46740067365619609</v>
      </c>
      <c r="L24" s="58">
        <v>0.46502109147613419</v>
      </c>
      <c r="M24" s="58">
        <v>0.46543183358417622</v>
      </c>
      <c r="N24" s="58">
        <v>0.44952791223380495</v>
      </c>
      <c r="O24" s="58">
        <v>0.44952791223380495</v>
      </c>
      <c r="P24" s="58">
        <v>0.46714859063427461</v>
      </c>
      <c r="Q24" s="58">
        <v>0.45281424482527904</v>
      </c>
    </row>
    <row r="25" spans="1:17" x14ac:dyDescent="0.25">
      <c r="A25" s="58">
        <v>2040</v>
      </c>
      <c r="B25" s="58">
        <v>0.86028251944423073</v>
      </c>
      <c r="C25" s="58">
        <v>0.85610677889699804</v>
      </c>
      <c r="D25" s="58">
        <v>0.85681789353351534</v>
      </c>
      <c r="E25" s="58">
        <v>0.82797844063463766</v>
      </c>
      <c r="F25" s="58">
        <v>0.82797844063463766</v>
      </c>
      <c r="G25" s="58">
        <v>0.85983424744409565</v>
      </c>
      <c r="H25" s="58">
        <v>0.8338515124097885</v>
      </c>
      <c r="J25" s="58">
        <v>2040</v>
      </c>
      <c r="K25" s="58">
        <v>0.4557753800952058</v>
      </c>
      <c r="L25" s="58">
        <v>0.45356308391101335</v>
      </c>
      <c r="M25" s="58">
        <v>0.45393983054531589</v>
      </c>
      <c r="N25" s="58">
        <v>0.43866076545956312</v>
      </c>
      <c r="O25" s="58">
        <v>0.43866076545956312</v>
      </c>
      <c r="P25" s="58">
        <v>0.45553788678733337</v>
      </c>
      <c r="Q25" s="58">
        <v>0.4417723031929755</v>
      </c>
    </row>
    <row r="26" spans="1:17" x14ac:dyDescent="0.25">
      <c r="A26" s="58">
        <v>2041</v>
      </c>
      <c r="B26" s="58">
        <v>0.87748816983311539</v>
      </c>
      <c r="C26" s="58">
        <v>0.873228914474938</v>
      </c>
      <c r="D26" s="58">
        <v>0.8739542514041857</v>
      </c>
      <c r="E26" s="58">
        <v>0.84453800944733037</v>
      </c>
      <c r="F26" s="58">
        <v>0.84453800944733037</v>
      </c>
      <c r="G26" s="58">
        <v>0.87703093239297758</v>
      </c>
      <c r="H26" s="58">
        <v>0.85052854265798428</v>
      </c>
      <c r="J26" s="58">
        <v>2041</v>
      </c>
      <c r="K26" s="58">
        <v>0.44960434013260153</v>
      </c>
      <c r="L26" s="58">
        <v>0.44742199766850455</v>
      </c>
      <c r="M26" s="58">
        <v>0.44779364328454768</v>
      </c>
      <c r="N26" s="58">
        <v>0.43272145142045887</v>
      </c>
      <c r="O26" s="58">
        <v>0.43272145142045887</v>
      </c>
      <c r="P26" s="58">
        <v>0.44937006240143146</v>
      </c>
      <c r="Q26" s="58">
        <v>0.43579086001628153</v>
      </c>
    </row>
    <row r="27" spans="1:17" x14ac:dyDescent="0.25">
      <c r="A27" s="58">
        <v>2042</v>
      </c>
      <c r="B27" s="58">
        <v>0.89503793322977776</v>
      </c>
      <c r="C27" s="58">
        <v>0.89069349276443677</v>
      </c>
      <c r="D27" s="58">
        <v>0.89143333643226941</v>
      </c>
      <c r="E27" s="58">
        <v>0.86142876963627701</v>
      </c>
      <c r="F27" s="58">
        <v>0.86142876963627701</v>
      </c>
      <c r="G27" s="58">
        <v>0.89457155104083719</v>
      </c>
      <c r="H27" s="58">
        <v>0.86753911351114399</v>
      </c>
      <c r="J27" s="58">
        <v>2042</v>
      </c>
      <c r="K27" s="58">
        <v>0.4435168539025664</v>
      </c>
      <c r="L27" s="58">
        <v>0.44136405959562347</v>
      </c>
      <c r="M27" s="58">
        <v>0.44173067325941845</v>
      </c>
      <c r="N27" s="58">
        <v>0.42686255362559777</v>
      </c>
      <c r="O27" s="58">
        <v>0.42686255362559777</v>
      </c>
      <c r="P27" s="58">
        <v>0.44328574821030964</v>
      </c>
      <c r="Q27" s="58">
        <v>0.42989040349768587</v>
      </c>
    </row>
    <row r="28" spans="1:17" x14ac:dyDescent="0.25">
      <c r="A28" s="58">
        <v>2043</v>
      </c>
      <c r="B28" s="58">
        <v>0.91293869189437338</v>
      </c>
      <c r="C28" s="58">
        <v>0.90850736261972553</v>
      </c>
      <c r="D28" s="58">
        <v>0.90926200316091477</v>
      </c>
      <c r="E28" s="58">
        <v>0.87865734502900261</v>
      </c>
      <c r="F28" s="58">
        <v>0.87865734502900261</v>
      </c>
      <c r="G28" s="58">
        <v>0.91246298206165399</v>
      </c>
      <c r="H28" s="58">
        <v>0.8848898957813669</v>
      </c>
      <c r="J28" s="58">
        <v>2043</v>
      </c>
      <c r="K28" s="58">
        <v>0.43751179011665159</v>
      </c>
      <c r="L28" s="58">
        <v>0.4353881438951025</v>
      </c>
      <c r="M28" s="58">
        <v>0.43574979373753076</v>
      </c>
      <c r="N28" s="58">
        <v>0.4210829832670307</v>
      </c>
      <c r="O28" s="58">
        <v>0.4210829832670307</v>
      </c>
      <c r="P28" s="58">
        <v>0.43728381351500567</v>
      </c>
      <c r="Q28" s="58">
        <v>0.42406983710603446</v>
      </c>
    </row>
    <row r="29" spans="1:17" x14ac:dyDescent="0.25">
      <c r="A29" s="58">
        <v>2044</v>
      </c>
      <c r="B29" s="58">
        <v>0.93119746573226081</v>
      </c>
      <c r="C29" s="58">
        <v>0.92667750987212005</v>
      </c>
      <c r="D29" s="58">
        <v>0.92744724322413308</v>
      </c>
      <c r="E29" s="58">
        <v>0.89623049192958271</v>
      </c>
      <c r="F29" s="58">
        <v>0.89623049192958271</v>
      </c>
      <c r="G29" s="58">
        <v>0.93071224170288713</v>
      </c>
      <c r="H29" s="58">
        <v>0.90258769369699421</v>
      </c>
      <c r="J29" s="58">
        <v>2044</v>
      </c>
      <c r="K29" s="58">
        <v>0.43158803280366009</v>
      </c>
      <c r="L29" s="58">
        <v>0.42949314001257682</v>
      </c>
      <c r="M29" s="58">
        <v>0.42984989324205153</v>
      </c>
      <c r="N29" s="58">
        <v>0.41538166627888901</v>
      </c>
      <c r="O29" s="58">
        <v>0.41538166627888901</v>
      </c>
      <c r="P29" s="58">
        <v>0.43136314292582761</v>
      </c>
      <c r="Q29" s="58">
        <v>0.41832807915682307</v>
      </c>
    </row>
    <row r="30" spans="1:17" x14ac:dyDescent="0.25">
      <c r="A30" s="58">
        <v>2045</v>
      </c>
      <c r="B30" s="58">
        <v>0.94982141504690609</v>
      </c>
      <c r="C30" s="58">
        <v>0.94521106006956246</v>
      </c>
      <c r="D30" s="58">
        <v>0.94599618808861574</v>
      </c>
      <c r="E30" s="58">
        <v>0.91415510176817438</v>
      </c>
      <c r="F30" s="58">
        <v>0.91415510176817438</v>
      </c>
      <c r="G30" s="58">
        <v>0.94932648653694485</v>
      </c>
      <c r="H30" s="58">
        <v>0.92063944757093408</v>
      </c>
      <c r="J30" s="58">
        <v>2045</v>
      </c>
      <c r="K30" s="58">
        <v>0.42574448110225666</v>
      </c>
      <c r="L30" s="58">
        <v>0.42367795243020157</v>
      </c>
      <c r="M30" s="58">
        <v>0.42402987534515729</v>
      </c>
      <c r="N30" s="58">
        <v>0.40975754313778229</v>
      </c>
      <c r="O30" s="58">
        <v>0.40975754313778229</v>
      </c>
      <c r="P30" s="58">
        <v>0.4255226361550718</v>
      </c>
      <c r="Q30" s="58">
        <v>0.41266406261117949</v>
      </c>
    </row>
    <row r="31" spans="1:17" x14ac:dyDescent="0.25">
      <c r="A31" s="58">
        <v>2046</v>
      </c>
      <c r="B31" s="58">
        <v>0.96881784334784427</v>
      </c>
      <c r="C31" s="58">
        <v>0.96411528127095369</v>
      </c>
      <c r="D31" s="58">
        <v>0.96491611185038806</v>
      </c>
      <c r="E31" s="58">
        <v>0.93243820380353792</v>
      </c>
      <c r="F31" s="58">
        <v>0.93243820380353792</v>
      </c>
      <c r="G31" s="58">
        <v>0.96831301626768373</v>
      </c>
      <c r="H31" s="58">
        <v>0.93905223652235281</v>
      </c>
      <c r="J31" s="58">
        <v>2046</v>
      </c>
      <c r="K31" s="58">
        <v>0.41998004905638475</v>
      </c>
      <c r="L31" s="58">
        <v>0.41794150046306155</v>
      </c>
      <c r="M31" s="58">
        <v>0.4182886584642751</v>
      </c>
      <c r="N31" s="58">
        <v>0.40420956866589747</v>
      </c>
      <c r="O31" s="58">
        <v>0.40420956866589747</v>
      </c>
      <c r="P31" s="58">
        <v>0.41976120781254667</v>
      </c>
      <c r="Q31" s="58">
        <v>0.4070767348775659</v>
      </c>
    </row>
    <row r="32" spans="1:17" x14ac:dyDescent="0.25">
      <c r="A32" s="58">
        <v>2047</v>
      </c>
      <c r="B32" s="58">
        <v>0.9881942002148012</v>
      </c>
      <c r="C32" s="58">
        <v>0.9833975868963728</v>
      </c>
      <c r="D32" s="58">
        <v>0.98421443408739584</v>
      </c>
      <c r="E32" s="58">
        <v>0.95108696787960867</v>
      </c>
      <c r="F32" s="58">
        <v>0.95108696787960867</v>
      </c>
      <c r="G32" s="58">
        <v>0.98767927659303745</v>
      </c>
      <c r="H32" s="58">
        <v>0.95783328125279987</v>
      </c>
      <c r="J32" s="58">
        <v>2047</v>
      </c>
      <c r="K32" s="58">
        <v>0.41429366541345503</v>
      </c>
      <c r="L32" s="58">
        <v>0.41228271805833927</v>
      </c>
      <c r="M32" s="58">
        <v>0.41262517566108381</v>
      </c>
      <c r="N32" s="58">
        <v>0.3987367118367654</v>
      </c>
      <c r="O32" s="58">
        <v>0.3987367118367654</v>
      </c>
      <c r="P32" s="58">
        <v>0.41407778720386618</v>
      </c>
      <c r="Q32" s="58">
        <v>0.40156505761616751</v>
      </c>
    </row>
    <row r="33" spans="1:17" x14ac:dyDescent="0.25">
      <c r="A33" s="58">
        <v>2048</v>
      </c>
      <c r="B33" s="58">
        <v>1.0079580842190972</v>
      </c>
      <c r="C33" s="58">
        <v>1.0030655386343004</v>
      </c>
      <c r="D33" s="58">
        <v>1.0038987227691438</v>
      </c>
      <c r="E33" s="58">
        <v>0.97010870723720088</v>
      </c>
      <c r="F33" s="58">
        <v>0.97010870723720088</v>
      </c>
      <c r="G33" s="58">
        <v>1.0074328621248982</v>
      </c>
      <c r="H33" s="58">
        <v>0.9769899468778559</v>
      </c>
      <c r="J33" s="58">
        <v>2048</v>
      </c>
      <c r="K33" s="58">
        <v>0.40868427342526498</v>
      </c>
      <c r="L33" s="58">
        <v>0.40670055359720114</v>
      </c>
      <c r="M33" s="58">
        <v>0.40703837444323537</v>
      </c>
      <c r="N33" s="58">
        <v>0.39333795558365631</v>
      </c>
      <c r="O33" s="58">
        <v>0.39333795558365631</v>
      </c>
      <c r="P33" s="58">
        <v>0.4084713181314733</v>
      </c>
      <c r="Q33" s="58">
        <v>0.39612800654592917</v>
      </c>
    </row>
    <row r="34" spans="1:17" x14ac:dyDescent="0.25">
      <c r="A34" s="58">
        <v>2049</v>
      </c>
      <c r="B34" s="58">
        <v>1.0281172459034791</v>
      </c>
      <c r="C34" s="58">
        <v>1.0231268494069865</v>
      </c>
      <c r="D34" s="58">
        <v>1.0239766972245268</v>
      </c>
      <c r="E34" s="58">
        <v>0.98951088138194487</v>
      </c>
      <c r="F34" s="58">
        <v>0.98951088138194487</v>
      </c>
      <c r="G34" s="58">
        <v>1.0275815193673963</v>
      </c>
      <c r="H34" s="58">
        <v>0.99652974581541298</v>
      </c>
      <c r="J34" s="58">
        <v>2049</v>
      </c>
      <c r="K34" s="58">
        <v>0.40315083065161544</v>
      </c>
      <c r="L34" s="58">
        <v>0.40119396969936683</v>
      </c>
      <c r="M34" s="58">
        <v>0.40152721656876228</v>
      </c>
      <c r="N34" s="58">
        <v>0.38801229661057013</v>
      </c>
      <c r="O34" s="58">
        <v>0.38801229661057013</v>
      </c>
      <c r="P34" s="58">
        <v>0.40294075869835871</v>
      </c>
      <c r="Q34" s="58">
        <v>0.39076457125420488</v>
      </c>
    </row>
    <row r="35" spans="1:17" x14ac:dyDescent="0.25">
      <c r="A35" s="58">
        <v>2050</v>
      </c>
      <c r="B35" s="58">
        <v>1.0486795908215487</v>
      </c>
      <c r="C35" s="58">
        <v>1.0435893863951262</v>
      </c>
      <c r="D35" s="58">
        <v>1.0444562311690173</v>
      </c>
      <c r="E35" s="58">
        <v>1.0093010990095839</v>
      </c>
      <c r="F35" s="58">
        <v>1.0093010990095839</v>
      </c>
      <c r="G35" s="58">
        <v>1.0481331497547441</v>
      </c>
      <c r="H35" s="58">
        <v>1.0164603407317212</v>
      </c>
      <c r="J35" s="58">
        <v>2050</v>
      </c>
      <c r="K35" s="58">
        <v>0.39769230876658401</v>
      </c>
      <c r="L35" s="58">
        <v>0.39576194303032325</v>
      </c>
      <c r="M35" s="58">
        <v>0.39609067785313118</v>
      </c>
      <c r="N35" s="58">
        <v>0.38275874520578496</v>
      </c>
      <c r="O35" s="58">
        <v>0.38275874520578496</v>
      </c>
      <c r="P35" s="58">
        <v>0.39748508111443515</v>
      </c>
      <c r="Q35" s="58">
        <v>0.38547375500898362</v>
      </c>
    </row>
    <row r="36" spans="1:17" x14ac:dyDescent="0.25">
      <c r="A36" s="58">
        <v>2051</v>
      </c>
      <c r="B36" s="58">
        <v>1.0696531826379798</v>
      </c>
      <c r="C36" s="58">
        <v>1.0644611741230288</v>
      </c>
      <c r="D36" s="58">
        <v>1.0653453557923978</v>
      </c>
      <c r="E36" s="58">
        <v>1.0294871209897756</v>
      </c>
      <c r="F36" s="58">
        <v>1.0294871209897756</v>
      </c>
      <c r="G36" s="58">
        <v>1.0690958127498391</v>
      </c>
      <c r="H36" s="58">
        <v>1.0367895475463555</v>
      </c>
      <c r="J36" s="58">
        <v>2051</v>
      </c>
      <c r="K36" s="58">
        <v>0.39230769336742327</v>
      </c>
      <c r="L36" s="58">
        <v>0.39040346411115057</v>
      </c>
      <c r="M36" s="58">
        <v>0.3907277479789108</v>
      </c>
      <c r="N36" s="58">
        <v>0.37757632505793098</v>
      </c>
      <c r="O36" s="58">
        <v>0.37757632505793098</v>
      </c>
      <c r="P36" s="58">
        <v>0.39210327150553559</v>
      </c>
      <c r="Q36" s="58">
        <v>0.3802545745736588</v>
      </c>
    </row>
    <row r="37" spans="1:17" x14ac:dyDescent="0.25">
      <c r="A37" s="58">
        <v>2052</v>
      </c>
      <c r="B37" s="58">
        <v>1.0910462462907395</v>
      </c>
      <c r="C37" s="58">
        <v>1.0857503976054894</v>
      </c>
      <c r="D37" s="58">
        <v>1.0866522629082458</v>
      </c>
      <c r="E37" s="58">
        <v>1.0500768634095712</v>
      </c>
      <c r="F37" s="58">
        <v>1.0500768634095712</v>
      </c>
      <c r="G37" s="58">
        <v>1.090477729004836</v>
      </c>
      <c r="H37" s="58">
        <v>1.0575253384972827</v>
      </c>
      <c r="J37" s="58">
        <v>2052</v>
      </c>
      <c r="K37" s="58">
        <v>0.38699598378604622</v>
      </c>
      <c r="L37" s="58">
        <v>0.38511753713092223</v>
      </c>
      <c r="M37" s="58">
        <v>0.38543743030801647</v>
      </c>
      <c r="N37" s="58">
        <v>0.37246407307455476</v>
      </c>
      <c r="O37" s="58">
        <v>0.37246407307455476</v>
      </c>
      <c r="P37" s="58">
        <v>0.38679432972499644</v>
      </c>
      <c r="Q37" s="58">
        <v>0.37510606002430558</v>
      </c>
    </row>
    <row r="38" spans="1:17" x14ac:dyDescent="0.25">
      <c r="A38" s="58">
        <v>2053</v>
      </c>
      <c r="B38" s="58">
        <v>1.1128671712165543</v>
      </c>
      <c r="C38" s="58">
        <v>1.1074654055575992</v>
      </c>
      <c r="D38" s="58">
        <v>1.1083853081664108</v>
      </c>
      <c r="E38" s="58">
        <v>1.0710784006777627</v>
      </c>
      <c r="F38" s="58">
        <v>1.0710784006777627</v>
      </c>
      <c r="G38" s="58">
        <v>1.1122872835849327</v>
      </c>
      <c r="H38" s="58">
        <v>1.0786758452672283</v>
      </c>
      <c r="J38" s="58">
        <v>2053</v>
      </c>
      <c r="K38" s="58">
        <v>0.38175619290306301</v>
      </c>
      <c r="L38" s="58">
        <v>0.37990317976164478</v>
      </c>
      <c r="M38" s="58">
        <v>0.380218741696496</v>
      </c>
      <c r="N38" s="58">
        <v>0.36742103920313918</v>
      </c>
      <c r="O38" s="58">
        <v>0.36742103920313918</v>
      </c>
      <c r="P38" s="58">
        <v>0.38155726916779148</v>
      </c>
      <c r="Q38" s="58">
        <v>0.37002725456943103</v>
      </c>
    </row>
    <row r="39" spans="1:17" x14ac:dyDescent="0.25">
      <c r="A39" s="58">
        <v>2054</v>
      </c>
      <c r="B39" s="58">
        <v>1.1351245146408855</v>
      </c>
      <c r="C39" s="58">
        <v>1.1296147136687511</v>
      </c>
      <c r="D39" s="58">
        <v>1.1305530143297391</v>
      </c>
      <c r="E39" s="58">
        <v>1.0924999686913179</v>
      </c>
      <c r="F39" s="58">
        <v>1.0924999686913179</v>
      </c>
      <c r="G39" s="58">
        <v>1.1345330292566314</v>
      </c>
      <c r="H39" s="58">
        <v>1.1002493621725729</v>
      </c>
      <c r="J39" s="58">
        <v>2054</v>
      </c>
      <c r="K39" s="58">
        <v>0.37658734696433682</v>
      </c>
      <c r="L39" s="58">
        <v>0.37475942297570369</v>
      </c>
      <c r="M39" s="58">
        <v>0.37507071231182387</v>
      </c>
      <c r="N39" s="58">
        <v>0.36244628625454728</v>
      </c>
      <c r="O39" s="58">
        <v>0.36244628625454728</v>
      </c>
      <c r="P39" s="58">
        <v>0.37639111658718305</v>
      </c>
      <c r="Q39" s="58">
        <v>0.365017214372166</v>
      </c>
    </row>
    <row r="40" spans="1:17" x14ac:dyDescent="0.25">
      <c r="A40" s="58">
        <v>2055</v>
      </c>
      <c r="B40" s="58">
        <v>1.1578270049337032</v>
      </c>
      <c r="C40" s="58">
        <v>1.152207007942126</v>
      </c>
      <c r="D40" s="58">
        <v>1.1531640746163339</v>
      </c>
      <c r="E40" s="58">
        <v>1.1143499680651443</v>
      </c>
      <c r="F40" s="58">
        <v>1.1143499680651443</v>
      </c>
      <c r="G40" s="58">
        <v>1.157223689841764</v>
      </c>
      <c r="H40" s="58">
        <v>1.1222543494160244</v>
      </c>
      <c r="J40" s="58">
        <v>2055</v>
      </c>
      <c r="K40" s="58">
        <v>0.37148848540002277</v>
      </c>
      <c r="L40" s="58">
        <v>0.36968531086578121</v>
      </c>
      <c r="M40" s="58">
        <v>0.36999238545266966</v>
      </c>
      <c r="N40" s="58">
        <v>0.35753888972885711</v>
      </c>
      <c r="O40" s="58">
        <v>0.35753888972885711</v>
      </c>
      <c r="P40" s="58">
        <v>0.37129491191385566</v>
      </c>
      <c r="Q40" s="58">
        <v>0.360075008374864</v>
      </c>
    </row>
    <row r="41" spans="1:17" x14ac:dyDescent="0.25">
      <c r="A41" s="58">
        <v>2056</v>
      </c>
      <c r="B41" s="58">
        <v>1.1809835450323773</v>
      </c>
      <c r="C41" s="58">
        <v>1.1752511481009686</v>
      </c>
      <c r="D41" s="58">
        <v>1.1762273561086605</v>
      </c>
      <c r="E41" s="58">
        <v>1.1366369674264472</v>
      </c>
      <c r="F41" s="58">
        <v>1.1366369674264472</v>
      </c>
      <c r="G41" s="58">
        <v>1.1803681636385994</v>
      </c>
      <c r="H41" s="58">
        <v>1.144699436404345</v>
      </c>
      <c r="J41" s="58">
        <v>2056</v>
      </c>
      <c r="K41" s="58">
        <v>0.36645866064605731</v>
      </c>
      <c r="L41" s="58">
        <v>0.3646799004672116</v>
      </c>
      <c r="M41" s="58">
        <v>0.36498281737110538</v>
      </c>
      <c r="N41" s="58">
        <v>0.35269793764355345</v>
      </c>
      <c r="O41" s="58">
        <v>0.35269793764355345</v>
      </c>
      <c r="P41" s="58">
        <v>0.36626770807749787</v>
      </c>
      <c r="Q41" s="58">
        <v>0.35519971812607476</v>
      </c>
    </row>
    <row r="42" spans="1:17" x14ac:dyDescent="0.25">
      <c r="A42" s="58">
        <v>2057</v>
      </c>
      <c r="B42" s="58">
        <v>1.2046032159330249</v>
      </c>
      <c r="C42" s="58">
        <v>1.1987561710629879</v>
      </c>
      <c r="D42" s="58">
        <v>1.1997519032308337</v>
      </c>
      <c r="E42" s="58">
        <v>1.1593697067749762</v>
      </c>
      <c r="F42" s="58">
        <v>1.1593697067749762</v>
      </c>
      <c r="G42" s="58">
        <v>1.2039755269113714</v>
      </c>
      <c r="H42" s="58">
        <v>1.167593425132432</v>
      </c>
      <c r="J42" s="58">
        <v>2057</v>
      </c>
      <c r="K42" s="58">
        <v>0.36149693796806431</v>
      </c>
      <c r="L42" s="58">
        <v>0.35974226158274264</v>
      </c>
      <c r="M42" s="58">
        <v>0.360041077097222</v>
      </c>
      <c r="N42" s="58">
        <v>0.34792253036404697</v>
      </c>
      <c r="O42" s="58">
        <v>0.34792253036404697</v>
      </c>
      <c r="P42" s="58">
        <v>0.3613085708308007</v>
      </c>
      <c r="Q42" s="58">
        <v>0.35039043760986105</v>
      </c>
    </row>
    <row r="43" spans="1:17" x14ac:dyDescent="0.25">
      <c r="A43" s="58">
        <v>2058</v>
      </c>
      <c r="B43" s="58">
        <v>1.2286952802516855</v>
      </c>
      <c r="C43" s="58">
        <v>1.2227312944842477</v>
      </c>
      <c r="D43" s="58">
        <v>1.2237469412954505</v>
      </c>
      <c r="E43" s="58">
        <v>1.1825571009104758</v>
      </c>
      <c r="F43" s="58">
        <v>1.1825571009104758</v>
      </c>
      <c r="G43" s="58">
        <v>1.2280550374495989</v>
      </c>
      <c r="H43" s="58">
        <v>1.1909452936350806</v>
      </c>
      <c r="J43" s="58">
        <v>2058</v>
      </c>
      <c r="K43" s="58">
        <v>0.3566023952876457</v>
      </c>
      <c r="L43" s="58">
        <v>0.35487147660966878</v>
      </c>
      <c r="M43" s="58">
        <v>0.35516624626611848</v>
      </c>
      <c r="N43" s="58">
        <v>0.34321178043648742</v>
      </c>
      <c r="O43" s="58">
        <v>0.34321178043648742</v>
      </c>
      <c r="P43" s="58">
        <v>0.35641657857583819</v>
      </c>
      <c r="Q43" s="58">
        <v>0.34564627307742579</v>
      </c>
    </row>
    <row r="44" spans="1:17" x14ac:dyDescent="0.25">
      <c r="A44" s="58">
        <v>2059</v>
      </c>
      <c r="B44" s="58">
        <v>1.2532691858567193</v>
      </c>
      <c r="C44" s="58">
        <v>1.2471859203739326</v>
      </c>
      <c r="D44" s="58">
        <v>1.2482218801213596</v>
      </c>
      <c r="E44" s="58">
        <v>1.2062082429286853</v>
      </c>
      <c r="F44" s="58">
        <v>1.2062082429286853</v>
      </c>
      <c r="G44" s="58">
        <v>1.252616138198591</v>
      </c>
      <c r="H44" s="58">
        <v>1.2147641995077822</v>
      </c>
      <c r="J44" s="58">
        <v>2059</v>
      </c>
      <c r="K44" s="58">
        <v>0.35177412301102384</v>
      </c>
      <c r="L44" s="58">
        <v>0.35006664036930574</v>
      </c>
      <c r="M44" s="58">
        <v>0.35035741894723493</v>
      </c>
      <c r="N44" s="58">
        <v>0.33856481242284059</v>
      </c>
      <c r="O44" s="58">
        <v>0.33856481242284059</v>
      </c>
      <c r="P44" s="58">
        <v>0.3515908221927998</v>
      </c>
      <c r="Q44" s="58">
        <v>0.34096634288101968</v>
      </c>
    </row>
    <row r="45" spans="1:17" x14ac:dyDescent="0.25">
      <c r="A45" s="58">
        <v>2060</v>
      </c>
      <c r="B45" s="58">
        <v>1.2783345695738537</v>
      </c>
      <c r="C45" s="58">
        <v>1.2721296387814114</v>
      </c>
      <c r="D45" s="58">
        <v>1.2731863177237868</v>
      </c>
      <c r="E45" s="58">
        <v>1.2303324077872591</v>
      </c>
      <c r="F45" s="58">
        <v>1.2303324077872591</v>
      </c>
      <c r="G45" s="58">
        <v>1.2776684609625628</v>
      </c>
      <c r="H45" s="58">
        <v>1.2390594834979378</v>
      </c>
      <c r="J45" s="58">
        <v>2060</v>
      </c>
      <c r="K45" s="58">
        <v>0.34701122386000416</v>
      </c>
      <c r="L45" s="58">
        <v>0.3453268599387736</v>
      </c>
      <c r="M45" s="58">
        <v>0.34561370147599574</v>
      </c>
      <c r="N45" s="58">
        <v>0.3339807627381986</v>
      </c>
      <c r="O45" s="58">
        <v>0.3339807627381986</v>
      </c>
      <c r="P45" s="58">
        <v>0.34683040487104044</v>
      </c>
      <c r="Q45" s="58">
        <v>0.33634977731009674</v>
      </c>
    </row>
    <row r="46" spans="1:17" x14ac:dyDescent="0.25">
      <c r="A46" s="58">
        <v>2061</v>
      </c>
      <c r="B46" s="58">
        <v>1.3039012609653309</v>
      </c>
      <c r="C46" s="58">
        <v>1.2975722315570397</v>
      </c>
      <c r="D46" s="58">
        <v>1.2986500440782625</v>
      </c>
      <c r="E46" s="58">
        <v>1.2549390559430043</v>
      </c>
      <c r="F46" s="58">
        <v>1.2549390559430043</v>
      </c>
      <c r="G46" s="58">
        <v>1.3032218301818141</v>
      </c>
      <c r="H46" s="58">
        <v>1.2638406731678966</v>
      </c>
      <c r="J46" s="58">
        <v>2061</v>
      </c>
      <c r="K46" s="58">
        <v>0.34231281270522662</v>
      </c>
      <c r="L46" s="58">
        <v>0.34065125448505718</v>
      </c>
      <c r="M46" s="58">
        <v>0.34093421228773274</v>
      </c>
      <c r="N46" s="58">
        <v>0.32945877949029267</v>
      </c>
      <c r="O46" s="58">
        <v>0.32945877949029267</v>
      </c>
      <c r="P46" s="58">
        <v>0.34213444194241904</v>
      </c>
      <c r="Q46" s="58">
        <v>0.33179571842968925</v>
      </c>
    </row>
    <row r="47" spans="1:17" x14ac:dyDescent="0.25">
      <c r="A47" s="58">
        <v>2062</v>
      </c>
      <c r="B47" s="58">
        <v>1.3299792861846376</v>
      </c>
      <c r="C47" s="58">
        <v>1.3235236761881806</v>
      </c>
      <c r="D47" s="58">
        <v>1.3246230449598277</v>
      </c>
      <c r="E47" s="58">
        <v>1.2800378370618644</v>
      </c>
      <c r="F47" s="58">
        <v>1.2800378370618644</v>
      </c>
      <c r="G47" s="58">
        <v>1.3292862667854504</v>
      </c>
      <c r="H47" s="58">
        <v>1.2891174866312545</v>
      </c>
      <c r="J47" s="58">
        <v>2062</v>
      </c>
      <c r="K47" s="58">
        <v>0.33767801640167422</v>
      </c>
      <c r="L47" s="58">
        <v>0.33603895510131365</v>
      </c>
      <c r="M47" s="58">
        <v>0.3363180817538563</v>
      </c>
      <c r="N47" s="58">
        <v>0.32499802232117847</v>
      </c>
      <c r="O47" s="58">
        <v>0.32499802232117847</v>
      </c>
      <c r="P47" s="58">
        <v>0.33750206071689304</v>
      </c>
      <c r="Q47" s="58">
        <v>0.32730331992097006</v>
      </c>
    </row>
    <row r="48" spans="1:17" x14ac:dyDescent="0.25">
      <c r="A48" s="58">
        <v>2063</v>
      </c>
      <c r="B48" s="58">
        <v>1.3565788719083303</v>
      </c>
      <c r="C48" s="58">
        <v>1.3499941497119441</v>
      </c>
      <c r="D48" s="58">
        <v>1.3511155058590243</v>
      </c>
      <c r="E48" s="58">
        <v>1.3056385938031017</v>
      </c>
      <c r="F48" s="58">
        <v>1.3056385938031017</v>
      </c>
      <c r="G48" s="58">
        <v>1.3558719921211595</v>
      </c>
      <c r="H48" s="58">
        <v>1.3148998363638795</v>
      </c>
      <c r="J48" s="58">
        <v>2063</v>
      </c>
      <c r="K48" s="58">
        <v>0.33310597362640981</v>
      </c>
      <c r="L48" s="58">
        <v>0.33148910464539649</v>
      </c>
      <c r="M48" s="58">
        <v>0.33176445202024513</v>
      </c>
      <c r="N48" s="58">
        <v>0.32059766225106584</v>
      </c>
      <c r="O48" s="58">
        <v>0.32059766225106584</v>
      </c>
      <c r="P48" s="58">
        <v>0.33293240032033944</v>
      </c>
      <c r="Q48" s="58">
        <v>0.32287174692397436</v>
      </c>
    </row>
    <row r="49" spans="1:17" x14ac:dyDescent="0.25">
      <c r="A49" s="58">
        <v>2064</v>
      </c>
      <c r="B49" s="58">
        <v>1.3837104493464969</v>
      </c>
      <c r="C49" s="58">
        <v>1.3769940327061829</v>
      </c>
      <c r="D49" s="58">
        <v>1.3781378159762048</v>
      </c>
      <c r="E49" s="58">
        <v>1.3317513656791637</v>
      </c>
      <c r="F49" s="58">
        <v>1.3317513656791637</v>
      </c>
      <c r="G49" s="58">
        <v>1.3829894319635827</v>
      </c>
      <c r="H49" s="58">
        <v>1.3411978330911571</v>
      </c>
      <c r="J49" s="58">
        <v>2064</v>
      </c>
      <c r="K49" s="58">
        <v>0.32859583471850862</v>
      </c>
      <c r="L49" s="58">
        <v>0.32700085758056507</v>
      </c>
      <c r="M49" s="58">
        <v>0.3272724768478239</v>
      </c>
      <c r="N49" s="58">
        <v>0.31625688152426218</v>
      </c>
      <c r="O49" s="58">
        <v>0.31625688152426218</v>
      </c>
      <c r="P49" s="58">
        <v>0.32842461153457075</v>
      </c>
      <c r="Q49" s="58">
        <v>0.31850017588245044</v>
      </c>
    </row>
    <row r="50" spans="1:17" x14ac:dyDescent="0.25">
      <c r="A50" s="58">
        <v>2065</v>
      </c>
      <c r="B50" s="58">
        <v>1.4113846583334269</v>
      </c>
      <c r="C50" s="58">
        <v>1.4045339133603065</v>
      </c>
      <c r="D50" s="58">
        <v>1.405700572295729</v>
      </c>
      <c r="E50" s="58">
        <v>1.3583863929927471</v>
      </c>
      <c r="F50" s="58">
        <v>1.3583863929927471</v>
      </c>
      <c r="G50" s="58">
        <v>1.4106492206028545</v>
      </c>
      <c r="H50" s="58">
        <v>1.3680217897529803</v>
      </c>
      <c r="J50" s="58">
        <v>2065</v>
      </c>
      <c r="K50" s="58">
        <v>0.32414676152115945</v>
      </c>
      <c r="L50" s="58">
        <v>0.32257337981835249</v>
      </c>
      <c r="M50" s="58">
        <v>0.32284132145530031</v>
      </c>
      <c r="N50" s="58">
        <v>0.31197487345720265</v>
      </c>
      <c r="O50" s="58">
        <v>0.31197487345720265</v>
      </c>
      <c r="P50" s="58">
        <v>0.32397785663951861</v>
      </c>
      <c r="Q50" s="58">
        <v>0.31418779439081196</v>
      </c>
    </row>
    <row r="51" spans="1:17" x14ac:dyDescent="0.25">
      <c r="A51" s="58">
        <v>2066</v>
      </c>
      <c r="B51" s="58">
        <v>1.4396123515000954</v>
      </c>
      <c r="C51" s="58">
        <v>1.4326245916275127</v>
      </c>
      <c r="D51" s="58">
        <v>1.4338145837416436</v>
      </c>
      <c r="E51" s="58">
        <v>1.3855541208526021</v>
      </c>
      <c r="F51" s="58">
        <v>1.3855541208526021</v>
      </c>
      <c r="G51" s="58">
        <v>1.4388622050149116</v>
      </c>
      <c r="H51" s="58">
        <v>1.3953822255480399</v>
      </c>
      <c r="J51" s="58">
        <v>2066</v>
      </c>
      <c r="K51" s="58">
        <v>0.31975792722590202</v>
      </c>
      <c r="L51" s="58">
        <v>0.31820584856355855</v>
      </c>
      <c r="M51" s="58">
        <v>0.31847016236402936</v>
      </c>
      <c r="N51" s="58">
        <v>0.3077508422885365</v>
      </c>
      <c r="O51" s="58">
        <v>0.3077508422885365</v>
      </c>
      <c r="P51" s="58">
        <v>0.31959130925755225</v>
      </c>
      <c r="Q51" s="58">
        <v>0.30993380104316076</v>
      </c>
    </row>
  </sheetData>
  <mergeCells count="5">
    <mergeCell ref="A1:H3"/>
    <mergeCell ref="J1:Q3"/>
    <mergeCell ref="R5:V6"/>
    <mergeCell ref="R7:V8"/>
    <mergeCell ref="R10:V11"/>
  </mergeCells>
  <pageMargins left="0.7" right="0.7" top="0.75" bottom="0.75" header="0.3" footer="0.3"/>
  <pageSetup scale="74" orientation="portrait" r:id="rId1"/>
  <colBreaks count="1" manualBreakCount="1">
    <brk id="9"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36BDC-1CF1-4C28-8EAB-EA17B0624D5F}">
  <sheetPr>
    <tabColor rgb="FF00B050"/>
  </sheetPr>
  <dimension ref="A1:V51"/>
  <sheetViews>
    <sheetView view="pageBreakPreview" zoomScale="60" zoomScaleNormal="100" workbookViewId="0">
      <selection activeCell="J5" sqref="J5"/>
    </sheetView>
  </sheetViews>
  <sheetFormatPr defaultColWidth="8.7109375" defaultRowHeight="15" x14ac:dyDescent="0.25"/>
  <cols>
    <col min="1" max="4" width="8.7109375" style="45"/>
    <col min="5" max="5" width="8.42578125" style="45" customWidth="1"/>
    <col min="6" max="6" width="8.7109375" style="45"/>
    <col min="7" max="7" width="10.85546875" style="45" bestFit="1" customWidth="1"/>
    <col min="8" max="18" width="8.7109375" style="45"/>
    <col min="19" max="19" width="11.28515625" style="45" bestFit="1" customWidth="1"/>
    <col min="20" max="16384" width="8.7109375" style="45"/>
  </cols>
  <sheetData>
    <row r="1" spans="1:22" ht="14.45" customHeight="1" x14ac:dyDescent="0.25">
      <c r="A1" s="238" t="s">
        <v>153</v>
      </c>
      <c r="B1" s="238"/>
      <c r="C1" s="238"/>
      <c r="D1" s="238"/>
      <c r="E1" s="238"/>
      <c r="F1" s="238"/>
      <c r="G1" s="238"/>
      <c r="H1" s="238"/>
      <c r="J1" s="238" t="s">
        <v>153</v>
      </c>
      <c r="K1" s="238"/>
      <c r="L1" s="238"/>
      <c r="M1" s="238"/>
      <c r="N1" s="238"/>
      <c r="O1" s="238"/>
      <c r="P1" s="238"/>
      <c r="Q1" s="238"/>
    </row>
    <row r="2" spans="1:22" ht="14.45" customHeight="1" x14ac:dyDescent="0.25">
      <c r="A2" s="238"/>
      <c r="B2" s="238"/>
      <c r="C2" s="238"/>
      <c r="D2" s="238"/>
      <c r="E2" s="238"/>
      <c r="F2" s="238"/>
      <c r="G2" s="238"/>
      <c r="H2" s="238"/>
      <c r="J2" s="238"/>
      <c r="K2" s="238"/>
      <c r="L2" s="238"/>
      <c r="M2" s="238"/>
      <c r="N2" s="238"/>
      <c r="O2" s="238"/>
      <c r="P2" s="238"/>
      <c r="Q2" s="238"/>
    </row>
    <row r="3" spans="1:22" ht="14.45" customHeight="1" thickBot="1" x14ac:dyDescent="0.3">
      <c r="A3" s="239"/>
      <c r="B3" s="239"/>
      <c r="C3" s="239"/>
      <c r="D3" s="239"/>
      <c r="E3" s="239"/>
      <c r="F3" s="239"/>
      <c r="G3" s="239"/>
      <c r="H3" s="239"/>
      <c r="J3" s="239"/>
      <c r="K3" s="239"/>
      <c r="L3" s="239"/>
      <c r="M3" s="239"/>
      <c r="N3" s="239"/>
      <c r="O3" s="239"/>
      <c r="P3" s="239"/>
      <c r="Q3" s="239"/>
    </row>
    <row r="4" spans="1:22" ht="15.75" thickBot="1" x14ac:dyDescent="0.3">
      <c r="A4" s="45" t="s">
        <v>127</v>
      </c>
      <c r="J4" s="45" t="s">
        <v>203</v>
      </c>
    </row>
    <row r="5" spans="1:22" x14ac:dyDescent="0.25">
      <c r="A5" s="107"/>
      <c r="B5" s="58" t="s">
        <v>27</v>
      </c>
      <c r="C5" s="58" t="s">
        <v>28</v>
      </c>
      <c r="D5" s="58" t="s">
        <v>29</v>
      </c>
      <c r="E5" s="58" t="s">
        <v>30</v>
      </c>
      <c r="F5" s="58" t="s">
        <v>31</v>
      </c>
      <c r="G5" s="58" t="s">
        <v>32</v>
      </c>
      <c r="H5" s="58" t="s">
        <v>33</v>
      </c>
      <c r="J5" s="107"/>
      <c r="K5" s="58" t="s">
        <v>27</v>
      </c>
      <c r="L5" s="58" t="s">
        <v>28</v>
      </c>
      <c r="M5" s="58" t="s">
        <v>29</v>
      </c>
      <c r="N5" s="58" t="s">
        <v>30</v>
      </c>
      <c r="O5" s="58" t="s">
        <v>31</v>
      </c>
      <c r="P5" s="58" t="s">
        <v>32</v>
      </c>
      <c r="Q5" s="58" t="s">
        <v>33</v>
      </c>
      <c r="R5" s="174" t="s">
        <v>69</v>
      </c>
      <c r="S5" s="174"/>
      <c r="T5" s="174"/>
      <c r="U5" s="174"/>
      <c r="V5" s="175"/>
    </row>
    <row r="6" spans="1:22" x14ac:dyDescent="0.25">
      <c r="A6" s="58">
        <v>2021</v>
      </c>
      <c r="B6" s="58">
        <v>0.56010108788861523</v>
      </c>
      <c r="C6" s="58">
        <v>0.55113700675161703</v>
      </c>
      <c r="D6" s="58">
        <v>0.55274957678315217</v>
      </c>
      <c r="E6" s="58">
        <v>0.5136194966037525</v>
      </c>
      <c r="F6" s="58">
        <v>0.5136194966037525</v>
      </c>
      <c r="G6" s="58">
        <v>0.55928868225512995</v>
      </c>
      <c r="H6" s="58">
        <v>0.52392329701881857</v>
      </c>
      <c r="J6" s="58">
        <v>2021</v>
      </c>
      <c r="K6" s="58">
        <v>0.56010108788861523</v>
      </c>
      <c r="L6" s="58">
        <v>0.55113700675161703</v>
      </c>
      <c r="M6" s="58">
        <v>0.55274957678315217</v>
      </c>
      <c r="N6" s="58">
        <v>0.5136194966037525</v>
      </c>
      <c r="O6" s="58">
        <v>0.5136194966037525</v>
      </c>
      <c r="P6" s="58">
        <v>0.55928868225512995</v>
      </c>
      <c r="Q6" s="58">
        <v>0.52392329701881857</v>
      </c>
      <c r="R6" s="176"/>
      <c r="S6" s="176"/>
      <c r="T6" s="176"/>
      <c r="U6" s="176"/>
      <c r="V6" s="177"/>
    </row>
    <row r="7" spans="1:22" x14ac:dyDescent="0.25">
      <c r="A7" s="58">
        <v>2022</v>
      </c>
      <c r="B7" s="58">
        <v>0.51213713612031142</v>
      </c>
      <c r="C7" s="58">
        <v>0.50732366881172919</v>
      </c>
      <c r="D7" s="58">
        <v>0.50819104530045978</v>
      </c>
      <c r="E7" s="58">
        <v>0.47974713854172918</v>
      </c>
      <c r="F7" s="58">
        <v>0.47974713854172918</v>
      </c>
      <c r="G7" s="58">
        <v>0.51162889548828416</v>
      </c>
      <c r="H7" s="58">
        <v>0.4860462236653037</v>
      </c>
      <c r="J7" s="58">
        <v>2022</v>
      </c>
      <c r="K7" s="58">
        <v>0.4952970368668389</v>
      </c>
      <c r="L7" s="58">
        <v>0.49064184604615974</v>
      </c>
      <c r="M7" s="58">
        <v>0.4914807014511216</v>
      </c>
      <c r="N7" s="58">
        <v>0.46397208756453495</v>
      </c>
      <c r="O7" s="58">
        <v>0.46397208756453495</v>
      </c>
      <c r="P7" s="58">
        <v>0.4948055082091723</v>
      </c>
      <c r="Q7" s="58">
        <v>0.47006404609797264</v>
      </c>
      <c r="R7" s="178">
        <v>3.4000000000000002E-2</v>
      </c>
      <c r="S7" s="178"/>
      <c r="T7" s="178"/>
      <c r="U7" s="178"/>
      <c r="V7" s="179"/>
    </row>
    <row r="8" spans="1:22" ht="15.75" thickBot="1" x14ac:dyDescent="0.3">
      <c r="A8" s="58">
        <v>2023</v>
      </c>
      <c r="B8" s="58">
        <v>0.47983807115301225</v>
      </c>
      <c r="C8" s="58">
        <v>0.47748806552469797</v>
      </c>
      <c r="D8" s="58">
        <v>0.47791022047120962</v>
      </c>
      <c r="E8" s="58">
        <v>0.45710214950171418</v>
      </c>
      <c r="F8" s="58">
        <v>0.45710214950171418</v>
      </c>
      <c r="G8" s="58">
        <v>0.47951171342592713</v>
      </c>
      <c r="H8" s="58">
        <v>0.46083589983924761</v>
      </c>
      <c r="J8" s="58">
        <v>2023</v>
      </c>
      <c r="K8" s="58">
        <v>0.44880080283233903</v>
      </c>
      <c r="L8" s="58">
        <v>0.44660280213991033</v>
      </c>
      <c r="M8" s="58">
        <v>0.44699765092391536</v>
      </c>
      <c r="N8" s="58">
        <v>0.42753550417498865</v>
      </c>
      <c r="O8" s="58">
        <v>0.42753550417498865</v>
      </c>
      <c r="P8" s="58">
        <v>0.44849555483570885</v>
      </c>
      <c r="Q8" s="58">
        <v>0.43102774509916947</v>
      </c>
      <c r="R8" s="180"/>
      <c r="S8" s="180"/>
      <c r="T8" s="180"/>
      <c r="U8" s="180"/>
      <c r="V8" s="181"/>
    </row>
    <row r="9" spans="1:22" ht="14.45" customHeight="1" x14ac:dyDescent="0.25">
      <c r="A9" s="58">
        <v>2024</v>
      </c>
      <c r="B9" s="58">
        <v>0.49957547791829721</v>
      </c>
      <c r="C9" s="58">
        <v>0.49619108822839408</v>
      </c>
      <c r="D9" s="58">
        <v>0.49681026221451702</v>
      </c>
      <c r="E9" s="58">
        <v>0.47405033570625782</v>
      </c>
      <c r="F9" s="58">
        <v>0.47405033570625782</v>
      </c>
      <c r="G9" s="58">
        <v>0.49919274619113924</v>
      </c>
      <c r="H9" s="58">
        <v>0.47872025931406831</v>
      </c>
      <c r="J9" s="58">
        <v>2024</v>
      </c>
      <c r="K9" s="58">
        <v>0.45189703958599731</v>
      </c>
      <c r="L9" s="58">
        <v>0.44883564896681499</v>
      </c>
      <c r="M9" s="58">
        <v>0.44939573028322299</v>
      </c>
      <c r="N9" s="58">
        <v>0.42880796353947725</v>
      </c>
      <c r="O9" s="58">
        <v>0.42880796353947725</v>
      </c>
      <c r="P9" s="58">
        <v>0.45155083497407555</v>
      </c>
      <c r="Q9" s="58">
        <v>0.43303219940921195</v>
      </c>
      <c r="R9" s="2"/>
      <c r="S9" s="2"/>
      <c r="T9" s="2"/>
      <c r="U9" s="2"/>
      <c r="V9" s="37"/>
    </row>
    <row r="10" spans="1:22" ht="15" customHeight="1" x14ac:dyDescent="0.25">
      <c r="A10" s="58">
        <v>2025</v>
      </c>
      <c r="B10" s="58">
        <v>0.53103977452989537</v>
      </c>
      <c r="C10" s="58">
        <v>0.52595189075807491</v>
      </c>
      <c r="D10" s="58">
        <v>0.52688051341987918</v>
      </c>
      <c r="E10" s="58">
        <v>0.50187728775589568</v>
      </c>
      <c r="F10" s="58">
        <v>0.50187728775589568</v>
      </c>
      <c r="G10" s="58">
        <v>0.53050514009863448</v>
      </c>
      <c r="H10" s="58">
        <v>0.50772629296626426</v>
      </c>
      <c r="J10" s="58">
        <v>2025</v>
      </c>
      <c r="K10" s="58">
        <v>0.46456329744960778</v>
      </c>
      <c r="L10" s="58">
        <v>0.46011232376468997</v>
      </c>
      <c r="M10" s="58">
        <v>0.46092469983621137</v>
      </c>
      <c r="N10" s="58">
        <v>0.43905142118844992</v>
      </c>
      <c r="O10" s="58">
        <v>0.43905142118844992</v>
      </c>
      <c r="P10" s="58">
        <v>0.46409558948077151</v>
      </c>
      <c r="Q10" s="58">
        <v>0.44416823781434994</v>
      </c>
      <c r="R10" s="182" t="s">
        <v>71</v>
      </c>
      <c r="S10" s="182"/>
      <c r="T10" s="182"/>
      <c r="U10" s="182"/>
      <c r="V10" s="183"/>
    </row>
    <row r="11" spans="1:22" x14ac:dyDescent="0.25">
      <c r="A11" s="58">
        <v>2026</v>
      </c>
      <c r="B11" s="58">
        <v>0.54842265128281509</v>
      </c>
      <c r="C11" s="58">
        <v>0.54286069767727896</v>
      </c>
      <c r="D11" s="58">
        <v>0.54385421503727138</v>
      </c>
      <c r="E11" s="58">
        <v>0.51823719351705011</v>
      </c>
      <c r="F11" s="58">
        <v>0.51823719351705011</v>
      </c>
      <c r="G11" s="58">
        <v>0.5478605879600289</v>
      </c>
      <c r="H11" s="58">
        <v>0.52451647778978416</v>
      </c>
      <c r="J11" s="58">
        <v>2026</v>
      </c>
      <c r="K11" s="58">
        <v>0.46399434781205973</v>
      </c>
      <c r="L11" s="58">
        <v>0.45928864313387929</v>
      </c>
      <c r="M11" s="58">
        <v>0.46012921096675663</v>
      </c>
      <c r="N11" s="58">
        <v>0.43845586621091975</v>
      </c>
      <c r="O11" s="58">
        <v>0.43845586621091975</v>
      </c>
      <c r="P11" s="58">
        <v>0.46351881274020368</v>
      </c>
      <c r="Q11" s="58">
        <v>0.44376847028377975</v>
      </c>
      <c r="R11" s="182"/>
      <c r="S11" s="182"/>
      <c r="T11" s="182"/>
      <c r="U11" s="182"/>
      <c r="V11" s="183"/>
    </row>
    <row r="12" spans="1:22" x14ac:dyDescent="0.25">
      <c r="A12" s="58">
        <v>2027</v>
      </c>
      <c r="B12" s="58">
        <v>0.55712056621490347</v>
      </c>
      <c r="C12" s="58">
        <v>0.55198376238104507</v>
      </c>
      <c r="D12" s="58">
        <v>0.55289369423037293</v>
      </c>
      <c r="E12" s="58">
        <v>0.52789637423739089</v>
      </c>
      <c r="F12" s="58">
        <v>0.52789637423739089</v>
      </c>
      <c r="G12" s="58">
        <v>0.55659045953396191</v>
      </c>
      <c r="H12" s="58">
        <v>0.53383333452080917</v>
      </c>
      <c r="J12" s="58">
        <v>2027</v>
      </c>
      <c r="K12" s="58">
        <v>0.45585419764833052</v>
      </c>
      <c r="L12" s="58">
        <v>0.4516510974000853</v>
      </c>
      <c r="M12" s="58">
        <v>0.45239563328377769</v>
      </c>
      <c r="N12" s="58">
        <v>0.43194201168050728</v>
      </c>
      <c r="O12" s="58">
        <v>0.43194201168050728</v>
      </c>
      <c r="P12" s="58">
        <v>0.45542044709169532</v>
      </c>
      <c r="Q12" s="58">
        <v>0.4367998260039937</v>
      </c>
      <c r="R12" s="2"/>
      <c r="S12" s="2"/>
      <c r="T12" s="2"/>
      <c r="U12" s="2"/>
      <c r="V12" s="37"/>
    </row>
    <row r="13" spans="1:22" ht="15.75" thickBot="1" x14ac:dyDescent="0.3">
      <c r="A13" s="58">
        <v>2028</v>
      </c>
      <c r="B13" s="58">
        <v>0.55581689550284774</v>
      </c>
      <c r="C13" s="58">
        <v>0.55157982694613283</v>
      </c>
      <c r="D13" s="58">
        <v>0.55232625455088502</v>
      </c>
      <c r="E13" s="58">
        <v>0.52514575601025526</v>
      </c>
      <c r="F13" s="58">
        <v>0.52514575601025526</v>
      </c>
      <c r="G13" s="58">
        <v>0.55535551331514355</v>
      </c>
      <c r="H13" s="58">
        <v>0.53087709543365746</v>
      </c>
      <c r="J13" s="58">
        <v>2028</v>
      </c>
      <c r="K13" s="58">
        <v>0.43983316421622626</v>
      </c>
      <c r="L13" s="58">
        <v>0.43648025557782472</v>
      </c>
      <c r="M13" s="58">
        <v>0.43707092422772154</v>
      </c>
      <c r="N13" s="58">
        <v>0.41556224974368283</v>
      </c>
      <c r="O13" s="58">
        <v>0.41556224974368283</v>
      </c>
      <c r="P13" s="58">
        <v>0.43946805982812132</v>
      </c>
      <c r="Q13" s="58">
        <v>0.42009761593026052</v>
      </c>
      <c r="R13" s="38" t="s">
        <v>72</v>
      </c>
      <c r="S13" s="65">
        <v>44008</v>
      </c>
      <c r="T13" s="38"/>
      <c r="U13" s="38"/>
      <c r="V13" s="39"/>
    </row>
    <row r="14" spans="1:22" x14ac:dyDescent="0.25">
      <c r="A14" s="58">
        <v>2029</v>
      </c>
      <c r="B14" s="58">
        <v>0.56699678427604794</v>
      </c>
      <c r="C14" s="58">
        <v>0.56296226245541869</v>
      </c>
      <c r="D14" s="58">
        <v>0.5636725184570418</v>
      </c>
      <c r="E14" s="58">
        <v>0.53578692622010993</v>
      </c>
      <c r="F14" s="58">
        <v>0.53578692622010993</v>
      </c>
      <c r="G14" s="58">
        <v>0.56655319386876435</v>
      </c>
      <c r="H14" s="58">
        <v>0.54149917355733224</v>
      </c>
      <c r="J14" s="58">
        <v>2029</v>
      </c>
      <c r="K14" s="58">
        <v>0.43392661222703716</v>
      </c>
      <c r="L14" s="58">
        <v>0.43083896440586472</v>
      </c>
      <c r="M14" s="58">
        <v>0.43138252830101403</v>
      </c>
      <c r="N14" s="58">
        <v>0.41004148915426419</v>
      </c>
      <c r="O14" s="58">
        <v>0.41004148915426419</v>
      </c>
      <c r="P14" s="58">
        <v>0.43358712937989058</v>
      </c>
      <c r="Q14" s="58">
        <v>0.4144131120699191</v>
      </c>
    </row>
    <row r="15" spans="1:22" x14ac:dyDescent="0.25">
      <c r="A15" s="58">
        <v>2030</v>
      </c>
      <c r="B15" s="58">
        <v>0.57927382841525521</v>
      </c>
      <c r="C15" s="58">
        <v>0.57538074381548721</v>
      </c>
      <c r="D15" s="58">
        <v>0.57607845576501604</v>
      </c>
      <c r="E15" s="58">
        <v>0.54793774846332277</v>
      </c>
      <c r="F15" s="58">
        <v>0.54793774846332277</v>
      </c>
      <c r="G15" s="58">
        <v>0.57884719621030367</v>
      </c>
      <c r="H15" s="58">
        <v>0.55359618430972657</v>
      </c>
      <c r="J15" s="58">
        <v>2030</v>
      </c>
      <c r="K15" s="58">
        <v>0.42874499046223985</v>
      </c>
      <c r="L15" s="58">
        <v>0.42586355436463025</v>
      </c>
      <c r="M15" s="58">
        <v>0.42637996040348841</v>
      </c>
      <c r="N15" s="58">
        <v>0.40555183613508772</v>
      </c>
      <c r="O15" s="58">
        <v>0.40555183613508772</v>
      </c>
      <c r="P15" s="58">
        <v>0.42842922197474709</v>
      </c>
      <c r="Q15" s="58">
        <v>0.40973988314151744</v>
      </c>
    </row>
    <row r="16" spans="1:22" x14ac:dyDescent="0.25">
      <c r="A16" s="58">
        <v>2031</v>
      </c>
      <c r="B16" s="58">
        <v>0.58181648543950693</v>
      </c>
      <c r="C16" s="58">
        <v>0.57792550751122573</v>
      </c>
      <c r="D16" s="58">
        <v>0.57862667814084301</v>
      </c>
      <c r="E16" s="58">
        <v>0.55106437918218087</v>
      </c>
      <c r="F16" s="58">
        <v>0.55106437918218087</v>
      </c>
      <c r="G16" s="58">
        <v>0.58139421953707493</v>
      </c>
      <c r="H16" s="58">
        <v>0.55664048688248335</v>
      </c>
      <c r="J16" s="58">
        <v>2031</v>
      </c>
      <c r="K16" s="58">
        <v>0.41646703883833869</v>
      </c>
      <c r="L16" s="58">
        <v>0.41368185812151437</v>
      </c>
      <c r="M16" s="58">
        <v>0.41418375943085339</v>
      </c>
      <c r="N16" s="58">
        <v>0.39445453326047442</v>
      </c>
      <c r="O16" s="58">
        <v>0.39445453326047442</v>
      </c>
      <c r="P16" s="58">
        <v>0.41616477887426184</v>
      </c>
      <c r="Q16" s="58">
        <v>0.39844593797365369</v>
      </c>
    </row>
    <row r="17" spans="1:17" x14ac:dyDescent="0.25">
      <c r="A17" s="58">
        <v>2032</v>
      </c>
      <c r="B17" s="58">
        <v>0.5975491055798744</v>
      </c>
      <c r="C17" s="58">
        <v>0.59346002770869621</v>
      </c>
      <c r="D17" s="58">
        <v>0.59417077432249221</v>
      </c>
      <c r="E17" s="58">
        <v>0.56638642146513252</v>
      </c>
      <c r="F17" s="58">
        <v>0.56638642146513252</v>
      </c>
      <c r="G17" s="58">
        <v>0.5971026507712327</v>
      </c>
      <c r="H17" s="58">
        <v>0.57210578974302018</v>
      </c>
      <c r="J17" s="58">
        <v>2032</v>
      </c>
      <c r="K17" s="58">
        <v>0.41366394971890763</v>
      </c>
      <c r="L17" s="58">
        <v>0.41083321315331894</v>
      </c>
      <c r="M17" s="58">
        <v>0.41132524008259846</v>
      </c>
      <c r="N17" s="58">
        <v>0.39209102981262273</v>
      </c>
      <c r="O17" s="58">
        <v>0.39209102981262273</v>
      </c>
      <c r="P17" s="58">
        <v>0.41335488347181731</v>
      </c>
      <c r="Q17" s="58">
        <v>0.39605036378138858</v>
      </c>
    </row>
    <row r="18" spans="1:17" x14ac:dyDescent="0.25">
      <c r="A18" s="58">
        <v>2033</v>
      </c>
      <c r="B18" s="58">
        <v>0.61133030484174089</v>
      </c>
      <c r="C18" s="58">
        <v>0.60729746006343155</v>
      </c>
      <c r="D18" s="58">
        <v>0.60799706431833944</v>
      </c>
      <c r="E18" s="58">
        <v>0.57989076699133602</v>
      </c>
      <c r="F18" s="58">
        <v>0.57989076699133602</v>
      </c>
      <c r="G18" s="58">
        <v>0.61088738640510387</v>
      </c>
      <c r="H18" s="58">
        <v>0.58560757918643291</v>
      </c>
      <c r="J18" s="58">
        <v>2033</v>
      </c>
      <c r="K18" s="58">
        <v>0.40928842257735859</v>
      </c>
      <c r="L18" s="58">
        <v>0.40658841463608553</v>
      </c>
      <c r="M18" s="58">
        <v>0.40705680287015777</v>
      </c>
      <c r="N18" s="58">
        <v>0.38823950883720865</v>
      </c>
      <c r="O18" s="58">
        <v>0.38823950883720865</v>
      </c>
      <c r="P18" s="58">
        <v>0.40899188666735076</v>
      </c>
      <c r="Q18" s="58">
        <v>0.39206694063139713</v>
      </c>
    </row>
    <row r="19" spans="1:17" x14ac:dyDescent="0.25">
      <c r="A19" s="58">
        <v>2034</v>
      </c>
      <c r="B19" s="58">
        <v>0.61493272626167594</v>
      </c>
      <c r="C19" s="58">
        <v>0.61120088982298904</v>
      </c>
      <c r="D19" s="58">
        <v>0.61184351088174815</v>
      </c>
      <c r="E19" s="58">
        <v>0.58383940434397497</v>
      </c>
      <c r="F19" s="58">
        <v>0.58383940434397497</v>
      </c>
      <c r="G19" s="58">
        <v>0.61451349175089898</v>
      </c>
      <c r="H19" s="58">
        <v>0.58936109034941009</v>
      </c>
      <c r="J19" s="58">
        <v>2034</v>
      </c>
      <c r="K19" s="58">
        <v>0.39816272738918074</v>
      </c>
      <c r="L19" s="58">
        <v>0.39574640099908776</v>
      </c>
      <c r="M19" s="58">
        <v>0.39616249164202477</v>
      </c>
      <c r="N19" s="58">
        <v>0.37803011559340943</v>
      </c>
      <c r="O19" s="58">
        <v>0.37803011559340943</v>
      </c>
      <c r="P19" s="58">
        <v>0.39789127727911516</v>
      </c>
      <c r="Q19" s="58">
        <v>0.38160535149453978</v>
      </c>
    </row>
    <row r="20" spans="1:17" x14ac:dyDescent="0.25">
      <c r="A20" s="58">
        <v>2035</v>
      </c>
      <c r="B20" s="58">
        <v>0.6284857294622902</v>
      </c>
      <c r="C20" s="58">
        <v>0.6253718857497983</v>
      </c>
      <c r="D20" s="58">
        <v>0.62590280915633845</v>
      </c>
      <c r="E20" s="58">
        <v>0.59664224740534999</v>
      </c>
      <c r="F20" s="58">
        <v>0.59664224740534999</v>
      </c>
      <c r="G20" s="58">
        <v>0.62811373070550236</v>
      </c>
      <c r="H20" s="58">
        <v>0.60198477919662596</v>
      </c>
      <c r="J20" s="58">
        <v>2035</v>
      </c>
      <c r="K20" s="58">
        <v>0.39355721473034899</v>
      </c>
      <c r="L20" s="58">
        <v>0.39160732851790886</v>
      </c>
      <c r="M20" s="58">
        <v>0.39193979229125792</v>
      </c>
      <c r="N20" s="58">
        <v>0.37361685408545836</v>
      </c>
      <c r="O20" s="58">
        <v>0.37361685408545836</v>
      </c>
      <c r="P20" s="58">
        <v>0.39332426943383475</v>
      </c>
      <c r="Q20" s="58">
        <v>0.37696234282580227</v>
      </c>
    </row>
    <row r="21" spans="1:17" x14ac:dyDescent="0.25">
      <c r="A21" s="58">
        <v>2036</v>
      </c>
      <c r="B21" s="58">
        <v>0.63846801817089804</v>
      </c>
      <c r="C21" s="58">
        <v>0.63555044308966513</v>
      </c>
      <c r="D21" s="58">
        <v>0.63606921406366568</v>
      </c>
      <c r="E21" s="58">
        <v>0.60660501461350902</v>
      </c>
      <c r="F21" s="58">
        <v>0.60660501461350902</v>
      </c>
      <c r="G21" s="58">
        <v>0.63812245727898842</v>
      </c>
      <c r="H21" s="58">
        <v>0.61186244256242195</v>
      </c>
      <c r="J21" s="58">
        <v>2036</v>
      </c>
      <c r="K21" s="58">
        <v>0.38666162011502181</v>
      </c>
      <c r="L21" s="58">
        <v>0.38489471202313552</v>
      </c>
      <c r="M21" s="58">
        <v>0.38520888410312532</v>
      </c>
      <c r="N21" s="58">
        <v>0.36736511625485035</v>
      </c>
      <c r="O21" s="58">
        <v>0.36736511625485035</v>
      </c>
      <c r="P21" s="58">
        <v>0.38645234552254187</v>
      </c>
      <c r="Q21" s="58">
        <v>0.37054905899044488</v>
      </c>
    </row>
    <row r="22" spans="1:17" x14ac:dyDescent="0.25">
      <c r="A22" s="58">
        <v>2037</v>
      </c>
      <c r="B22" s="58">
        <v>0.65120112007078834</v>
      </c>
      <c r="C22" s="58">
        <v>0.64730798811487755</v>
      </c>
      <c r="D22" s="58">
        <v>0.64797836610996273</v>
      </c>
      <c r="E22" s="58">
        <v>0.61919773063458461</v>
      </c>
      <c r="F22" s="58">
        <v>0.61919773063458461</v>
      </c>
      <c r="G22" s="58">
        <v>0.65077445023707736</v>
      </c>
      <c r="H22" s="58">
        <v>0.62492314212957889</v>
      </c>
      <c r="J22" s="58">
        <v>2037</v>
      </c>
      <c r="K22" s="58">
        <v>0.38140512000561788</v>
      </c>
      <c r="L22" s="58">
        <v>0.37912493280219223</v>
      </c>
      <c r="M22" s="58">
        <v>0.37951756971847517</v>
      </c>
      <c r="N22" s="58">
        <v>0.3626609007279008</v>
      </c>
      <c r="O22" s="58">
        <v>0.3626609007279008</v>
      </c>
      <c r="P22" s="58">
        <v>0.38115522169599636</v>
      </c>
      <c r="Q22" s="58">
        <v>0.36601424455828685</v>
      </c>
    </row>
    <row r="23" spans="1:17" x14ac:dyDescent="0.25">
      <c r="A23" s="58">
        <v>2038</v>
      </c>
      <c r="B23" s="58">
        <v>0.66968474544564871</v>
      </c>
      <c r="C23" s="58">
        <v>0.66559895074558995</v>
      </c>
      <c r="D23" s="58">
        <v>0.66630135593929529</v>
      </c>
      <c r="E23" s="58">
        <v>0.63734675663626039</v>
      </c>
      <c r="F23" s="58">
        <v>0.63734675663626039</v>
      </c>
      <c r="G23" s="58">
        <v>0.66924301366245287</v>
      </c>
      <c r="H23" s="58">
        <v>0.64319238054723638</v>
      </c>
      <c r="J23" s="58">
        <v>2038</v>
      </c>
      <c r="K23" s="58">
        <v>0.3793335430977513</v>
      </c>
      <c r="L23" s="58">
        <v>0.37701920192381294</v>
      </c>
      <c r="M23" s="58">
        <v>0.37741706950647858</v>
      </c>
      <c r="N23" s="58">
        <v>0.36101614232799423</v>
      </c>
      <c r="O23" s="58">
        <v>0.36101614232799423</v>
      </c>
      <c r="P23" s="58">
        <v>0.37908333031694941</v>
      </c>
      <c r="Q23" s="58">
        <v>0.36432731410672697</v>
      </c>
    </row>
    <row r="24" spans="1:17" x14ac:dyDescent="0.25">
      <c r="A24" s="58">
        <v>2039</v>
      </c>
      <c r="B24" s="58">
        <v>0.68953312039467474</v>
      </c>
      <c r="C24" s="58">
        <v>0.68518931454716814</v>
      </c>
      <c r="D24" s="58">
        <v>0.68593910330658958</v>
      </c>
      <c r="E24" s="58">
        <v>0.65690730640591066</v>
      </c>
      <c r="F24" s="58">
        <v>0.65690730640591066</v>
      </c>
      <c r="G24" s="58">
        <v>0.68907295570111848</v>
      </c>
      <c r="H24" s="58">
        <v>0.66290633886098072</v>
      </c>
      <c r="J24" s="58">
        <v>2039</v>
      </c>
      <c r="K24" s="58">
        <v>0.37773344008811988</v>
      </c>
      <c r="L24" s="58">
        <v>0.37535385790805809</v>
      </c>
      <c r="M24" s="58">
        <v>0.37576460001610007</v>
      </c>
      <c r="N24" s="58">
        <v>0.35986067866572868</v>
      </c>
      <c r="O24" s="58">
        <v>0.35986067866572868</v>
      </c>
      <c r="P24" s="58">
        <v>0.37748135706619829</v>
      </c>
      <c r="Q24" s="58">
        <v>0.36314701125720283</v>
      </c>
    </row>
    <row r="25" spans="1:17" x14ac:dyDescent="0.25">
      <c r="A25" s="58">
        <v>2040</v>
      </c>
      <c r="B25" s="58">
        <v>0.70055761030707575</v>
      </c>
      <c r="C25" s="58">
        <v>0.6963818697598434</v>
      </c>
      <c r="D25" s="58">
        <v>0.69709298439636069</v>
      </c>
      <c r="E25" s="58">
        <v>0.66825353149748312</v>
      </c>
      <c r="F25" s="58">
        <v>0.66825353149748312</v>
      </c>
      <c r="G25" s="58">
        <v>0.70010933830694089</v>
      </c>
      <c r="H25" s="58">
        <v>0.67412660327263374</v>
      </c>
      <c r="J25" s="58">
        <v>2040</v>
      </c>
      <c r="K25" s="58">
        <v>0.37115355002513856</v>
      </c>
      <c r="L25" s="58">
        <v>0.36894125384094628</v>
      </c>
      <c r="M25" s="58">
        <v>0.36931800047524882</v>
      </c>
      <c r="N25" s="58">
        <v>0.3540389353894961</v>
      </c>
      <c r="O25" s="58">
        <v>0.3540389353894961</v>
      </c>
      <c r="P25" s="58">
        <v>0.37091605671726624</v>
      </c>
      <c r="Q25" s="58">
        <v>0.35715047312290837</v>
      </c>
    </row>
    <row r="26" spans="1:17" x14ac:dyDescent="0.25">
      <c r="A26" s="58">
        <v>2041</v>
      </c>
      <c r="B26" s="58">
        <v>0.71456876251321733</v>
      </c>
      <c r="C26" s="58">
        <v>0.71030950715504027</v>
      </c>
      <c r="D26" s="58">
        <v>0.71103484408428796</v>
      </c>
      <c r="E26" s="58">
        <v>0.68161860212743275</v>
      </c>
      <c r="F26" s="58">
        <v>0.68161860212743275</v>
      </c>
      <c r="G26" s="58">
        <v>0.71411152507307973</v>
      </c>
      <c r="H26" s="58">
        <v>0.68760913533808643</v>
      </c>
      <c r="J26" s="58">
        <v>2041</v>
      </c>
      <c r="K26" s="58">
        <v>0.36612826017953715</v>
      </c>
      <c r="L26" s="58">
        <v>0.36394591771544027</v>
      </c>
      <c r="M26" s="58">
        <v>0.36431756333148346</v>
      </c>
      <c r="N26" s="58">
        <v>0.34924537146739465</v>
      </c>
      <c r="O26" s="58">
        <v>0.34924537146739465</v>
      </c>
      <c r="P26" s="58">
        <v>0.36589398244836718</v>
      </c>
      <c r="Q26" s="58">
        <v>0.35231478006321726</v>
      </c>
    </row>
    <row r="27" spans="1:17" x14ac:dyDescent="0.25">
      <c r="A27" s="58">
        <v>2042</v>
      </c>
      <c r="B27" s="58">
        <v>0.72886013776348169</v>
      </c>
      <c r="C27" s="58">
        <v>0.72451569729814114</v>
      </c>
      <c r="D27" s="58">
        <v>0.72525554096597378</v>
      </c>
      <c r="E27" s="58">
        <v>0.69525097416998138</v>
      </c>
      <c r="F27" s="58">
        <v>0.69525097416998138</v>
      </c>
      <c r="G27" s="58">
        <v>0.72839375557454134</v>
      </c>
      <c r="H27" s="58">
        <v>0.70136131804484814</v>
      </c>
      <c r="J27" s="58">
        <v>2042</v>
      </c>
      <c r="K27" s="58">
        <v>0.36117101100882776</v>
      </c>
      <c r="L27" s="58">
        <v>0.35901821670188505</v>
      </c>
      <c r="M27" s="58">
        <v>0.35938483036568003</v>
      </c>
      <c r="N27" s="58">
        <v>0.34451671073185935</v>
      </c>
      <c r="O27" s="58">
        <v>0.34451671073185935</v>
      </c>
      <c r="P27" s="58">
        <v>0.36093990531657111</v>
      </c>
      <c r="Q27" s="58">
        <v>0.34754456060394739</v>
      </c>
    </row>
    <row r="28" spans="1:17" x14ac:dyDescent="0.25">
      <c r="A28" s="58">
        <v>2043</v>
      </c>
      <c r="B28" s="58">
        <v>0.74343734051875132</v>
      </c>
      <c r="C28" s="58">
        <v>0.73900601124410392</v>
      </c>
      <c r="D28" s="58">
        <v>0.73976065178529327</v>
      </c>
      <c r="E28" s="58">
        <v>0.709155993653381</v>
      </c>
      <c r="F28" s="58">
        <v>0.709155993653381</v>
      </c>
      <c r="G28" s="58">
        <v>0.74296163068603216</v>
      </c>
      <c r="H28" s="58">
        <v>0.71538854440574506</v>
      </c>
      <c r="J28" s="58">
        <v>2043</v>
      </c>
      <c r="K28" s="58">
        <v>0.35628088126596164</v>
      </c>
      <c r="L28" s="58">
        <v>0.35415723504441271</v>
      </c>
      <c r="M28" s="58">
        <v>0.35451888488684108</v>
      </c>
      <c r="N28" s="58">
        <v>0.33985207441634097</v>
      </c>
      <c r="O28" s="58">
        <v>0.33985207441634097</v>
      </c>
      <c r="P28" s="58">
        <v>0.35605290466431583</v>
      </c>
      <c r="Q28" s="58">
        <v>0.34283892825534462</v>
      </c>
    </row>
    <row r="29" spans="1:17" x14ac:dyDescent="0.25">
      <c r="A29" s="58">
        <v>2044</v>
      </c>
      <c r="B29" s="58">
        <v>0.75830608732912641</v>
      </c>
      <c r="C29" s="58">
        <v>0.75378613146898599</v>
      </c>
      <c r="D29" s="58">
        <v>0.75455586482099912</v>
      </c>
      <c r="E29" s="58">
        <v>0.72333911352644864</v>
      </c>
      <c r="F29" s="58">
        <v>0.72333911352644864</v>
      </c>
      <c r="G29" s="58">
        <v>0.75782086329975284</v>
      </c>
      <c r="H29" s="58">
        <v>0.72969631529386003</v>
      </c>
      <c r="J29" s="58">
        <v>2044</v>
      </c>
      <c r="K29" s="58">
        <v>0.3514569621772542</v>
      </c>
      <c r="L29" s="58">
        <v>0.34936206938617104</v>
      </c>
      <c r="M29" s="58">
        <v>0.34971882261564585</v>
      </c>
      <c r="N29" s="58">
        <v>0.33525059565248327</v>
      </c>
      <c r="O29" s="58">
        <v>0.33525059565248327</v>
      </c>
      <c r="P29" s="58">
        <v>0.35123207229942172</v>
      </c>
      <c r="Q29" s="58">
        <v>0.33819700853041729</v>
      </c>
    </row>
    <row r="30" spans="1:17" x14ac:dyDescent="0.25">
      <c r="A30" s="58">
        <v>2045</v>
      </c>
      <c r="B30" s="58">
        <v>0.77347220907570891</v>
      </c>
      <c r="C30" s="58">
        <v>0.76886185409836572</v>
      </c>
      <c r="D30" s="58">
        <v>0.76964698211741911</v>
      </c>
      <c r="E30" s="58">
        <v>0.73780589579697764</v>
      </c>
      <c r="F30" s="58">
        <v>0.73780589579697764</v>
      </c>
      <c r="G30" s="58">
        <v>0.77297728056574788</v>
      </c>
      <c r="H30" s="58">
        <v>0.74429024159973722</v>
      </c>
      <c r="J30" s="58">
        <v>2045</v>
      </c>
      <c r="K30" s="58">
        <v>0.34669835727350035</v>
      </c>
      <c r="L30" s="58">
        <v>0.34463182860144542</v>
      </c>
      <c r="M30" s="58">
        <v>0.3449837515164012</v>
      </c>
      <c r="N30" s="58">
        <v>0.33071141930902614</v>
      </c>
      <c r="O30" s="58">
        <v>0.33071141930902614</v>
      </c>
      <c r="P30" s="58">
        <v>0.34647651232631554</v>
      </c>
      <c r="Q30" s="58">
        <v>0.3336179387824233</v>
      </c>
    </row>
    <row r="31" spans="1:17" x14ac:dyDescent="0.25">
      <c r="A31" s="58">
        <v>2046</v>
      </c>
      <c r="B31" s="58">
        <v>0.7889416532572231</v>
      </c>
      <c r="C31" s="58">
        <v>0.78423909118033308</v>
      </c>
      <c r="D31" s="58">
        <v>0.78503992175976756</v>
      </c>
      <c r="E31" s="58">
        <v>0.7525620137129172</v>
      </c>
      <c r="F31" s="58">
        <v>0.7525620137129172</v>
      </c>
      <c r="G31" s="58">
        <v>0.7884368261770629</v>
      </c>
      <c r="H31" s="58">
        <v>0.75917604643173198</v>
      </c>
      <c r="J31" s="58">
        <v>2046</v>
      </c>
      <c r="K31" s="58">
        <v>0.34200418222337559</v>
      </c>
      <c r="L31" s="58">
        <v>0.33996563363005255</v>
      </c>
      <c r="M31" s="58">
        <v>0.34031279163126621</v>
      </c>
      <c r="N31" s="58">
        <v>0.32623370183288847</v>
      </c>
      <c r="O31" s="58">
        <v>0.32623370183288847</v>
      </c>
      <c r="P31" s="58">
        <v>0.34178534097953761</v>
      </c>
      <c r="Q31" s="58">
        <v>0.32910086804455685</v>
      </c>
    </row>
    <row r="32" spans="1:17" x14ac:dyDescent="0.25">
      <c r="A32" s="58">
        <v>2047</v>
      </c>
      <c r="B32" s="58">
        <v>0.80472048632236759</v>
      </c>
      <c r="C32" s="58">
        <v>0.79992387300393974</v>
      </c>
      <c r="D32" s="58">
        <v>0.8007407201949629</v>
      </c>
      <c r="E32" s="58">
        <v>0.7676132539871755</v>
      </c>
      <c r="F32" s="58">
        <v>0.7676132539871755</v>
      </c>
      <c r="G32" s="58">
        <v>0.80420556270060417</v>
      </c>
      <c r="H32" s="58">
        <v>0.7743595673603666</v>
      </c>
      <c r="J32" s="58">
        <v>2047</v>
      </c>
      <c r="K32" s="58">
        <v>0.33737356466909391</v>
      </c>
      <c r="L32" s="58">
        <v>0.33536261731397837</v>
      </c>
      <c r="M32" s="58">
        <v>0.33570507491672297</v>
      </c>
      <c r="N32" s="58">
        <v>0.32181661109240445</v>
      </c>
      <c r="O32" s="58">
        <v>0.32181661109240445</v>
      </c>
      <c r="P32" s="58">
        <v>0.33715768645950517</v>
      </c>
      <c r="Q32" s="58">
        <v>0.32464495687180656</v>
      </c>
    </row>
    <row r="33" spans="1:17" x14ac:dyDescent="0.25">
      <c r="A33" s="58">
        <v>2048</v>
      </c>
      <c r="B33" s="58">
        <v>0.82081489604881497</v>
      </c>
      <c r="C33" s="58">
        <v>0.81592235046401851</v>
      </c>
      <c r="D33" s="58">
        <v>0.81675553459886219</v>
      </c>
      <c r="E33" s="58">
        <v>0.78296551906691902</v>
      </c>
      <c r="F33" s="58">
        <v>0.78296551906691902</v>
      </c>
      <c r="G33" s="58">
        <v>0.82028967395461627</v>
      </c>
      <c r="H33" s="58">
        <v>0.78984675870757393</v>
      </c>
      <c r="J33" s="58">
        <v>2048</v>
      </c>
      <c r="K33" s="58">
        <v>0.33280564406428986</v>
      </c>
      <c r="L33" s="58">
        <v>0.33082192423622614</v>
      </c>
      <c r="M33" s="58">
        <v>0.33115974508226048</v>
      </c>
      <c r="N33" s="58">
        <v>0.3174593262226813</v>
      </c>
      <c r="O33" s="58">
        <v>0.3174593262226813</v>
      </c>
      <c r="P33" s="58">
        <v>0.33259268877049825</v>
      </c>
      <c r="Q33" s="58">
        <v>0.32024937718495416</v>
      </c>
    </row>
    <row r="34" spans="1:17" x14ac:dyDescent="0.25">
      <c r="A34" s="58">
        <v>2049</v>
      </c>
      <c r="B34" s="58">
        <v>0.83723119396979129</v>
      </c>
      <c r="C34" s="58">
        <v>0.83224079747329893</v>
      </c>
      <c r="D34" s="58">
        <v>0.83309064529083943</v>
      </c>
      <c r="E34" s="58">
        <v>0.79862482944825741</v>
      </c>
      <c r="F34" s="58">
        <v>0.79862482944825741</v>
      </c>
      <c r="G34" s="58">
        <v>0.8366954674337086</v>
      </c>
      <c r="H34" s="58">
        <v>0.80564369388172541</v>
      </c>
      <c r="J34" s="58">
        <v>2049</v>
      </c>
      <c r="K34" s="58">
        <v>0.32829957151409644</v>
      </c>
      <c r="L34" s="58">
        <v>0.32634271056184794</v>
      </c>
      <c r="M34" s="58">
        <v>0.3266759574312435</v>
      </c>
      <c r="N34" s="58">
        <v>0.3131610374730513</v>
      </c>
      <c r="O34" s="58">
        <v>0.3131610374730513</v>
      </c>
      <c r="P34" s="58">
        <v>0.32808949956083977</v>
      </c>
      <c r="Q34" s="58">
        <v>0.315913312116686</v>
      </c>
    </row>
    <row r="35" spans="1:17" x14ac:dyDescent="0.25">
      <c r="A35" s="58">
        <v>2050</v>
      </c>
      <c r="B35" s="58">
        <v>0.85397581784918708</v>
      </c>
      <c r="C35" s="58">
        <v>0.84888561342276492</v>
      </c>
      <c r="D35" s="58">
        <v>0.84975245819665624</v>
      </c>
      <c r="E35" s="58">
        <v>0.81459732603722257</v>
      </c>
      <c r="F35" s="58">
        <v>0.81459732603722257</v>
      </c>
      <c r="G35" s="58">
        <v>0.85342937678238273</v>
      </c>
      <c r="H35" s="58">
        <v>0.8217565677593599</v>
      </c>
      <c r="J35" s="58">
        <v>2050</v>
      </c>
      <c r="K35" s="58">
        <v>0.32385450961738727</v>
      </c>
      <c r="L35" s="58">
        <v>0.32192414388112667</v>
      </c>
      <c r="M35" s="58">
        <v>0.32225287870393465</v>
      </c>
      <c r="N35" s="58">
        <v>0.30892094605658837</v>
      </c>
      <c r="O35" s="58">
        <v>0.30892094605658837</v>
      </c>
      <c r="P35" s="58">
        <v>0.32364728196523851</v>
      </c>
      <c r="Q35" s="58">
        <v>0.31163595585978704</v>
      </c>
    </row>
    <row r="36" spans="1:17" x14ac:dyDescent="0.25">
      <c r="A36" s="58">
        <v>2051</v>
      </c>
      <c r="B36" s="58">
        <v>0.87105533420617087</v>
      </c>
      <c r="C36" s="58">
        <v>0.86586332569122026</v>
      </c>
      <c r="D36" s="58">
        <v>0.86674750736058936</v>
      </c>
      <c r="E36" s="58">
        <v>0.83088927255796707</v>
      </c>
      <c r="F36" s="58">
        <v>0.83088927255796707</v>
      </c>
      <c r="G36" s="58">
        <v>0.87049796431803039</v>
      </c>
      <c r="H36" s="58">
        <v>0.83819169911454716</v>
      </c>
      <c r="J36" s="58">
        <v>2051</v>
      </c>
      <c r="K36" s="58">
        <v>0.31946963231115572</v>
      </c>
      <c r="L36" s="58">
        <v>0.31756540305488312</v>
      </c>
      <c r="M36" s="58">
        <v>0.31788968692264341</v>
      </c>
      <c r="N36" s="58">
        <v>0.30473826400166354</v>
      </c>
      <c r="O36" s="58">
        <v>0.30473826400166354</v>
      </c>
      <c r="P36" s="58">
        <v>0.31926521044926809</v>
      </c>
      <c r="Q36" s="58">
        <v>0.30741651351739141</v>
      </c>
    </row>
    <row r="37" spans="1:17" x14ac:dyDescent="0.25">
      <c r="A37" s="58">
        <v>2052</v>
      </c>
      <c r="B37" s="58">
        <v>0.88847644089029432</v>
      </c>
      <c r="C37" s="58">
        <v>0.88318059220504463</v>
      </c>
      <c r="D37" s="58">
        <v>0.88408245750780112</v>
      </c>
      <c r="E37" s="58">
        <v>0.8475070580091264</v>
      </c>
      <c r="F37" s="58">
        <v>0.8475070580091264</v>
      </c>
      <c r="G37" s="58">
        <v>0.88790792360439097</v>
      </c>
      <c r="H37" s="58">
        <v>0.85495553309683814</v>
      </c>
      <c r="J37" s="58">
        <v>2052</v>
      </c>
      <c r="K37" s="58">
        <v>0.31514412471700076</v>
      </c>
      <c r="L37" s="58">
        <v>0.31326567806187694</v>
      </c>
      <c r="M37" s="58">
        <v>0.31358557123897124</v>
      </c>
      <c r="N37" s="58">
        <v>0.30061221400550947</v>
      </c>
      <c r="O37" s="58">
        <v>0.30061221400550947</v>
      </c>
      <c r="P37" s="58">
        <v>0.3149424706559511</v>
      </c>
      <c r="Q37" s="58">
        <v>0.3032542009552604</v>
      </c>
    </row>
    <row r="38" spans="1:17" x14ac:dyDescent="0.25">
      <c r="A38" s="58">
        <v>2053</v>
      </c>
      <c r="B38" s="58">
        <v>0.90624596970810023</v>
      </c>
      <c r="C38" s="58">
        <v>0.90084420404914556</v>
      </c>
      <c r="D38" s="58">
        <v>0.90176410665795714</v>
      </c>
      <c r="E38" s="58">
        <v>0.86445719916930897</v>
      </c>
      <c r="F38" s="58">
        <v>0.86445719916930897</v>
      </c>
      <c r="G38" s="58">
        <v>0.90566608207647881</v>
      </c>
      <c r="H38" s="58">
        <v>0.87205464375877495</v>
      </c>
      <c r="J38" s="58">
        <v>2053</v>
      </c>
      <c r="K38" s="58">
        <v>0.3108771829896913</v>
      </c>
      <c r="L38" s="58">
        <v>0.30902416984827324</v>
      </c>
      <c r="M38" s="58">
        <v>0.30933973178312446</v>
      </c>
      <c r="N38" s="58">
        <v>0.29654202928976758</v>
      </c>
      <c r="O38" s="58">
        <v>0.29654202928976758</v>
      </c>
      <c r="P38" s="58">
        <v>0.31067825925441989</v>
      </c>
      <c r="Q38" s="58">
        <v>0.2991482446560596</v>
      </c>
    </row>
    <row r="39" spans="1:17" x14ac:dyDescent="0.25">
      <c r="A39" s="58">
        <v>2054</v>
      </c>
      <c r="B39" s="58">
        <v>0.92437088910226228</v>
      </c>
      <c r="C39" s="58">
        <v>0.91886108813012846</v>
      </c>
      <c r="D39" s="58">
        <v>0.91979938879111633</v>
      </c>
      <c r="E39" s="58">
        <v>0.88174634315269518</v>
      </c>
      <c r="F39" s="58">
        <v>0.88174634315269518</v>
      </c>
      <c r="G39" s="58">
        <v>0.92377940371800837</v>
      </c>
      <c r="H39" s="58">
        <v>0.88949573663395043</v>
      </c>
      <c r="J39" s="58">
        <v>2054</v>
      </c>
      <c r="K39" s="58">
        <v>0.30666801416778061</v>
      </c>
      <c r="L39" s="58">
        <v>0.30484009017914765</v>
      </c>
      <c r="M39" s="58">
        <v>0.30515137951526783</v>
      </c>
      <c r="N39" s="58">
        <v>0.29252695345799123</v>
      </c>
      <c r="O39" s="58">
        <v>0.29252695345799123</v>
      </c>
      <c r="P39" s="58">
        <v>0.30647178379062695</v>
      </c>
      <c r="Q39" s="58">
        <v>0.29509788157561001</v>
      </c>
    </row>
    <row r="40" spans="1:17" x14ac:dyDescent="0.25">
      <c r="A40" s="58">
        <v>2055</v>
      </c>
      <c r="B40" s="58">
        <v>0.9428583068843075</v>
      </c>
      <c r="C40" s="58">
        <v>0.93723830989273105</v>
      </c>
      <c r="D40" s="58">
        <v>0.93819537656693863</v>
      </c>
      <c r="E40" s="58">
        <v>0.89938127001574908</v>
      </c>
      <c r="F40" s="58">
        <v>0.89938127001574908</v>
      </c>
      <c r="G40" s="58">
        <v>0.9422549917923686</v>
      </c>
      <c r="H40" s="58">
        <v>0.90728565136662942</v>
      </c>
      <c r="J40" s="58">
        <v>2055</v>
      </c>
      <c r="K40" s="58">
        <v>0.30251583602624393</v>
      </c>
      <c r="L40" s="58">
        <v>0.30071266149200254</v>
      </c>
      <c r="M40" s="58">
        <v>0.30101973607889093</v>
      </c>
      <c r="N40" s="58">
        <v>0.28856624035507844</v>
      </c>
      <c r="O40" s="58">
        <v>0.28856624035507844</v>
      </c>
      <c r="P40" s="58">
        <v>0.30232226254007688</v>
      </c>
      <c r="Q40" s="58">
        <v>0.29110235900108533</v>
      </c>
    </row>
    <row r="41" spans="1:17" x14ac:dyDescent="0.25">
      <c r="A41" s="58">
        <v>2056</v>
      </c>
      <c r="B41" s="58">
        <v>0.96171547302199367</v>
      </c>
      <c r="C41" s="58">
        <v>0.95598307609058564</v>
      </c>
      <c r="D41" s="58">
        <v>0.95695928409827746</v>
      </c>
      <c r="E41" s="58">
        <v>0.91736889541606403</v>
      </c>
      <c r="F41" s="58">
        <v>0.91736889541606403</v>
      </c>
      <c r="G41" s="58">
        <v>0.96110009162821597</v>
      </c>
      <c r="H41" s="58">
        <v>0.92543136439396201</v>
      </c>
      <c r="J41" s="58">
        <v>2056</v>
      </c>
      <c r="K41" s="58">
        <v>0.29841987693111105</v>
      </c>
      <c r="L41" s="58">
        <v>0.29664111675226557</v>
      </c>
      <c r="M41" s="58">
        <v>0.29694403365615935</v>
      </c>
      <c r="N41" s="58">
        <v>0.2846591539286073</v>
      </c>
      <c r="O41" s="58">
        <v>0.2846591539286073</v>
      </c>
      <c r="P41" s="58">
        <v>0.29822892436255166</v>
      </c>
      <c r="Q41" s="58">
        <v>0.28716093441112867</v>
      </c>
    </row>
    <row r="42" spans="1:17" x14ac:dyDescent="0.25">
      <c r="A42" s="58">
        <v>2057</v>
      </c>
      <c r="B42" s="58">
        <v>0.98094978248243359</v>
      </c>
      <c r="C42" s="58">
        <v>0.97510273761239741</v>
      </c>
      <c r="D42" s="58">
        <v>0.97609846978024306</v>
      </c>
      <c r="E42" s="58">
        <v>0.93571627332438534</v>
      </c>
      <c r="F42" s="58">
        <v>0.93571627332438534</v>
      </c>
      <c r="G42" s="58">
        <v>0.98032209346078025</v>
      </c>
      <c r="H42" s="58">
        <v>0.94393999168184128</v>
      </c>
      <c r="J42" s="58">
        <v>2057</v>
      </c>
      <c r="K42" s="58">
        <v>0.29437937569606704</v>
      </c>
      <c r="L42" s="58">
        <v>0.29262469931074558</v>
      </c>
      <c r="M42" s="58">
        <v>0.29292351482522494</v>
      </c>
      <c r="N42" s="58">
        <v>0.2808049680920498</v>
      </c>
      <c r="O42" s="58">
        <v>0.2808049680920498</v>
      </c>
      <c r="P42" s="58">
        <v>0.29419100855880342</v>
      </c>
      <c r="Q42" s="58">
        <v>0.28327287533786394</v>
      </c>
    </row>
    <row r="43" spans="1:17" x14ac:dyDescent="0.25">
      <c r="A43" s="58">
        <v>2058</v>
      </c>
      <c r="B43" s="58">
        <v>1.0005687781320822</v>
      </c>
      <c r="C43" s="58">
        <v>0.99460479236464538</v>
      </c>
      <c r="D43" s="58">
        <v>0.99562043917584797</v>
      </c>
      <c r="E43" s="58">
        <v>0.95443059879087311</v>
      </c>
      <c r="F43" s="58">
        <v>0.95443059879087311</v>
      </c>
      <c r="G43" s="58">
        <v>0.99992853532999593</v>
      </c>
      <c r="H43" s="58">
        <v>0.96281879151547811</v>
      </c>
      <c r="J43" s="58">
        <v>2058</v>
      </c>
      <c r="K43" s="58">
        <v>0.29039358144099459</v>
      </c>
      <c r="L43" s="58">
        <v>0.28866266276301789</v>
      </c>
      <c r="M43" s="58">
        <v>0.28895743241946753</v>
      </c>
      <c r="N43" s="58">
        <v>0.27700296658983642</v>
      </c>
      <c r="O43" s="58">
        <v>0.27700296658983642</v>
      </c>
      <c r="P43" s="58">
        <v>0.29020776472918713</v>
      </c>
      <c r="Q43" s="58">
        <v>0.27943745923077484</v>
      </c>
    </row>
    <row r="44" spans="1:17" x14ac:dyDescent="0.25">
      <c r="A44" s="58">
        <v>2059</v>
      </c>
      <c r="B44" s="58">
        <v>1.0205801536947239</v>
      </c>
      <c r="C44" s="58">
        <v>1.0144968882119383</v>
      </c>
      <c r="D44" s="58">
        <v>1.015532847959365</v>
      </c>
      <c r="E44" s="58">
        <v>0.97351921076669057</v>
      </c>
      <c r="F44" s="58">
        <v>0.97351921076669057</v>
      </c>
      <c r="G44" s="58">
        <v>1.0199271060365958</v>
      </c>
      <c r="H44" s="58">
        <v>0.9820751673457877</v>
      </c>
      <c r="J44" s="58">
        <v>2059</v>
      </c>
      <c r="K44" s="58">
        <v>0.2864617534524318</v>
      </c>
      <c r="L44" s="58">
        <v>0.28475427081071397</v>
      </c>
      <c r="M44" s="58">
        <v>0.28504504938864306</v>
      </c>
      <c r="N44" s="58">
        <v>0.27325244286424871</v>
      </c>
      <c r="O44" s="58">
        <v>0.27325244286424871</v>
      </c>
      <c r="P44" s="58">
        <v>0.28627845263420781</v>
      </c>
      <c r="Q44" s="58">
        <v>0.27565397332242786</v>
      </c>
    </row>
    <row r="45" spans="1:17" x14ac:dyDescent="0.25">
      <c r="A45" s="58">
        <v>2060</v>
      </c>
      <c r="B45" s="58">
        <v>1.0409917567686184</v>
      </c>
      <c r="C45" s="58">
        <v>1.034786825976177</v>
      </c>
      <c r="D45" s="58">
        <v>1.0358435049185524</v>
      </c>
      <c r="E45" s="58">
        <v>0.99298959498202444</v>
      </c>
      <c r="F45" s="58">
        <v>0.99298959498202444</v>
      </c>
      <c r="G45" s="58">
        <v>1.0403256481573278</v>
      </c>
      <c r="H45" s="58">
        <v>1.0017166706927034</v>
      </c>
      <c r="J45" s="58">
        <v>2060</v>
      </c>
      <c r="K45" s="58">
        <v>0.28258316104591918</v>
      </c>
      <c r="L45" s="58">
        <v>0.28089879712468879</v>
      </c>
      <c r="M45" s="58">
        <v>0.28118563866191099</v>
      </c>
      <c r="N45" s="58">
        <v>0.26955269992411379</v>
      </c>
      <c r="O45" s="58">
        <v>0.26955269992411379</v>
      </c>
      <c r="P45" s="58">
        <v>0.28240234205695547</v>
      </c>
      <c r="Q45" s="58">
        <v>0.27192171449601193</v>
      </c>
    </row>
    <row r="46" spans="1:17" x14ac:dyDescent="0.25">
      <c r="A46" s="58">
        <v>2061</v>
      </c>
      <c r="B46" s="58">
        <v>1.0618115919039908</v>
      </c>
      <c r="C46" s="58">
        <v>1.0554825624957005</v>
      </c>
      <c r="D46" s="58">
        <v>1.0565603750169235</v>
      </c>
      <c r="E46" s="58">
        <v>1.012849386881665</v>
      </c>
      <c r="F46" s="58">
        <v>1.012849386881665</v>
      </c>
      <c r="G46" s="58">
        <v>1.0611321611204743</v>
      </c>
      <c r="H46" s="58">
        <v>1.0217510041065576</v>
      </c>
      <c r="J46" s="58">
        <v>2061</v>
      </c>
      <c r="K46" s="58">
        <v>0.27875708343021044</v>
      </c>
      <c r="L46" s="58">
        <v>0.27709552521004122</v>
      </c>
      <c r="M46" s="58">
        <v>0.27737848301271684</v>
      </c>
      <c r="N46" s="58">
        <v>0.26590305021527672</v>
      </c>
      <c r="O46" s="58">
        <v>0.26590305021527672</v>
      </c>
      <c r="P46" s="58">
        <v>0.27857871266740292</v>
      </c>
      <c r="Q46" s="58">
        <v>0.26823998915467334</v>
      </c>
    </row>
    <row r="47" spans="1:17" x14ac:dyDescent="0.25">
      <c r="A47" s="58">
        <v>2062</v>
      </c>
      <c r="B47" s="58">
        <v>1.0830478237420706</v>
      </c>
      <c r="C47" s="58">
        <v>1.0765922137456145</v>
      </c>
      <c r="D47" s="58">
        <v>1.0776915825172619</v>
      </c>
      <c r="E47" s="58">
        <v>1.0331063746192983</v>
      </c>
      <c r="F47" s="58">
        <v>1.0331063746192983</v>
      </c>
      <c r="G47" s="58">
        <v>1.0823548043428837</v>
      </c>
      <c r="H47" s="58">
        <v>1.0421860241886889</v>
      </c>
      <c r="J47" s="58">
        <v>2062</v>
      </c>
      <c r="K47" s="58">
        <v>0.27498280957332172</v>
      </c>
      <c r="L47" s="58">
        <v>0.27334374827296137</v>
      </c>
      <c r="M47" s="58">
        <v>0.27362287492550408</v>
      </c>
      <c r="N47" s="58">
        <v>0.26230281549282619</v>
      </c>
      <c r="O47" s="58">
        <v>0.26230281549282619</v>
      </c>
      <c r="P47" s="58">
        <v>0.27480685388854059</v>
      </c>
      <c r="Q47" s="58">
        <v>0.26460811309261784</v>
      </c>
    </row>
    <row r="48" spans="1:17" x14ac:dyDescent="0.25">
      <c r="A48" s="58">
        <v>2063</v>
      </c>
      <c r="B48" s="58">
        <v>1.104708780216912</v>
      </c>
      <c r="C48" s="58">
        <v>1.0981240580205269</v>
      </c>
      <c r="D48" s="58">
        <v>1.0992454141676071</v>
      </c>
      <c r="E48" s="58">
        <v>1.0537685021116843</v>
      </c>
      <c r="F48" s="58">
        <v>1.0537685021116843</v>
      </c>
      <c r="G48" s="58">
        <v>1.1040019004297414</v>
      </c>
      <c r="H48" s="58">
        <v>1.0630297446724626</v>
      </c>
      <c r="J48" s="58">
        <v>2063</v>
      </c>
      <c r="K48" s="58">
        <v>0.27125963807039472</v>
      </c>
      <c r="L48" s="58">
        <v>0.26964276908938167</v>
      </c>
      <c r="M48" s="58">
        <v>0.26991811646423031</v>
      </c>
      <c r="N48" s="58">
        <v>0.25875132669505096</v>
      </c>
      <c r="O48" s="58">
        <v>0.25875132669505096</v>
      </c>
      <c r="P48" s="58">
        <v>0.2710860647643244</v>
      </c>
      <c r="Q48" s="58">
        <v>0.26102541136795959</v>
      </c>
    </row>
    <row r="49" spans="1:17" x14ac:dyDescent="0.25">
      <c r="A49" s="58">
        <v>2064</v>
      </c>
      <c r="B49" s="58">
        <v>1.1268029558212502</v>
      </c>
      <c r="C49" s="58">
        <v>1.1200865391809376</v>
      </c>
      <c r="D49" s="58">
        <v>1.1212303224509592</v>
      </c>
      <c r="E49" s="58">
        <v>1.074843872153918</v>
      </c>
      <c r="F49" s="58">
        <v>1.074843872153918</v>
      </c>
      <c r="G49" s="58">
        <v>1.1260819384383363</v>
      </c>
      <c r="H49" s="58">
        <v>1.0842903395659118</v>
      </c>
      <c r="J49" s="58">
        <v>2064</v>
      </c>
      <c r="K49" s="58">
        <v>0.26758687701334871</v>
      </c>
      <c r="L49" s="58">
        <v>0.26599189987540545</v>
      </c>
      <c r="M49" s="58">
        <v>0.26626351914266427</v>
      </c>
      <c r="N49" s="58">
        <v>0.25524792381910244</v>
      </c>
      <c r="O49" s="58">
        <v>0.25524792381910244</v>
      </c>
      <c r="P49" s="58">
        <v>0.26741565382941085</v>
      </c>
      <c r="Q49" s="58">
        <v>0.25749121817729081</v>
      </c>
    </row>
    <row r="50" spans="1:17" x14ac:dyDescent="0.25">
      <c r="A50" s="58">
        <v>2065</v>
      </c>
      <c r="B50" s="58">
        <v>1.1493390149376752</v>
      </c>
      <c r="C50" s="58">
        <v>1.1424882699645564</v>
      </c>
      <c r="D50" s="58">
        <v>1.1436549288999784</v>
      </c>
      <c r="E50" s="58">
        <v>1.0963407495969963</v>
      </c>
      <c r="F50" s="58">
        <v>1.0963407495969963</v>
      </c>
      <c r="G50" s="58">
        <v>1.148603577207103</v>
      </c>
      <c r="H50" s="58">
        <v>1.10597614635723</v>
      </c>
      <c r="J50" s="58">
        <v>2065</v>
      </c>
      <c r="K50" s="58">
        <v>0.2639638438622976</v>
      </c>
      <c r="L50" s="58">
        <v>0.26239046215949097</v>
      </c>
      <c r="M50" s="58">
        <v>0.26265840379643868</v>
      </c>
      <c r="N50" s="58">
        <v>0.25179195579834096</v>
      </c>
      <c r="O50" s="58">
        <v>0.25179195579834096</v>
      </c>
      <c r="P50" s="58">
        <v>0.26379493898065681</v>
      </c>
      <c r="Q50" s="58">
        <v>0.25400487673195038</v>
      </c>
    </row>
    <row r="51" spans="1:17" x14ac:dyDescent="0.25">
      <c r="A51" s="58">
        <v>2066</v>
      </c>
      <c r="B51" s="58">
        <v>1.1723257952364288</v>
      </c>
      <c r="C51" s="58">
        <v>1.1653380353638476</v>
      </c>
      <c r="D51" s="58">
        <v>1.1665280274779781</v>
      </c>
      <c r="E51" s="58">
        <v>1.1182675645889364</v>
      </c>
      <c r="F51" s="58">
        <v>1.1182675645889364</v>
      </c>
      <c r="G51" s="58">
        <v>1.1715756487512452</v>
      </c>
      <c r="H51" s="58">
        <v>1.1280956692843747</v>
      </c>
      <c r="J51" s="58">
        <v>2066</v>
      </c>
      <c r="K51" s="58">
        <v>0.26038986531870756</v>
      </c>
      <c r="L51" s="58">
        <v>0.25883778665636442</v>
      </c>
      <c r="M51" s="58">
        <v>0.25910210045683513</v>
      </c>
      <c r="N51" s="58">
        <v>0.24838278038134221</v>
      </c>
      <c r="O51" s="58">
        <v>0.24838278038134221</v>
      </c>
      <c r="P51" s="58">
        <v>0.26022324735035784</v>
      </c>
      <c r="Q51" s="58">
        <v>0.25056573913596658</v>
      </c>
    </row>
  </sheetData>
  <mergeCells count="5">
    <mergeCell ref="A1:H3"/>
    <mergeCell ref="J1:Q3"/>
    <mergeCell ref="R5:V6"/>
    <mergeCell ref="R7:V8"/>
    <mergeCell ref="R10:V11"/>
  </mergeCells>
  <pageMargins left="0.7" right="0.7" top="0.75" bottom="0.75" header="0.3" footer="0.3"/>
  <pageSetup scale="72" orientation="portrait" r:id="rId1"/>
  <colBreaks count="1" manualBreakCount="1">
    <brk id="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A88EA-11D2-430D-8A1B-1E93DE84C4C8}">
  <sheetPr>
    <tabColor rgb="FF00B050"/>
  </sheetPr>
  <dimension ref="A1:V51"/>
  <sheetViews>
    <sheetView view="pageBreakPreview" zoomScale="60" zoomScaleNormal="100" workbookViewId="0">
      <selection activeCell="V34" sqref="V34"/>
    </sheetView>
  </sheetViews>
  <sheetFormatPr defaultColWidth="8.7109375" defaultRowHeight="15" x14ac:dyDescent="0.25"/>
  <cols>
    <col min="1" max="4" width="8.7109375" style="45"/>
    <col min="5" max="5" width="8.42578125" style="45" customWidth="1"/>
    <col min="6" max="6" width="8.7109375" style="45"/>
    <col min="7" max="7" width="10.85546875" style="45" bestFit="1" customWidth="1"/>
    <col min="8" max="18" width="8.7109375" style="45"/>
    <col min="19" max="19" width="11.28515625" style="45" bestFit="1" customWidth="1"/>
    <col min="20" max="16384" width="8.7109375" style="45"/>
  </cols>
  <sheetData>
    <row r="1" spans="1:22" ht="14.45" customHeight="1" x14ac:dyDescent="0.25">
      <c r="A1" s="238" t="s">
        <v>205</v>
      </c>
      <c r="B1" s="238"/>
      <c r="C1" s="238"/>
      <c r="D1" s="238"/>
      <c r="E1" s="238"/>
      <c r="F1" s="238"/>
      <c r="G1" s="238"/>
      <c r="H1" s="238"/>
      <c r="J1" s="238" t="s">
        <v>205</v>
      </c>
      <c r="K1" s="238"/>
      <c r="L1" s="238"/>
      <c r="M1" s="238"/>
      <c r="N1" s="238"/>
      <c r="O1" s="238"/>
      <c r="P1" s="238"/>
      <c r="Q1" s="238"/>
    </row>
    <row r="2" spans="1:22" ht="14.45" customHeight="1" x14ac:dyDescent="0.25">
      <c r="A2" s="238"/>
      <c r="B2" s="238"/>
      <c r="C2" s="238"/>
      <c r="D2" s="238"/>
      <c r="E2" s="238"/>
      <c r="F2" s="238"/>
      <c r="G2" s="238"/>
      <c r="H2" s="238"/>
      <c r="J2" s="238"/>
      <c r="K2" s="238"/>
      <c r="L2" s="238"/>
      <c r="M2" s="238"/>
      <c r="N2" s="238"/>
      <c r="O2" s="238"/>
      <c r="P2" s="238"/>
      <c r="Q2" s="238"/>
    </row>
    <row r="3" spans="1:22" ht="14.45" customHeight="1" thickBot="1" x14ac:dyDescent="0.3">
      <c r="A3" s="239"/>
      <c r="B3" s="239"/>
      <c r="C3" s="239"/>
      <c r="D3" s="239"/>
      <c r="E3" s="239"/>
      <c r="F3" s="239"/>
      <c r="G3" s="239"/>
      <c r="H3" s="239"/>
      <c r="J3" s="239"/>
      <c r="K3" s="239"/>
      <c r="L3" s="239"/>
      <c r="M3" s="239"/>
      <c r="N3" s="239"/>
      <c r="O3" s="239"/>
      <c r="P3" s="239"/>
      <c r="Q3" s="239"/>
    </row>
    <row r="4" spans="1:22" ht="15.75" thickBot="1" x14ac:dyDescent="0.3">
      <c r="A4" s="45" t="s">
        <v>127</v>
      </c>
      <c r="J4" s="45" t="s">
        <v>203</v>
      </c>
    </row>
    <row r="5" spans="1:22" x14ac:dyDescent="0.25">
      <c r="A5" s="107"/>
      <c r="B5" s="58" t="s">
        <v>27</v>
      </c>
      <c r="C5" s="58" t="s">
        <v>28</v>
      </c>
      <c r="D5" s="58" t="s">
        <v>29</v>
      </c>
      <c r="E5" s="58" t="s">
        <v>30</v>
      </c>
      <c r="F5" s="58" t="s">
        <v>31</v>
      </c>
      <c r="G5" s="58" t="s">
        <v>32</v>
      </c>
      <c r="H5" s="58" t="s">
        <v>33</v>
      </c>
      <c r="J5" s="107"/>
      <c r="K5" s="58" t="s">
        <v>27</v>
      </c>
      <c r="L5" s="58" t="s">
        <v>28</v>
      </c>
      <c r="M5" s="58" t="s">
        <v>29</v>
      </c>
      <c r="N5" s="58" t="s">
        <v>30</v>
      </c>
      <c r="O5" s="58" t="s">
        <v>31</v>
      </c>
      <c r="P5" s="58" t="s">
        <v>32</v>
      </c>
      <c r="Q5" s="58" t="s">
        <v>33</v>
      </c>
      <c r="R5" s="174" t="s">
        <v>69</v>
      </c>
      <c r="S5" s="174"/>
      <c r="T5" s="174"/>
      <c r="U5" s="174"/>
      <c r="V5" s="175"/>
    </row>
    <row r="6" spans="1:22" x14ac:dyDescent="0.25">
      <c r="A6" s="58">
        <v>2021</v>
      </c>
      <c r="B6" s="58">
        <v>0.65360867560061542</v>
      </c>
      <c r="C6" s="58">
        <v>0.64464459446361688</v>
      </c>
      <c r="D6" s="58">
        <v>0.64625716449515225</v>
      </c>
      <c r="E6" s="58">
        <v>0.60712708431575246</v>
      </c>
      <c r="F6" s="58">
        <v>0.60712708431575246</v>
      </c>
      <c r="G6" s="58">
        <v>0.65279626996712992</v>
      </c>
      <c r="H6" s="58">
        <v>0.61743088473081842</v>
      </c>
      <c r="J6" s="58">
        <v>2021</v>
      </c>
      <c r="K6" s="58">
        <v>0.65360867560061542</v>
      </c>
      <c r="L6" s="58">
        <v>0.64464459446361688</v>
      </c>
      <c r="M6" s="58">
        <v>0.64625716449515225</v>
      </c>
      <c r="N6" s="58">
        <v>0.60712708431575246</v>
      </c>
      <c r="O6" s="58">
        <v>0.60712708431575246</v>
      </c>
      <c r="P6" s="58">
        <v>0.65279626996712992</v>
      </c>
      <c r="Q6" s="58">
        <v>0.61743088473081842</v>
      </c>
      <c r="R6" s="176"/>
      <c r="S6" s="176"/>
      <c r="T6" s="176"/>
      <c r="U6" s="176"/>
      <c r="V6" s="177"/>
    </row>
    <row r="7" spans="1:22" x14ac:dyDescent="0.25">
      <c r="A7" s="58">
        <v>2022</v>
      </c>
      <c r="B7" s="58">
        <v>0.60867523003455148</v>
      </c>
      <c r="C7" s="58">
        <v>0.60386176272596925</v>
      </c>
      <c r="D7" s="58">
        <v>0.60472913921469984</v>
      </c>
      <c r="E7" s="58">
        <v>0.57628523245596919</v>
      </c>
      <c r="F7" s="58">
        <v>0.57628523245596919</v>
      </c>
      <c r="G7" s="58">
        <v>0.60816698940252412</v>
      </c>
      <c r="H7" s="58">
        <v>0.58258431757954376</v>
      </c>
      <c r="J7" s="58">
        <v>2022</v>
      </c>
      <c r="K7" s="58">
        <v>0.58866076405662615</v>
      </c>
      <c r="L7" s="58">
        <v>0.58400557323594704</v>
      </c>
      <c r="M7" s="58">
        <v>0.58484442864090891</v>
      </c>
      <c r="N7" s="58">
        <v>0.55733581475432226</v>
      </c>
      <c r="O7" s="58">
        <v>0.55733581475432226</v>
      </c>
      <c r="P7" s="58">
        <v>0.58816923539895949</v>
      </c>
      <c r="Q7" s="58">
        <v>0.56342777328775995</v>
      </c>
      <c r="R7" s="178">
        <v>3.4000000000000002E-2</v>
      </c>
      <c r="S7" s="178"/>
      <c r="T7" s="178"/>
      <c r="U7" s="178"/>
      <c r="V7" s="179"/>
    </row>
    <row r="8" spans="1:22" ht="15.75" thickBot="1" x14ac:dyDescent="0.3">
      <c r="A8" s="58">
        <v>2023</v>
      </c>
      <c r="B8" s="58">
        <v>0.57949629025473703</v>
      </c>
      <c r="C8" s="58">
        <v>0.5771462846264227</v>
      </c>
      <c r="D8" s="58">
        <v>0.57756843957293436</v>
      </c>
      <c r="E8" s="58">
        <v>0.55676036860343892</v>
      </c>
      <c r="F8" s="58">
        <v>0.55676036860343892</v>
      </c>
      <c r="G8" s="58">
        <v>0.57916993252765192</v>
      </c>
      <c r="H8" s="58">
        <v>0.56049411894097223</v>
      </c>
      <c r="J8" s="58">
        <v>2023</v>
      </c>
      <c r="K8" s="58">
        <v>0.54201284962600127</v>
      </c>
      <c r="L8" s="58">
        <v>0.53981484893357257</v>
      </c>
      <c r="M8" s="58">
        <v>0.54020969771757754</v>
      </c>
      <c r="N8" s="58">
        <v>0.52074755096865089</v>
      </c>
      <c r="O8" s="58">
        <v>0.52074755096865089</v>
      </c>
      <c r="P8" s="58">
        <v>0.54170760162937115</v>
      </c>
      <c r="Q8" s="58">
        <v>0.52423979189283154</v>
      </c>
      <c r="R8" s="180"/>
      <c r="S8" s="180"/>
      <c r="T8" s="180"/>
      <c r="U8" s="180"/>
      <c r="V8" s="181"/>
    </row>
    <row r="9" spans="1:22" ht="14.45" customHeight="1" x14ac:dyDescent="0.25">
      <c r="A9" s="58">
        <v>2024</v>
      </c>
      <c r="B9" s="58">
        <v>0.60244595879398644</v>
      </c>
      <c r="C9" s="58">
        <v>0.59906156910408337</v>
      </c>
      <c r="D9" s="58">
        <v>0.59968074309020625</v>
      </c>
      <c r="E9" s="58">
        <v>0.57692081658194705</v>
      </c>
      <c r="F9" s="58">
        <v>0.57692081658194705</v>
      </c>
      <c r="G9" s="58">
        <v>0.60206322706682858</v>
      </c>
      <c r="H9" s="58">
        <v>0.58159074018975765</v>
      </c>
      <c r="J9" s="58">
        <v>2024</v>
      </c>
      <c r="K9" s="58">
        <v>0.54494977700661706</v>
      </c>
      <c r="L9" s="58">
        <v>0.54188838638743475</v>
      </c>
      <c r="M9" s="58">
        <v>0.5424484677038427</v>
      </c>
      <c r="N9" s="58">
        <v>0.52186070096009696</v>
      </c>
      <c r="O9" s="58">
        <v>0.52186070096009696</v>
      </c>
      <c r="P9" s="58">
        <v>0.54460357239469537</v>
      </c>
      <c r="Q9" s="58">
        <v>0.52608493682983171</v>
      </c>
      <c r="R9" s="2"/>
      <c r="S9" s="2"/>
      <c r="T9" s="2"/>
      <c r="U9" s="2"/>
      <c r="V9" s="37"/>
    </row>
    <row r="10" spans="1:22" ht="15" customHeight="1" x14ac:dyDescent="0.25">
      <c r="A10" s="58">
        <v>2025</v>
      </c>
      <c r="B10" s="58">
        <v>0.63721723984982659</v>
      </c>
      <c r="C10" s="58">
        <v>0.63212935607800624</v>
      </c>
      <c r="D10" s="58">
        <v>0.63305797873981051</v>
      </c>
      <c r="E10" s="58">
        <v>0.60805475307582701</v>
      </c>
      <c r="F10" s="58">
        <v>0.60805475307582701</v>
      </c>
      <c r="G10" s="58">
        <v>0.63668260541856569</v>
      </c>
      <c r="H10" s="58">
        <v>0.61390375828619548</v>
      </c>
      <c r="J10" s="58">
        <v>2025</v>
      </c>
      <c r="K10" s="58">
        <v>0.55744928409257588</v>
      </c>
      <c r="L10" s="58">
        <v>0.55299831040765812</v>
      </c>
      <c r="M10" s="58">
        <v>0.55381068647917953</v>
      </c>
      <c r="N10" s="58">
        <v>0.53193740783141807</v>
      </c>
      <c r="O10" s="58">
        <v>0.53193740783141807</v>
      </c>
      <c r="P10" s="58">
        <v>0.55698157612373955</v>
      </c>
      <c r="Q10" s="58">
        <v>0.53705422445731799</v>
      </c>
      <c r="R10" s="182" t="s">
        <v>71</v>
      </c>
      <c r="S10" s="182"/>
      <c r="T10" s="182"/>
      <c r="U10" s="182"/>
      <c r="V10" s="183"/>
    </row>
    <row r="11" spans="1:22" x14ac:dyDescent="0.25">
      <c r="A11" s="58">
        <v>2026</v>
      </c>
      <c r="B11" s="58">
        <v>0.65800448010654145</v>
      </c>
      <c r="C11" s="58">
        <v>0.65244252650100543</v>
      </c>
      <c r="D11" s="58">
        <v>0.65343604386099785</v>
      </c>
      <c r="E11" s="58">
        <v>0.62781902234077636</v>
      </c>
      <c r="F11" s="58">
        <v>0.62781902234077636</v>
      </c>
      <c r="G11" s="58">
        <v>0.65744241678375526</v>
      </c>
      <c r="H11" s="58">
        <v>0.63409830661351052</v>
      </c>
      <c r="J11" s="58">
        <v>2026</v>
      </c>
      <c r="K11" s="58">
        <v>0.55670632657184538</v>
      </c>
      <c r="L11" s="58">
        <v>0.55200062189366506</v>
      </c>
      <c r="M11" s="58">
        <v>0.55284118972654239</v>
      </c>
      <c r="N11" s="58">
        <v>0.53116784497070524</v>
      </c>
      <c r="O11" s="58">
        <v>0.53116784497070524</v>
      </c>
      <c r="P11" s="58">
        <v>0.55623079149998933</v>
      </c>
      <c r="Q11" s="58">
        <v>0.5364804490435654</v>
      </c>
      <c r="R11" s="182"/>
      <c r="S11" s="182"/>
      <c r="T11" s="182"/>
      <c r="U11" s="182"/>
      <c r="V11" s="183"/>
    </row>
    <row r="12" spans="1:22" x14ac:dyDescent="0.25">
      <c r="A12" s="58">
        <v>2027</v>
      </c>
      <c r="B12" s="58">
        <v>0.67020686616743574</v>
      </c>
      <c r="C12" s="58">
        <v>0.66507006233357724</v>
      </c>
      <c r="D12" s="58">
        <v>0.66597999418290499</v>
      </c>
      <c r="E12" s="58">
        <v>0.64098267418992305</v>
      </c>
      <c r="F12" s="58">
        <v>0.64098267418992305</v>
      </c>
      <c r="G12" s="58">
        <v>0.66967675948649408</v>
      </c>
      <c r="H12" s="58">
        <v>0.64691963447334122</v>
      </c>
      <c r="J12" s="58">
        <v>2027</v>
      </c>
      <c r="K12" s="58">
        <v>0.54838509249595468</v>
      </c>
      <c r="L12" s="58">
        <v>0.54418199224770936</v>
      </c>
      <c r="M12" s="58">
        <v>0.54492652813140163</v>
      </c>
      <c r="N12" s="58">
        <v>0.52447290652813128</v>
      </c>
      <c r="O12" s="58">
        <v>0.52447290652813128</v>
      </c>
      <c r="P12" s="58">
        <v>0.54795134193931938</v>
      </c>
      <c r="Q12" s="58">
        <v>0.5293307208516177</v>
      </c>
      <c r="R12" s="2"/>
      <c r="S12" s="2"/>
      <c r="T12" s="2"/>
      <c r="U12" s="2"/>
      <c r="V12" s="37"/>
    </row>
    <row r="13" spans="1:22" ht="15.75" thickBot="1" x14ac:dyDescent="0.3">
      <c r="A13" s="58">
        <v>2028</v>
      </c>
      <c r="B13" s="58">
        <v>0.67251057687057014</v>
      </c>
      <c r="C13" s="58">
        <v>0.66827350831385535</v>
      </c>
      <c r="D13" s="58">
        <v>0.66901993591860753</v>
      </c>
      <c r="E13" s="58">
        <v>0.64183943737797766</v>
      </c>
      <c r="F13" s="58">
        <v>0.64183943737797766</v>
      </c>
      <c r="G13" s="58">
        <v>0.67204919468286595</v>
      </c>
      <c r="H13" s="58">
        <v>0.64757077680137998</v>
      </c>
      <c r="J13" s="58">
        <v>2028</v>
      </c>
      <c r="K13" s="58">
        <v>0.532176077026696</v>
      </c>
      <c r="L13" s="58">
        <v>0.52882316838829457</v>
      </c>
      <c r="M13" s="58">
        <v>0.52941383703819134</v>
      </c>
      <c r="N13" s="58">
        <v>0.50790516255415252</v>
      </c>
      <c r="O13" s="58">
        <v>0.50790516255415252</v>
      </c>
      <c r="P13" s="58">
        <v>0.53181097263859101</v>
      </c>
      <c r="Q13" s="58">
        <v>0.51244052874073032</v>
      </c>
      <c r="R13" s="38" t="s">
        <v>72</v>
      </c>
      <c r="S13" s="65">
        <v>44008</v>
      </c>
      <c r="T13" s="38"/>
      <c r="U13" s="38"/>
      <c r="V13" s="39"/>
    </row>
    <row r="14" spans="1:22" x14ac:dyDescent="0.25">
      <c r="A14" s="58">
        <v>2029</v>
      </c>
      <c r="B14" s="58">
        <v>0.68740363607266797</v>
      </c>
      <c r="C14" s="58">
        <v>0.68336911425203894</v>
      </c>
      <c r="D14" s="58">
        <v>0.68407937025366172</v>
      </c>
      <c r="E14" s="58">
        <v>0.65619377801672985</v>
      </c>
      <c r="F14" s="58">
        <v>0.65619377801672985</v>
      </c>
      <c r="G14" s="58">
        <v>0.68696004566538427</v>
      </c>
      <c r="H14" s="58">
        <v>0.66190602535395227</v>
      </c>
      <c r="J14" s="58">
        <v>2029</v>
      </c>
      <c r="K14" s="58">
        <v>0.52607481965601077</v>
      </c>
      <c r="L14" s="58">
        <v>0.52298717183483845</v>
      </c>
      <c r="M14" s="58">
        <v>0.52353073572998754</v>
      </c>
      <c r="N14" s="58">
        <v>0.50218969658323775</v>
      </c>
      <c r="O14" s="58">
        <v>0.50218969658323775</v>
      </c>
      <c r="P14" s="58">
        <v>0.52573533680886408</v>
      </c>
      <c r="Q14" s="58">
        <v>0.50656131949889271</v>
      </c>
    </row>
    <row r="15" spans="1:22" x14ac:dyDescent="0.25">
      <c r="A15" s="58">
        <v>2030</v>
      </c>
      <c r="B15" s="58">
        <v>0.70350259646938929</v>
      </c>
      <c r="C15" s="58">
        <v>0.69960951186962128</v>
      </c>
      <c r="D15" s="58">
        <v>0.70030722381915012</v>
      </c>
      <c r="E15" s="58">
        <v>0.67216651651745674</v>
      </c>
      <c r="F15" s="58">
        <v>0.67216651651745674</v>
      </c>
      <c r="G15" s="58">
        <v>0.70307596426443775</v>
      </c>
      <c r="H15" s="58">
        <v>0.67782495236386064</v>
      </c>
      <c r="J15" s="58">
        <v>2030</v>
      </c>
      <c r="K15" s="58">
        <v>0.52069194087119919</v>
      </c>
      <c r="L15" s="58">
        <v>0.51781050477358959</v>
      </c>
      <c r="M15" s="58">
        <v>0.51832691081244775</v>
      </c>
      <c r="N15" s="58">
        <v>0.497498786544047</v>
      </c>
      <c r="O15" s="58">
        <v>0.497498786544047</v>
      </c>
      <c r="P15" s="58">
        <v>0.52037617238370648</v>
      </c>
      <c r="Q15" s="58">
        <v>0.50168683355047683</v>
      </c>
    </row>
    <row r="16" spans="1:22" x14ac:dyDescent="0.25">
      <c r="A16" s="58">
        <v>2031</v>
      </c>
      <c r="B16" s="58">
        <v>0.70997895255684507</v>
      </c>
      <c r="C16" s="58">
        <v>0.70608797462856376</v>
      </c>
      <c r="D16" s="58">
        <v>0.70678914525818093</v>
      </c>
      <c r="E16" s="58">
        <v>0.67922684629951902</v>
      </c>
      <c r="F16" s="58">
        <v>0.67922684629951902</v>
      </c>
      <c r="G16" s="58">
        <v>0.70955668665441285</v>
      </c>
      <c r="H16" s="58">
        <v>0.6848029539998215</v>
      </c>
      <c r="J16" s="58">
        <v>2031</v>
      </c>
      <c r="K16" s="58">
        <v>0.50820634926756059</v>
      </c>
      <c r="L16" s="58">
        <v>0.50542116855073616</v>
      </c>
      <c r="M16" s="58">
        <v>0.50592306986007518</v>
      </c>
      <c r="N16" s="58">
        <v>0.48619384368969631</v>
      </c>
      <c r="O16" s="58">
        <v>0.48619384368969631</v>
      </c>
      <c r="P16" s="58">
        <v>0.50790408930348352</v>
      </c>
      <c r="Q16" s="58">
        <v>0.49018524840287553</v>
      </c>
    </row>
    <row r="17" spans="1:17" x14ac:dyDescent="0.25">
      <c r="A17" s="58">
        <v>2032</v>
      </c>
      <c r="B17" s="58">
        <v>0.72976017383423353</v>
      </c>
      <c r="C17" s="58">
        <v>0.72567109596305523</v>
      </c>
      <c r="D17" s="58">
        <v>0.72638184257685123</v>
      </c>
      <c r="E17" s="58">
        <v>0.69859748971949165</v>
      </c>
      <c r="F17" s="58">
        <v>0.69859748971949165</v>
      </c>
      <c r="G17" s="58">
        <v>0.72931371902559172</v>
      </c>
      <c r="H17" s="58">
        <v>0.7043168579973792</v>
      </c>
      <c r="J17" s="58">
        <v>2032</v>
      </c>
      <c r="K17" s="58">
        <v>0.50518940290753056</v>
      </c>
      <c r="L17" s="58">
        <v>0.50235866634194182</v>
      </c>
      <c r="M17" s="58">
        <v>0.50285069327122134</v>
      </c>
      <c r="N17" s="58">
        <v>0.48361648300124566</v>
      </c>
      <c r="O17" s="58">
        <v>0.48361648300124566</v>
      </c>
      <c r="P17" s="58">
        <v>0.50488033666044019</v>
      </c>
      <c r="Q17" s="58">
        <v>0.4875758169700114</v>
      </c>
    </row>
    <row r="18" spans="1:17" x14ac:dyDescent="0.25">
      <c r="A18" s="58">
        <v>2033</v>
      </c>
      <c r="B18" s="58">
        <v>0.7477080800507282</v>
      </c>
      <c r="C18" s="58">
        <v>0.74367523527241897</v>
      </c>
      <c r="D18" s="58">
        <v>0.74437483952732686</v>
      </c>
      <c r="E18" s="58">
        <v>0.71626854220032343</v>
      </c>
      <c r="F18" s="58">
        <v>0.71626854220032343</v>
      </c>
      <c r="G18" s="58">
        <v>0.74726516161409129</v>
      </c>
      <c r="H18" s="58">
        <v>0.72198535439542044</v>
      </c>
      <c r="J18" s="58">
        <v>2033</v>
      </c>
      <c r="K18" s="58">
        <v>0.5005939640298569</v>
      </c>
      <c r="L18" s="58">
        <v>0.49789395608858394</v>
      </c>
      <c r="M18" s="58">
        <v>0.49836234432265619</v>
      </c>
      <c r="N18" s="58">
        <v>0.47954505028970706</v>
      </c>
      <c r="O18" s="58">
        <v>0.47954505028970706</v>
      </c>
      <c r="P18" s="58">
        <v>0.50029742811984923</v>
      </c>
      <c r="Q18" s="58">
        <v>0.4833724820838956</v>
      </c>
    </row>
    <row r="19" spans="1:17" x14ac:dyDescent="0.25">
      <c r="A19" s="58">
        <v>2034</v>
      </c>
      <c r="B19" s="58">
        <v>0.75559860470412255</v>
      </c>
      <c r="C19" s="58">
        <v>0.75186676826543586</v>
      </c>
      <c r="D19" s="58">
        <v>0.75250938932419487</v>
      </c>
      <c r="E19" s="58">
        <v>0.72450528278642179</v>
      </c>
      <c r="F19" s="58">
        <v>0.72450528278642179</v>
      </c>
      <c r="G19" s="58">
        <v>0.75517937019334569</v>
      </c>
      <c r="H19" s="58">
        <v>0.7300269687918568</v>
      </c>
      <c r="J19" s="58">
        <v>2034</v>
      </c>
      <c r="K19" s="58">
        <v>0.48924246248756303</v>
      </c>
      <c r="L19" s="58">
        <v>0.48682613609747022</v>
      </c>
      <c r="M19" s="58">
        <v>0.48724222674040718</v>
      </c>
      <c r="N19" s="58">
        <v>0.4691098506917919</v>
      </c>
      <c r="O19" s="58">
        <v>0.4691098506917919</v>
      </c>
      <c r="P19" s="58">
        <v>0.48897101237749757</v>
      </c>
      <c r="Q19" s="58">
        <v>0.47268508659292219</v>
      </c>
    </row>
    <row r="20" spans="1:17" x14ac:dyDescent="0.25">
      <c r="A20" s="58">
        <v>2035</v>
      </c>
      <c r="B20" s="58">
        <v>0.77356448689609736</v>
      </c>
      <c r="C20" s="58">
        <v>0.77045064318360557</v>
      </c>
      <c r="D20" s="58">
        <v>0.77098156659014572</v>
      </c>
      <c r="E20" s="58">
        <v>0.74172100483915726</v>
      </c>
      <c r="F20" s="58">
        <v>0.74172100483915726</v>
      </c>
      <c r="G20" s="58">
        <v>0.77319248813930952</v>
      </c>
      <c r="H20" s="58">
        <v>0.74706353663043323</v>
      </c>
      <c r="J20" s="58">
        <v>2035</v>
      </c>
      <c r="K20" s="58">
        <v>0.48440540589141007</v>
      </c>
      <c r="L20" s="58">
        <v>0.48245551967896999</v>
      </c>
      <c r="M20" s="58">
        <v>0.4827879834523191</v>
      </c>
      <c r="N20" s="58">
        <v>0.46446504524651955</v>
      </c>
      <c r="O20" s="58">
        <v>0.46446504524651955</v>
      </c>
      <c r="P20" s="58">
        <v>0.48417246059489583</v>
      </c>
      <c r="Q20" s="58">
        <v>0.46781053398686345</v>
      </c>
    </row>
    <row r="21" spans="1:17" x14ac:dyDescent="0.25">
      <c r="A21" s="58">
        <v>2036</v>
      </c>
      <c r="B21" s="58">
        <v>0.78808790121145589</v>
      </c>
      <c r="C21" s="58">
        <v>0.78517032613022308</v>
      </c>
      <c r="D21" s="58">
        <v>0.78568909710422341</v>
      </c>
      <c r="E21" s="58">
        <v>0.75622489765406686</v>
      </c>
      <c r="F21" s="58">
        <v>0.75622489765406686</v>
      </c>
      <c r="G21" s="58">
        <v>0.78774234031954637</v>
      </c>
      <c r="H21" s="58">
        <v>0.76148232560297968</v>
      </c>
      <c r="J21" s="58">
        <v>2036</v>
      </c>
      <c r="K21" s="58">
        <v>0.4772726839919863</v>
      </c>
      <c r="L21" s="58">
        <v>0.47550577590010012</v>
      </c>
      <c r="M21" s="58">
        <v>0.47581994798008975</v>
      </c>
      <c r="N21" s="58">
        <v>0.45797618013181485</v>
      </c>
      <c r="O21" s="58">
        <v>0.45797618013181485</v>
      </c>
      <c r="P21" s="58">
        <v>0.47706340939950642</v>
      </c>
      <c r="Q21" s="58">
        <v>0.46116012286740932</v>
      </c>
    </row>
    <row r="22" spans="1:17" x14ac:dyDescent="0.25">
      <c r="A22" s="58">
        <v>2037</v>
      </c>
      <c r="B22" s="58">
        <v>0.80549393999168362</v>
      </c>
      <c r="C22" s="58">
        <v>0.80160080803577283</v>
      </c>
      <c r="D22" s="58">
        <v>0.80227118603085812</v>
      </c>
      <c r="E22" s="58">
        <v>0.77349055055547999</v>
      </c>
      <c r="F22" s="58">
        <v>0.77349055055547999</v>
      </c>
      <c r="G22" s="58">
        <v>0.80506727015797264</v>
      </c>
      <c r="H22" s="58">
        <v>0.77921596205047405</v>
      </c>
      <c r="J22" s="58">
        <v>2037</v>
      </c>
      <c r="K22" s="58">
        <v>0.47177362473352313</v>
      </c>
      <c r="L22" s="58">
        <v>0.46949343753009753</v>
      </c>
      <c r="M22" s="58">
        <v>0.46988607444638053</v>
      </c>
      <c r="N22" s="58">
        <v>0.45302940545580617</v>
      </c>
      <c r="O22" s="58">
        <v>0.45302940545580617</v>
      </c>
      <c r="P22" s="58">
        <v>0.47152372642390167</v>
      </c>
      <c r="Q22" s="58">
        <v>0.45638274928619205</v>
      </c>
    </row>
    <row r="23" spans="1:17" x14ac:dyDescent="0.25">
      <c r="A23" s="58">
        <v>2038</v>
      </c>
      <c r="B23" s="58">
        <v>0.82878597446497648</v>
      </c>
      <c r="C23" s="58">
        <v>0.82470017976491761</v>
      </c>
      <c r="D23" s="58">
        <v>0.82540258495862273</v>
      </c>
      <c r="E23" s="58">
        <v>0.79644798565558805</v>
      </c>
      <c r="F23" s="58">
        <v>0.79644798565558805</v>
      </c>
      <c r="G23" s="58">
        <v>0.82834424268178064</v>
      </c>
      <c r="H23" s="58">
        <v>0.80229360956656381</v>
      </c>
      <c r="J23" s="58">
        <v>2038</v>
      </c>
      <c r="K23" s="58">
        <v>0.46945420558192691</v>
      </c>
      <c r="L23" s="58">
        <v>0.46713986440798849</v>
      </c>
      <c r="M23" s="58">
        <v>0.46753773199065402</v>
      </c>
      <c r="N23" s="58">
        <v>0.45113680481216978</v>
      </c>
      <c r="O23" s="58">
        <v>0.45113680481216978</v>
      </c>
      <c r="P23" s="58">
        <v>0.46920399280112501</v>
      </c>
      <c r="Q23" s="58">
        <v>0.45444797659090241</v>
      </c>
    </row>
    <row r="24" spans="1:17" x14ac:dyDescent="0.25">
      <c r="A24" s="58">
        <v>2039</v>
      </c>
      <c r="B24" s="58">
        <v>0.85358199051190375</v>
      </c>
      <c r="C24" s="58">
        <v>0.84923818466439704</v>
      </c>
      <c r="D24" s="58">
        <v>0.84998797342381871</v>
      </c>
      <c r="E24" s="58">
        <v>0.82095617652313968</v>
      </c>
      <c r="F24" s="58">
        <v>0.82095617652313968</v>
      </c>
      <c r="G24" s="58">
        <v>0.8531218258183475</v>
      </c>
      <c r="H24" s="58">
        <v>0.82695520897820973</v>
      </c>
      <c r="J24" s="58">
        <v>2039</v>
      </c>
      <c r="K24" s="58">
        <v>0.46760112333512849</v>
      </c>
      <c r="L24" s="58">
        <v>0.46522154115506664</v>
      </c>
      <c r="M24" s="58">
        <v>0.46563228326310874</v>
      </c>
      <c r="N24" s="58">
        <v>0.4497283619127373</v>
      </c>
      <c r="O24" s="58">
        <v>0.4497283619127373</v>
      </c>
      <c r="P24" s="58">
        <v>0.46734904031320695</v>
      </c>
      <c r="Q24" s="58">
        <v>0.45301469450421145</v>
      </c>
    </row>
    <row r="25" spans="1:17" x14ac:dyDescent="0.25">
      <c r="A25" s="58">
        <v>2040</v>
      </c>
      <c r="B25" s="58">
        <v>0.86969721475710204</v>
      </c>
      <c r="C25" s="58">
        <v>0.86552147420986958</v>
      </c>
      <c r="D25" s="58">
        <v>0.86623258884638688</v>
      </c>
      <c r="E25" s="58">
        <v>0.83739313594750919</v>
      </c>
      <c r="F25" s="58">
        <v>0.83739313594750919</v>
      </c>
      <c r="G25" s="58">
        <v>0.86924894275696718</v>
      </c>
      <c r="H25" s="58">
        <v>0.84326620772265992</v>
      </c>
      <c r="J25" s="58">
        <v>2040</v>
      </c>
      <c r="K25" s="58">
        <v>0.46076326051555488</v>
      </c>
      <c r="L25" s="58">
        <v>0.45855096433136255</v>
      </c>
      <c r="M25" s="58">
        <v>0.45892771096566509</v>
      </c>
      <c r="N25" s="58">
        <v>0.44364864587991237</v>
      </c>
      <c r="O25" s="58">
        <v>0.44364864587991237</v>
      </c>
      <c r="P25" s="58">
        <v>0.46052576720768262</v>
      </c>
      <c r="Q25" s="58">
        <v>0.4467601836133247</v>
      </c>
    </row>
    <row r="26" spans="1:17" x14ac:dyDescent="0.25">
      <c r="A26" s="58">
        <v>2041</v>
      </c>
      <c r="B26" s="58">
        <v>0.88709115905224412</v>
      </c>
      <c r="C26" s="58">
        <v>0.88283190369406694</v>
      </c>
      <c r="D26" s="58">
        <v>0.88355724062331464</v>
      </c>
      <c r="E26" s="58">
        <v>0.85414099866645943</v>
      </c>
      <c r="F26" s="58">
        <v>0.85414099866645943</v>
      </c>
      <c r="G26" s="58">
        <v>0.88663392161210652</v>
      </c>
      <c r="H26" s="58">
        <v>0.86013153187711311</v>
      </c>
      <c r="J26" s="58">
        <v>2041</v>
      </c>
      <c r="K26" s="58">
        <v>0.4545246863886519</v>
      </c>
      <c r="L26" s="58">
        <v>0.45234234392455502</v>
      </c>
      <c r="M26" s="58">
        <v>0.45271398954059816</v>
      </c>
      <c r="N26" s="58">
        <v>0.4376417976765094</v>
      </c>
      <c r="O26" s="58">
        <v>0.4376417976765094</v>
      </c>
      <c r="P26" s="58">
        <v>0.45429040865748194</v>
      </c>
      <c r="Q26" s="58">
        <v>0.44071120627233196</v>
      </c>
    </row>
    <row r="27" spans="1:17" x14ac:dyDescent="0.25">
      <c r="A27" s="58">
        <v>2042</v>
      </c>
      <c r="B27" s="58">
        <v>0.90483298223328901</v>
      </c>
      <c r="C27" s="58">
        <v>0.90048854176794835</v>
      </c>
      <c r="D27" s="58">
        <v>0.90122838543578099</v>
      </c>
      <c r="E27" s="58">
        <v>0.87122381863978859</v>
      </c>
      <c r="F27" s="58">
        <v>0.87122381863978859</v>
      </c>
      <c r="G27" s="58">
        <v>0.90436660004434866</v>
      </c>
      <c r="H27" s="58">
        <v>0.87733416251465535</v>
      </c>
      <c r="J27" s="58">
        <v>2042</v>
      </c>
      <c r="K27" s="58">
        <v>0.44837058038338973</v>
      </c>
      <c r="L27" s="58">
        <v>0.44621778607644697</v>
      </c>
      <c r="M27" s="58">
        <v>0.44658439974024194</v>
      </c>
      <c r="N27" s="58">
        <v>0.43171628010642127</v>
      </c>
      <c r="O27" s="58">
        <v>0.43171628010642127</v>
      </c>
      <c r="P27" s="58">
        <v>0.44813947469113313</v>
      </c>
      <c r="Q27" s="58">
        <v>0.43474412997850931</v>
      </c>
    </row>
    <row r="28" spans="1:17" x14ac:dyDescent="0.25">
      <c r="A28" s="58">
        <v>2043</v>
      </c>
      <c r="B28" s="58">
        <v>0.92292964187795479</v>
      </c>
      <c r="C28" s="58">
        <v>0.91849831260330728</v>
      </c>
      <c r="D28" s="58">
        <v>0.91925295314449662</v>
      </c>
      <c r="E28" s="58">
        <v>0.88864829501258435</v>
      </c>
      <c r="F28" s="58">
        <v>0.88864829501258435</v>
      </c>
      <c r="G28" s="58">
        <v>0.92245393204523563</v>
      </c>
      <c r="H28" s="58">
        <v>0.89488084576494842</v>
      </c>
      <c r="J28" s="58">
        <v>2043</v>
      </c>
      <c r="K28" s="58">
        <v>0.44229979883081</v>
      </c>
      <c r="L28" s="58">
        <v>0.44017615260926102</v>
      </c>
      <c r="M28" s="58">
        <v>0.44053780245168939</v>
      </c>
      <c r="N28" s="58">
        <v>0.42587099198118927</v>
      </c>
      <c r="O28" s="58">
        <v>0.42587099198118927</v>
      </c>
      <c r="P28" s="58">
        <v>0.44207182222916419</v>
      </c>
      <c r="Q28" s="58">
        <v>0.42885784582019293</v>
      </c>
    </row>
    <row r="29" spans="1:17" x14ac:dyDescent="0.25">
      <c r="A29" s="58">
        <v>2044</v>
      </c>
      <c r="B29" s="58">
        <v>0.94138823471551392</v>
      </c>
      <c r="C29" s="58">
        <v>0.93686827885537349</v>
      </c>
      <c r="D29" s="58">
        <v>0.93763801220738652</v>
      </c>
      <c r="E29" s="58">
        <v>0.90642126091283604</v>
      </c>
      <c r="F29" s="58">
        <v>0.90642126091283604</v>
      </c>
      <c r="G29" s="58">
        <v>0.94090301068614035</v>
      </c>
      <c r="H29" s="58">
        <v>0.91277846268024743</v>
      </c>
      <c r="J29" s="58">
        <v>2044</v>
      </c>
      <c r="K29" s="58">
        <v>0.43631121354683378</v>
      </c>
      <c r="L29" s="58">
        <v>0.43421632075575067</v>
      </c>
      <c r="M29" s="58">
        <v>0.43457307398522538</v>
      </c>
      <c r="N29" s="58">
        <v>0.4201048470220628</v>
      </c>
      <c r="O29" s="58">
        <v>0.4201048470220628</v>
      </c>
      <c r="P29" s="58">
        <v>0.43608632366900135</v>
      </c>
      <c r="Q29" s="58">
        <v>0.42305125989999681</v>
      </c>
    </row>
    <row r="30" spans="1:17" x14ac:dyDescent="0.25">
      <c r="A30" s="58">
        <v>2045</v>
      </c>
      <c r="B30" s="58">
        <v>0.96021599940982416</v>
      </c>
      <c r="C30" s="58">
        <v>0.95560564443248097</v>
      </c>
      <c r="D30" s="58">
        <v>0.95639077245153425</v>
      </c>
      <c r="E30" s="58">
        <v>0.92454968613109278</v>
      </c>
      <c r="F30" s="58">
        <v>0.92454968613109278</v>
      </c>
      <c r="G30" s="58">
        <v>0.95972107089986314</v>
      </c>
      <c r="H30" s="58">
        <v>0.93103403193385237</v>
      </c>
      <c r="J30" s="58">
        <v>2045</v>
      </c>
      <c r="K30" s="58">
        <v>0.43040371162260205</v>
      </c>
      <c r="L30" s="58">
        <v>0.42833718295054718</v>
      </c>
      <c r="M30" s="58">
        <v>0.42868910586550291</v>
      </c>
      <c r="N30" s="58">
        <v>0.41441677365812785</v>
      </c>
      <c r="O30" s="58">
        <v>0.41441677365812785</v>
      </c>
      <c r="P30" s="58">
        <v>0.43018186667541725</v>
      </c>
      <c r="Q30" s="58">
        <v>0.417323293131525</v>
      </c>
    </row>
    <row r="31" spans="1:17" x14ac:dyDescent="0.25">
      <c r="A31" s="58">
        <v>2046</v>
      </c>
      <c r="B31" s="58">
        <v>0.97942031939802066</v>
      </c>
      <c r="C31" s="58">
        <v>0.97471775732113064</v>
      </c>
      <c r="D31" s="58">
        <v>0.975518587900565</v>
      </c>
      <c r="E31" s="58">
        <v>0.94304067985371465</v>
      </c>
      <c r="F31" s="58">
        <v>0.94304067985371465</v>
      </c>
      <c r="G31" s="58">
        <v>0.97891549231786046</v>
      </c>
      <c r="H31" s="58">
        <v>0.94965471257252942</v>
      </c>
      <c r="J31" s="58">
        <v>2046</v>
      </c>
      <c r="K31" s="58">
        <v>0.42457619521765388</v>
      </c>
      <c r="L31" s="58">
        <v>0.42253764662433091</v>
      </c>
      <c r="M31" s="58">
        <v>0.42288480462554451</v>
      </c>
      <c r="N31" s="58">
        <v>0.40880571482716671</v>
      </c>
      <c r="O31" s="58">
        <v>0.40880571482716671</v>
      </c>
      <c r="P31" s="58">
        <v>0.42435735397381591</v>
      </c>
      <c r="Q31" s="58">
        <v>0.41167288103883509</v>
      </c>
    </row>
    <row r="32" spans="1:17" x14ac:dyDescent="0.25">
      <c r="A32" s="58">
        <v>2047</v>
      </c>
      <c r="B32" s="58">
        <v>0.9990087257859811</v>
      </c>
      <c r="C32" s="58">
        <v>0.99421211246755326</v>
      </c>
      <c r="D32" s="58">
        <v>0.9950289596585763</v>
      </c>
      <c r="E32" s="58">
        <v>0.9619014934507889</v>
      </c>
      <c r="F32" s="58">
        <v>0.9619014934507889</v>
      </c>
      <c r="G32" s="58">
        <v>0.99849380216421768</v>
      </c>
      <c r="H32" s="58">
        <v>0.96864780682398</v>
      </c>
      <c r="J32" s="58">
        <v>2047</v>
      </c>
      <c r="K32" s="58">
        <v>0.4188275813559062</v>
      </c>
      <c r="L32" s="58">
        <v>0.41681663400079066</v>
      </c>
      <c r="M32" s="58">
        <v>0.4171590916035352</v>
      </c>
      <c r="N32" s="58">
        <v>0.40327062777921668</v>
      </c>
      <c r="O32" s="58">
        <v>0.40327062777921668</v>
      </c>
      <c r="P32" s="58">
        <v>0.41861170314631746</v>
      </c>
      <c r="Q32" s="58">
        <v>0.40609897355861879</v>
      </c>
    </row>
    <row r="33" spans="1:17" x14ac:dyDescent="0.25">
      <c r="A33" s="58">
        <v>2048</v>
      </c>
      <c r="B33" s="58">
        <v>1.0189889003017008</v>
      </c>
      <c r="C33" s="58">
        <v>1.0140963547169044</v>
      </c>
      <c r="D33" s="58">
        <v>1.0149295388517479</v>
      </c>
      <c r="E33" s="58">
        <v>0.9811395233198047</v>
      </c>
      <c r="F33" s="58">
        <v>0.9811395233198047</v>
      </c>
      <c r="G33" s="58">
        <v>1.0184636782075021</v>
      </c>
      <c r="H33" s="58">
        <v>0.9880207629604596</v>
      </c>
      <c r="J33" s="58">
        <v>2048</v>
      </c>
      <c r="K33" s="58">
        <v>0.41315680172439478</v>
      </c>
      <c r="L33" s="58">
        <v>0.41117308189633112</v>
      </c>
      <c r="M33" s="58">
        <v>0.41151090274236535</v>
      </c>
      <c r="N33" s="58">
        <v>0.39781048388278623</v>
      </c>
      <c r="O33" s="58">
        <v>0.39781048388278623</v>
      </c>
      <c r="P33" s="58">
        <v>0.41294384643060317</v>
      </c>
      <c r="Q33" s="58">
        <v>0.40060053484505903</v>
      </c>
    </row>
    <row r="34" spans="1:17" x14ac:dyDescent="0.25">
      <c r="A34" s="58">
        <v>2049</v>
      </c>
      <c r="B34" s="58">
        <v>1.0393686783077347</v>
      </c>
      <c r="C34" s="58">
        <v>1.0343782818112426</v>
      </c>
      <c r="D34" s="58">
        <v>1.0352281296287829</v>
      </c>
      <c r="E34" s="58">
        <v>1.0007623137862007</v>
      </c>
      <c r="F34" s="58">
        <v>1.0007623137862007</v>
      </c>
      <c r="G34" s="58">
        <v>1.0388329517716521</v>
      </c>
      <c r="H34" s="58">
        <v>1.0077811782196688</v>
      </c>
      <c r="J34" s="58">
        <v>2049</v>
      </c>
      <c r="K34" s="58">
        <v>0.40756280247474153</v>
      </c>
      <c r="L34" s="58">
        <v>0.40560594152249313</v>
      </c>
      <c r="M34" s="58">
        <v>0.40593918839188858</v>
      </c>
      <c r="N34" s="58">
        <v>0.39242426843369632</v>
      </c>
      <c r="O34" s="58">
        <v>0.39242426843369632</v>
      </c>
      <c r="P34" s="58">
        <v>0.40735273052148491</v>
      </c>
      <c r="Q34" s="58">
        <v>0.39517654307733108</v>
      </c>
    </row>
    <row r="35" spans="1:17" x14ac:dyDescent="0.25">
      <c r="A35" s="58">
        <v>2050</v>
      </c>
      <c r="B35" s="58">
        <v>1.0601560518738895</v>
      </c>
      <c r="C35" s="58">
        <v>1.0550658474474675</v>
      </c>
      <c r="D35" s="58">
        <v>1.0559326922213585</v>
      </c>
      <c r="E35" s="58">
        <v>1.0207775600619247</v>
      </c>
      <c r="F35" s="58">
        <v>1.0207775600619247</v>
      </c>
      <c r="G35" s="58">
        <v>1.0596096108070852</v>
      </c>
      <c r="H35" s="58">
        <v>1.0279368017840622</v>
      </c>
      <c r="J35" s="58">
        <v>2050</v>
      </c>
      <c r="K35" s="58">
        <v>0.40204454402730805</v>
      </c>
      <c r="L35" s="58">
        <v>0.40011417829104745</v>
      </c>
      <c r="M35" s="58">
        <v>0.40044291311385538</v>
      </c>
      <c r="N35" s="58">
        <v>0.38711098046650899</v>
      </c>
      <c r="O35" s="58">
        <v>0.38711098046650899</v>
      </c>
      <c r="P35" s="58">
        <v>0.40183731637515924</v>
      </c>
      <c r="Q35" s="58">
        <v>0.38982599026970771</v>
      </c>
    </row>
    <row r="36" spans="1:17" x14ac:dyDescent="0.25">
      <c r="A36" s="58">
        <v>2051</v>
      </c>
      <c r="B36" s="58">
        <v>1.0813591729113674</v>
      </c>
      <c r="C36" s="58">
        <v>1.0761671643964168</v>
      </c>
      <c r="D36" s="58">
        <v>1.0770513460657858</v>
      </c>
      <c r="E36" s="58">
        <v>1.0411931112631632</v>
      </c>
      <c r="F36" s="58">
        <v>1.0411931112631632</v>
      </c>
      <c r="G36" s="58">
        <v>1.0808018030232269</v>
      </c>
      <c r="H36" s="58">
        <v>1.0484955378197436</v>
      </c>
      <c r="J36" s="58">
        <v>2051</v>
      </c>
      <c r="K36" s="58">
        <v>0.3966010008780021</v>
      </c>
      <c r="L36" s="58">
        <v>0.39469677162172956</v>
      </c>
      <c r="M36" s="58">
        <v>0.39502105548948979</v>
      </c>
      <c r="N36" s="58">
        <v>0.38186963256850981</v>
      </c>
      <c r="O36" s="58">
        <v>0.38186963256850981</v>
      </c>
      <c r="P36" s="58">
        <v>0.39639657901611453</v>
      </c>
      <c r="Q36" s="58">
        <v>0.38454788208423779</v>
      </c>
    </row>
    <row r="37" spans="1:17" x14ac:dyDescent="0.25">
      <c r="A37" s="58">
        <v>2052</v>
      </c>
      <c r="B37" s="58">
        <v>1.1029863563695947</v>
      </c>
      <c r="C37" s="58">
        <v>1.0976905076843451</v>
      </c>
      <c r="D37" s="58">
        <v>1.0985923729871014</v>
      </c>
      <c r="E37" s="58">
        <v>1.0620169734884264</v>
      </c>
      <c r="F37" s="58">
        <v>1.0620169734884264</v>
      </c>
      <c r="G37" s="58">
        <v>1.1024178390836914</v>
      </c>
      <c r="H37" s="58">
        <v>1.0694654485761386</v>
      </c>
      <c r="J37" s="58">
        <v>2052</v>
      </c>
      <c r="K37" s="58">
        <v>0.39123116140770031</v>
      </c>
      <c r="L37" s="58">
        <v>0.38935271475257649</v>
      </c>
      <c r="M37" s="58">
        <v>0.38967260792967073</v>
      </c>
      <c r="N37" s="58">
        <v>0.37669925069620885</v>
      </c>
      <c r="O37" s="58">
        <v>0.37669925069620885</v>
      </c>
      <c r="P37" s="58">
        <v>0.39102950734665065</v>
      </c>
      <c r="Q37" s="58">
        <v>0.37934123764595989</v>
      </c>
    </row>
    <row r="38" spans="1:17" x14ac:dyDescent="0.25">
      <c r="A38" s="58">
        <v>2053</v>
      </c>
      <c r="B38" s="58">
        <v>1.1250460834969866</v>
      </c>
      <c r="C38" s="58">
        <v>1.119644317838032</v>
      </c>
      <c r="D38" s="58">
        <v>1.1205642204468436</v>
      </c>
      <c r="E38" s="58">
        <v>1.0832573129581948</v>
      </c>
      <c r="F38" s="58">
        <v>1.0832573129581948</v>
      </c>
      <c r="G38" s="58">
        <v>1.1244661958653652</v>
      </c>
      <c r="H38" s="58">
        <v>1.0908547575476613</v>
      </c>
      <c r="J38" s="58">
        <v>2053</v>
      </c>
      <c r="K38" s="58">
        <v>0.38593402769424984</v>
      </c>
      <c r="L38" s="58">
        <v>0.38408101455283178</v>
      </c>
      <c r="M38" s="58">
        <v>0.38439657648768299</v>
      </c>
      <c r="N38" s="58">
        <v>0.37159887399432595</v>
      </c>
      <c r="O38" s="58">
        <v>0.37159887399432595</v>
      </c>
      <c r="P38" s="58">
        <v>0.38573510395897842</v>
      </c>
      <c r="Q38" s="58">
        <v>0.37420508936061808</v>
      </c>
    </row>
    <row r="39" spans="1:17" x14ac:dyDescent="0.25">
      <c r="A39" s="58">
        <v>2054</v>
      </c>
      <c r="B39" s="58">
        <v>1.1475470051669263</v>
      </c>
      <c r="C39" s="58">
        <v>1.1420372041947926</v>
      </c>
      <c r="D39" s="58">
        <v>1.1429755048557804</v>
      </c>
      <c r="E39" s="58">
        <v>1.1049224592173588</v>
      </c>
      <c r="F39" s="58">
        <v>1.1049224592173588</v>
      </c>
      <c r="G39" s="58">
        <v>1.1469555197826726</v>
      </c>
      <c r="H39" s="58">
        <v>1.1126718526986146</v>
      </c>
      <c r="J39" s="58">
        <v>2054</v>
      </c>
      <c r="K39" s="58">
        <v>0.38070861532701622</v>
      </c>
      <c r="L39" s="58">
        <v>0.37888069133838331</v>
      </c>
      <c r="M39" s="58">
        <v>0.37919198067450349</v>
      </c>
      <c r="N39" s="58">
        <v>0.36656755461722673</v>
      </c>
      <c r="O39" s="58">
        <v>0.36656755461722673</v>
      </c>
      <c r="P39" s="58">
        <v>0.38051238494986261</v>
      </c>
      <c r="Q39" s="58">
        <v>0.36913848273484573</v>
      </c>
    </row>
    <row r="40" spans="1:17" x14ac:dyDescent="0.25">
      <c r="A40" s="58">
        <v>2055</v>
      </c>
      <c r="B40" s="58">
        <v>1.1704979452702649</v>
      </c>
      <c r="C40" s="58">
        <v>1.1648779482786884</v>
      </c>
      <c r="D40" s="58">
        <v>1.165835014952896</v>
      </c>
      <c r="E40" s="58">
        <v>1.127020908401706</v>
      </c>
      <c r="F40" s="58">
        <v>1.127020908401706</v>
      </c>
      <c r="G40" s="58">
        <v>1.1698946301783262</v>
      </c>
      <c r="H40" s="58">
        <v>1.1349252897525868</v>
      </c>
      <c r="J40" s="58">
        <v>2055</v>
      </c>
      <c r="K40" s="58">
        <v>0.37555395322394253</v>
      </c>
      <c r="L40" s="58">
        <v>0.37375077868970119</v>
      </c>
      <c r="M40" s="58">
        <v>0.37405785327658952</v>
      </c>
      <c r="N40" s="58">
        <v>0.36160435755277687</v>
      </c>
      <c r="O40" s="58">
        <v>0.36160435755277687</v>
      </c>
      <c r="P40" s="58">
        <v>0.37536037973777558</v>
      </c>
      <c r="Q40" s="58">
        <v>0.36414047619878398</v>
      </c>
    </row>
    <row r="41" spans="1:17" x14ac:dyDescent="0.25">
      <c r="A41" s="58">
        <v>2056</v>
      </c>
      <c r="B41" s="58">
        <v>1.1939079041756702</v>
      </c>
      <c r="C41" s="58">
        <v>1.1881755072442621</v>
      </c>
      <c r="D41" s="58">
        <v>1.189151715251954</v>
      </c>
      <c r="E41" s="58">
        <v>1.1495613265697402</v>
      </c>
      <c r="F41" s="58">
        <v>1.1495613265697402</v>
      </c>
      <c r="G41" s="58">
        <v>1.1932925227818927</v>
      </c>
      <c r="H41" s="58">
        <v>1.1576237955476385</v>
      </c>
      <c r="J41" s="58">
        <v>2056</v>
      </c>
      <c r="K41" s="58">
        <v>0.37046908345108448</v>
      </c>
      <c r="L41" s="58">
        <v>0.36869032327223905</v>
      </c>
      <c r="M41" s="58">
        <v>0.36899324017613283</v>
      </c>
      <c r="N41" s="58">
        <v>0.35670836044858067</v>
      </c>
      <c r="O41" s="58">
        <v>0.35670836044858067</v>
      </c>
      <c r="P41" s="58">
        <v>0.3702781308825252</v>
      </c>
      <c r="Q41" s="58">
        <v>0.35921014093110215</v>
      </c>
    </row>
    <row r="42" spans="1:17" x14ac:dyDescent="0.25">
      <c r="A42" s="58">
        <v>2057</v>
      </c>
      <c r="B42" s="58">
        <v>1.2177860622591836</v>
      </c>
      <c r="C42" s="58">
        <v>1.2119390173891473</v>
      </c>
      <c r="D42" s="58">
        <v>1.2129347495569931</v>
      </c>
      <c r="E42" s="58">
        <v>1.1725525531011349</v>
      </c>
      <c r="F42" s="58">
        <v>1.1725525531011349</v>
      </c>
      <c r="G42" s="58">
        <v>1.2171583732375306</v>
      </c>
      <c r="H42" s="58">
        <v>1.1807762714585912</v>
      </c>
      <c r="J42" s="58">
        <v>2057</v>
      </c>
      <c r="K42" s="58">
        <v>0.36545306104459019</v>
      </c>
      <c r="L42" s="58">
        <v>0.36369838465926874</v>
      </c>
      <c r="M42" s="58">
        <v>0.36399720017374809</v>
      </c>
      <c r="N42" s="58">
        <v>0.35187865344057284</v>
      </c>
      <c r="O42" s="58">
        <v>0.35187865344057284</v>
      </c>
      <c r="P42" s="58">
        <v>0.36526469390732669</v>
      </c>
      <c r="Q42" s="58">
        <v>0.35434656068638709</v>
      </c>
    </row>
    <row r="43" spans="1:17" x14ac:dyDescent="0.25">
      <c r="A43" s="58">
        <v>2058</v>
      </c>
      <c r="B43" s="58">
        <v>1.2421417835043673</v>
      </c>
      <c r="C43" s="58">
        <v>1.2361777977369304</v>
      </c>
      <c r="D43" s="58">
        <v>1.237193444548133</v>
      </c>
      <c r="E43" s="58">
        <v>1.1960036041631577</v>
      </c>
      <c r="F43" s="58">
        <v>1.1960036041631577</v>
      </c>
      <c r="G43" s="58">
        <v>1.2415015407022814</v>
      </c>
      <c r="H43" s="58">
        <v>1.2043917968877631</v>
      </c>
      <c r="J43" s="58">
        <v>2058</v>
      </c>
      <c r="K43" s="58">
        <v>0.36050495383508901</v>
      </c>
      <c r="L43" s="58">
        <v>0.35877403515711231</v>
      </c>
      <c r="M43" s="58">
        <v>0.35906880481356196</v>
      </c>
      <c r="N43" s="58">
        <v>0.34711433898393068</v>
      </c>
      <c r="O43" s="58">
        <v>0.34711433898393068</v>
      </c>
      <c r="P43" s="58">
        <v>0.36031913712328173</v>
      </c>
      <c r="Q43" s="58">
        <v>0.34954883162486927</v>
      </c>
    </row>
    <row r="44" spans="1:17" x14ac:dyDescent="0.25">
      <c r="A44" s="58">
        <v>2059</v>
      </c>
      <c r="B44" s="58">
        <v>1.2669846191744547</v>
      </c>
      <c r="C44" s="58">
        <v>1.2609013536916689</v>
      </c>
      <c r="D44" s="58">
        <v>1.2619373134390957</v>
      </c>
      <c r="E44" s="58">
        <v>1.2199236762464207</v>
      </c>
      <c r="F44" s="58">
        <v>1.2199236762464207</v>
      </c>
      <c r="G44" s="58">
        <v>1.266331571516327</v>
      </c>
      <c r="H44" s="58">
        <v>1.2284796328255183</v>
      </c>
      <c r="J44" s="58">
        <v>2059</v>
      </c>
      <c r="K44" s="58">
        <v>0.3556238422744592</v>
      </c>
      <c r="L44" s="58">
        <v>0.35391635963274137</v>
      </c>
      <c r="M44" s="58">
        <v>0.35420713821067046</v>
      </c>
      <c r="N44" s="58">
        <v>0.34241453168627595</v>
      </c>
      <c r="O44" s="58">
        <v>0.34241453168627595</v>
      </c>
      <c r="P44" s="58">
        <v>0.35544054145623538</v>
      </c>
      <c r="Q44" s="58">
        <v>0.3448160621444552</v>
      </c>
    </row>
    <row r="45" spans="1:17" x14ac:dyDescent="0.25">
      <c r="A45" s="58">
        <v>2060</v>
      </c>
      <c r="B45" s="58">
        <v>1.2923243115579439</v>
      </c>
      <c r="C45" s="58">
        <v>1.2861193807655023</v>
      </c>
      <c r="D45" s="58">
        <v>1.2871760597078776</v>
      </c>
      <c r="E45" s="58">
        <v>1.2443221497713493</v>
      </c>
      <c r="F45" s="58">
        <v>1.2443221497713493</v>
      </c>
      <c r="G45" s="58">
        <v>1.2916582029466537</v>
      </c>
      <c r="H45" s="58">
        <v>1.2530492254820287</v>
      </c>
      <c r="J45" s="58">
        <v>2060</v>
      </c>
      <c r="K45" s="58">
        <v>0.3508088192649404</v>
      </c>
      <c r="L45" s="58">
        <v>0.34912445534371001</v>
      </c>
      <c r="M45" s="58">
        <v>0.34941129688093214</v>
      </c>
      <c r="N45" s="58">
        <v>0.33777835814313484</v>
      </c>
      <c r="O45" s="58">
        <v>0.33777835814313484</v>
      </c>
      <c r="P45" s="58">
        <v>0.35062800027597685</v>
      </c>
      <c r="Q45" s="58">
        <v>0.34014737271503315</v>
      </c>
    </row>
    <row r="46" spans="1:17" x14ac:dyDescent="0.25">
      <c r="A46" s="58">
        <v>2061</v>
      </c>
      <c r="B46" s="58">
        <v>1.3181707977891028</v>
      </c>
      <c r="C46" s="58">
        <v>1.3118417683808123</v>
      </c>
      <c r="D46" s="58">
        <v>1.3129195809020353</v>
      </c>
      <c r="E46" s="58">
        <v>1.2692085927667762</v>
      </c>
      <c r="F46" s="58">
        <v>1.2692085927667762</v>
      </c>
      <c r="G46" s="58">
        <v>1.3174913670055868</v>
      </c>
      <c r="H46" s="58">
        <v>1.2781102099916692</v>
      </c>
      <c r="J46" s="58">
        <v>2061</v>
      </c>
      <c r="K46" s="58">
        <v>0.34605898999056023</v>
      </c>
      <c r="L46" s="58">
        <v>0.34439743177039095</v>
      </c>
      <c r="M46" s="58">
        <v>0.34468038957306663</v>
      </c>
      <c r="N46" s="58">
        <v>0.33320495677562628</v>
      </c>
      <c r="O46" s="58">
        <v>0.33320495677562628</v>
      </c>
      <c r="P46" s="58">
        <v>0.34588061922775287</v>
      </c>
      <c r="Q46" s="58">
        <v>0.33554189571502308</v>
      </c>
    </row>
    <row r="47" spans="1:17" x14ac:dyDescent="0.25">
      <c r="A47" s="58">
        <v>2062</v>
      </c>
      <c r="B47" s="58">
        <v>1.344534213744885</v>
      </c>
      <c r="C47" s="58">
        <v>1.3380786037484287</v>
      </c>
      <c r="D47" s="58">
        <v>1.3391779725200761</v>
      </c>
      <c r="E47" s="58">
        <v>1.2945927646221118</v>
      </c>
      <c r="F47" s="58">
        <v>1.2945927646221118</v>
      </c>
      <c r="G47" s="58">
        <v>1.3438411943456985</v>
      </c>
      <c r="H47" s="58">
        <v>1.3036724141915026</v>
      </c>
      <c r="J47" s="58">
        <v>2062</v>
      </c>
      <c r="K47" s="58">
        <v>0.34137347175084282</v>
      </c>
      <c r="L47" s="58">
        <v>0.33973441045048242</v>
      </c>
      <c r="M47" s="58">
        <v>0.34001353710302512</v>
      </c>
      <c r="N47" s="58">
        <v>0.32869347767034707</v>
      </c>
      <c r="O47" s="58">
        <v>0.32869347767034707</v>
      </c>
      <c r="P47" s="58">
        <v>0.3411975160660618</v>
      </c>
      <c r="Q47" s="58">
        <v>0.33099877527013882</v>
      </c>
    </row>
    <row r="48" spans="1:17" x14ac:dyDescent="0.25">
      <c r="A48" s="58">
        <v>2063</v>
      </c>
      <c r="B48" s="58">
        <v>1.3714248980197827</v>
      </c>
      <c r="C48" s="58">
        <v>1.3648401758233972</v>
      </c>
      <c r="D48" s="58">
        <v>1.3659615319704776</v>
      </c>
      <c r="E48" s="58">
        <v>1.3204846199145541</v>
      </c>
      <c r="F48" s="58">
        <v>1.3204846199145541</v>
      </c>
      <c r="G48" s="58">
        <v>1.3707180182326124</v>
      </c>
      <c r="H48" s="58">
        <v>1.3297458624753327</v>
      </c>
      <c r="J48" s="58">
        <v>2063</v>
      </c>
      <c r="K48" s="58">
        <v>0.33675139379676955</v>
      </c>
      <c r="L48" s="58">
        <v>0.33513452481575634</v>
      </c>
      <c r="M48" s="58">
        <v>0.33540987219060509</v>
      </c>
      <c r="N48" s="58">
        <v>0.32424308242142558</v>
      </c>
      <c r="O48" s="58">
        <v>0.32424308242142558</v>
      </c>
      <c r="P48" s="58">
        <v>0.33657782049069929</v>
      </c>
      <c r="Q48" s="58">
        <v>0.32651716709433426</v>
      </c>
    </row>
    <row r="49" spans="1:17" x14ac:dyDescent="0.25">
      <c r="A49" s="58">
        <v>2064</v>
      </c>
      <c r="B49" s="58">
        <v>1.3988533959801783</v>
      </c>
      <c r="C49" s="58">
        <v>1.3921369793398652</v>
      </c>
      <c r="D49" s="58">
        <v>1.3932807626098873</v>
      </c>
      <c r="E49" s="58">
        <v>1.3468943123128452</v>
      </c>
      <c r="F49" s="58">
        <v>1.3468943123128452</v>
      </c>
      <c r="G49" s="58">
        <v>1.3981323785972646</v>
      </c>
      <c r="H49" s="58">
        <v>1.3563407797248392</v>
      </c>
      <c r="J49" s="58">
        <v>2064</v>
      </c>
      <c r="K49" s="58">
        <v>0.33219189716896019</v>
      </c>
      <c r="L49" s="58">
        <v>0.33059692003101682</v>
      </c>
      <c r="M49" s="58">
        <v>0.33086853929827575</v>
      </c>
      <c r="N49" s="58">
        <v>0.3198529439747137</v>
      </c>
      <c r="O49" s="58">
        <v>0.3198529439747137</v>
      </c>
      <c r="P49" s="58">
        <v>0.33202067398502239</v>
      </c>
      <c r="Q49" s="58">
        <v>0.32209623833290213</v>
      </c>
    </row>
    <row r="50" spans="1:17" x14ac:dyDescent="0.25">
      <c r="A50" s="58">
        <v>2065</v>
      </c>
      <c r="B50" s="58">
        <v>1.426830463899782</v>
      </c>
      <c r="C50" s="58">
        <v>1.4199797189266625</v>
      </c>
      <c r="D50" s="58">
        <v>1.421146377862085</v>
      </c>
      <c r="E50" s="58">
        <v>1.3738321985591022</v>
      </c>
      <c r="F50" s="58">
        <v>1.3738321985591022</v>
      </c>
      <c r="G50" s="58">
        <v>1.4260950261692098</v>
      </c>
      <c r="H50" s="58">
        <v>1.3834675953193361</v>
      </c>
      <c r="J50" s="58">
        <v>2065</v>
      </c>
      <c r="K50" s="58">
        <v>0.32769413453804591</v>
      </c>
      <c r="L50" s="58">
        <v>0.32612075283523911</v>
      </c>
      <c r="M50" s="58">
        <v>0.32638869447218699</v>
      </c>
      <c r="N50" s="58">
        <v>0.31552224647408911</v>
      </c>
      <c r="O50" s="58">
        <v>0.31552224647408911</v>
      </c>
      <c r="P50" s="58">
        <v>0.32752522965640513</v>
      </c>
      <c r="Q50" s="58">
        <v>0.31773516740769853</v>
      </c>
    </row>
    <row r="51" spans="1:17" x14ac:dyDescent="0.25">
      <c r="A51" s="58">
        <v>2066</v>
      </c>
      <c r="B51" s="58">
        <v>1.4553670731777777</v>
      </c>
      <c r="C51" s="58">
        <v>1.4483793133051959</v>
      </c>
      <c r="D51" s="58">
        <v>1.4495693054193266</v>
      </c>
      <c r="E51" s="58">
        <v>1.4013088425302842</v>
      </c>
      <c r="F51" s="58">
        <v>1.4013088425302842</v>
      </c>
      <c r="G51" s="58">
        <v>1.4546169266925941</v>
      </c>
      <c r="H51" s="58">
        <v>1.4111369472257227</v>
      </c>
      <c r="J51" s="58">
        <v>2066</v>
      </c>
      <c r="K51" s="58">
        <v>0.32325727004720201</v>
      </c>
      <c r="L51" s="58">
        <v>0.32170519138485876</v>
      </c>
      <c r="M51" s="58">
        <v>0.32196950518532952</v>
      </c>
      <c r="N51" s="58">
        <v>0.31125018510983643</v>
      </c>
      <c r="O51" s="58">
        <v>0.31125018510983643</v>
      </c>
      <c r="P51" s="58">
        <v>0.32309065207885229</v>
      </c>
      <c r="Q51" s="58">
        <v>0.31343314386446086</v>
      </c>
    </row>
  </sheetData>
  <mergeCells count="5">
    <mergeCell ref="A1:H3"/>
    <mergeCell ref="J1:Q3"/>
    <mergeCell ref="R5:V6"/>
    <mergeCell ref="R7:V8"/>
    <mergeCell ref="R10:V11"/>
  </mergeCells>
  <pageMargins left="0.7" right="0.7" top="0.75" bottom="0.75" header="0.3" footer="0.3"/>
  <pageSetup scale="72" orientation="portrait"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C791D-2E8D-4B16-B768-63522E24FF7C}">
  <sheetPr>
    <tabColor rgb="FF00B050"/>
  </sheetPr>
  <dimension ref="A1:V48"/>
  <sheetViews>
    <sheetView view="pageBreakPreview" zoomScaleNormal="100" zoomScaleSheetLayoutView="100" workbookViewId="0">
      <selection sqref="A1:H1"/>
    </sheetView>
  </sheetViews>
  <sheetFormatPr defaultRowHeight="15" x14ac:dyDescent="0.25"/>
  <cols>
    <col min="1" max="1" width="5" style="45" bestFit="1" customWidth="1"/>
    <col min="2" max="6" width="9.7109375" style="45" customWidth="1"/>
    <col min="7" max="7" width="11.5703125" style="45" bestFit="1" customWidth="1"/>
    <col min="8" max="8" width="8" style="45" bestFit="1" customWidth="1"/>
    <col min="9" max="9" width="9.140625" style="45"/>
    <col min="10" max="10" width="5" style="45" bestFit="1" customWidth="1"/>
    <col min="11" max="15" width="10.28515625" style="45" customWidth="1"/>
    <col min="16" max="16" width="11.5703125" style="45" bestFit="1" customWidth="1"/>
    <col min="17" max="17" width="8" style="45" bestFit="1" customWidth="1"/>
    <col min="18" max="18" width="9.140625" style="45"/>
    <col min="19" max="19" width="9.85546875" style="45" bestFit="1" customWidth="1"/>
    <col min="20" max="16384" width="9.140625" style="45"/>
  </cols>
  <sheetData>
    <row r="1" spans="1:22" x14ac:dyDescent="0.25">
      <c r="A1" s="184" t="s">
        <v>209</v>
      </c>
      <c r="B1" s="185"/>
      <c r="C1" s="185"/>
      <c r="D1" s="185"/>
      <c r="E1" s="185"/>
      <c r="F1" s="185"/>
      <c r="G1" s="185"/>
      <c r="H1" s="186"/>
      <c r="J1" s="184" t="s">
        <v>253</v>
      </c>
      <c r="K1" s="185"/>
      <c r="L1" s="185"/>
      <c r="M1" s="185"/>
      <c r="N1" s="185"/>
      <c r="O1" s="185"/>
      <c r="P1" s="185"/>
      <c r="Q1" s="186"/>
    </row>
    <row r="2" spans="1:22" x14ac:dyDescent="0.25">
      <c r="A2" s="158"/>
      <c r="B2" s="159" t="s">
        <v>27</v>
      </c>
      <c r="C2" s="159" t="s">
        <v>28</v>
      </c>
      <c r="D2" s="159" t="s">
        <v>29</v>
      </c>
      <c r="E2" s="159" t="s">
        <v>30</v>
      </c>
      <c r="F2" s="159" t="s">
        <v>31</v>
      </c>
      <c r="G2" s="159" t="s">
        <v>32</v>
      </c>
      <c r="H2" s="160" t="s">
        <v>33</v>
      </c>
      <c r="J2" s="157"/>
      <c r="K2" s="157" t="s">
        <v>27</v>
      </c>
      <c r="L2" s="157" t="s">
        <v>28</v>
      </c>
      <c r="M2" s="157" t="s">
        <v>29</v>
      </c>
      <c r="N2" s="157" t="s">
        <v>30</v>
      </c>
      <c r="O2" s="157" t="s">
        <v>31</v>
      </c>
      <c r="P2" s="157" t="s">
        <v>32</v>
      </c>
      <c r="Q2" s="157" t="s">
        <v>33</v>
      </c>
    </row>
    <row r="3" spans="1:22" ht="15.75" thickBot="1" x14ac:dyDescent="0.3">
      <c r="A3" s="157">
        <v>2021</v>
      </c>
      <c r="B3" s="161">
        <f>('INCRM FIXED TRANSPORT'!$B5+'VARIABLE TRANSPORT'!$B5+'FIXED STORAGE'!$B5+'VARIABLE STORAGE'!$B5+(('COMMODITY COST'!B4+'NEW CARBON TAX'!$B6)*'ENVIRONMENTAL ADDER'!$B5)+'DISTRIBUTION SYSTEM'!B5+'RISK PREMIUM'!$B6)/10</f>
        <v>0.88526403799731646</v>
      </c>
      <c r="C3" s="161">
        <f>('INCRM FIXED TRANSPORT'!$B5+'VARIABLE TRANSPORT'!$B5+'FIXED STORAGE'!$B5+'VARIABLE STORAGE'!$B5+(('COMMODITY COST'!C4+'NEW CARBON TAX'!$B6)*'ENVIRONMENTAL ADDER'!$B5)+'DISTRIBUTION SYSTEM'!C5+'RISK PREMIUM'!$B6)/10</f>
        <v>0.87629995686031825</v>
      </c>
      <c r="D3" s="161">
        <f>('INCRM FIXED TRANSPORT'!$B5+'VARIABLE TRANSPORT'!$B5+'FIXED STORAGE'!$B5+'VARIABLE STORAGE'!$B5+(('COMMODITY COST'!D4+'NEW CARBON TAX'!$B6)*'ENVIRONMENTAL ADDER'!$B5)+'DISTRIBUTION SYSTEM'!D5+'RISK PREMIUM'!$B6)/10</f>
        <v>0.8779125268918534</v>
      </c>
      <c r="E3" s="161">
        <f>('INCRM FIXED TRANSPORT'!$B5+'VARIABLE TRANSPORT'!$B5+'FIXED STORAGE'!$B5+'VARIABLE STORAGE'!$B5+(('COMMODITY COST'!E4+'NEW CARBON TAX'!$C6)*'ENVIRONMENTAL ADDER'!$B5)+'DISTRIBUTION SYSTEM'!E5+'RISK PREMIUM'!$B6)/10</f>
        <v>0.83878244671245383</v>
      </c>
      <c r="F3" s="161">
        <f>('INCRM FIXED TRANSPORT'!$B5+'VARIABLE TRANSPORT'!$B5+'FIXED STORAGE'!$B5+'VARIABLE STORAGE'!$B5+(('COMMODITY COST'!F4+'NEW CARBON TAX'!$C6)*'ENVIRONMENTAL ADDER'!$B5)+'DISTRIBUTION SYSTEM'!F5+'RISK PREMIUM'!$B6)/10</f>
        <v>0.83878244671245383</v>
      </c>
      <c r="G3" s="161">
        <f>('INCRM FIXED TRANSPORT'!$B5+'VARIABLE TRANSPORT'!$B5+'FIXED STORAGE'!$B5+'VARIABLE STORAGE'!$B5+(('COMMODITY COST'!G4+'NEW CARBON TAX'!$B6)*'ENVIRONMENTAL ADDER'!$B5)+'DISTRIBUTION SYSTEM'!G5+'RISK PREMIUM'!$B6)/10</f>
        <v>0.88445163236383117</v>
      </c>
      <c r="H3" s="161">
        <f>('INCRM FIXED TRANSPORT'!$B5+'VARIABLE TRANSPORT'!$B5+'FIXED STORAGE'!$B5+'VARIABLE STORAGE'!$B5+(('COMMODITY COST'!H4+'NEW CARBON TAX'!$D6)*'ENVIRONMENTAL ADDER'!$B5)+'DISTRIBUTION SYSTEM'!H5+'RISK PREMIUM'!$B6)/10</f>
        <v>0.84908624712751979</v>
      </c>
      <c r="J3" s="157">
        <v>2021</v>
      </c>
      <c r="K3" s="161">
        <f t="shared" ref="K3:K48" si="0">B3/POWER((1+$R$6),$A3-$A$3)</f>
        <v>0.88526403799731646</v>
      </c>
      <c r="L3" s="161">
        <f t="shared" ref="L3:L48" si="1">C3/POWER((1+$R$6),$A3-$A$3)</f>
        <v>0.87629995686031825</v>
      </c>
      <c r="M3" s="161">
        <f t="shared" ref="M3:M48" si="2">D3/POWER((1+$R$6),$A3-$A$3)</f>
        <v>0.8779125268918534</v>
      </c>
      <c r="N3" s="161">
        <f t="shared" ref="N3:N48" si="3">E3/POWER((1+$R$6),$A3-$A$3)</f>
        <v>0.83878244671245383</v>
      </c>
      <c r="O3" s="161">
        <f t="shared" ref="O3:O48" si="4">F3/POWER((1+$R$6),$A3-$A$3)</f>
        <v>0.83878244671245383</v>
      </c>
      <c r="P3" s="161">
        <f t="shared" ref="P3:P48" si="5">G3/POWER((1+$R$6),$A3-$A$3)</f>
        <v>0.88445163236383117</v>
      </c>
      <c r="Q3" s="161">
        <f t="shared" ref="Q3:Q48" si="6">H3/POWER((1+$R$6),$A3-$A$3)</f>
        <v>0.84908624712751979</v>
      </c>
    </row>
    <row r="4" spans="1:22" ht="15" customHeight="1" x14ac:dyDescent="0.25">
      <c r="A4" s="157">
        <v>2022</v>
      </c>
      <c r="B4" s="161">
        <f>('INCRM FIXED TRANSPORT'!$B6+'VARIABLE TRANSPORT'!$B6+'FIXED STORAGE'!$B6+'VARIABLE STORAGE'!$B6+(('COMMODITY COST'!B5+'NEW CARBON TAX'!$B7)*'ENVIRONMENTAL ADDER'!$B6)+'DISTRIBUTION SYSTEM'!B6+'RISK PREMIUM'!$B7)/10</f>
        <v>0.84188955434993029</v>
      </c>
      <c r="C4" s="161">
        <f>('INCRM FIXED TRANSPORT'!$B6+'VARIABLE TRANSPORT'!$B6+'FIXED STORAGE'!$B6+'VARIABLE STORAGE'!$B6+(('COMMODITY COST'!C5+'NEW CARBON TAX'!$B7)*'ENVIRONMENTAL ADDER'!$B6)+'DISTRIBUTION SYSTEM'!C6+'RISK PREMIUM'!$B7)/10</f>
        <v>0.83707608704134839</v>
      </c>
      <c r="D4" s="161">
        <f>('INCRM FIXED TRANSPORT'!$B6+'VARIABLE TRANSPORT'!$B6+'FIXED STORAGE'!$B6+'VARIABLE STORAGE'!$B6+(('COMMODITY COST'!D5+'NEW CARBON TAX'!$B7)*'ENVIRONMENTAL ADDER'!$B6)+'DISTRIBUTION SYSTEM'!D6+'RISK PREMIUM'!$B7)/10</f>
        <v>0.83794346353007876</v>
      </c>
      <c r="E4" s="161">
        <f>('INCRM FIXED TRANSPORT'!$B6+'VARIABLE TRANSPORT'!$B6+'FIXED STORAGE'!$B6+'VARIABLE STORAGE'!$B6+(('COMMODITY COST'!E5+'NEW CARBON TAX'!$C7)*'ENVIRONMENTAL ADDER'!$B6)+'DISTRIBUTION SYSTEM'!E6+'RISK PREMIUM'!$B7)/10</f>
        <v>0.80949955677134822</v>
      </c>
      <c r="F4" s="161">
        <f>('INCRM FIXED TRANSPORT'!$B6+'VARIABLE TRANSPORT'!$B6+'FIXED STORAGE'!$B6+'VARIABLE STORAGE'!$B6+(('COMMODITY COST'!F5+'NEW CARBON TAX'!$C7)*'ENVIRONMENTAL ADDER'!$B6)+'DISTRIBUTION SYSTEM'!F6+'RISK PREMIUM'!$B7)/10</f>
        <v>0.80949955677134822</v>
      </c>
      <c r="G4" s="161">
        <f>('INCRM FIXED TRANSPORT'!$B6+'VARIABLE TRANSPORT'!$B6+'FIXED STORAGE'!$B6+'VARIABLE STORAGE'!$B6+(('COMMODITY COST'!G5+'NEW CARBON TAX'!$B7)*'ENVIRONMENTAL ADDER'!$B6)+'DISTRIBUTION SYSTEM'!G6+'RISK PREMIUM'!$B7)/10</f>
        <v>0.84138131371790315</v>
      </c>
      <c r="H4" s="161">
        <f>('INCRM FIXED TRANSPORT'!$B6+'VARIABLE TRANSPORT'!$B6+'FIXED STORAGE'!$B6+'VARIABLE STORAGE'!$B6+(('COMMODITY COST'!H5+'NEW CARBON TAX'!$D7)*'ENVIRONMENTAL ADDER'!$B6)+'DISTRIBUTION SYSTEM'!H6+'RISK PREMIUM'!$B7)/10</f>
        <v>0.81579864189492279</v>
      </c>
      <c r="J4" s="157">
        <v>2022</v>
      </c>
      <c r="K4" s="161">
        <f t="shared" si="0"/>
        <v>0.81420653225331752</v>
      </c>
      <c r="L4" s="161">
        <f t="shared" si="1"/>
        <v>0.80955134143263863</v>
      </c>
      <c r="M4" s="161">
        <f t="shared" si="2"/>
        <v>0.81039019683760027</v>
      </c>
      <c r="N4" s="161">
        <f t="shared" si="3"/>
        <v>0.78288158295101373</v>
      </c>
      <c r="O4" s="161">
        <f t="shared" si="4"/>
        <v>0.78288158295101373</v>
      </c>
      <c r="P4" s="161">
        <f t="shared" si="5"/>
        <v>0.81371500359565097</v>
      </c>
      <c r="Q4" s="161">
        <f t="shared" si="6"/>
        <v>0.78897354148445142</v>
      </c>
      <c r="R4" s="174" t="s">
        <v>69</v>
      </c>
      <c r="S4" s="174"/>
      <c r="T4" s="174"/>
      <c r="U4" s="174"/>
      <c r="V4" s="175"/>
    </row>
    <row r="5" spans="1:22" ht="15" customHeight="1" x14ac:dyDescent="0.25">
      <c r="A5" s="157">
        <v>2023</v>
      </c>
      <c r="B5" s="161">
        <f>('INCRM FIXED TRANSPORT'!$B7+'VARIABLE TRANSPORT'!$B7+'FIXED STORAGE'!$B7+'VARIABLE STORAGE'!$B7+(('COMMODITY COST'!B6+'NEW CARBON TAX'!$B8)*'ENVIRONMENTAL ADDER'!$B7)+'DISTRIBUTION SYSTEM'!B7+'RISK PREMIUM'!$B8)/10</f>
        <v>0.81412453218279401</v>
      </c>
      <c r="C5" s="161">
        <f>('INCRM FIXED TRANSPORT'!$B7+'VARIABLE TRANSPORT'!$B7+'FIXED STORAGE'!$B7+'VARIABLE STORAGE'!$B7+(('COMMODITY COST'!C6+'NEW CARBON TAX'!$B8)*'ENVIRONMENTAL ADDER'!$B7)+'DISTRIBUTION SYSTEM'!C7+'RISK PREMIUM'!$B8)/10</f>
        <v>0.81177452655447957</v>
      </c>
      <c r="D5" s="161">
        <f>('INCRM FIXED TRANSPORT'!$B7+'VARIABLE TRANSPORT'!$B7+'FIXED STORAGE'!$B7+'VARIABLE STORAGE'!$B7+(('COMMODITY COST'!D6+'NEW CARBON TAX'!$B8)*'ENVIRONMENTAL ADDER'!$B7)+'DISTRIBUTION SYSTEM'!D7+'RISK PREMIUM'!$B8)/10</f>
        <v>0.81219668150099122</v>
      </c>
      <c r="E5" s="161">
        <f>('INCRM FIXED TRANSPORT'!$B7+'VARIABLE TRANSPORT'!$B7+'FIXED STORAGE'!$B7+'VARIABLE STORAGE'!$B7+(('COMMODITY COST'!E6+'NEW CARBON TAX'!$C8)*'ENVIRONMENTAL ADDER'!$B7)+'DISTRIBUTION SYSTEM'!E7+'RISK PREMIUM'!$B8)/10</f>
        <v>0.7913886105314959</v>
      </c>
      <c r="F5" s="161">
        <f>('INCRM FIXED TRANSPORT'!$B7+'VARIABLE TRANSPORT'!$B7+'FIXED STORAGE'!$B7+'VARIABLE STORAGE'!$B7+(('COMMODITY COST'!F6+'NEW CARBON TAX'!$C8)*'ENVIRONMENTAL ADDER'!$B7)+'DISTRIBUTION SYSTEM'!F7+'RISK PREMIUM'!$B8)/10</f>
        <v>0.7913886105314959</v>
      </c>
      <c r="G5" s="161">
        <f>('INCRM FIXED TRANSPORT'!$B7+'VARIABLE TRANSPORT'!$B7+'FIXED STORAGE'!$B7+'VARIABLE STORAGE'!$B7+(('COMMODITY COST'!G6+'NEW CARBON TAX'!$B8)*'ENVIRONMENTAL ADDER'!$B7)+'DISTRIBUTION SYSTEM'!G7+'RISK PREMIUM'!$B8)/10</f>
        <v>0.81379817445570879</v>
      </c>
      <c r="H5" s="161">
        <f>('INCRM FIXED TRANSPORT'!$B7+'VARIABLE TRANSPORT'!$B7+'FIXED STORAGE'!$B7+'VARIABLE STORAGE'!$B7+(('COMMODITY COST'!H6+'NEW CARBON TAX'!$D8)*'ENVIRONMENTAL ADDER'!$B7)+'DISTRIBUTION SYSTEM'!H7+'RISK PREMIUM'!$B8)/10</f>
        <v>0.79512236086902932</v>
      </c>
      <c r="J5" s="157">
        <v>2023</v>
      </c>
      <c r="K5" s="161">
        <f t="shared" si="0"/>
        <v>0.76146468072273277</v>
      </c>
      <c r="L5" s="161">
        <f t="shared" si="1"/>
        <v>0.75926668003030384</v>
      </c>
      <c r="M5" s="161">
        <f t="shared" si="2"/>
        <v>0.75966152881430893</v>
      </c>
      <c r="N5" s="161">
        <f t="shared" si="3"/>
        <v>0.74019938206538227</v>
      </c>
      <c r="O5" s="161">
        <f t="shared" si="4"/>
        <v>0.74019938206538227</v>
      </c>
      <c r="P5" s="161">
        <f t="shared" si="5"/>
        <v>0.76115943272610243</v>
      </c>
      <c r="Q5" s="161">
        <f t="shared" si="6"/>
        <v>0.74369162298956315</v>
      </c>
      <c r="R5" s="176"/>
      <c r="S5" s="176"/>
      <c r="T5" s="176"/>
      <c r="U5" s="176"/>
      <c r="V5" s="177"/>
    </row>
    <row r="6" spans="1:22" ht="14.45" customHeight="1" x14ac:dyDescent="0.25">
      <c r="A6" s="157">
        <v>2024</v>
      </c>
      <c r="B6" s="161">
        <f>('INCRM FIXED TRANSPORT'!$B8+'VARIABLE TRANSPORT'!$B8+'FIXED STORAGE'!$B8+'VARIABLE STORAGE'!$B8+(('COMMODITY COST'!B7+'NEW CARBON TAX'!$B9)*'ENVIRONMENTAL ADDER'!$B8)+'DISTRIBUTION SYSTEM'!B8+'RISK PREMIUM'!$B9)/10</f>
        <v>0.83833944792107107</v>
      </c>
      <c r="C6" s="161">
        <f>('INCRM FIXED TRANSPORT'!$B8+'VARIABLE TRANSPORT'!$B8+'FIXED STORAGE'!$B8+'VARIABLE STORAGE'!$B8+(('COMMODITY COST'!C7+'NEW CARBON TAX'!$B9)*'ENVIRONMENTAL ADDER'!$B8)+'DISTRIBUTION SYSTEM'!C8+'RISK PREMIUM'!$B9)/10</f>
        <v>0.83495505823116789</v>
      </c>
      <c r="D6" s="161">
        <f>('INCRM FIXED TRANSPORT'!$B8+'VARIABLE TRANSPORT'!$B8+'FIXED STORAGE'!$B8+'VARIABLE STORAGE'!$B8+(('COMMODITY COST'!D7+'NEW CARBON TAX'!$B9)*'ENVIRONMENTAL ADDER'!$B8)+'DISTRIBUTION SYSTEM'!D8+'RISK PREMIUM'!$B9)/10</f>
        <v>0.83557423221729077</v>
      </c>
      <c r="E6" s="161">
        <f>('INCRM FIXED TRANSPORT'!$B8+'VARIABLE TRANSPORT'!$B8+'FIXED STORAGE'!$B8+'VARIABLE STORAGE'!$B8+(('COMMODITY COST'!E7+'NEW CARBON TAX'!$C9)*'ENVIRONMENTAL ADDER'!$B8)+'DISTRIBUTION SYSTEM'!E8+'RISK PREMIUM'!$B9)/10</f>
        <v>0.81281430570903157</v>
      </c>
      <c r="F6" s="161">
        <f>('INCRM FIXED TRANSPORT'!$B8+'VARIABLE TRANSPORT'!$B8+'FIXED STORAGE'!$B8+'VARIABLE STORAGE'!$B8+(('COMMODITY COST'!F7+'NEW CARBON TAX'!$C9)*'ENVIRONMENTAL ADDER'!$B8)+'DISTRIBUTION SYSTEM'!F8+'RISK PREMIUM'!$B9)/10</f>
        <v>0.81281430570903157</v>
      </c>
      <c r="G6" s="161">
        <f>('INCRM FIXED TRANSPORT'!$B8+'VARIABLE TRANSPORT'!$B8+'FIXED STORAGE'!$B8+'VARIABLE STORAGE'!$B8+(('COMMODITY COST'!G7+'NEW CARBON TAX'!$B9)*'ENVIRONMENTAL ADDER'!$B8)+'DISTRIBUTION SYSTEM'!G8+'RISK PREMIUM'!$B9)/10</f>
        <v>0.83795671619391321</v>
      </c>
      <c r="H6" s="161">
        <f>('INCRM FIXED TRANSPORT'!$B8+'VARIABLE TRANSPORT'!$B8+'FIXED STORAGE'!$B8+'VARIABLE STORAGE'!$B8+(('COMMODITY COST'!H7+'NEW CARBON TAX'!$D9)*'ENVIRONMENTAL ADDER'!$B8)+'DISTRIBUTION SYSTEM'!H8+'RISK PREMIUM'!$B9)/10</f>
        <v>0.81748422931684228</v>
      </c>
      <c r="J6" s="157">
        <v>2024</v>
      </c>
      <c r="K6" s="161">
        <f t="shared" si="0"/>
        <v>0.75833008510007183</v>
      </c>
      <c r="L6" s="161">
        <f t="shared" si="1"/>
        <v>0.75526869448088951</v>
      </c>
      <c r="M6" s="161">
        <f t="shared" si="2"/>
        <v>0.75582877579729746</v>
      </c>
      <c r="N6" s="161">
        <f t="shared" si="3"/>
        <v>0.73524100905355172</v>
      </c>
      <c r="O6" s="161">
        <f t="shared" si="4"/>
        <v>0.73524100905355172</v>
      </c>
      <c r="P6" s="161">
        <f t="shared" si="5"/>
        <v>0.75798388048815024</v>
      </c>
      <c r="Q6" s="161">
        <f t="shared" si="6"/>
        <v>0.73946524492328658</v>
      </c>
      <c r="R6" s="178">
        <v>3.4000000000000002E-2</v>
      </c>
      <c r="S6" s="178"/>
      <c r="T6" s="178"/>
      <c r="U6" s="178"/>
      <c r="V6" s="179"/>
    </row>
    <row r="7" spans="1:22" ht="15" customHeight="1" thickBot="1" x14ac:dyDescent="0.3">
      <c r="A7" s="157">
        <v>2025</v>
      </c>
      <c r="B7" s="161">
        <f>('INCRM FIXED TRANSPORT'!$B9+'VARIABLE TRANSPORT'!$B9+'FIXED STORAGE'!$B9+'VARIABLE STORAGE'!$B9+(('COMMODITY COST'!B8+'NEW CARBON TAX'!$B10)*'ENVIRONMENTAL ADDER'!$B9)+'DISTRIBUTION SYSTEM'!B9+'RISK PREMIUM'!$B10)/10</f>
        <v>0.88158432316062552</v>
      </c>
      <c r="C7" s="161">
        <f>('INCRM FIXED TRANSPORT'!$B9+'VARIABLE TRANSPORT'!$B9+'FIXED STORAGE'!$B9+'VARIABLE STORAGE'!$B9+(('COMMODITY COST'!C8+'NEW CARBON TAX'!$B10)*'ENVIRONMENTAL ADDER'!$B9)+'DISTRIBUTION SYSTEM'!C9+'RISK PREMIUM'!$B10)/10</f>
        <v>0.87649643938880539</v>
      </c>
      <c r="D7" s="161">
        <f>('INCRM FIXED TRANSPORT'!$B9+'VARIABLE TRANSPORT'!$B9+'FIXED STORAGE'!$B9+'VARIABLE STORAGE'!$B9+(('COMMODITY COST'!D8+'NEW CARBON TAX'!$B10)*'ENVIRONMENTAL ADDER'!$B9)+'DISTRIBUTION SYSTEM'!D9+'RISK PREMIUM'!$B10)/10</f>
        <v>0.87742506205060944</v>
      </c>
      <c r="E7" s="161">
        <f>('INCRM FIXED TRANSPORT'!$B9+'VARIABLE TRANSPORT'!$B9+'FIXED STORAGE'!$B9+'VARIABLE STORAGE'!$B9+(('COMMODITY COST'!E8+'NEW CARBON TAX'!$C10)*'ENVIRONMENTAL ADDER'!$B9)+'DISTRIBUTION SYSTEM'!E9+'RISK PREMIUM'!$B10)/10</f>
        <v>0.85242183638662605</v>
      </c>
      <c r="F7" s="161">
        <f>('INCRM FIXED TRANSPORT'!$B9+'VARIABLE TRANSPORT'!$B9+'FIXED STORAGE'!$B9+'VARIABLE STORAGE'!$B9+(('COMMODITY COST'!F8+'NEW CARBON TAX'!$C10)*'ENVIRONMENTAL ADDER'!$B9)+'DISTRIBUTION SYSTEM'!F9+'RISK PREMIUM'!$B10)/10</f>
        <v>0.85242183638662605</v>
      </c>
      <c r="G7" s="161">
        <f>('INCRM FIXED TRANSPORT'!$B9+'VARIABLE TRANSPORT'!$B9+'FIXED STORAGE'!$B9+'VARIABLE STORAGE'!$B9+(('COMMODITY COST'!G8+'NEW CARBON TAX'!$B10)*'ENVIRONMENTAL ADDER'!$B9)+'DISTRIBUTION SYSTEM'!G9+'RISK PREMIUM'!$B10)/10</f>
        <v>0.88104968872936473</v>
      </c>
      <c r="H7" s="161">
        <f>('INCRM FIXED TRANSPORT'!$B9+'VARIABLE TRANSPORT'!$B9+'FIXED STORAGE'!$B9+'VARIABLE STORAGE'!$B9+(('COMMODITY COST'!H8+'NEW CARBON TAX'!$D10)*'ENVIRONMENTAL ADDER'!$B9)+'DISTRIBUTION SYSTEM'!H9+'RISK PREMIUM'!$B10)/10</f>
        <v>0.85827084159699463</v>
      </c>
      <c r="J7" s="157">
        <v>2025</v>
      </c>
      <c r="K7" s="161">
        <f t="shared" si="0"/>
        <v>0.77122607343289451</v>
      </c>
      <c r="L7" s="161">
        <f t="shared" si="1"/>
        <v>0.76677509974797697</v>
      </c>
      <c r="M7" s="161">
        <f t="shared" si="2"/>
        <v>0.76758747581949816</v>
      </c>
      <c r="N7" s="161">
        <f t="shared" si="3"/>
        <v>0.74571419717173681</v>
      </c>
      <c r="O7" s="161">
        <f t="shared" si="4"/>
        <v>0.74571419717173681</v>
      </c>
      <c r="P7" s="161">
        <f t="shared" si="5"/>
        <v>0.77075836546405829</v>
      </c>
      <c r="Q7" s="161">
        <f t="shared" si="6"/>
        <v>0.75083101379763684</v>
      </c>
      <c r="R7" s="180"/>
      <c r="S7" s="180"/>
      <c r="T7" s="180"/>
      <c r="U7" s="180"/>
      <c r="V7" s="181"/>
    </row>
    <row r="8" spans="1:22" ht="14.45" customHeight="1" x14ac:dyDescent="0.25">
      <c r="A8" s="157">
        <v>2026</v>
      </c>
      <c r="B8" s="161">
        <f>('INCRM FIXED TRANSPORT'!$B10+'VARIABLE TRANSPORT'!$B10+'FIXED STORAGE'!$B10+'VARIABLE STORAGE'!$B10+(('COMMODITY COST'!B9+'NEW CARBON TAX'!$B11)*'ENVIRONMENTAL ADDER'!$B10)+'DISTRIBUTION SYSTEM'!B10+'RISK PREMIUM'!$B11)/10</f>
        <v>0.903328226589036</v>
      </c>
      <c r="C8" s="161">
        <f>('INCRM FIXED TRANSPORT'!$B10+'VARIABLE TRANSPORT'!$B10+'FIXED STORAGE'!$B10+'VARIABLE STORAGE'!$B10+(('COMMODITY COST'!C9+'NEW CARBON TAX'!$B11)*'ENVIRONMENTAL ADDER'!$B10)+'DISTRIBUTION SYSTEM'!C10+'RISK PREMIUM'!$B11)/10</f>
        <v>0.89776627298349987</v>
      </c>
      <c r="D8" s="161">
        <f>('INCRM FIXED TRANSPORT'!$B10+'VARIABLE TRANSPORT'!$B10+'FIXED STORAGE'!$B10+'VARIABLE STORAGE'!$B10+(('COMMODITY COST'!D9+'NEW CARBON TAX'!$B11)*'ENVIRONMENTAL ADDER'!$B10)+'DISTRIBUTION SYSTEM'!D10+'RISK PREMIUM'!$B11)/10</f>
        <v>0.89875979034349229</v>
      </c>
      <c r="E8" s="161">
        <f>('INCRM FIXED TRANSPORT'!$B10+'VARIABLE TRANSPORT'!$B10+'FIXED STORAGE'!$B10+'VARIABLE STORAGE'!$B10+(('COMMODITY COST'!E9+'NEW CARBON TAX'!$C11)*'ENVIRONMENTAL ADDER'!$B10)+'DISTRIBUTION SYSTEM'!E10+'RISK PREMIUM'!$B11)/10</f>
        <v>0.87314276882327113</v>
      </c>
      <c r="F8" s="161">
        <f>('INCRM FIXED TRANSPORT'!$B10+'VARIABLE TRANSPORT'!$B10+'FIXED STORAGE'!$B10+'VARIABLE STORAGE'!$B10+(('COMMODITY COST'!F9+'NEW CARBON TAX'!$C11)*'ENVIRONMENTAL ADDER'!$B10)+'DISTRIBUTION SYSTEM'!F10+'RISK PREMIUM'!$B11)/10</f>
        <v>0.87314276882327113</v>
      </c>
      <c r="G8" s="161">
        <f>('INCRM FIXED TRANSPORT'!$B10+'VARIABLE TRANSPORT'!$B10+'FIXED STORAGE'!$B10+'VARIABLE STORAGE'!$B10+(('COMMODITY COST'!G9+'NEW CARBON TAX'!$B11)*'ENVIRONMENTAL ADDER'!$B10)+'DISTRIBUTION SYSTEM'!G10+'RISK PREMIUM'!$B11)/10</f>
        <v>0.90276616326625003</v>
      </c>
      <c r="H8" s="161">
        <f>('INCRM FIXED TRANSPORT'!$B10+'VARIABLE TRANSPORT'!$B10+'FIXED STORAGE'!$B10+'VARIABLE STORAGE'!$B10+(('COMMODITY COST'!H9+'NEW CARBON TAX'!$D11)*'ENVIRONMENTAL ADDER'!$B10)+'DISTRIBUTION SYSTEM'!H10+'RISK PREMIUM'!$B11)/10</f>
        <v>0.87942205309600519</v>
      </c>
      <c r="J8" s="157">
        <v>2026</v>
      </c>
      <c r="K8" s="161">
        <f t="shared" si="0"/>
        <v>0.76426309229933531</v>
      </c>
      <c r="L8" s="161">
        <f t="shared" si="1"/>
        <v>0.75955738762115488</v>
      </c>
      <c r="M8" s="161">
        <f t="shared" si="2"/>
        <v>0.76039795545403221</v>
      </c>
      <c r="N8" s="161">
        <f t="shared" si="3"/>
        <v>0.73872461069819539</v>
      </c>
      <c r="O8" s="161">
        <f t="shared" si="4"/>
        <v>0.73872461069819539</v>
      </c>
      <c r="P8" s="161">
        <f t="shared" si="5"/>
        <v>0.76378755722747937</v>
      </c>
      <c r="Q8" s="161">
        <f t="shared" si="6"/>
        <v>0.74403721477105533</v>
      </c>
      <c r="R8" s="2"/>
      <c r="S8" s="2"/>
      <c r="T8" s="2"/>
      <c r="U8" s="2"/>
      <c r="V8" s="37"/>
    </row>
    <row r="9" spans="1:22" ht="14.45" customHeight="1" x14ac:dyDescent="0.25">
      <c r="A9" s="157">
        <v>2027</v>
      </c>
      <c r="B9" s="161">
        <f>('INCRM FIXED TRANSPORT'!$B11+'VARIABLE TRANSPORT'!$B11+'FIXED STORAGE'!$B11+'VARIABLE STORAGE'!$B11+(('COMMODITY COST'!B10+'NEW CARBON TAX'!$B12)*'ENVIRONMENTAL ADDER'!$B11)+'DISTRIBUTION SYSTEM'!B11+'RISK PREMIUM'!$B12)/10</f>
        <v>0.9163271740469513</v>
      </c>
      <c r="C9" s="161">
        <f>('INCRM FIXED TRANSPORT'!$B11+'VARIABLE TRANSPORT'!$B11+'FIXED STORAGE'!$B11+'VARIABLE STORAGE'!$B11+(('COMMODITY COST'!C10+'NEW CARBON TAX'!$B12)*'ENVIRONMENTAL ADDER'!$B11)+'DISTRIBUTION SYSTEM'!C11+'RISK PREMIUM'!$B12)/10</f>
        <v>0.9111903702130929</v>
      </c>
      <c r="D9" s="161">
        <f>('INCRM FIXED TRANSPORT'!$B11+'VARIABLE TRANSPORT'!$B11+'FIXED STORAGE'!$B11+'VARIABLE STORAGE'!$B11+(('COMMODITY COST'!D10+'NEW CARBON TAX'!$B12)*'ENVIRONMENTAL ADDER'!$B11)+'DISTRIBUTION SYSTEM'!D11+'RISK PREMIUM'!$B12)/10</f>
        <v>0.91210030206242076</v>
      </c>
      <c r="E9" s="161">
        <f>('INCRM FIXED TRANSPORT'!$B11+'VARIABLE TRANSPORT'!$B11+'FIXED STORAGE'!$B11+'VARIABLE STORAGE'!$B11+(('COMMODITY COST'!E10+'NEW CARBON TAX'!$C12)*'ENVIRONMENTAL ADDER'!$B11)+'DISTRIBUTION SYSTEM'!E11+'RISK PREMIUM'!$B12)/10</f>
        <v>0.88710298206943872</v>
      </c>
      <c r="F9" s="161">
        <f>('INCRM FIXED TRANSPORT'!$B11+'VARIABLE TRANSPORT'!$B11+'FIXED STORAGE'!$B11+'VARIABLE STORAGE'!$B11+(('COMMODITY COST'!F10+'NEW CARBON TAX'!$C12)*'ENVIRONMENTAL ADDER'!$B11)+'DISTRIBUTION SYSTEM'!F11+'RISK PREMIUM'!$B12)/10</f>
        <v>0.88710298206943872</v>
      </c>
      <c r="G9" s="161">
        <f>('INCRM FIXED TRANSPORT'!$B11+'VARIABLE TRANSPORT'!$B11+'FIXED STORAGE'!$B11+'VARIABLE STORAGE'!$B11+(('COMMODITY COST'!G10+'NEW CARBON TAX'!$B12)*'ENVIRONMENTAL ADDER'!$B11)+'DISTRIBUTION SYSTEM'!G11+'RISK PREMIUM'!$B12)/10</f>
        <v>0.91579706736600974</v>
      </c>
      <c r="H9" s="161">
        <f>('INCRM FIXED TRANSPORT'!$B11+'VARIABLE TRANSPORT'!$B11+'FIXED STORAGE'!$B11+'VARIABLE STORAGE'!$B11+(('COMMODITY COST'!H10+'NEW CARBON TAX'!$D12)*'ENVIRONMENTAL ADDER'!$B11)+'DISTRIBUTION SYSTEM'!H11+'RISK PREMIUM'!$B12)/10</f>
        <v>0.89303994235285677</v>
      </c>
      <c r="J9" s="157">
        <v>2027</v>
      </c>
      <c r="K9" s="161">
        <f t="shared" si="0"/>
        <v>0.74976874673014171</v>
      </c>
      <c r="L9" s="161">
        <f t="shared" si="1"/>
        <v>0.74556564648189649</v>
      </c>
      <c r="M9" s="161">
        <f t="shared" si="2"/>
        <v>0.74631018236558888</v>
      </c>
      <c r="N9" s="161">
        <f t="shared" si="3"/>
        <v>0.72585656076231841</v>
      </c>
      <c r="O9" s="161">
        <f t="shared" si="4"/>
        <v>0.72585656076231841</v>
      </c>
      <c r="P9" s="161">
        <f t="shared" si="5"/>
        <v>0.74933499617350652</v>
      </c>
      <c r="Q9" s="161">
        <f t="shared" si="6"/>
        <v>0.73071437508580472</v>
      </c>
      <c r="R9" s="182" t="s">
        <v>71</v>
      </c>
      <c r="S9" s="182"/>
      <c r="T9" s="182"/>
      <c r="U9" s="182"/>
      <c r="V9" s="183"/>
    </row>
    <row r="10" spans="1:22" ht="14.45" customHeight="1" x14ac:dyDescent="0.25">
      <c r="A10" s="157">
        <v>2028</v>
      </c>
      <c r="B10" s="161">
        <f>('INCRM FIXED TRANSPORT'!$B12+'VARIABLE TRANSPORT'!$B12+'FIXED STORAGE'!$B12+'VARIABLE STORAGE'!$B12+(('COMMODITY COST'!B11+'NEW CARBON TAX'!$B13)*'ENVIRONMENTAL ADDER'!$B12)+'DISTRIBUTION SYSTEM'!B12+'RISK PREMIUM'!$B13)/10</f>
        <v>0.91926334182806557</v>
      </c>
      <c r="C10" s="161">
        <f>('INCRM FIXED TRANSPORT'!$B12+'VARIABLE TRANSPORT'!$B12+'FIXED STORAGE'!$B12+'VARIABLE STORAGE'!$B12+(('COMMODITY COST'!C11+'NEW CARBON TAX'!$B13)*'ENVIRONMENTAL ADDER'!$B12)+'DISTRIBUTION SYSTEM'!C12+'RISK PREMIUM'!$B13)/10</f>
        <v>0.91502627327135055</v>
      </c>
      <c r="D10" s="161">
        <f>('INCRM FIXED TRANSPORT'!$B12+'VARIABLE TRANSPORT'!$B12+'FIXED STORAGE'!$B12+'VARIABLE STORAGE'!$B12+(('COMMODITY COST'!D11+'NEW CARBON TAX'!$B13)*'ENVIRONMENTAL ADDER'!$B12)+'DISTRIBUTION SYSTEM'!D12+'RISK PREMIUM'!$B13)/10</f>
        <v>0.91577270087610252</v>
      </c>
      <c r="E10" s="161">
        <f>('INCRM FIXED TRANSPORT'!$B12+'VARIABLE TRANSPORT'!$B12+'FIXED STORAGE'!$B12+'VARIABLE STORAGE'!$B12+(('COMMODITY COST'!E11+'NEW CARBON TAX'!$C13)*'ENVIRONMENTAL ADDER'!$B12)+'DISTRIBUTION SYSTEM'!E12+'RISK PREMIUM'!$B13)/10</f>
        <v>0.88859220233547309</v>
      </c>
      <c r="F10" s="161">
        <f>('INCRM FIXED TRANSPORT'!$B12+'VARIABLE TRANSPORT'!$B12+'FIXED STORAGE'!$B12+'VARIABLE STORAGE'!$B12+(('COMMODITY COST'!F11+'NEW CARBON TAX'!$C13)*'ENVIRONMENTAL ADDER'!$B12)+'DISTRIBUTION SYSTEM'!F12+'RISK PREMIUM'!$B13)/10</f>
        <v>0.88859220233547309</v>
      </c>
      <c r="G10" s="161">
        <f>('INCRM FIXED TRANSPORT'!$B12+'VARIABLE TRANSPORT'!$B12+'FIXED STORAGE'!$B12+'VARIABLE STORAGE'!$B12+(('COMMODITY COST'!G11+'NEW CARBON TAX'!$B13)*'ENVIRONMENTAL ADDER'!$B12)+'DISTRIBUTION SYSTEM'!G12+'RISK PREMIUM'!$B13)/10</f>
        <v>0.91880195964036115</v>
      </c>
      <c r="H10" s="161">
        <f>('INCRM FIXED TRANSPORT'!$B12+'VARIABLE TRANSPORT'!$B12+'FIXED STORAGE'!$B12+'VARIABLE STORAGE'!$B12+(('COMMODITY COST'!H11+'NEW CARBON TAX'!$D13)*'ENVIRONMENTAL ADDER'!$B12)+'DISTRIBUTION SYSTEM'!H12+'RISK PREMIUM'!$B13)/10</f>
        <v>0.8943235417588753</v>
      </c>
      <c r="J10" s="157">
        <v>2028</v>
      </c>
      <c r="K10" s="161">
        <f t="shared" si="0"/>
        <v>0.72743831224927014</v>
      </c>
      <c r="L10" s="161">
        <f t="shared" si="1"/>
        <v>0.72408540361086848</v>
      </c>
      <c r="M10" s="161">
        <f t="shared" si="2"/>
        <v>0.72467607226076514</v>
      </c>
      <c r="N10" s="161">
        <f t="shared" si="3"/>
        <v>0.70316739777672665</v>
      </c>
      <c r="O10" s="161">
        <f t="shared" si="4"/>
        <v>0.70316739777672665</v>
      </c>
      <c r="P10" s="161">
        <f t="shared" si="5"/>
        <v>0.72707320786116503</v>
      </c>
      <c r="Q10" s="161">
        <f t="shared" si="6"/>
        <v>0.70770276396330434</v>
      </c>
      <c r="R10" s="182"/>
      <c r="S10" s="182"/>
      <c r="T10" s="182"/>
      <c r="U10" s="182"/>
      <c r="V10" s="183"/>
    </row>
    <row r="11" spans="1:22" x14ac:dyDescent="0.25">
      <c r="A11" s="157">
        <v>2029</v>
      </c>
      <c r="B11" s="161">
        <f>('INCRM FIXED TRANSPORT'!$B13+'VARIABLE TRANSPORT'!$B13+'FIXED STORAGE'!$B13+'VARIABLE STORAGE'!$B13+(('COMMODITY COST'!B12+'NEW CARBON TAX'!$B14)*'ENVIRONMENTAL ADDER'!$B13)+'DISTRIBUTION SYSTEM'!B13+'RISK PREMIUM'!$B14)/10</f>
        <v>0.93462065118112514</v>
      </c>
      <c r="C11" s="161">
        <f>('INCRM FIXED TRANSPORT'!$B13+'VARIABLE TRANSPORT'!$B13+'FIXED STORAGE'!$B13+'VARIABLE STORAGE'!$B13+(('COMMODITY COST'!C12+'NEW CARBON TAX'!$B14)*'ENVIRONMENTAL ADDER'!$B13)+'DISTRIBUTION SYSTEM'!C13+'RISK PREMIUM'!$B14)/10</f>
        <v>0.93058612936049612</v>
      </c>
      <c r="D11" s="161">
        <f>('INCRM FIXED TRANSPORT'!$B13+'VARIABLE TRANSPORT'!$B13+'FIXED STORAGE'!$B13+'VARIABLE STORAGE'!$B13+(('COMMODITY COST'!D12+'NEW CARBON TAX'!$B14)*'ENVIRONMENTAL ADDER'!$B13)+'DISTRIBUTION SYSTEM'!D13+'RISK PREMIUM'!$B14)/10</f>
        <v>0.93129638536211901</v>
      </c>
      <c r="E11" s="161">
        <f>('INCRM FIXED TRANSPORT'!$B13+'VARIABLE TRANSPORT'!$B13+'FIXED STORAGE'!$B13+'VARIABLE STORAGE'!$B13+(('COMMODITY COST'!E12+'NEW CARBON TAX'!$C14)*'ENVIRONMENTAL ADDER'!$B13)+'DISTRIBUTION SYSTEM'!E13+'RISK PREMIUM'!$B14)/10</f>
        <v>0.90341079312518713</v>
      </c>
      <c r="F11" s="161">
        <f>('INCRM FIXED TRANSPORT'!$B13+'VARIABLE TRANSPORT'!$B13+'FIXED STORAGE'!$B13+'VARIABLE STORAGE'!$B13+(('COMMODITY COST'!F12+'NEW CARBON TAX'!$C14)*'ENVIRONMENTAL ADDER'!$B13)+'DISTRIBUTION SYSTEM'!F13+'RISK PREMIUM'!$B14)/10</f>
        <v>0.90341079312518713</v>
      </c>
      <c r="G11" s="161">
        <f>('INCRM FIXED TRANSPORT'!$B13+'VARIABLE TRANSPORT'!$B13+'FIXED STORAGE'!$B13+'VARIABLE STORAGE'!$B13+(('COMMODITY COST'!G12+'NEW CARBON TAX'!$B14)*'ENVIRONMENTAL ADDER'!$B13)+'DISTRIBUTION SYSTEM'!G13+'RISK PREMIUM'!$B14)/10</f>
        <v>0.93417706077384166</v>
      </c>
      <c r="H11" s="161">
        <f>('INCRM FIXED TRANSPORT'!$B13+'VARIABLE TRANSPORT'!$B13+'FIXED STORAGE'!$B13+'VARIABLE STORAGE'!$B13+(('COMMODITY COST'!H12+'NEW CARBON TAX'!$D14)*'ENVIRONMENTAL ADDER'!$B13)+'DISTRIBUTION SYSTEM'!H13+'RISK PREMIUM'!$B14)/10</f>
        <v>0.90912304046240955</v>
      </c>
      <c r="J11" s="157">
        <v>2029</v>
      </c>
      <c r="K11" s="161">
        <f t="shared" si="0"/>
        <v>0.71527173368765307</v>
      </c>
      <c r="L11" s="161">
        <f t="shared" si="1"/>
        <v>0.71218408586648074</v>
      </c>
      <c r="M11" s="161">
        <f t="shared" si="2"/>
        <v>0.71272764976162994</v>
      </c>
      <c r="N11" s="161">
        <f t="shared" si="3"/>
        <v>0.69138661061488016</v>
      </c>
      <c r="O11" s="161">
        <f t="shared" si="4"/>
        <v>0.69138661061488016</v>
      </c>
      <c r="P11" s="161">
        <f t="shared" si="5"/>
        <v>0.7149322508405066</v>
      </c>
      <c r="Q11" s="161">
        <f t="shared" si="6"/>
        <v>0.69575823353053512</v>
      </c>
      <c r="R11" s="2"/>
      <c r="S11" s="2"/>
      <c r="T11" s="2"/>
      <c r="U11" s="2"/>
      <c r="V11" s="37"/>
    </row>
    <row r="12" spans="1:22" ht="15.75" thickBot="1" x14ac:dyDescent="0.3">
      <c r="A12" s="157">
        <v>2030</v>
      </c>
      <c r="B12" s="161">
        <f>('INCRM FIXED TRANSPORT'!$B14+'VARIABLE TRANSPORT'!$B14+'FIXED STORAGE'!$B14+'VARIABLE STORAGE'!$B14+(('COMMODITY COST'!B13+'NEW CARBON TAX'!$B15)*'ENVIRONMENTAL ADDER'!$B14)+'DISTRIBUTION SYSTEM'!B14+'RISK PREMIUM'!$B15)/10</f>
        <v>0.9510114496286155</v>
      </c>
      <c r="C12" s="161">
        <f>('INCRM FIXED TRANSPORT'!$B14+'VARIABLE TRANSPORT'!$B14+'FIXED STORAGE'!$B14+'VARIABLE STORAGE'!$B14+(('COMMODITY COST'!C13+'NEW CARBON TAX'!$B15)*'ENVIRONMENTAL ADDER'!$B14)+'DISTRIBUTION SYSTEM'!C14+'RISK PREMIUM'!$B15)/10</f>
        <v>0.94711836502884772</v>
      </c>
      <c r="D12" s="161">
        <f>('INCRM FIXED TRANSPORT'!$B14+'VARIABLE TRANSPORT'!$B14+'FIXED STORAGE'!$B14+'VARIABLE STORAGE'!$B14+(('COMMODITY COST'!D13+'NEW CARBON TAX'!$B15)*'ENVIRONMENTAL ADDER'!$B14)+'DISTRIBUTION SYSTEM'!D14+'RISK PREMIUM'!$B15)/10</f>
        <v>0.94781607697837666</v>
      </c>
      <c r="E12" s="161">
        <f>('INCRM FIXED TRANSPORT'!$B14+'VARIABLE TRANSPORT'!$B14+'FIXED STORAGE'!$B14+'VARIABLE STORAGE'!$B14+(('COMMODITY COST'!E13+'NEW CARBON TAX'!$C15)*'ENVIRONMENTAL ADDER'!$B14)+'DISTRIBUTION SYSTEM'!E14+'RISK PREMIUM'!$B15)/10</f>
        <v>0.91967536967668317</v>
      </c>
      <c r="F12" s="161">
        <f>('INCRM FIXED TRANSPORT'!$B14+'VARIABLE TRANSPORT'!$B14+'FIXED STORAGE'!$B14+'VARIABLE STORAGE'!$B14+(('COMMODITY COST'!F13+'NEW CARBON TAX'!$C15)*'ENVIRONMENTAL ADDER'!$B14)+'DISTRIBUTION SYSTEM'!F14+'RISK PREMIUM'!$B15)/10</f>
        <v>0.91967536967668317</v>
      </c>
      <c r="G12" s="161">
        <f>('INCRM FIXED TRANSPORT'!$B14+'VARIABLE TRANSPORT'!$B14+'FIXED STORAGE'!$B14+'VARIABLE STORAGE'!$B14+(('COMMODITY COST'!G13+'NEW CARBON TAX'!$B15)*'ENVIRONMENTAL ADDER'!$B14)+'DISTRIBUTION SYSTEM'!G14+'RISK PREMIUM'!$B15)/10</f>
        <v>0.95058481742366419</v>
      </c>
      <c r="H12" s="161">
        <f>('INCRM FIXED TRANSPORT'!$B14+'VARIABLE TRANSPORT'!$B14+'FIXED STORAGE'!$B14+'VARIABLE STORAGE'!$B14+(('COMMODITY COST'!H13+'NEW CARBON TAX'!$D15)*'ENVIRONMENTAL ADDER'!$B14)+'DISTRIBUTION SYSTEM'!H14+'RISK PREMIUM'!$B15)/10</f>
        <v>0.92533380552308697</v>
      </c>
      <c r="J12" s="157">
        <v>2030</v>
      </c>
      <c r="K12" s="161">
        <f t="shared" si="0"/>
        <v>0.70388368142917423</v>
      </c>
      <c r="L12" s="161">
        <f t="shared" si="1"/>
        <v>0.70100224533156474</v>
      </c>
      <c r="M12" s="161">
        <f t="shared" si="2"/>
        <v>0.70151865137042302</v>
      </c>
      <c r="N12" s="161">
        <f t="shared" si="3"/>
        <v>0.68069052710202216</v>
      </c>
      <c r="O12" s="161">
        <f t="shared" si="4"/>
        <v>0.68069052710202216</v>
      </c>
      <c r="P12" s="161">
        <f t="shared" si="5"/>
        <v>0.70356791294168164</v>
      </c>
      <c r="Q12" s="161">
        <f t="shared" si="6"/>
        <v>0.68487857410845188</v>
      </c>
      <c r="R12" s="38" t="s">
        <v>72</v>
      </c>
      <c r="S12" s="65">
        <v>44008</v>
      </c>
      <c r="T12" s="38"/>
      <c r="U12" s="38"/>
      <c r="V12" s="39"/>
    </row>
    <row r="13" spans="1:22" x14ac:dyDescent="0.25">
      <c r="A13" s="157">
        <v>2031</v>
      </c>
      <c r="B13" s="161">
        <f>('INCRM FIXED TRANSPORT'!$B15+'VARIABLE TRANSPORT'!$B15+'FIXED STORAGE'!$B15+'VARIABLE STORAGE'!$B15+(('COMMODITY COST'!B14+'NEW CARBON TAX'!$B16)*'ENVIRONMENTAL ADDER'!$B15)+'DISTRIBUTION SYSTEM'!B15+'RISK PREMIUM'!$B16)/10</f>
        <v>0.95760292136414282</v>
      </c>
      <c r="C13" s="161">
        <f>('INCRM FIXED TRANSPORT'!$B15+'VARIABLE TRANSPORT'!$B15+'FIXED STORAGE'!$B15+'VARIABLE STORAGE'!$B15+(('COMMODITY COST'!C14+'NEW CARBON TAX'!$B16)*'ENVIRONMENTAL ADDER'!$B15)+'DISTRIBUTION SYSTEM'!C15+'RISK PREMIUM'!$B16)/10</f>
        <v>0.95371194343586152</v>
      </c>
      <c r="D13" s="161">
        <f>('INCRM FIXED TRANSPORT'!$B15+'VARIABLE TRANSPORT'!$B15+'FIXED STORAGE'!$B15+'VARIABLE STORAGE'!$B15+(('COMMODITY COST'!D14+'NEW CARBON TAX'!$B16)*'ENVIRONMENTAL ADDER'!$B15)+'DISTRIBUTION SYSTEM'!D15+'RISK PREMIUM'!$B16)/10</f>
        <v>0.95441311406547891</v>
      </c>
      <c r="E13" s="161">
        <f>('INCRM FIXED TRANSPORT'!$B15+'VARIABLE TRANSPORT'!$B15+'FIXED STORAGE'!$B15+'VARIABLE STORAGE'!$B15+(('COMMODITY COST'!E14+'NEW CARBON TAX'!$C16)*'ENVIRONMENTAL ADDER'!$B15)+'DISTRIBUTION SYSTEM'!E15+'RISK PREMIUM'!$B16)/10</f>
        <v>0.92685081510681699</v>
      </c>
      <c r="F13" s="161">
        <f>('INCRM FIXED TRANSPORT'!$B15+'VARIABLE TRANSPORT'!$B15+'FIXED STORAGE'!$B15+'VARIABLE STORAGE'!$B15+(('COMMODITY COST'!F14+'NEW CARBON TAX'!$C16)*'ENVIRONMENTAL ADDER'!$B15)+'DISTRIBUTION SYSTEM'!F15+'RISK PREMIUM'!$B16)/10</f>
        <v>0.92685081510681699</v>
      </c>
      <c r="G13" s="161">
        <f>('INCRM FIXED TRANSPORT'!$B15+'VARIABLE TRANSPORT'!$B15+'FIXED STORAGE'!$B15+'VARIABLE STORAGE'!$B15+(('COMMODITY COST'!G14+'NEW CARBON TAX'!$B16)*'ENVIRONMENTAL ADDER'!$B15)+'DISTRIBUTION SYSTEM'!G15+'RISK PREMIUM'!$B16)/10</f>
        <v>0.95718065546171105</v>
      </c>
      <c r="H13" s="161">
        <f>('INCRM FIXED TRANSPORT'!$B15+'VARIABLE TRANSPORT'!$B15+'FIXED STORAGE'!$B15+'VARIABLE STORAGE'!$B15+(('COMMODITY COST'!H14+'NEW CARBON TAX'!$D16)*'ENVIRONMENTAL ADDER'!$B15)+'DISTRIBUTION SYSTEM'!H15+'RISK PREMIUM'!$B16)/10</f>
        <v>0.93242692280711947</v>
      </c>
      <c r="J13" s="157">
        <v>2031</v>
      </c>
      <c r="K13" s="161">
        <f t="shared" si="0"/>
        <v>0.68545677722109244</v>
      </c>
      <c r="L13" s="161">
        <f t="shared" si="1"/>
        <v>0.68267159650426801</v>
      </c>
      <c r="M13" s="161">
        <f t="shared" si="2"/>
        <v>0.68317349781360714</v>
      </c>
      <c r="N13" s="161">
        <f t="shared" si="3"/>
        <v>0.66344427164322828</v>
      </c>
      <c r="O13" s="161">
        <f t="shared" si="4"/>
        <v>0.66344427164322828</v>
      </c>
      <c r="P13" s="161">
        <f t="shared" si="5"/>
        <v>0.6851545172570157</v>
      </c>
      <c r="Q13" s="161">
        <f t="shared" si="6"/>
        <v>0.66743567635640755</v>
      </c>
    </row>
    <row r="14" spans="1:22" x14ac:dyDescent="0.25">
      <c r="A14" s="157">
        <v>2032</v>
      </c>
      <c r="B14" s="161">
        <f>('INCRM FIXED TRANSPORT'!$B16+'VARIABLE TRANSPORT'!$B16+'FIXED STORAGE'!$B16+'VARIABLE STORAGE'!$B16+(('COMMODITY COST'!B15+'NEW CARBON TAX'!$B17)*'ENVIRONMENTAL ADDER'!$B16)+'DISTRIBUTION SYSTEM'!B16+'RISK PREMIUM'!$B17)/10</f>
        <v>0.97731811782683775</v>
      </c>
      <c r="C14" s="161">
        <f>('INCRM FIXED TRANSPORT'!$B16+'VARIABLE TRANSPORT'!$B16+'FIXED STORAGE'!$B16+'VARIABLE STORAGE'!$B16+(('COMMODITY COST'!C15+'NEW CARBON TAX'!$B17)*'ENVIRONMENTAL ADDER'!$B16)+'DISTRIBUTION SYSTEM'!C16+'RISK PREMIUM'!$B17)/10</f>
        <v>0.97322903995565968</v>
      </c>
      <c r="D14" s="161">
        <f>('INCRM FIXED TRANSPORT'!$B16+'VARIABLE TRANSPORT'!$B16+'FIXED STORAGE'!$B16+'VARIABLE STORAGE'!$B16+(('COMMODITY COST'!D15+'NEW CARBON TAX'!$B17)*'ENVIRONMENTAL ADDER'!$B16)+'DISTRIBUTION SYSTEM'!D16+'RISK PREMIUM'!$B17)/10</f>
        <v>0.97393978656945546</v>
      </c>
      <c r="E14" s="161">
        <f>('INCRM FIXED TRANSPORT'!$B16+'VARIABLE TRANSPORT'!$B16+'FIXED STORAGE'!$B16+'VARIABLE STORAGE'!$B16+(('COMMODITY COST'!E15+'NEW CARBON TAX'!$C17)*'ENVIRONMENTAL ADDER'!$B16)+'DISTRIBUTION SYSTEM'!E16+'RISK PREMIUM'!$B17)/10</f>
        <v>0.94615543371209598</v>
      </c>
      <c r="F14" s="161">
        <f>('INCRM FIXED TRANSPORT'!$B16+'VARIABLE TRANSPORT'!$B16+'FIXED STORAGE'!$B16+'VARIABLE STORAGE'!$B16+(('COMMODITY COST'!F15+'NEW CARBON TAX'!$C17)*'ENVIRONMENTAL ADDER'!$B16)+'DISTRIBUTION SYSTEM'!F16+'RISK PREMIUM'!$B17)/10</f>
        <v>0.94615543371209598</v>
      </c>
      <c r="G14" s="161">
        <f>('INCRM FIXED TRANSPORT'!$B16+'VARIABLE TRANSPORT'!$B16+'FIXED STORAGE'!$B16+'VARIABLE STORAGE'!$B16+(('COMMODITY COST'!G15+'NEW CARBON TAX'!$B17)*'ENVIRONMENTAL ADDER'!$B16)+'DISTRIBUTION SYSTEM'!G16+'RISK PREMIUM'!$B17)/10</f>
        <v>0.97687166301819628</v>
      </c>
      <c r="H14" s="161">
        <f>('INCRM FIXED TRANSPORT'!$B16+'VARIABLE TRANSPORT'!$B16+'FIXED STORAGE'!$B16+'VARIABLE STORAGE'!$B16+(('COMMODITY COST'!H15+'NEW CARBON TAX'!$D17)*'ENVIRONMENTAL ADDER'!$B16)+'DISTRIBUTION SYSTEM'!H16+'RISK PREMIUM'!$B17)/10</f>
        <v>0.95187480198998353</v>
      </c>
      <c r="J14" s="157">
        <v>2032</v>
      </c>
      <c r="K14" s="161">
        <f t="shared" si="0"/>
        <v>0.67656577338489243</v>
      </c>
      <c r="L14" s="161">
        <f t="shared" si="1"/>
        <v>0.6737350368193038</v>
      </c>
      <c r="M14" s="161">
        <f t="shared" si="2"/>
        <v>0.67422706374858321</v>
      </c>
      <c r="N14" s="161">
        <f t="shared" si="3"/>
        <v>0.65499285347860758</v>
      </c>
      <c r="O14" s="161">
        <f t="shared" si="4"/>
        <v>0.65499285347860758</v>
      </c>
      <c r="P14" s="161">
        <f t="shared" si="5"/>
        <v>0.67625670713780228</v>
      </c>
      <c r="Q14" s="161">
        <f t="shared" si="6"/>
        <v>0.65895218744737338</v>
      </c>
    </row>
    <row r="15" spans="1:22" x14ac:dyDescent="0.25">
      <c r="A15" s="157">
        <v>2033</v>
      </c>
      <c r="B15" s="161">
        <f>('INCRM FIXED TRANSPORT'!$B17+'VARIABLE TRANSPORT'!$B17+'FIXED STORAGE'!$B17+'VARIABLE STORAGE'!$B17+(('COMMODITY COST'!B16+'NEW CARBON TAX'!$B18)*'ENVIRONMENTAL ADDER'!$B17)+'DISTRIBUTION SYSTEM'!B17+'RISK PREMIUM'!$B18)/10</f>
        <v>0.99501433025430452</v>
      </c>
      <c r="C15" s="161">
        <f>('INCRM FIXED TRANSPORT'!$B17+'VARIABLE TRANSPORT'!$B17+'FIXED STORAGE'!$B17+'VARIABLE STORAGE'!$B17+(('COMMODITY COST'!C16+'NEW CARBON TAX'!$B18)*'ENVIRONMENTAL ADDER'!$B17)+'DISTRIBUTION SYSTEM'!C17+'RISK PREMIUM'!$B18)/10</f>
        <v>0.99098148547599529</v>
      </c>
      <c r="D15" s="161">
        <f>('INCRM FIXED TRANSPORT'!$B17+'VARIABLE TRANSPORT'!$B17+'FIXED STORAGE'!$B17+'VARIABLE STORAGE'!$B17+(('COMMODITY COST'!D16+'NEW CARBON TAX'!$B18)*'ENVIRONMENTAL ADDER'!$B17)+'DISTRIBUTION SYSTEM'!D17+'RISK PREMIUM'!$B18)/10</f>
        <v>0.99168108973090319</v>
      </c>
      <c r="E15" s="161">
        <f>('INCRM FIXED TRANSPORT'!$B17+'VARIABLE TRANSPORT'!$B17+'FIXED STORAGE'!$B17+'VARIABLE STORAGE'!$B17+(('COMMODITY COST'!E16+'NEW CARBON TAX'!$C18)*'ENVIRONMENTAL ADDER'!$B17)+'DISTRIBUTION SYSTEM'!E17+'RISK PREMIUM'!$B18)/10</f>
        <v>0.96357479240389965</v>
      </c>
      <c r="F15" s="161">
        <f>('INCRM FIXED TRANSPORT'!$B17+'VARIABLE TRANSPORT'!$B17+'FIXED STORAGE'!$B17+'VARIABLE STORAGE'!$B17+(('COMMODITY COST'!F16+'NEW CARBON TAX'!$C18)*'ENVIRONMENTAL ADDER'!$B17)+'DISTRIBUTION SYSTEM'!F17+'RISK PREMIUM'!$B18)/10</f>
        <v>0.96357479240389965</v>
      </c>
      <c r="G15" s="161">
        <f>('INCRM FIXED TRANSPORT'!$B17+'VARIABLE TRANSPORT'!$B17+'FIXED STORAGE'!$B17+'VARIABLE STORAGE'!$B17+(('COMMODITY COST'!G16+'NEW CARBON TAX'!$B18)*'ENVIRONMENTAL ADDER'!$B17)+'DISTRIBUTION SYSTEM'!G17+'RISK PREMIUM'!$B18)/10</f>
        <v>0.99457141181766762</v>
      </c>
      <c r="H15" s="161">
        <f>('INCRM FIXED TRANSPORT'!$B17+'VARIABLE TRANSPORT'!$B17+'FIXED STORAGE'!$B17+'VARIABLE STORAGE'!$B17+(('COMMODITY COST'!H16+'NEW CARBON TAX'!$D18)*'ENVIRONMENTAL ADDER'!$B17)+'DISTRIBUTION SYSTEM'!H17+'RISK PREMIUM'!$B18)/10</f>
        <v>0.96929160459899677</v>
      </c>
      <c r="J15" s="157">
        <v>2033</v>
      </c>
      <c r="K15" s="161">
        <f t="shared" si="0"/>
        <v>0.66616662456653142</v>
      </c>
      <c r="L15" s="161">
        <f t="shared" si="1"/>
        <v>0.66346661662525852</v>
      </c>
      <c r="M15" s="161">
        <f t="shared" si="2"/>
        <v>0.66393500485933066</v>
      </c>
      <c r="N15" s="161">
        <f t="shared" si="3"/>
        <v>0.64511771082638147</v>
      </c>
      <c r="O15" s="161">
        <f t="shared" si="4"/>
        <v>0.64511771082638147</v>
      </c>
      <c r="P15" s="161">
        <f t="shared" si="5"/>
        <v>0.66587008865652375</v>
      </c>
      <c r="Q15" s="161">
        <f t="shared" si="6"/>
        <v>0.64894514262057013</v>
      </c>
    </row>
    <row r="16" spans="1:22" x14ac:dyDescent="0.25">
      <c r="A16" s="157">
        <v>2034</v>
      </c>
      <c r="B16" s="161">
        <f>('INCRM FIXED TRANSPORT'!$B18+'VARIABLE TRANSPORT'!$B18+'FIXED STORAGE'!$B18+'VARIABLE STORAGE'!$B18+(('COMMODITY COST'!B17+'NEW CARBON TAX'!$B19)*'ENVIRONMENTAL ADDER'!$B18)+'DISTRIBUTION SYSTEM'!B18+'RISK PREMIUM'!$B19)/10</f>
        <v>1.0024628504199786</v>
      </c>
      <c r="C16" s="161">
        <f>('INCRM FIXED TRANSPORT'!$B18+'VARIABLE TRANSPORT'!$B18+'FIXED STORAGE'!$B18+'VARIABLE STORAGE'!$B18+(('COMMODITY COST'!C17+'NEW CARBON TAX'!$B19)*'ENVIRONMENTAL ADDER'!$B18)+'DISTRIBUTION SYSTEM'!C18+'RISK PREMIUM'!$B19)/10</f>
        <v>0.99873101398129172</v>
      </c>
      <c r="D16" s="161">
        <f>('INCRM FIXED TRANSPORT'!$B18+'VARIABLE TRANSPORT'!$B18+'FIXED STORAGE'!$B18+'VARIABLE STORAGE'!$B18+(('COMMODITY COST'!D17+'NEW CARBON TAX'!$B19)*'ENVIRONMENTAL ADDER'!$B18)+'DISTRIBUTION SYSTEM'!D18+'RISK PREMIUM'!$B19)/10</f>
        <v>0.99937363504005072</v>
      </c>
      <c r="E16" s="161">
        <f>('INCRM FIXED TRANSPORT'!$B18+'VARIABLE TRANSPORT'!$B18+'FIXED STORAGE'!$B18+'VARIABLE STORAGE'!$B18+(('COMMODITY COST'!E17+'NEW CARBON TAX'!$C19)*'ENVIRONMENTAL ADDER'!$B18)+'DISTRIBUTION SYSTEM'!E18+'RISK PREMIUM'!$B19)/10</f>
        <v>0.97136952850227742</v>
      </c>
      <c r="F16" s="161">
        <f>('INCRM FIXED TRANSPORT'!$B18+'VARIABLE TRANSPORT'!$B18+'FIXED STORAGE'!$B18+'VARIABLE STORAGE'!$B18+(('COMMODITY COST'!F17+'NEW CARBON TAX'!$C19)*'ENVIRONMENTAL ADDER'!$B18)+'DISTRIBUTION SYSTEM'!F18+'RISK PREMIUM'!$B19)/10</f>
        <v>0.97136952850227742</v>
      </c>
      <c r="G16" s="161">
        <f>('INCRM FIXED TRANSPORT'!$B18+'VARIABLE TRANSPORT'!$B18+'FIXED STORAGE'!$B18+'VARIABLE STORAGE'!$B18+(('COMMODITY COST'!G17+'NEW CARBON TAX'!$B19)*'ENVIRONMENTAL ADDER'!$B18)+'DISTRIBUTION SYSTEM'!G18+'RISK PREMIUM'!$B19)/10</f>
        <v>1.0020436159092017</v>
      </c>
      <c r="H16" s="161">
        <f>('INCRM FIXED TRANSPORT'!$B18+'VARIABLE TRANSPORT'!$B18+'FIXED STORAGE'!$B18+'VARIABLE STORAGE'!$B18+(('COMMODITY COST'!H17+'NEW CARBON TAX'!$D19)*'ENVIRONMENTAL ADDER'!$B18)+'DISTRIBUTION SYSTEM'!H18+'RISK PREMIUM'!$B19)/10</f>
        <v>0.97689121450771277</v>
      </c>
      <c r="J16" s="157">
        <v>2034</v>
      </c>
      <c r="K16" s="161">
        <f t="shared" si="0"/>
        <v>0.64908456743884724</v>
      </c>
      <c r="L16" s="161">
        <f t="shared" si="1"/>
        <v>0.64666824104875431</v>
      </c>
      <c r="M16" s="161">
        <f t="shared" si="2"/>
        <v>0.64708433169169122</v>
      </c>
      <c r="N16" s="161">
        <f t="shared" si="3"/>
        <v>0.62895195564307582</v>
      </c>
      <c r="O16" s="161">
        <f t="shared" si="4"/>
        <v>0.62895195564307582</v>
      </c>
      <c r="P16" s="161">
        <f t="shared" si="5"/>
        <v>0.64881311732878166</v>
      </c>
      <c r="Q16" s="161">
        <f t="shared" si="6"/>
        <v>0.63252719154420634</v>
      </c>
    </row>
    <row r="17" spans="1:17" x14ac:dyDescent="0.25">
      <c r="A17" s="157">
        <v>2035</v>
      </c>
      <c r="B17" s="161">
        <f>('INCRM FIXED TRANSPORT'!$B19+'VARIABLE TRANSPORT'!$B19+'FIXED STORAGE'!$B19+'VARIABLE STORAGE'!$B19+(('COMMODITY COST'!B18+'NEW CARBON TAX'!$B20)*'ENVIRONMENTAL ADDER'!$B19)+'DISTRIBUTION SYSTEM'!B19+'RISK PREMIUM'!$B20)/10</f>
        <v>1.0197916596580727</v>
      </c>
      <c r="C17" s="161">
        <f>('INCRM FIXED TRANSPORT'!$B19+'VARIABLE TRANSPORT'!$B19+'FIXED STORAGE'!$B19+'VARIABLE STORAGE'!$B19+(('COMMODITY COST'!C18+'NEW CARBON TAX'!$B20)*'ENVIRONMENTAL ADDER'!$B19)+'DISTRIBUTION SYSTEM'!C19+'RISK PREMIUM'!$B20)/10</f>
        <v>1.0166778159455809</v>
      </c>
      <c r="D17" s="161">
        <f>('INCRM FIXED TRANSPORT'!$B19+'VARIABLE TRANSPORT'!$B19+'FIXED STORAGE'!$B19+'VARIABLE STORAGE'!$B19+(('COMMODITY COST'!D18+'NEW CARBON TAX'!$B20)*'ENVIRONMENTAL ADDER'!$B19)+'DISTRIBUTION SYSTEM'!D19+'RISK PREMIUM'!$B20)/10</f>
        <v>1.017208739352121</v>
      </c>
      <c r="E17" s="161">
        <f>('INCRM FIXED TRANSPORT'!$B19+'VARIABLE TRANSPORT'!$B19+'FIXED STORAGE'!$B19+'VARIABLE STORAGE'!$B19+(('COMMODITY COST'!E18+'NEW CARBON TAX'!$C20)*'ENVIRONMENTAL ADDER'!$B19)+'DISTRIBUTION SYSTEM'!E19+'RISK PREMIUM'!$B20)/10</f>
        <v>0.98794817760113252</v>
      </c>
      <c r="F17" s="161">
        <f>('INCRM FIXED TRANSPORT'!$B19+'VARIABLE TRANSPORT'!$B19+'FIXED STORAGE'!$B19+'VARIABLE STORAGE'!$B19+(('COMMODITY COST'!F18+'NEW CARBON TAX'!$C20)*'ENVIRONMENTAL ADDER'!$B19)+'DISTRIBUTION SYSTEM'!F19+'RISK PREMIUM'!$B20)/10</f>
        <v>0.98794817760113252</v>
      </c>
      <c r="G17" s="161">
        <f>('INCRM FIXED TRANSPORT'!$B19+'VARIABLE TRANSPORT'!$B19+'FIXED STORAGE'!$B19+'VARIABLE STORAGE'!$B19+(('COMMODITY COST'!G18+'NEW CARBON TAX'!$B20)*'ENVIRONMENTAL ADDER'!$B19)+'DISTRIBUTION SYSTEM'!G19+'RISK PREMIUM'!$B20)/10</f>
        <v>1.0194196609012849</v>
      </c>
      <c r="H17" s="161">
        <f>('INCRM FIXED TRANSPORT'!$B19+'VARIABLE TRANSPORT'!$B19+'FIXED STORAGE'!$B19+'VARIABLE STORAGE'!$B19+(('COMMODITY COST'!H18+'NEW CARBON TAX'!$D20)*'ENVIRONMENTAL ADDER'!$B19)+'DISTRIBUTION SYSTEM'!H19+'RISK PREMIUM'!$B20)/10</f>
        <v>0.99329070939240849</v>
      </c>
      <c r="J17" s="157">
        <v>2035</v>
      </c>
      <c r="K17" s="161">
        <f t="shared" si="0"/>
        <v>0.63859264636549284</v>
      </c>
      <c r="L17" s="161">
        <f t="shared" si="1"/>
        <v>0.63664276015305277</v>
      </c>
      <c r="M17" s="161">
        <f t="shared" si="2"/>
        <v>0.63697522392640182</v>
      </c>
      <c r="N17" s="161">
        <f t="shared" si="3"/>
        <v>0.61865228572060227</v>
      </c>
      <c r="O17" s="161">
        <f t="shared" si="4"/>
        <v>0.61865228572060227</v>
      </c>
      <c r="P17" s="161">
        <f t="shared" si="5"/>
        <v>0.63835970106897866</v>
      </c>
      <c r="Q17" s="161">
        <f t="shared" si="6"/>
        <v>0.62199777446094617</v>
      </c>
    </row>
    <row r="18" spans="1:17" x14ac:dyDescent="0.25">
      <c r="A18" s="157">
        <v>2036</v>
      </c>
      <c r="B18" s="161">
        <f>('INCRM FIXED TRANSPORT'!$B20+'VARIABLE TRANSPORT'!$B20+'FIXED STORAGE'!$B20+'VARIABLE STORAGE'!$B20+(('COMMODITY COST'!B19+'NEW CARBON TAX'!$B21)*'ENVIRONMENTAL ADDER'!$B20)+'DISTRIBUTION SYSTEM'!B20+'RISK PREMIUM'!$B21)/10</f>
        <v>1.0334780558417367</v>
      </c>
      <c r="C18" s="161">
        <f>('INCRM FIXED TRANSPORT'!$B20+'VARIABLE TRANSPORT'!$B20+'FIXED STORAGE'!$B20+'VARIABLE STORAGE'!$B20+(('COMMODITY COST'!C19+'NEW CARBON TAX'!$B21)*'ENVIRONMENTAL ADDER'!$B20)+'DISTRIBUTION SYSTEM'!C20+'RISK PREMIUM'!$B21)/10</f>
        <v>1.030560480760504</v>
      </c>
      <c r="D18" s="161">
        <f>('INCRM FIXED TRANSPORT'!$B20+'VARIABLE TRANSPORT'!$B20+'FIXED STORAGE'!$B20+'VARIABLE STORAGE'!$B20+(('COMMODITY COST'!D19+'NEW CARBON TAX'!$B21)*'ENVIRONMENTAL ADDER'!$B20)+'DISTRIBUTION SYSTEM'!D20+'RISK PREMIUM'!$B21)/10</f>
        <v>1.0310792517345042</v>
      </c>
      <c r="E18" s="161">
        <f>('INCRM FIXED TRANSPORT'!$B20+'VARIABLE TRANSPORT'!$B20+'FIXED STORAGE'!$B20+'VARIABLE STORAGE'!$B20+(('COMMODITY COST'!E19+'NEW CARBON TAX'!$C21)*'ENVIRONMENTAL ADDER'!$B20)+'DISTRIBUTION SYSTEM'!E20+'RISK PREMIUM'!$B21)/10</f>
        <v>1.0016150522843477</v>
      </c>
      <c r="F18" s="161">
        <f>('INCRM FIXED TRANSPORT'!$B20+'VARIABLE TRANSPORT'!$B20+'FIXED STORAGE'!$B20+'VARIABLE STORAGE'!$B20+(('COMMODITY COST'!F19+'NEW CARBON TAX'!$C21)*'ENVIRONMENTAL ADDER'!$B20)+'DISTRIBUTION SYSTEM'!F20+'RISK PREMIUM'!$B21)/10</f>
        <v>1.0016150522843477</v>
      </c>
      <c r="G18" s="161">
        <f>('INCRM FIXED TRANSPORT'!$B20+'VARIABLE TRANSPORT'!$B20+'FIXED STORAGE'!$B20+'VARIABLE STORAGE'!$B20+(('COMMODITY COST'!G19+'NEW CARBON TAX'!$B21)*'ENVIRONMENTAL ADDER'!$B20)+'DISTRIBUTION SYSTEM'!G20+'RISK PREMIUM'!$B21)/10</f>
        <v>1.0331324949498273</v>
      </c>
      <c r="H18" s="161">
        <f>('INCRM FIXED TRANSPORT'!$B20+'VARIABLE TRANSPORT'!$B20+'FIXED STORAGE'!$B20+'VARIABLE STORAGE'!$B20+(('COMMODITY COST'!H19+'NEW CARBON TAX'!$D21)*'ENVIRONMENTAL ADDER'!$B20)+'DISTRIBUTION SYSTEM'!H20+'RISK PREMIUM'!$B21)/10</f>
        <v>1.0068724802332605</v>
      </c>
      <c r="J18" s="157">
        <v>2036</v>
      </c>
      <c r="K18" s="161">
        <f t="shared" si="0"/>
        <v>0.62588303259087708</v>
      </c>
      <c r="L18" s="161">
        <f t="shared" si="1"/>
        <v>0.6241161244989909</v>
      </c>
      <c r="M18" s="161">
        <f t="shared" si="2"/>
        <v>0.62443029657898053</v>
      </c>
      <c r="N18" s="161">
        <f t="shared" si="3"/>
        <v>0.60658652873070562</v>
      </c>
      <c r="O18" s="161">
        <f t="shared" si="4"/>
        <v>0.60658652873070562</v>
      </c>
      <c r="P18" s="161">
        <f t="shared" si="5"/>
        <v>0.62567375799839731</v>
      </c>
      <c r="Q18" s="161">
        <f t="shared" si="6"/>
        <v>0.60977047146630003</v>
      </c>
    </row>
    <row r="19" spans="1:17" x14ac:dyDescent="0.25">
      <c r="A19" s="157">
        <v>2037</v>
      </c>
      <c r="B19" s="161">
        <f>('INCRM FIXED TRANSPORT'!$B21+'VARIABLE TRANSPORT'!$B21+'FIXED STORAGE'!$B21+'VARIABLE STORAGE'!$B21+(('COMMODITY COST'!B20+'NEW CARBON TAX'!$B22)*'ENVIRONMENTAL ADDER'!$B21)+'DISTRIBUTION SYSTEM'!B21+'RISK PREMIUM'!$B22)/10</f>
        <v>1.0572028668416884</v>
      </c>
      <c r="C19" s="161">
        <f>('INCRM FIXED TRANSPORT'!$B21+'VARIABLE TRANSPORT'!$B21+'FIXED STORAGE'!$B21+'VARIABLE STORAGE'!$B21+(('COMMODITY COST'!C20+'NEW CARBON TAX'!$B22)*'ENVIRONMENTAL ADDER'!$B21)+'DISTRIBUTION SYSTEM'!C21+'RISK PREMIUM'!$B22)/10</f>
        <v>1.0533097348857776</v>
      </c>
      <c r="D19" s="161">
        <f>('INCRM FIXED TRANSPORT'!$B21+'VARIABLE TRANSPORT'!$B21+'FIXED STORAGE'!$B21+'VARIABLE STORAGE'!$B21+(('COMMODITY COST'!D20+'NEW CARBON TAX'!$B22)*'ENVIRONMENTAL ADDER'!$B21)+'DISTRIBUTION SYSTEM'!D21+'RISK PREMIUM'!$B22)/10</f>
        <v>1.0539801128808626</v>
      </c>
      <c r="E19" s="161">
        <f>('INCRM FIXED TRANSPORT'!$B21+'VARIABLE TRANSPORT'!$B21+'FIXED STORAGE'!$B21+'VARIABLE STORAGE'!$B21+(('COMMODITY COST'!E20+'NEW CARBON TAX'!$C22)*'ENVIRONMENTAL ADDER'!$B21)+'DISTRIBUTION SYSTEM'!E21+'RISK PREMIUM'!$B22)/10</f>
        <v>1.0251994774054847</v>
      </c>
      <c r="F19" s="161">
        <f>('INCRM FIXED TRANSPORT'!$B21+'VARIABLE TRANSPORT'!$B21+'FIXED STORAGE'!$B21+'VARIABLE STORAGE'!$B21+(('COMMODITY COST'!F20+'NEW CARBON TAX'!$C22)*'ENVIRONMENTAL ADDER'!$B21)+'DISTRIBUTION SYSTEM'!F21+'RISK PREMIUM'!$B22)/10</f>
        <v>1.0251994774054847</v>
      </c>
      <c r="G19" s="161">
        <f>('INCRM FIXED TRANSPORT'!$B21+'VARIABLE TRANSPORT'!$B21+'FIXED STORAGE'!$B21+'VARIABLE STORAGE'!$B21+(('COMMODITY COST'!G20+'NEW CARBON TAX'!$B22)*'ENVIRONMENTAL ADDER'!$B21)+'DISTRIBUTION SYSTEM'!G21+'RISK PREMIUM'!$B22)/10</f>
        <v>1.0567761970079774</v>
      </c>
      <c r="H19" s="161">
        <f>('INCRM FIXED TRANSPORT'!$B21+'VARIABLE TRANSPORT'!$B21+'FIXED STORAGE'!$B21+'VARIABLE STORAGE'!$B21+(('COMMODITY COST'!H20+'NEW CARBON TAX'!$D22)*'ENVIRONMENTAL ADDER'!$B21)+'DISTRIBUTION SYSTEM'!H21+'RISK PREMIUM'!$B22)/10</f>
        <v>1.0309248889004787</v>
      </c>
      <c r="J19" s="157">
        <v>2037</v>
      </c>
      <c r="K19" s="161">
        <f t="shared" si="0"/>
        <v>0.61919823825580245</v>
      </c>
      <c r="L19" s="161">
        <f t="shared" si="1"/>
        <v>0.61691805105237685</v>
      </c>
      <c r="M19" s="161">
        <f t="shared" si="2"/>
        <v>0.61731068796865962</v>
      </c>
      <c r="N19" s="161">
        <f t="shared" si="3"/>
        <v>0.60045401897808537</v>
      </c>
      <c r="O19" s="161">
        <f t="shared" si="4"/>
        <v>0.60045401897808537</v>
      </c>
      <c r="P19" s="161">
        <f t="shared" si="5"/>
        <v>0.61894833994618093</v>
      </c>
      <c r="Q19" s="161">
        <f t="shared" si="6"/>
        <v>0.60380736280847125</v>
      </c>
    </row>
    <row r="20" spans="1:17" x14ac:dyDescent="0.25">
      <c r="A20" s="157">
        <v>2038</v>
      </c>
      <c r="B20" s="161">
        <f>('INCRM FIXED TRANSPORT'!$B22+'VARIABLE TRANSPORT'!$B22+'FIXED STORAGE'!$B22+'VARIABLE STORAGE'!$B22+(('COMMODITY COST'!B21+'NEW CARBON TAX'!$B23)*'ENVIRONMENTAL ADDER'!$B22)+'DISTRIBUTION SYSTEM'!B22+'RISK PREMIUM'!$B23)/10</f>
        <v>1.0792428719735869</v>
      </c>
      <c r="C20" s="161">
        <f>('INCRM FIXED TRANSPORT'!$B22+'VARIABLE TRANSPORT'!$B22+'FIXED STORAGE'!$B22+'VARIABLE STORAGE'!$B22+(('COMMODITY COST'!C21+'NEW CARBON TAX'!$B23)*'ENVIRONMENTAL ADDER'!$B22)+'DISTRIBUTION SYSTEM'!C22+'RISK PREMIUM'!$B23)/10</f>
        <v>1.0751570772735279</v>
      </c>
      <c r="D20" s="161">
        <f>('INCRM FIXED TRANSPORT'!$B22+'VARIABLE TRANSPORT'!$B22+'FIXED STORAGE'!$B22+'VARIABLE STORAGE'!$B22+(('COMMODITY COST'!D21+'NEW CARBON TAX'!$B23)*'ENVIRONMENTAL ADDER'!$B22)+'DISTRIBUTION SYSTEM'!D22+'RISK PREMIUM'!$B23)/10</f>
        <v>1.0758594824672332</v>
      </c>
      <c r="E20" s="161">
        <f>('INCRM FIXED TRANSPORT'!$B22+'VARIABLE TRANSPORT'!$B22+'FIXED STORAGE'!$B22+'VARIABLE STORAGE'!$B22+(('COMMODITY COST'!E21+'NEW CARBON TAX'!$C23)*'ENVIRONMENTAL ADDER'!$B22)+'DISTRIBUTION SYSTEM'!E22+'RISK PREMIUM'!$B23)/10</f>
        <v>1.0469048831641983</v>
      </c>
      <c r="F20" s="161">
        <f>('INCRM FIXED TRANSPORT'!$B22+'VARIABLE TRANSPORT'!$B22+'FIXED STORAGE'!$B22+'VARIABLE STORAGE'!$B22+(('COMMODITY COST'!F21+'NEW CARBON TAX'!$C23)*'ENVIRONMENTAL ADDER'!$B22)+'DISTRIBUTION SYSTEM'!F22+'RISK PREMIUM'!$B23)/10</f>
        <v>1.0469048831641983</v>
      </c>
      <c r="G20" s="161">
        <f>('INCRM FIXED TRANSPORT'!$B22+'VARIABLE TRANSPORT'!$B22+'FIXED STORAGE'!$B22+'VARIABLE STORAGE'!$B22+(('COMMODITY COST'!G21+'NEW CARBON TAX'!$B23)*'ENVIRONMENTAL ADDER'!$B22)+'DISTRIBUTION SYSTEM'!G22+'RISK PREMIUM'!$B23)/10</f>
        <v>1.078801140190391</v>
      </c>
      <c r="H20" s="161">
        <f>('INCRM FIXED TRANSPORT'!$B22+'VARIABLE TRANSPORT'!$B22+'FIXED STORAGE'!$B22+'VARIABLE STORAGE'!$B22+(('COMMODITY COST'!H21+'NEW CARBON TAX'!$D23)*'ENVIRONMENTAL ADDER'!$B22)+'DISTRIBUTION SYSTEM'!H22+'RISK PREMIUM'!$B23)/10</f>
        <v>1.0527505070751741</v>
      </c>
      <c r="J20" s="157">
        <v>2038</v>
      </c>
      <c r="K20" s="161">
        <f t="shared" si="0"/>
        <v>0.6113220067694668</v>
      </c>
      <c r="L20" s="161">
        <f t="shared" si="1"/>
        <v>0.60900766559552832</v>
      </c>
      <c r="M20" s="161">
        <f t="shared" si="2"/>
        <v>0.6094055331781939</v>
      </c>
      <c r="N20" s="161">
        <f t="shared" si="3"/>
        <v>0.59300460599970961</v>
      </c>
      <c r="O20" s="161">
        <f t="shared" si="4"/>
        <v>0.59300460599970961</v>
      </c>
      <c r="P20" s="161">
        <f t="shared" si="5"/>
        <v>0.61107179398866485</v>
      </c>
      <c r="Q20" s="161">
        <f t="shared" si="6"/>
        <v>0.59631577777844225</v>
      </c>
    </row>
    <row r="21" spans="1:17" x14ac:dyDescent="0.25">
      <c r="A21" s="157">
        <v>2039</v>
      </c>
      <c r="B21" s="161">
        <f>('INCRM FIXED TRANSPORT'!$B23+'VARIABLE TRANSPORT'!$B23+'FIXED STORAGE'!$B23+'VARIABLE STORAGE'!$B23+(('COMMODITY COST'!B22+'NEW CARBON TAX'!$B24)*'ENVIRONMENTAL ADDER'!$B23)+'DISTRIBUTION SYSTEM'!B23+'RISK PREMIUM'!$B24)/10</f>
        <v>1.1025715395916176</v>
      </c>
      <c r="C21" s="161">
        <f>('INCRM FIXED TRANSPORT'!$B23+'VARIABLE TRANSPORT'!$B23+'FIXED STORAGE'!$B23+'VARIABLE STORAGE'!$B23+(('COMMODITY COST'!C22+'NEW CARBON TAX'!$B24)*'ENVIRONMENTAL ADDER'!$B23)+'DISTRIBUTION SYSTEM'!C23+'RISK PREMIUM'!$B24)/10</f>
        <v>1.0982277337441109</v>
      </c>
      <c r="D21" s="161">
        <f>('INCRM FIXED TRANSPORT'!$B23+'VARIABLE TRANSPORT'!$B23+'FIXED STORAGE'!$B23+'VARIABLE STORAGE'!$B23+(('COMMODITY COST'!D22+'NEW CARBON TAX'!$B24)*'ENVIRONMENTAL ADDER'!$B23)+'DISTRIBUTION SYSTEM'!D23+'RISK PREMIUM'!$B24)/10</f>
        <v>1.0989775225035323</v>
      </c>
      <c r="E21" s="161">
        <f>('INCRM FIXED TRANSPORT'!$B23+'VARIABLE TRANSPORT'!$B23+'FIXED STORAGE'!$B23+'VARIABLE STORAGE'!$B23+(('COMMODITY COST'!E22+'NEW CARBON TAX'!$C24)*'ENVIRONMENTAL ADDER'!$B23)+'DISTRIBUTION SYSTEM'!E23+'RISK PREMIUM'!$B24)/10</f>
        <v>1.0699457256028535</v>
      </c>
      <c r="F21" s="161">
        <f>('INCRM FIXED TRANSPORT'!$B23+'VARIABLE TRANSPORT'!$B23+'FIXED STORAGE'!$B23+'VARIABLE STORAGE'!$B23+(('COMMODITY COST'!F22+'NEW CARBON TAX'!$C24)*'ENVIRONMENTAL ADDER'!$B23)+'DISTRIBUTION SYSTEM'!F23+'RISK PREMIUM'!$B24)/10</f>
        <v>1.0699457256028535</v>
      </c>
      <c r="G21" s="161">
        <f>('INCRM FIXED TRANSPORT'!$B23+'VARIABLE TRANSPORT'!$B23+'FIXED STORAGE'!$B23+'VARIABLE STORAGE'!$B23+(('COMMODITY COST'!G22+'NEW CARBON TAX'!$B24)*'ENVIRONMENTAL ADDER'!$B23)+'DISTRIBUTION SYSTEM'!G23+'RISK PREMIUM'!$B24)/10</f>
        <v>1.1021113748980613</v>
      </c>
      <c r="H21" s="161">
        <f>('INCRM FIXED TRANSPORT'!$B23+'VARIABLE TRANSPORT'!$B23+'FIXED STORAGE'!$B23+'VARIABLE STORAGE'!$B23+(('COMMODITY COST'!H22+'NEW CARBON TAX'!$D24)*'ENVIRONMENTAL ADDER'!$B23)+'DISTRIBUTION SYSTEM'!H23+'RISK PREMIUM'!$B24)/10</f>
        <v>1.0759447580579236</v>
      </c>
      <c r="J21" s="157">
        <v>2039</v>
      </c>
      <c r="K21" s="161">
        <f t="shared" si="0"/>
        <v>0.60400019705335217</v>
      </c>
      <c r="L21" s="161">
        <f t="shared" si="1"/>
        <v>0.60162061487329033</v>
      </c>
      <c r="M21" s="161">
        <f t="shared" si="2"/>
        <v>0.60203135698133237</v>
      </c>
      <c r="N21" s="161">
        <f t="shared" si="3"/>
        <v>0.58612743563096104</v>
      </c>
      <c r="O21" s="161">
        <f t="shared" si="4"/>
        <v>0.58612743563096104</v>
      </c>
      <c r="P21" s="161">
        <f t="shared" si="5"/>
        <v>0.60374811403143069</v>
      </c>
      <c r="Q21" s="161">
        <f t="shared" si="6"/>
        <v>0.58941376822243519</v>
      </c>
    </row>
    <row r="22" spans="1:17" x14ac:dyDescent="0.25">
      <c r="A22" s="157">
        <v>2040</v>
      </c>
      <c r="B22" s="161">
        <f>('INCRM FIXED TRANSPORT'!$B24+'VARIABLE TRANSPORT'!$B24+'FIXED STORAGE'!$B24+'VARIABLE STORAGE'!$B24+(('COMMODITY COST'!B23+'NEW CARBON TAX'!$B25)*'ENVIRONMENTAL ADDER'!$B24)+'DISTRIBUTION SYSTEM'!B24+'RISK PREMIUM'!$B25)/10</f>
        <v>1.1169987133432302</v>
      </c>
      <c r="C22" s="161">
        <f>('INCRM FIXED TRANSPORT'!$B24+'VARIABLE TRANSPORT'!$B24+'FIXED STORAGE'!$B24+'VARIABLE STORAGE'!$B24+(('COMMODITY COST'!C23+'NEW CARBON TAX'!$B25)*'ENVIRONMENTAL ADDER'!$B24)+'DISTRIBUTION SYSTEM'!C24+'RISK PREMIUM'!$B25)/10</f>
        <v>1.1128229727959977</v>
      </c>
      <c r="D22" s="161">
        <f>('INCRM FIXED TRANSPORT'!$B24+'VARIABLE TRANSPORT'!$B24+'FIXED STORAGE'!$B24+'VARIABLE STORAGE'!$B24+(('COMMODITY COST'!D23+'NEW CARBON TAX'!$B25)*'ENVIRONMENTAL ADDER'!$B24)+'DISTRIBUTION SYSTEM'!D24+'RISK PREMIUM'!$B25)/10</f>
        <v>1.113534087432515</v>
      </c>
      <c r="E22" s="161">
        <f>('INCRM FIXED TRANSPORT'!$B24+'VARIABLE TRANSPORT'!$B24+'FIXED STORAGE'!$B24+'VARIABLE STORAGE'!$B24+(('COMMODITY COST'!E23+'NEW CARBON TAX'!$C25)*'ENVIRONMENTAL ADDER'!$B24)+'DISTRIBUTION SYSTEM'!E24+'RISK PREMIUM'!$B25)/10</f>
        <v>1.0846946345336372</v>
      </c>
      <c r="F22" s="161">
        <f>('INCRM FIXED TRANSPORT'!$B24+'VARIABLE TRANSPORT'!$B24+'FIXED STORAGE'!$B24+'VARIABLE STORAGE'!$B24+(('COMMODITY COST'!F23+'NEW CARBON TAX'!$C25)*'ENVIRONMENTAL ADDER'!$B24)+'DISTRIBUTION SYSTEM'!F24+'RISK PREMIUM'!$B25)/10</f>
        <v>1.0846946345336372</v>
      </c>
      <c r="G22" s="161">
        <f>('INCRM FIXED TRANSPORT'!$B24+'VARIABLE TRANSPORT'!$B24+'FIXED STORAGE'!$B24+'VARIABLE STORAGE'!$B24+(('COMMODITY COST'!G23+'NEW CARBON TAX'!$B25)*'ENVIRONMENTAL ADDER'!$B24)+'DISTRIBUTION SYSTEM'!G24+'RISK PREMIUM'!$B25)/10</f>
        <v>1.1165504413430951</v>
      </c>
      <c r="H22" s="161">
        <f>('INCRM FIXED TRANSPORT'!$B24+'VARIABLE TRANSPORT'!$B24+'FIXED STORAGE'!$B24+'VARIABLE STORAGE'!$B24+(('COMMODITY COST'!H23+'NEW CARBON TAX'!$D25)*'ENVIRONMENTAL ADDER'!$B24)+'DISTRIBUTION SYSTEM'!H24+'RISK PREMIUM'!$B25)/10</f>
        <v>1.090567706308788</v>
      </c>
      <c r="J22" s="157">
        <v>2040</v>
      </c>
      <c r="K22" s="161">
        <f t="shared" si="0"/>
        <v>0.59178293366783896</v>
      </c>
      <c r="L22" s="161">
        <f t="shared" si="1"/>
        <v>0.58957063748364658</v>
      </c>
      <c r="M22" s="161">
        <f t="shared" si="2"/>
        <v>0.58994738411794911</v>
      </c>
      <c r="N22" s="161">
        <f t="shared" si="3"/>
        <v>0.5746683190321964</v>
      </c>
      <c r="O22" s="161">
        <f t="shared" si="4"/>
        <v>0.5746683190321964</v>
      </c>
      <c r="P22" s="161">
        <f t="shared" si="5"/>
        <v>0.59154544035996659</v>
      </c>
      <c r="Q22" s="161">
        <f t="shared" si="6"/>
        <v>0.57777985676560872</v>
      </c>
    </row>
    <row r="23" spans="1:17" x14ac:dyDescent="0.25">
      <c r="A23" s="157">
        <v>2041</v>
      </c>
      <c r="B23" s="161">
        <f>B22*(INFLATION!$B6+1)</f>
        <v>1.1393386876100948</v>
      </c>
      <c r="C23" s="161">
        <f>C22*(INFLATION!$B6+1)</f>
        <v>1.1350794322519178</v>
      </c>
      <c r="D23" s="161">
        <f>D22*(INFLATION!$B6+1)</f>
        <v>1.1358047691811652</v>
      </c>
      <c r="E23" s="161">
        <f>E22*(INFLATION!$B6+1)</f>
        <v>1.1063885272243099</v>
      </c>
      <c r="F23" s="161">
        <f>F22*(INFLATION!$B6+1)</f>
        <v>1.1063885272243099</v>
      </c>
      <c r="G23" s="161">
        <f>G22*(INFLATION!$B6+1)</f>
        <v>1.1388814501699571</v>
      </c>
      <c r="H23" s="161">
        <f>H22*(INFLATION!$B6+1)</f>
        <v>1.1123790604349637</v>
      </c>
      <c r="J23" s="157">
        <v>2041</v>
      </c>
      <c r="K23" s="161">
        <f t="shared" si="0"/>
        <v>0.58377039878258785</v>
      </c>
      <c r="L23" s="161">
        <f t="shared" si="1"/>
        <v>0.58158805631849098</v>
      </c>
      <c r="M23" s="161">
        <f t="shared" si="2"/>
        <v>0.58195970193453406</v>
      </c>
      <c r="N23" s="161">
        <f t="shared" si="3"/>
        <v>0.56688751007044524</v>
      </c>
      <c r="O23" s="161">
        <f t="shared" si="4"/>
        <v>0.56688751007044524</v>
      </c>
      <c r="P23" s="161">
        <f t="shared" si="5"/>
        <v>0.58353612105141783</v>
      </c>
      <c r="Q23" s="161">
        <f t="shared" si="6"/>
        <v>0.56995691866626785</v>
      </c>
    </row>
    <row r="24" spans="1:17" x14ac:dyDescent="0.25">
      <c r="A24" s="157">
        <v>2042</v>
      </c>
      <c r="B24" s="161">
        <f>B23*(INFLATION!$B7+1)</f>
        <v>1.1621254613622967</v>
      </c>
      <c r="C24" s="161">
        <f>C23*(INFLATION!$B7+1)</f>
        <v>1.1577810208969561</v>
      </c>
      <c r="D24" s="161">
        <f>D23*(INFLATION!$B7+1)</f>
        <v>1.1585208645647886</v>
      </c>
      <c r="E24" s="161">
        <f>E23*(INFLATION!$B7+1)</f>
        <v>1.1285162977687961</v>
      </c>
      <c r="F24" s="161">
        <f>F23*(INFLATION!$B7+1)</f>
        <v>1.1285162977687961</v>
      </c>
      <c r="G24" s="161">
        <f>G23*(INFLATION!$B7+1)</f>
        <v>1.1616590791733563</v>
      </c>
      <c r="H24" s="161">
        <f>H23*(INFLATION!$B7+1)</f>
        <v>1.134626641643663</v>
      </c>
      <c r="J24" s="157">
        <v>2042</v>
      </c>
      <c r="K24" s="161">
        <f t="shared" si="0"/>
        <v>0.57586635083001891</v>
      </c>
      <c r="L24" s="161">
        <f t="shared" si="1"/>
        <v>0.57371355652307621</v>
      </c>
      <c r="M24" s="161">
        <f t="shared" si="2"/>
        <v>0.57408017018687119</v>
      </c>
      <c r="N24" s="161">
        <f t="shared" si="3"/>
        <v>0.55921205055305045</v>
      </c>
      <c r="O24" s="161">
        <f t="shared" si="4"/>
        <v>0.55921205055305045</v>
      </c>
      <c r="P24" s="161">
        <f t="shared" si="5"/>
        <v>0.57563524513776232</v>
      </c>
      <c r="Q24" s="161">
        <f t="shared" si="6"/>
        <v>0.56223990042513849</v>
      </c>
    </row>
    <row r="25" spans="1:17" x14ac:dyDescent="0.25">
      <c r="A25" s="157">
        <v>2043</v>
      </c>
      <c r="B25" s="161">
        <f>B24*(INFLATION!$B8+1)</f>
        <v>1.1853679705895426</v>
      </c>
      <c r="C25" s="161">
        <f>C24*(INFLATION!$B8+1)</f>
        <v>1.1809366413148952</v>
      </c>
      <c r="D25" s="161">
        <f>D24*(INFLATION!$B8+1)</f>
        <v>1.1816912818560845</v>
      </c>
      <c r="E25" s="161">
        <f>E24*(INFLATION!$B8+1)</f>
        <v>1.1510866237241721</v>
      </c>
      <c r="F25" s="161">
        <f>F24*(INFLATION!$B8+1)</f>
        <v>1.1510866237241721</v>
      </c>
      <c r="G25" s="161">
        <f>G24*(INFLATION!$B8+1)</f>
        <v>1.1848922607568235</v>
      </c>
      <c r="H25" s="161">
        <f>H24*(INFLATION!$B8+1)</f>
        <v>1.1573191744765363</v>
      </c>
      <c r="J25" s="157">
        <v>2043</v>
      </c>
      <c r="K25" s="161">
        <f t="shared" si="0"/>
        <v>0.56806932093483498</v>
      </c>
      <c r="L25" s="161">
        <f t="shared" si="1"/>
        <v>0.56594567471328605</v>
      </c>
      <c r="M25" s="161">
        <f t="shared" si="2"/>
        <v>0.56630732455571442</v>
      </c>
      <c r="N25" s="161">
        <f t="shared" si="3"/>
        <v>0.5516405140852142</v>
      </c>
      <c r="O25" s="161">
        <f t="shared" si="4"/>
        <v>0.5516405140852142</v>
      </c>
      <c r="P25" s="161">
        <f t="shared" si="5"/>
        <v>0.56784134433318922</v>
      </c>
      <c r="Q25" s="161">
        <f t="shared" si="6"/>
        <v>0.55462736792421796</v>
      </c>
    </row>
    <row r="26" spans="1:17" x14ac:dyDescent="0.25">
      <c r="A26" s="157">
        <v>2044</v>
      </c>
      <c r="B26" s="161">
        <f>B25*(INFLATION!$B9+1)</f>
        <v>1.2090753300013335</v>
      </c>
      <c r="C26" s="161">
        <f>C25*(INFLATION!$B9+1)</f>
        <v>1.2045553741411932</v>
      </c>
      <c r="D26" s="161">
        <f>D25*(INFLATION!$B9+1)</f>
        <v>1.2053251074932063</v>
      </c>
      <c r="E26" s="161">
        <f>E25*(INFLATION!$B9+1)</f>
        <v>1.1741083561986556</v>
      </c>
      <c r="F26" s="161">
        <f>F25*(INFLATION!$B9+1)</f>
        <v>1.1741083561986556</v>
      </c>
      <c r="G26" s="161">
        <f>G25*(INFLATION!$B9+1)</f>
        <v>1.2085901059719599</v>
      </c>
      <c r="H26" s="161">
        <f>H25*(INFLATION!$B9+1)</f>
        <v>1.180465557966067</v>
      </c>
      <c r="J26" s="157">
        <v>2044</v>
      </c>
      <c r="K26" s="161">
        <f t="shared" si="0"/>
        <v>0.5603778601097984</v>
      </c>
      <c r="L26" s="161">
        <f t="shared" si="1"/>
        <v>0.5582829673187153</v>
      </c>
      <c r="M26" s="161">
        <f t="shared" si="2"/>
        <v>0.55863972054819011</v>
      </c>
      <c r="N26" s="161">
        <f t="shared" si="3"/>
        <v>0.54417149358502748</v>
      </c>
      <c r="O26" s="161">
        <f t="shared" si="4"/>
        <v>0.54417149358502748</v>
      </c>
      <c r="P26" s="161">
        <f t="shared" si="5"/>
        <v>0.56015297023196597</v>
      </c>
      <c r="Q26" s="161">
        <f t="shared" si="6"/>
        <v>0.54711790646296143</v>
      </c>
    </row>
    <row r="27" spans="1:17" x14ac:dyDescent="0.25">
      <c r="A27" s="157">
        <v>2045</v>
      </c>
      <c r="B27" s="161">
        <f>B26*(INFLATION!$B10+1)</f>
        <v>1.2332568366013601</v>
      </c>
      <c r="C27" s="161">
        <f>C26*(INFLATION!$B10+1)</f>
        <v>1.228646481624017</v>
      </c>
      <c r="D27" s="161">
        <f>D26*(INFLATION!$B10+1)</f>
        <v>1.2294316096430704</v>
      </c>
      <c r="E27" s="161">
        <f>E26*(INFLATION!$B10+1)</f>
        <v>1.1975905233226287</v>
      </c>
      <c r="F27" s="161">
        <f>F26*(INFLATION!$B10+1)</f>
        <v>1.1975905233226287</v>
      </c>
      <c r="G27" s="161">
        <f>G26*(INFLATION!$B10+1)</f>
        <v>1.2327619080913992</v>
      </c>
      <c r="H27" s="161">
        <f>H26*(INFLATION!$B10+1)</f>
        <v>1.2040748691253884</v>
      </c>
      <c r="J27" s="157">
        <v>2045</v>
      </c>
      <c r="K27" s="161">
        <f t="shared" si="0"/>
        <v>0.55279053898645503</v>
      </c>
      <c r="L27" s="161">
        <f t="shared" si="1"/>
        <v>0.55072401031440021</v>
      </c>
      <c r="M27" s="161">
        <f t="shared" si="2"/>
        <v>0.551075933229356</v>
      </c>
      <c r="N27" s="161">
        <f t="shared" si="3"/>
        <v>0.53680360102198077</v>
      </c>
      <c r="O27" s="161">
        <f t="shared" si="4"/>
        <v>0.53680360102198077</v>
      </c>
      <c r="P27" s="161">
        <f t="shared" si="5"/>
        <v>0.55256869403927023</v>
      </c>
      <c r="Q27" s="161">
        <f t="shared" si="6"/>
        <v>0.53971012049537803</v>
      </c>
    </row>
    <row r="28" spans="1:17" x14ac:dyDescent="0.25">
      <c r="A28" s="157">
        <v>2046</v>
      </c>
      <c r="B28" s="161">
        <f>B27*(INFLATION!$B11+1)</f>
        <v>1.2579219733333873</v>
      </c>
      <c r="C28" s="161">
        <f>C27*(INFLATION!$B11+1)</f>
        <v>1.2532194112564974</v>
      </c>
      <c r="D28" s="161">
        <f>D27*(INFLATION!$B11+1)</f>
        <v>1.2540202418359319</v>
      </c>
      <c r="E28" s="161">
        <f>E27*(INFLATION!$B11+1)</f>
        <v>1.2215423337890814</v>
      </c>
      <c r="F28" s="161">
        <f>F27*(INFLATION!$B11+1)</f>
        <v>1.2215423337890814</v>
      </c>
      <c r="G28" s="161">
        <f>G27*(INFLATION!$B11+1)</f>
        <v>1.2574171462532271</v>
      </c>
      <c r="H28" s="161">
        <f>H27*(INFLATION!$B11+1)</f>
        <v>1.2281563665078963</v>
      </c>
      <c r="J28" s="157">
        <v>2046</v>
      </c>
      <c r="K28" s="161">
        <f t="shared" si="0"/>
        <v>0.54530594754950112</v>
      </c>
      <c r="L28" s="161">
        <f t="shared" si="1"/>
        <v>0.54326739895617815</v>
      </c>
      <c r="M28" s="161">
        <f t="shared" si="2"/>
        <v>0.5436145569573918</v>
      </c>
      <c r="N28" s="161">
        <f t="shared" si="3"/>
        <v>0.52953546715901401</v>
      </c>
      <c r="O28" s="161">
        <f t="shared" si="4"/>
        <v>0.52953546715901401</v>
      </c>
      <c r="P28" s="161">
        <f t="shared" si="5"/>
        <v>0.54508710630566315</v>
      </c>
      <c r="Q28" s="161">
        <f t="shared" si="6"/>
        <v>0.53240263337068239</v>
      </c>
    </row>
    <row r="29" spans="1:17" x14ac:dyDescent="0.25">
      <c r="A29" s="157">
        <v>2047</v>
      </c>
      <c r="B29" s="161">
        <f>B28*(INFLATION!$B12+1)</f>
        <v>1.283080412800055</v>
      </c>
      <c r="C29" s="161">
        <f>C28*(INFLATION!$B12+1)</f>
        <v>1.2782837994816274</v>
      </c>
      <c r="D29" s="161">
        <f>D28*(INFLATION!$B12+1)</f>
        <v>1.2791006466726504</v>
      </c>
      <c r="E29" s="161">
        <f>E28*(INFLATION!$B12+1)</f>
        <v>1.2459731804648631</v>
      </c>
      <c r="F29" s="161">
        <f>F28*(INFLATION!$B12+1)</f>
        <v>1.2459731804648631</v>
      </c>
      <c r="G29" s="161">
        <f>G28*(INFLATION!$B12+1)</f>
        <v>1.2825654891782916</v>
      </c>
      <c r="H29" s="161">
        <f>H28*(INFLATION!$B12+1)</f>
        <v>1.2527194938380541</v>
      </c>
      <c r="J29" s="157">
        <v>2047</v>
      </c>
      <c r="K29" s="161">
        <f t="shared" si="0"/>
        <v>0.53792269487474964</v>
      </c>
      <c r="L29" s="161">
        <f t="shared" si="1"/>
        <v>0.53591174751963422</v>
      </c>
      <c r="M29" s="161">
        <f t="shared" si="2"/>
        <v>0.53625420512237876</v>
      </c>
      <c r="N29" s="161">
        <f t="shared" si="3"/>
        <v>0.52236574129806024</v>
      </c>
      <c r="O29" s="161">
        <f t="shared" si="4"/>
        <v>0.52236574129806024</v>
      </c>
      <c r="P29" s="161">
        <f t="shared" si="5"/>
        <v>0.53770681666516085</v>
      </c>
      <c r="Q29" s="161">
        <f t="shared" si="6"/>
        <v>0.52519408707746229</v>
      </c>
    </row>
    <row r="30" spans="1:17" x14ac:dyDescent="0.25">
      <c r="A30" s="157">
        <v>2048</v>
      </c>
      <c r="B30" s="161">
        <f>B29*(INFLATION!$B13+1)</f>
        <v>1.3087420210560561</v>
      </c>
      <c r="C30" s="161">
        <f>C29*(INFLATION!$B13+1)</f>
        <v>1.30384947547126</v>
      </c>
      <c r="D30" s="161">
        <f>D29*(INFLATION!$B13+1)</f>
        <v>1.3046826596061034</v>
      </c>
      <c r="E30" s="161">
        <f>E29*(INFLATION!$B13+1)</f>
        <v>1.2708926440741604</v>
      </c>
      <c r="F30" s="161">
        <f>F29*(INFLATION!$B13+1)</f>
        <v>1.2708926440741604</v>
      </c>
      <c r="G30" s="161">
        <f>G29*(INFLATION!$B13+1)</f>
        <v>1.3082167989618574</v>
      </c>
      <c r="H30" s="161">
        <f>H29*(INFLATION!$B13+1)</f>
        <v>1.2777738837148152</v>
      </c>
      <c r="J30" s="157">
        <v>2048</v>
      </c>
      <c r="K30" s="161">
        <f t="shared" si="0"/>
        <v>0.53063940887064265</v>
      </c>
      <c r="L30" s="161">
        <f t="shared" si="1"/>
        <v>0.52865568904257909</v>
      </c>
      <c r="M30" s="161">
        <f t="shared" si="2"/>
        <v>0.52899350988861327</v>
      </c>
      <c r="N30" s="161">
        <f t="shared" si="3"/>
        <v>0.5152930910290342</v>
      </c>
      <c r="O30" s="161">
        <f t="shared" si="4"/>
        <v>0.5152930910290342</v>
      </c>
      <c r="P30" s="161">
        <f t="shared" si="5"/>
        <v>0.53042645357685103</v>
      </c>
      <c r="Q30" s="161">
        <f t="shared" si="6"/>
        <v>0.51808314199130701</v>
      </c>
    </row>
    <row r="31" spans="1:17" x14ac:dyDescent="0.25">
      <c r="A31" s="157">
        <v>2049</v>
      </c>
      <c r="B31" s="161">
        <f>B30*(INFLATION!$B14+1)</f>
        <v>1.3349168614771771</v>
      </c>
      <c r="C31" s="161">
        <f>C30*(INFLATION!$B14+1)</f>
        <v>1.3299264649806852</v>
      </c>
      <c r="D31" s="161">
        <f>D30*(INFLATION!$B14+1)</f>
        <v>1.3307763127982255</v>
      </c>
      <c r="E31" s="161">
        <f>E30*(INFLATION!$B14+1)</f>
        <v>1.2963104969556436</v>
      </c>
      <c r="F31" s="161">
        <f>F30*(INFLATION!$B14+1)</f>
        <v>1.2963104969556436</v>
      </c>
      <c r="G31" s="161">
        <f>G30*(INFLATION!$B14+1)</f>
        <v>1.3343811349410946</v>
      </c>
      <c r="H31" s="161">
        <f>H30*(INFLATION!$B14+1)</f>
        <v>1.3033293613891115</v>
      </c>
      <c r="J31" s="157">
        <v>2049</v>
      </c>
      <c r="K31" s="161">
        <f t="shared" si="0"/>
        <v>0.52345473602326453</v>
      </c>
      <c r="L31" s="161">
        <f t="shared" si="1"/>
        <v>0.52149787507101619</v>
      </c>
      <c r="M31" s="161">
        <f t="shared" si="2"/>
        <v>0.5218311219404117</v>
      </c>
      <c r="N31" s="161">
        <f t="shared" si="3"/>
        <v>0.5083162019822195</v>
      </c>
      <c r="O31" s="161">
        <f t="shared" si="4"/>
        <v>0.5083162019822195</v>
      </c>
      <c r="P31" s="161">
        <f t="shared" si="5"/>
        <v>0.52324466407000791</v>
      </c>
      <c r="Q31" s="161">
        <f t="shared" si="6"/>
        <v>0.5110684766258542</v>
      </c>
    </row>
    <row r="32" spans="1:17" x14ac:dyDescent="0.25">
      <c r="A32" s="157">
        <v>2050</v>
      </c>
      <c r="B32" s="161">
        <f>B31*(INFLATION!$B15+1)</f>
        <v>1.3616151987067207</v>
      </c>
      <c r="C32" s="161">
        <f>C31*(INFLATION!$B15+1)</f>
        <v>1.356524994280299</v>
      </c>
      <c r="D32" s="161">
        <f>D31*(INFLATION!$B15+1)</f>
        <v>1.3573918390541901</v>
      </c>
      <c r="E32" s="161">
        <f>E31*(INFLATION!$B15+1)</f>
        <v>1.3222367068947565</v>
      </c>
      <c r="F32" s="161">
        <f>F31*(INFLATION!$B15+1)</f>
        <v>1.3222367068947565</v>
      </c>
      <c r="G32" s="161">
        <f>G31*(INFLATION!$B15+1)</f>
        <v>1.3610687576399165</v>
      </c>
      <c r="H32" s="161">
        <f>H31*(INFLATION!$B15+1)</f>
        <v>1.3293959486168938</v>
      </c>
      <c r="J32" s="157">
        <v>2050</v>
      </c>
      <c r="K32" s="161">
        <f t="shared" si="0"/>
        <v>0.51636734114480654</v>
      </c>
      <c r="L32" s="161">
        <f t="shared" si="1"/>
        <v>0.51443697540854616</v>
      </c>
      <c r="M32" s="161">
        <f t="shared" si="2"/>
        <v>0.51476571023135409</v>
      </c>
      <c r="N32" s="161">
        <f t="shared" si="3"/>
        <v>0.50143377758400776</v>
      </c>
      <c r="O32" s="161">
        <f t="shared" si="4"/>
        <v>0.50143377758400776</v>
      </c>
      <c r="P32" s="161">
        <f t="shared" si="5"/>
        <v>0.51616011349265778</v>
      </c>
      <c r="Q32" s="161">
        <f t="shared" si="6"/>
        <v>0.50414878738720637</v>
      </c>
    </row>
    <row r="33" spans="1:17" x14ac:dyDescent="0.25">
      <c r="A33" s="157">
        <v>2051</v>
      </c>
      <c r="B33" s="161">
        <f>B32*(INFLATION!$B16+1)</f>
        <v>1.3888475026808551</v>
      </c>
      <c r="C33" s="161">
        <f>C32*(INFLATION!$B16+1)</f>
        <v>1.3836554941659049</v>
      </c>
      <c r="D33" s="161">
        <f>D32*(INFLATION!$B16+1)</f>
        <v>1.3845396758352739</v>
      </c>
      <c r="E33" s="161">
        <f>E32*(INFLATION!$B16+1)</f>
        <v>1.3486814410326515</v>
      </c>
      <c r="F33" s="161">
        <f>F32*(INFLATION!$B16+1)</f>
        <v>1.3486814410326515</v>
      </c>
      <c r="G33" s="161">
        <f>G32*(INFLATION!$B16+1)</f>
        <v>1.3882901327927148</v>
      </c>
      <c r="H33" s="161">
        <f>H32*(INFLATION!$B16+1)</f>
        <v>1.3559838675892317</v>
      </c>
      <c r="J33" s="157">
        <v>2051</v>
      </c>
      <c r="K33" s="161">
        <f t="shared" si="0"/>
        <v>0.50937590712543768</v>
      </c>
      <c r="L33" s="161">
        <f t="shared" si="1"/>
        <v>0.50747167786916536</v>
      </c>
      <c r="M33" s="161">
        <f t="shared" si="2"/>
        <v>0.50779596173692554</v>
      </c>
      <c r="N33" s="161">
        <f t="shared" si="3"/>
        <v>0.49464453881594567</v>
      </c>
      <c r="O33" s="161">
        <f t="shared" si="4"/>
        <v>0.49464453881594567</v>
      </c>
      <c r="P33" s="161">
        <f t="shared" si="5"/>
        <v>0.50917148526355016</v>
      </c>
      <c r="Q33" s="161">
        <f t="shared" si="6"/>
        <v>0.49732278833167359</v>
      </c>
    </row>
    <row r="34" spans="1:17" x14ac:dyDescent="0.25">
      <c r="A34" s="157">
        <v>2052</v>
      </c>
      <c r="B34" s="161">
        <f>B33*(INFLATION!$B17+1)</f>
        <v>1.4166244527344722</v>
      </c>
      <c r="C34" s="161">
        <f>C33*(INFLATION!$B17+1)</f>
        <v>1.411328604049223</v>
      </c>
      <c r="D34" s="161">
        <f>D33*(INFLATION!$B17+1)</f>
        <v>1.4122304693519794</v>
      </c>
      <c r="E34" s="161">
        <f>E33*(INFLATION!$B17+1)</f>
        <v>1.3756550698533045</v>
      </c>
      <c r="F34" s="161">
        <f>F33*(INFLATION!$B17+1)</f>
        <v>1.3756550698533045</v>
      </c>
      <c r="G34" s="161">
        <f>G33*(INFLATION!$B17+1)</f>
        <v>1.4160559354485691</v>
      </c>
      <c r="H34" s="161">
        <f>H33*(INFLATION!$B17+1)</f>
        <v>1.3831035449410163</v>
      </c>
      <c r="J34" s="157">
        <v>2052</v>
      </c>
      <c r="K34" s="161">
        <f t="shared" si="0"/>
        <v>0.50247913468853622</v>
      </c>
      <c r="L34" s="161">
        <f t="shared" si="1"/>
        <v>0.50060068803341262</v>
      </c>
      <c r="M34" s="161">
        <f t="shared" si="2"/>
        <v>0.50092058121050687</v>
      </c>
      <c r="N34" s="161">
        <f t="shared" si="3"/>
        <v>0.48794722397704499</v>
      </c>
      <c r="O34" s="161">
        <f t="shared" si="4"/>
        <v>0.48794722397704499</v>
      </c>
      <c r="P34" s="161">
        <f t="shared" si="5"/>
        <v>0.50227748062748667</v>
      </c>
      <c r="Q34" s="161">
        <f t="shared" si="6"/>
        <v>0.49058921092679592</v>
      </c>
    </row>
    <row r="35" spans="1:17" x14ac:dyDescent="0.25">
      <c r="A35" s="157">
        <v>2053</v>
      </c>
      <c r="B35" s="161">
        <f>B34*(INFLATION!$B18+1)</f>
        <v>1.4449569417891617</v>
      </c>
      <c r="C35" s="161">
        <f>C34*(INFLATION!$B18+1)</f>
        <v>1.4395551761302074</v>
      </c>
      <c r="D35" s="161">
        <f>D34*(INFLATION!$B18+1)</f>
        <v>1.440475078739019</v>
      </c>
      <c r="E35" s="161">
        <f>E34*(INFLATION!$B18+1)</f>
        <v>1.4031681712503707</v>
      </c>
      <c r="F35" s="161">
        <f>F34*(INFLATION!$B18+1)</f>
        <v>1.4031681712503707</v>
      </c>
      <c r="G35" s="161">
        <f>G34*(INFLATION!$B18+1)</f>
        <v>1.4443770541575405</v>
      </c>
      <c r="H35" s="161">
        <f>H34*(INFLATION!$B18+1)</f>
        <v>1.4107656158398367</v>
      </c>
      <c r="J35" s="157">
        <v>2053</v>
      </c>
      <c r="K35" s="161">
        <f t="shared" si="0"/>
        <v>0.49567574214923305</v>
      </c>
      <c r="L35" s="161">
        <f t="shared" si="1"/>
        <v>0.49382272900781515</v>
      </c>
      <c r="M35" s="161">
        <f t="shared" si="2"/>
        <v>0.49413829094266637</v>
      </c>
      <c r="N35" s="161">
        <f t="shared" si="3"/>
        <v>0.48134058844930944</v>
      </c>
      <c r="O35" s="161">
        <f t="shared" si="4"/>
        <v>0.48134058844930944</v>
      </c>
      <c r="P35" s="161">
        <f t="shared" si="5"/>
        <v>0.49547681841396168</v>
      </c>
      <c r="Q35" s="161">
        <f t="shared" si="6"/>
        <v>0.48394680381560146</v>
      </c>
    </row>
    <row r="36" spans="1:17" x14ac:dyDescent="0.25">
      <c r="A36" s="157">
        <v>2054</v>
      </c>
      <c r="B36" s="161">
        <f>B35*(INFLATION!$B19+1)</f>
        <v>1.473856080624945</v>
      </c>
      <c r="C36" s="161">
        <f>C35*(INFLATION!$B19+1)</f>
        <v>1.4683462796528117</v>
      </c>
      <c r="D36" s="161">
        <f>D35*(INFLATION!$B19+1)</f>
        <v>1.4692845803137995</v>
      </c>
      <c r="E36" s="161">
        <f>E35*(INFLATION!$B19+1)</f>
        <v>1.4312315346753781</v>
      </c>
      <c r="F36" s="161">
        <f>F35*(INFLATION!$B19+1)</f>
        <v>1.4312315346753781</v>
      </c>
      <c r="G36" s="161">
        <f>G35*(INFLATION!$B19+1)</f>
        <v>1.4732645952406913</v>
      </c>
      <c r="H36" s="161">
        <f>H35*(INFLATION!$B19+1)</f>
        <v>1.4389809281566335</v>
      </c>
      <c r="J36" s="157">
        <v>2054</v>
      </c>
      <c r="K36" s="161">
        <f t="shared" si="0"/>
        <v>0.48896446517622605</v>
      </c>
      <c r="L36" s="161">
        <f t="shared" si="1"/>
        <v>0.48713654118759325</v>
      </c>
      <c r="M36" s="161">
        <f t="shared" si="2"/>
        <v>0.48744783052371343</v>
      </c>
      <c r="N36" s="161">
        <f t="shared" si="3"/>
        <v>0.47482340446643673</v>
      </c>
      <c r="O36" s="161">
        <f t="shared" si="4"/>
        <v>0.47482340446643673</v>
      </c>
      <c r="P36" s="161">
        <f t="shared" si="5"/>
        <v>0.48876823479907244</v>
      </c>
      <c r="Q36" s="161">
        <f t="shared" si="6"/>
        <v>0.47739433258405556</v>
      </c>
    </row>
    <row r="37" spans="1:17" x14ac:dyDescent="0.25">
      <c r="A37" s="157">
        <v>2055</v>
      </c>
      <c r="B37" s="161">
        <f>B36*(INFLATION!$B20+1)</f>
        <v>1.5033332022374439</v>
      </c>
      <c r="C37" s="161">
        <f>C36*(INFLATION!$B20+1)</f>
        <v>1.4977132052458679</v>
      </c>
      <c r="D37" s="161">
        <f>D36*(INFLATION!$B20+1)</f>
        <v>1.4986702719200755</v>
      </c>
      <c r="E37" s="161">
        <f>E36*(INFLATION!$B20+1)</f>
        <v>1.4598561653688857</v>
      </c>
      <c r="F37" s="161">
        <f>F36*(INFLATION!$B20+1)</f>
        <v>1.4598561653688857</v>
      </c>
      <c r="G37" s="161">
        <f>G36*(INFLATION!$B20+1)</f>
        <v>1.5027298871455053</v>
      </c>
      <c r="H37" s="161">
        <f>H36*(INFLATION!$B20+1)</f>
        <v>1.4677605467197661</v>
      </c>
      <c r="J37" s="157">
        <v>2055</v>
      </c>
      <c r="K37" s="161">
        <f t="shared" si="0"/>
        <v>0.48234405655681878</v>
      </c>
      <c r="L37" s="161">
        <f t="shared" si="1"/>
        <v>0.48054088202257755</v>
      </c>
      <c r="M37" s="161">
        <f t="shared" si="2"/>
        <v>0.48084795660946589</v>
      </c>
      <c r="N37" s="161">
        <f t="shared" si="3"/>
        <v>0.46839446088565334</v>
      </c>
      <c r="O37" s="161">
        <f t="shared" si="4"/>
        <v>0.46839446088565334</v>
      </c>
      <c r="P37" s="161">
        <f t="shared" si="5"/>
        <v>0.48215048307065178</v>
      </c>
      <c r="Q37" s="161">
        <f t="shared" si="6"/>
        <v>0.47093057953166023</v>
      </c>
    </row>
    <row r="38" spans="1:17" x14ac:dyDescent="0.25">
      <c r="A38" s="157">
        <v>2056</v>
      </c>
      <c r="B38" s="161">
        <f>B37*(INFLATION!$B21+1)</f>
        <v>1.5333998662821928</v>
      </c>
      <c r="C38" s="161">
        <f>C37*(INFLATION!$B21+1)</f>
        <v>1.5276674693507852</v>
      </c>
      <c r="D38" s="161">
        <f>D37*(INFLATION!$B21+1)</f>
        <v>1.5286436773584771</v>
      </c>
      <c r="E38" s="161">
        <f>E37*(INFLATION!$B21+1)</f>
        <v>1.4890532886762635</v>
      </c>
      <c r="F38" s="161">
        <f>F37*(INFLATION!$B21+1)</f>
        <v>1.4890532886762635</v>
      </c>
      <c r="G38" s="161">
        <f>G37*(INFLATION!$B21+1)</f>
        <v>1.5327844848884153</v>
      </c>
      <c r="H38" s="161">
        <f>H37*(INFLATION!$B21+1)</f>
        <v>1.4971157576541614</v>
      </c>
      <c r="J38" s="157">
        <v>2056</v>
      </c>
      <c r="K38" s="161">
        <f t="shared" si="0"/>
        <v>0.47581328596514033</v>
      </c>
      <c r="L38" s="161">
        <f t="shared" si="1"/>
        <v>0.47403452578629501</v>
      </c>
      <c r="M38" s="161">
        <f t="shared" si="2"/>
        <v>0.47433744269018879</v>
      </c>
      <c r="N38" s="161">
        <f t="shared" si="3"/>
        <v>0.46205256296263675</v>
      </c>
      <c r="O38" s="161">
        <f t="shared" si="4"/>
        <v>0.46205256296263675</v>
      </c>
      <c r="P38" s="161">
        <f t="shared" si="5"/>
        <v>0.47562233339658105</v>
      </c>
      <c r="Q38" s="161">
        <f t="shared" si="6"/>
        <v>0.46455434344515806</v>
      </c>
    </row>
    <row r="39" spans="1:17" x14ac:dyDescent="0.25">
      <c r="A39" s="157">
        <v>2057</v>
      </c>
      <c r="B39" s="161">
        <f>B38*(INFLATION!$B22+1)</f>
        <v>1.5640678636078367</v>
      </c>
      <c r="C39" s="161">
        <f>C38*(INFLATION!$B22+1)</f>
        <v>1.558220818737801</v>
      </c>
      <c r="D39" s="161">
        <f>D38*(INFLATION!$B22+1)</f>
        <v>1.5592165509056466</v>
      </c>
      <c r="E39" s="161">
        <f>E38*(INFLATION!$B22+1)</f>
        <v>1.5188343544497889</v>
      </c>
      <c r="F39" s="161">
        <f>F38*(INFLATION!$B22+1)</f>
        <v>1.5188343544497889</v>
      </c>
      <c r="G39" s="161">
        <f>G38*(INFLATION!$B22+1)</f>
        <v>1.5634401745861837</v>
      </c>
      <c r="H39" s="161">
        <f>H38*(INFLATION!$B22+1)</f>
        <v>1.5270580728072447</v>
      </c>
      <c r="J39" s="157">
        <v>2057</v>
      </c>
      <c r="K39" s="161">
        <f t="shared" si="0"/>
        <v>0.46937093973350408</v>
      </c>
      <c r="L39" s="161">
        <f t="shared" si="1"/>
        <v>0.46761626334818279</v>
      </c>
      <c r="M39" s="161">
        <f t="shared" si="2"/>
        <v>0.46791507886266209</v>
      </c>
      <c r="N39" s="161">
        <f t="shared" si="3"/>
        <v>0.45579653212948701</v>
      </c>
      <c r="O39" s="161">
        <f t="shared" si="4"/>
        <v>0.45579653212948701</v>
      </c>
      <c r="P39" s="161">
        <f t="shared" si="5"/>
        <v>0.46918257259624058</v>
      </c>
      <c r="Q39" s="161">
        <f t="shared" si="6"/>
        <v>0.45826443937530109</v>
      </c>
    </row>
    <row r="40" spans="1:17" x14ac:dyDescent="0.25">
      <c r="A40" s="157">
        <v>2058</v>
      </c>
      <c r="B40" s="161">
        <f>B39*(INFLATION!$B23+1)</f>
        <v>1.5953492208799935</v>
      </c>
      <c r="C40" s="161">
        <f>C39*(INFLATION!$B23+1)</f>
        <v>1.589385235112557</v>
      </c>
      <c r="D40" s="161">
        <f>D39*(INFLATION!$B23+1)</f>
        <v>1.5904008819237596</v>
      </c>
      <c r="E40" s="161">
        <f>E39*(INFLATION!$B23+1)</f>
        <v>1.5492110415387847</v>
      </c>
      <c r="F40" s="161">
        <f>F39*(INFLATION!$B23+1)</f>
        <v>1.5492110415387847</v>
      </c>
      <c r="G40" s="161">
        <f>G39*(INFLATION!$B23+1)</f>
        <v>1.5947089780779073</v>
      </c>
      <c r="H40" s="161">
        <f>H39*(INFLATION!$B23+1)</f>
        <v>1.5575992342633895</v>
      </c>
      <c r="J40" s="157">
        <v>2058</v>
      </c>
      <c r="K40" s="161">
        <f t="shared" si="0"/>
        <v>0.46301582062686097</v>
      </c>
      <c r="L40" s="161">
        <f t="shared" si="1"/>
        <v>0.46128490194888438</v>
      </c>
      <c r="M40" s="161">
        <f t="shared" si="2"/>
        <v>0.46157967160533403</v>
      </c>
      <c r="N40" s="161">
        <f t="shared" si="3"/>
        <v>0.44962520577570292</v>
      </c>
      <c r="O40" s="161">
        <f t="shared" si="4"/>
        <v>0.44962520577570292</v>
      </c>
      <c r="P40" s="161">
        <f t="shared" si="5"/>
        <v>0.46283000391505358</v>
      </c>
      <c r="Q40" s="161">
        <f t="shared" si="6"/>
        <v>0.45205969841664129</v>
      </c>
    </row>
    <row r="41" spans="1:17" x14ac:dyDescent="0.25">
      <c r="A41" s="157">
        <v>2059</v>
      </c>
      <c r="B41" s="161">
        <f>B40*(INFLATION!$B24+1)</f>
        <v>1.6272562052975934</v>
      </c>
      <c r="C41" s="161">
        <f>C40*(INFLATION!$B24+1)</f>
        <v>1.6211729398148083</v>
      </c>
      <c r="D41" s="161">
        <f>D40*(INFLATION!$B24+1)</f>
        <v>1.6222088995622348</v>
      </c>
      <c r="E41" s="161">
        <f>E40*(INFLATION!$B24+1)</f>
        <v>1.5801952623695605</v>
      </c>
      <c r="F41" s="161">
        <f>F40*(INFLATION!$B24+1)</f>
        <v>1.5801952623695605</v>
      </c>
      <c r="G41" s="161">
        <f>G40*(INFLATION!$B24+1)</f>
        <v>1.6266031576394655</v>
      </c>
      <c r="H41" s="161">
        <f>H40*(INFLATION!$B24+1)</f>
        <v>1.5887512189486575</v>
      </c>
      <c r="J41" s="157">
        <v>2059</v>
      </c>
      <c r="K41" s="161">
        <f t="shared" si="0"/>
        <v>0.4567467476203077</v>
      </c>
      <c r="L41" s="161">
        <f t="shared" si="1"/>
        <v>0.45503926497859004</v>
      </c>
      <c r="M41" s="161">
        <f t="shared" si="2"/>
        <v>0.45533004355651907</v>
      </c>
      <c r="N41" s="161">
        <f t="shared" si="3"/>
        <v>0.44353743703212478</v>
      </c>
      <c r="O41" s="161">
        <f t="shared" si="4"/>
        <v>0.44353743703212478</v>
      </c>
      <c r="P41" s="161">
        <f t="shared" si="5"/>
        <v>0.45656344680208383</v>
      </c>
      <c r="Q41" s="161">
        <f t="shared" si="6"/>
        <v>0.44593896749030382</v>
      </c>
    </row>
    <row r="42" spans="1:17" x14ac:dyDescent="0.25">
      <c r="A42" s="157">
        <v>2060</v>
      </c>
      <c r="B42" s="161">
        <f>B41*(INFLATION!$B25+1)</f>
        <v>1.6598013294035454</v>
      </c>
      <c r="C42" s="161">
        <f>C41*(INFLATION!$B25+1)</f>
        <v>1.6535963986111044</v>
      </c>
      <c r="D42" s="161">
        <f>D41*(INFLATION!$B25+1)</f>
        <v>1.6546530775534796</v>
      </c>
      <c r="E42" s="161">
        <f>E41*(INFLATION!$B25+1)</f>
        <v>1.6117991676169519</v>
      </c>
      <c r="F42" s="161">
        <f>F41*(INFLATION!$B25+1)</f>
        <v>1.6117991676169519</v>
      </c>
      <c r="G42" s="161">
        <f>G41*(INFLATION!$B25+1)</f>
        <v>1.6591352207922549</v>
      </c>
      <c r="H42" s="161">
        <f>H41*(INFLATION!$B25+1)</f>
        <v>1.6205262433276306</v>
      </c>
      <c r="J42" s="157">
        <v>2060</v>
      </c>
      <c r="K42" s="161">
        <f t="shared" si="0"/>
        <v>0.45056255567960724</v>
      </c>
      <c r="L42" s="161">
        <f t="shared" si="1"/>
        <v>0.44887819175837701</v>
      </c>
      <c r="M42" s="161">
        <f t="shared" si="2"/>
        <v>0.44916503329559909</v>
      </c>
      <c r="N42" s="161">
        <f t="shared" si="3"/>
        <v>0.43753209455780201</v>
      </c>
      <c r="O42" s="161">
        <f t="shared" si="4"/>
        <v>0.43753209455780201</v>
      </c>
      <c r="P42" s="161">
        <f t="shared" si="5"/>
        <v>0.45038173669064363</v>
      </c>
      <c r="Q42" s="161">
        <f t="shared" si="6"/>
        <v>0.4399011091297001</v>
      </c>
    </row>
    <row r="43" spans="1:17" x14ac:dyDescent="0.25">
      <c r="A43" s="157">
        <v>2061</v>
      </c>
      <c r="B43" s="161">
        <f>B42*(INFLATION!$B26+1)</f>
        <v>1.6929973559916163</v>
      </c>
      <c r="C43" s="161">
        <f>C42*(INFLATION!$B26+1)</f>
        <v>1.6866683265833264</v>
      </c>
      <c r="D43" s="161">
        <f>D42*(INFLATION!$B26+1)</f>
        <v>1.6877461391045492</v>
      </c>
      <c r="E43" s="161">
        <f>E42*(INFLATION!$B26+1)</f>
        <v>1.644035150969291</v>
      </c>
      <c r="F43" s="161">
        <f>F42*(INFLATION!$B26+1)</f>
        <v>1.644035150969291</v>
      </c>
      <c r="G43" s="161">
        <f>G42*(INFLATION!$B26+1)</f>
        <v>1.6923179252081</v>
      </c>
      <c r="H43" s="161">
        <f>H42*(INFLATION!$B26+1)</f>
        <v>1.6529367681941833</v>
      </c>
      <c r="J43" s="157">
        <v>2061</v>
      </c>
      <c r="K43" s="161">
        <f t="shared" si="0"/>
        <v>0.4444620955446803</v>
      </c>
      <c r="L43" s="161">
        <f t="shared" si="1"/>
        <v>0.44280053732451119</v>
      </c>
      <c r="M43" s="161">
        <f t="shared" si="2"/>
        <v>0.44308349512718676</v>
      </c>
      <c r="N43" s="161">
        <f t="shared" si="3"/>
        <v>0.43160806232974669</v>
      </c>
      <c r="O43" s="161">
        <f t="shared" si="4"/>
        <v>0.43160806232974669</v>
      </c>
      <c r="P43" s="161">
        <f t="shared" si="5"/>
        <v>0.44428372478187284</v>
      </c>
      <c r="Q43" s="161">
        <f t="shared" si="6"/>
        <v>0.43394500126914332</v>
      </c>
    </row>
    <row r="44" spans="1:17" x14ac:dyDescent="0.25">
      <c r="A44" s="157">
        <v>2062</v>
      </c>
      <c r="B44" s="161">
        <f>B43*(INFLATION!$B27+1)</f>
        <v>1.7268573031114487</v>
      </c>
      <c r="C44" s="161">
        <f>C43*(INFLATION!$B27+1)</f>
        <v>1.720401693114993</v>
      </c>
      <c r="D44" s="161">
        <f>D43*(INFLATION!$B27+1)</f>
        <v>1.7215010618866402</v>
      </c>
      <c r="E44" s="161">
        <f>E43*(INFLATION!$B27+1)</f>
        <v>1.6769158539886768</v>
      </c>
      <c r="F44" s="161">
        <f>F43*(INFLATION!$B27+1)</f>
        <v>1.6769158539886768</v>
      </c>
      <c r="G44" s="161">
        <f>G43*(INFLATION!$B27+1)</f>
        <v>1.7261642837122619</v>
      </c>
      <c r="H44" s="161">
        <f>H43*(INFLATION!$B27+1)</f>
        <v>1.6859955035580669</v>
      </c>
      <c r="J44" s="157">
        <v>2062</v>
      </c>
      <c r="K44" s="161">
        <f t="shared" si="0"/>
        <v>0.43844423351602896</v>
      </c>
      <c r="L44" s="161">
        <f t="shared" si="1"/>
        <v>0.43680517221566872</v>
      </c>
      <c r="M44" s="161">
        <f t="shared" si="2"/>
        <v>0.43708429886821132</v>
      </c>
      <c r="N44" s="161">
        <f t="shared" si="3"/>
        <v>0.42576423943553349</v>
      </c>
      <c r="O44" s="161">
        <f t="shared" si="4"/>
        <v>0.42576423943553349</v>
      </c>
      <c r="P44" s="161">
        <f t="shared" si="5"/>
        <v>0.43826827783124789</v>
      </c>
      <c r="Q44" s="161">
        <f t="shared" si="6"/>
        <v>0.42806953703532508</v>
      </c>
    </row>
    <row r="45" spans="1:17" x14ac:dyDescent="0.25">
      <c r="A45" s="157">
        <v>2063</v>
      </c>
      <c r="B45" s="161">
        <f>B44*(INFLATION!$B28+1)</f>
        <v>1.7613944491736777</v>
      </c>
      <c r="C45" s="161">
        <f>C44*(INFLATION!$B28+1)</f>
        <v>1.7548097269772929</v>
      </c>
      <c r="D45" s="161">
        <f>D44*(INFLATION!$B28+1)</f>
        <v>1.7559310831243731</v>
      </c>
      <c r="E45" s="161">
        <f>E44*(INFLATION!$B28+1)</f>
        <v>1.7104541710684504</v>
      </c>
      <c r="F45" s="161">
        <f>F44*(INFLATION!$B28+1)</f>
        <v>1.7104541710684504</v>
      </c>
      <c r="G45" s="161">
        <f>G44*(INFLATION!$B28+1)</f>
        <v>1.7606875693865072</v>
      </c>
      <c r="H45" s="161">
        <f>H44*(INFLATION!$B28+1)</f>
        <v>1.7197154136292283</v>
      </c>
      <c r="J45" s="157">
        <v>2063</v>
      </c>
      <c r="K45" s="161">
        <f t="shared" si="0"/>
        <v>0.43250785124405183</v>
      </c>
      <c r="L45" s="161">
        <f t="shared" si="1"/>
        <v>0.43089098226303879</v>
      </c>
      <c r="M45" s="161">
        <f t="shared" si="2"/>
        <v>0.43116632963788742</v>
      </c>
      <c r="N45" s="161">
        <f t="shared" si="3"/>
        <v>0.41999953986870814</v>
      </c>
      <c r="O45" s="161">
        <f t="shared" si="4"/>
        <v>0.41999953986870814</v>
      </c>
      <c r="P45" s="161">
        <f t="shared" si="5"/>
        <v>0.43233427793798146</v>
      </c>
      <c r="Q45" s="161">
        <f t="shared" si="6"/>
        <v>0.42227362454161665</v>
      </c>
    </row>
    <row r="46" spans="1:17" x14ac:dyDescent="0.25">
      <c r="A46" s="157">
        <v>2064</v>
      </c>
      <c r="B46" s="161">
        <f>B45*(INFLATION!$B29+1)</f>
        <v>1.7966223381571513</v>
      </c>
      <c r="C46" s="161">
        <f>C45*(INFLATION!$B29+1)</f>
        <v>1.7899059215168387</v>
      </c>
      <c r="D46" s="161">
        <f>D45*(INFLATION!$B29+1)</f>
        <v>1.7910497047868605</v>
      </c>
      <c r="E46" s="161">
        <f>E45*(INFLATION!$B29+1)</f>
        <v>1.7446632544898195</v>
      </c>
      <c r="F46" s="161">
        <f>F45*(INFLATION!$B29+1)</f>
        <v>1.7446632544898195</v>
      </c>
      <c r="G46" s="161">
        <f>G45*(INFLATION!$B29+1)</f>
        <v>1.7959013207742374</v>
      </c>
      <c r="H46" s="161">
        <f>H45*(INFLATION!$B29+1)</f>
        <v>1.7541097219018129</v>
      </c>
      <c r="J46" s="157">
        <v>2064</v>
      </c>
      <c r="K46" s="161">
        <f t="shared" si="0"/>
        <v>0.42665184552121155</v>
      </c>
      <c r="L46" s="161">
        <f t="shared" si="1"/>
        <v>0.42505686838326834</v>
      </c>
      <c r="M46" s="161">
        <f t="shared" si="2"/>
        <v>0.42532848765052716</v>
      </c>
      <c r="N46" s="161">
        <f t="shared" si="3"/>
        <v>0.41431289232696539</v>
      </c>
      <c r="O46" s="161">
        <f t="shared" si="4"/>
        <v>0.41431289232696539</v>
      </c>
      <c r="P46" s="161">
        <f t="shared" si="5"/>
        <v>0.42648062233727368</v>
      </c>
      <c r="Q46" s="161">
        <f t="shared" si="6"/>
        <v>0.41655618668515371</v>
      </c>
    </row>
    <row r="47" spans="1:17" x14ac:dyDescent="0.25">
      <c r="A47" s="157">
        <v>2065</v>
      </c>
      <c r="B47" s="161">
        <f>B46*(INFLATION!$B30+1)</f>
        <v>1.8325547849202943</v>
      </c>
      <c r="C47" s="161">
        <f>C46*(INFLATION!$B30+1)</f>
        <v>1.8257040399471756</v>
      </c>
      <c r="D47" s="161">
        <f>D46*(INFLATION!$B30+1)</f>
        <v>1.8268706988825978</v>
      </c>
      <c r="E47" s="161">
        <f>E46*(INFLATION!$B30+1)</f>
        <v>1.7795565195796159</v>
      </c>
      <c r="F47" s="161">
        <f>F46*(INFLATION!$B30+1)</f>
        <v>1.7795565195796159</v>
      </c>
      <c r="G47" s="161">
        <f>G46*(INFLATION!$B30+1)</f>
        <v>1.8318193471897222</v>
      </c>
      <c r="H47" s="161">
        <f>H46*(INFLATION!$B30+1)</f>
        <v>1.7891919163398493</v>
      </c>
      <c r="J47" s="157">
        <v>2065</v>
      </c>
      <c r="K47" s="161">
        <f t="shared" si="0"/>
        <v>0.42087512807701732</v>
      </c>
      <c r="L47" s="161">
        <f t="shared" si="1"/>
        <v>0.41930174637421069</v>
      </c>
      <c r="M47" s="161">
        <f t="shared" si="2"/>
        <v>0.41956968801115846</v>
      </c>
      <c r="N47" s="161">
        <f t="shared" si="3"/>
        <v>0.40870324001306074</v>
      </c>
      <c r="O47" s="161">
        <f t="shared" si="4"/>
        <v>0.40870324001306074</v>
      </c>
      <c r="P47" s="161">
        <f t="shared" si="5"/>
        <v>0.42070622319537654</v>
      </c>
      <c r="Q47" s="161">
        <f t="shared" si="6"/>
        <v>0.41091616094667011</v>
      </c>
    </row>
    <row r="48" spans="1:17" x14ac:dyDescent="0.25">
      <c r="A48" s="157">
        <v>2066</v>
      </c>
      <c r="B48" s="161">
        <f>B47*(INFLATION!$B31+1)</f>
        <v>1.8692058806187002</v>
      </c>
      <c r="C48" s="161">
        <f>C47*(INFLATION!$B31+1)</f>
        <v>1.862218120746119</v>
      </c>
      <c r="D48" s="161">
        <f>D47*(INFLATION!$B31+1)</f>
        <v>1.8634081128602498</v>
      </c>
      <c r="E48" s="161">
        <f>E47*(INFLATION!$B31+1)</f>
        <v>1.8151476499712083</v>
      </c>
      <c r="F48" s="161">
        <f>F47*(INFLATION!$B31+1)</f>
        <v>1.8151476499712083</v>
      </c>
      <c r="G48" s="161">
        <f>G47*(INFLATION!$B31+1)</f>
        <v>1.8684557341335166</v>
      </c>
      <c r="H48" s="161">
        <f>H47*(INFLATION!$B31+1)</f>
        <v>1.8249757546666463</v>
      </c>
      <c r="J48" s="157">
        <v>2066</v>
      </c>
      <c r="K48" s="161">
        <f t="shared" si="0"/>
        <v>0.41517662537578109</v>
      </c>
      <c r="L48" s="161">
        <f t="shared" si="1"/>
        <v>0.41362454671343801</v>
      </c>
      <c r="M48" s="161">
        <f t="shared" si="2"/>
        <v>0.41388886051390877</v>
      </c>
      <c r="N48" s="161">
        <f t="shared" si="3"/>
        <v>0.40316954043841585</v>
      </c>
      <c r="O48" s="161">
        <f t="shared" si="4"/>
        <v>0.40316954043841585</v>
      </c>
      <c r="P48" s="161">
        <f t="shared" si="5"/>
        <v>0.41501000740743144</v>
      </c>
      <c r="Q48" s="161">
        <f t="shared" si="6"/>
        <v>0.40535249919304017</v>
      </c>
    </row>
  </sheetData>
  <mergeCells count="5">
    <mergeCell ref="R4:V5"/>
    <mergeCell ref="R6:V7"/>
    <mergeCell ref="R9:V10"/>
    <mergeCell ref="A1:H1"/>
    <mergeCell ref="J1:Q1"/>
  </mergeCells>
  <pageMargins left="0.7" right="0.7" top="0.75" bottom="0.75" header="0.3" footer="0.3"/>
  <pageSetup scale="66" orientation="portrait" r:id="rId1"/>
  <colBreaks count="2" manualBreakCount="2">
    <brk id="9" max="47" man="1"/>
    <brk id="22"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7B3D4-CD78-49C8-8E80-FFB25226C18F}">
  <sheetPr>
    <tabColor rgb="FF0070C0"/>
  </sheetPr>
  <dimension ref="A1:Q33"/>
  <sheetViews>
    <sheetView view="pageBreakPreview" zoomScale="60" zoomScaleNormal="100" workbookViewId="0">
      <selection sqref="A1:F1"/>
    </sheetView>
  </sheetViews>
  <sheetFormatPr defaultRowHeight="15" x14ac:dyDescent="0.25"/>
  <cols>
    <col min="1" max="1" width="16.28515625" bestFit="1" customWidth="1"/>
    <col min="2" max="2" width="15.42578125" bestFit="1" customWidth="1"/>
    <col min="3" max="3" width="12" customWidth="1"/>
    <col min="5" max="6" width="10.85546875" bestFit="1" customWidth="1"/>
    <col min="7" max="7" width="2.5703125" style="78" customWidth="1"/>
    <col min="9" max="9" width="12.85546875" bestFit="1" customWidth="1"/>
    <col min="10" max="10" width="22.140625" customWidth="1"/>
    <col min="11" max="11" width="29.140625" customWidth="1"/>
  </cols>
  <sheetData>
    <row r="1" spans="1:17" s="45" customFormat="1" ht="21" x14ac:dyDescent="0.35">
      <c r="A1" s="188" t="s">
        <v>143</v>
      </c>
      <c r="B1" s="188"/>
      <c r="C1" s="188"/>
      <c r="D1" s="188"/>
      <c r="E1" s="188"/>
      <c r="F1" s="188"/>
      <c r="G1" s="78"/>
    </row>
    <row r="2" spans="1:17" s="45" customFormat="1" x14ac:dyDescent="0.25">
      <c r="G2" s="78"/>
    </row>
    <row r="3" spans="1:17" ht="15.75" thickBot="1" x14ac:dyDescent="0.3"/>
    <row r="4" spans="1:17" x14ac:dyDescent="0.25">
      <c r="A4" s="72"/>
      <c r="B4" s="73" t="s">
        <v>131</v>
      </c>
      <c r="D4" s="192" t="s">
        <v>8</v>
      </c>
      <c r="E4" s="193"/>
      <c r="F4" s="194"/>
    </row>
    <row r="5" spans="1:17" ht="15.75" thickBot="1" x14ac:dyDescent="0.3">
      <c r="A5" s="74">
        <v>2021</v>
      </c>
      <c r="B5" s="75">
        <f>SUM(E6:F6)*(1+INFLATION!B6)*(1+FUEL!B5)</f>
        <v>0</v>
      </c>
      <c r="D5" s="1"/>
      <c r="E5" s="17" t="str">
        <f>IF(J9="","",J9)</f>
        <v>I-5 Exp</v>
      </c>
      <c r="F5" s="18" t="str">
        <f>IF(K9="","",K9)</f>
        <v>GTN</v>
      </c>
    </row>
    <row r="6" spans="1:17" ht="31.5" x14ac:dyDescent="0.5">
      <c r="A6" s="74">
        <v>2022</v>
      </c>
      <c r="B6" s="75">
        <f>SUM(E7:F7)*(1+INFLATION!B7)*(1+FUEL!B6)</f>
        <v>0</v>
      </c>
      <c r="D6" s="15">
        <v>2021</v>
      </c>
      <c r="E6" s="12">
        <f t="shared" ref="E6:E25" si="0">IF(J$10="","",IFERROR((IF($D6&lt;J$11,0,J$10)/(IF($D6&gt;=$J$11,1,0)+IF(AND($D6&gt;=$K$11,$K$11&lt;&gt;""),1,0)+IF(AND($D6&gt;=$L$11,$L$11&lt;&gt;""),1,0)+IF(AND($D6&gt;=$M$11,$M$11&lt;&gt;""),1,0))),0))</f>
        <v>0</v>
      </c>
      <c r="F6" s="27">
        <f t="shared" ref="F6:F25" si="1">IF(K$10="","",IFERROR((IF($D6&lt;K$11,0,K$10)/(IF($D6&gt;=$J$11,1,0)+IF(AND($D6&gt;=$K$11,$K$11&lt;&gt;""),1,0)+IF(AND($D6&gt;=$L$11,$L$11&lt;&gt;""),1,0)+IF(AND($D6&gt;=$M$11,$M$11&lt;&gt;""),1,0))),0))</f>
        <v>0</v>
      </c>
      <c r="I6" s="195" t="s">
        <v>12</v>
      </c>
      <c r="J6" s="196"/>
      <c r="K6" s="196"/>
      <c r="L6" s="66"/>
      <c r="M6" s="66"/>
      <c r="N6" s="66"/>
      <c r="O6" s="66"/>
      <c r="P6" s="66"/>
      <c r="Q6" s="67"/>
    </row>
    <row r="7" spans="1:17" ht="31.5" x14ac:dyDescent="0.5">
      <c r="A7" s="74">
        <v>2023</v>
      </c>
      <c r="B7" s="75">
        <f>SUM(E8:F8)*(1+INFLATION!B8)*(1+FUEL!B7)</f>
        <v>0</v>
      </c>
      <c r="D7" s="15">
        <v>2022</v>
      </c>
      <c r="E7" s="12">
        <f t="shared" si="0"/>
        <v>0</v>
      </c>
      <c r="F7" s="27">
        <f t="shared" si="1"/>
        <v>0</v>
      </c>
      <c r="I7" s="197"/>
      <c r="J7" s="198"/>
      <c r="K7" s="198"/>
      <c r="L7" s="68"/>
      <c r="M7" s="68"/>
      <c r="N7" s="68"/>
      <c r="O7" s="68"/>
      <c r="P7" s="68"/>
      <c r="Q7" s="69"/>
    </row>
    <row r="8" spans="1:17" ht="32.25" thickBot="1" x14ac:dyDescent="0.55000000000000004">
      <c r="A8" s="74">
        <v>2024</v>
      </c>
      <c r="B8" s="75">
        <f>SUM(E9:F9)*(1+INFLATION!B9)*(1+FUEL!B8)</f>
        <v>0</v>
      </c>
      <c r="D8" s="15">
        <v>2023</v>
      </c>
      <c r="E8" s="12">
        <f t="shared" si="0"/>
        <v>0</v>
      </c>
      <c r="F8" s="27">
        <f t="shared" si="1"/>
        <v>0</v>
      </c>
      <c r="I8" s="199"/>
      <c r="J8" s="200"/>
      <c r="K8" s="200"/>
      <c r="L8" s="70"/>
      <c r="M8" s="70"/>
      <c r="N8" s="70"/>
      <c r="O8" s="70"/>
      <c r="P8" s="70"/>
      <c r="Q8" s="71"/>
    </row>
    <row r="9" spans="1:17" x14ac:dyDescent="0.25">
      <c r="A9" s="74">
        <v>2025</v>
      </c>
      <c r="B9" s="75">
        <f>SUM(E10:F10)*(1+INFLATION!B10)*(1+FUEL!B9)</f>
        <v>0</v>
      </c>
      <c r="D9" s="15">
        <v>2024</v>
      </c>
      <c r="E9" s="12">
        <f t="shared" si="0"/>
        <v>0</v>
      </c>
      <c r="F9" s="27">
        <f t="shared" si="1"/>
        <v>0</v>
      </c>
      <c r="I9" s="13" t="s">
        <v>3</v>
      </c>
      <c r="J9" s="8" t="s">
        <v>26</v>
      </c>
      <c r="K9" s="8" t="s">
        <v>70</v>
      </c>
      <c r="L9" s="8"/>
      <c r="M9" s="8"/>
      <c r="N9" s="8"/>
      <c r="O9" s="8"/>
      <c r="P9" s="8"/>
      <c r="Q9" s="9"/>
    </row>
    <row r="10" spans="1:17" x14ac:dyDescent="0.25">
      <c r="A10" s="74">
        <v>2026</v>
      </c>
      <c r="B10" s="75">
        <f>SUM(E11:F11)*(1+INFLATION!B11)*(1+FUEL!B10)</f>
        <v>0</v>
      </c>
      <c r="D10" s="15">
        <v>2025</v>
      </c>
      <c r="E10" s="12">
        <f t="shared" si="0"/>
        <v>0</v>
      </c>
      <c r="F10" s="27">
        <f t="shared" si="1"/>
        <v>0</v>
      </c>
      <c r="I10" s="13" t="s">
        <v>6</v>
      </c>
      <c r="J10" s="8">
        <v>0</v>
      </c>
      <c r="K10" s="8">
        <v>0</v>
      </c>
      <c r="L10" s="8"/>
      <c r="M10" s="8"/>
      <c r="N10" s="8"/>
      <c r="O10" s="8"/>
      <c r="P10" s="8"/>
      <c r="Q10" s="9"/>
    </row>
    <row r="11" spans="1:17" ht="15.75" thickBot="1" x14ac:dyDescent="0.3">
      <c r="A11" s="74">
        <v>2027</v>
      </c>
      <c r="B11" s="75">
        <f>SUM(E12:F12)*(1+INFLATION!B12)*(1+FUEL!B11)</f>
        <v>0</v>
      </c>
      <c r="D11" s="15">
        <v>2026</v>
      </c>
      <c r="E11" s="12">
        <f t="shared" si="0"/>
        <v>0</v>
      </c>
      <c r="F11" s="27">
        <f t="shared" si="1"/>
        <v>0</v>
      </c>
      <c r="I11" s="14" t="s">
        <v>7</v>
      </c>
      <c r="J11" s="10">
        <v>0</v>
      </c>
      <c r="K11" s="10">
        <v>0</v>
      </c>
      <c r="L11" s="10"/>
      <c r="M11" s="10"/>
      <c r="N11" s="10"/>
      <c r="O11" s="10"/>
      <c r="P11" s="10"/>
      <c r="Q11" s="11"/>
    </row>
    <row r="12" spans="1:17" ht="15.75" thickBot="1" x14ac:dyDescent="0.3">
      <c r="A12" s="74">
        <v>2028</v>
      </c>
      <c r="B12" s="75">
        <f>SUM(E13:F13)*(1+INFLATION!B13)*(1+FUEL!B12)</f>
        <v>0</v>
      </c>
      <c r="D12" s="15">
        <v>2027</v>
      </c>
      <c r="E12" s="12">
        <f t="shared" si="0"/>
        <v>0</v>
      </c>
      <c r="F12" s="27">
        <f t="shared" si="1"/>
        <v>0</v>
      </c>
      <c r="I12" s="24" t="s">
        <v>128</v>
      </c>
      <c r="J12" s="55" t="s">
        <v>158</v>
      </c>
      <c r="K12" s="55" t="s">
        <v>158</v>
      </c>
      <c r="L12" s="56"/>
      <c r="M12" s="56"/>
      <c r="N12" s="56"/>
      <c r="O12" s="56"/>
      <c r="P12" s="56"/>
      <c r="Q12" s="57"/>
    </row>
    <row r="13" spans="1:17" x14ac:dyDescent="0.25">
      <c r="A13" s="74">
        <v>2029</v>
      </c>
      <c r="B13" s="75">
        <f>SUM(E14:F14)*(1+INFLATION!B14)*(1+FUEL!B13)</f>
        <v>0</v>
      </c>
      <c r="D13" s="15">
        <v>2028</v>
      </c>
      <c r="E13" s="12">
        <f t="shared" si="0"/>
        <v>0</v>
      </c>
      <c r="F13" s="27">
        <f t="shared" si="1"/>
        <v>0</v>
      </c>
    </row>
    <row r="14" spans="1:17" x14ac:dyDescent="0.25">
      <c r="A14" s="74">
        <v>2030</v>
      </c>
      <c r="B14" s="75">
        <f>SUM(E15:F15)*(1+INFLATION!B15)*(1+FUEL!B14)</f>
        <v>0</v>
      </c>
      <c r="D14" s="15">
        <v>2029</v>
      </c>
      <c r="E14" s="12">
        <f t="shared" si="0"/>
        <v>0</v>
      </c>
      <c r="F14" s="27">
        <f t="shared" si="1"/>
        <v>0</v>
      </c>
    </row>
    <row r="15" spans="1:17" x14ac:dyDescent="0.25">
      <c r="A15" s="74">
        <v>2031</v>
      </c>
      <c r="B15" s="75">
        <f>SUM(E16:F16)*(1+INFLATION!B16)*(1+FUEL!B15)</f>
        <v>0</v>
      </c>
      <c r="D15" s="15">
        <v>2030</v>
      </c>
      <c r="E15" s="12">
        <f t="shared" si="0"/>
        <v>0</v>
      </c>
      <c r="F15" s="27">
        <f t="shared" si="1"/>
        <v>0</v>
      </c>
    </row>
    <row r="16" spans="1:17" x14ac:dyDescent="0.25">
      <c r="A16" s="74">
        <v>2032</v>
      </c>
      <c r="B16" s="75">
        <f>SUM(E17:F17)*(1+INFLATION!B17)*(1+FUEL!B16)</f>
        <v>0</v>
      </c>
      <c r="D16" s="15">
        <v>2031</v>
      </c>
      <c r="E16" s="12">
        <f t="shared" si="0"/>
        <v>0</v>
      </c>
      <c r="F16" s="27">
        <f t="shared" si="1"/>
        <v>0</v>
      </c>
    </row>
    <row r="17" spans="1:6" x14ac:dyDescent="0.25">
      <c r="A17" s="74">
        <v>2033</v>
      </c>
      <c r="B17" s="75">
        <f>SUM(E18:F18)*(1+INFLATION!B18)*(1+FUEL!B17)</f>
        <v>0</v>
      </c>
      <c r="D17" s="15">
        <v>2032</v>
      </c>
      <c r="E17" s="12">
        <f t="shared" si="0"/>
        <v>0</v>
      </c>
      <c r="F17" s="27">
        <f t="shared" si="1"/>
        <v>0</v>
      </c>
    </row>
    <row r="18" spans="1:6" x14ac:dyDescent="0.25">
      <c r="A18" s="74">
        <v>2034</v>
      </c>
      <c r="B18" s="75">
        <f>SUM(E19:F19)*(1+INFLATION!B19)*(1+FUEL!B18)</f>
        <v>0</v>
      </c>
      <c r="D18" s="15">
        <v>2033</v>
      </c>
      <c r="E18" s="12">
        <f t="shared" si="0"/>
        <v>0</v>
      </c>
      <c r="F18" s="27">
        <f t="shared" si="1"/>
        <v>0</v>
      </c>
    </row>
    <row r="19" spans="1:6" x14ac:dyDescent="0.25">
      <c r="A19" s="74">
        <v>2035</v>
      </c>
      <c r="B19" s="75">
        <f>SUM(E20:F20)*(1+INFLATION!B20)*(1+FUEL!B19)</f>
        <v>0</v>
      </c>
      <c r="D19" s="15">
        <v>2034</v>
      </c>
      <c r="E19" s="12">
        <f t="shared" si="0"/>
        <v>0</v>
      </c>
      <c r="F19" s="27">
        <f t="shared" si="1"/>
        <v>0</v>
      </c>
    </row>
    <row r="20" spans="1:6" x14ac:dyDescent="0.25">
      <c r="A20" s="74">
        <v>2036</v>
      </c>
      <c r="B20" s="75">
        <f>SUM(E21:F21)*(1+INFLATION!B21)*(1+FUEL!B20)</f>
        <v>0</v>
      </c>
      <c r="D20" s="15">
        <v>2035</v>
      </c>
      <c r="E20" s="12">
        <f t="shared" si="0"/>
        <v>0</v>
      </c>
      <c r="F20" s="27">
        <f t="shared" si="1"/>
        <v>0</v>
      </c>
    </row>
    <row r="21" spans="1:6" x14ac:dyDescent="0.25">
      <c r="A21" s="74">
        <v>2037</v>
      </c>
      <c r="B21" s="75">
        <f>SUM(E22:F22)*(1+INFLATION!B22)*(1+FUEL!B21)</f>
        <v>0</v>
      </c>
      <c r="D21" s="15">
        <v>2036</v>
      </c>
      <c r="E21" s="12">
        <f t="shared" si="0"/>
        <v>0</v>
      </c>
      <c r="F21" s="27">
        <f t="shared" si="1"/>
        <v>0</v>
      </c>
    </row>
    <row r="22" spans="1:6" x14ac:dyDescent="0.25">
      <c r="A22" s="74">
        <v>2038</v>
      </c>
      <c r="B22" s="75">
        <f>SUM(E23:F23)*(1+INFLATION!B23)*(1+FUEL!B22)</f>
        <v>0</v>
      </c>
      <c r="D22" s="15">
        <v>2037</v>
      </c>
      <c r="E22" s="12">
        <f t="shared" si="0"/>
        <v>0</v>
      </c>
      <c r="F22" s="27">
        <f t="shared" si="1"/>
        <v>0</v>
      </c>
    </row>
    <row r="23" spans="1:6" x14ac:dyDescent="0.25">
      <c r="A23" s="74">
        <v>2039</v>
      </c>
      <c r="B23" s="75">
        <f>SUM(E24:F24)*(1+INFLATION!B24)*(1+FUEL!B23)</f>
        <v>0</v>
      </c>
      <c r="D23" s="15">
        <v>2038</v>
      </c>
      <c r="E23" s="12">
        <f t="shared" si="0"/>
        <v>0</v>
      </c>
      <c r="F23" s="27">
        <f t="shared" si="1"/>
        <v>0</v>
      </c>
    </row>
    <row r="24" spans="1:6" ht="15.75" thickBot="1" x14ac:dyDescent="0.3">
      <c r="A24" s="64">
        <v>2040</v>
      </c>
      <c r="B24" s="76">
        <f>SUM(E25:F25)*(1+INFLATION!B25)*(1+FUEL!B24)</f>
        <v>0</v>
      </c>
      <c r="D24" s="15">
        <v>2039</v>
      </c>
      <c r="E24" s="12">
        <f t="shared" si="0"/>
        <v>0</v>
      </c>
      <c r="F24" s="27">
        <f t="shared" si="1"/>
        <v>0</v>
      </c>
    </row>
    <row r="25" spans="1:6" ht="15.75" thickBot="1" x14ac:dyDescent="0.3">
      <c r="D25" s="16">
        <v>2040</v>
      </c>
      <c r="E25" s="77">
        <f t="shared" si="0"/>
        <v>0</v>
      </c>
      <c r="F25" s="28">
        <f t="shared" si="1"/>
        <v>0</v>
      </c>
    </row>
    <row r="26" spans="1:6" ht="15.75" thickBot="1" x14ac:dyDescent="0.3"/>
    <row r="27" spans="1:6" x14ac:dyDescent="0.25">
      <c r="A27" s="195" t="s">
        <v>12</v>
      </c>
      <c r="B27" s="196"/>
      <c r="C27" s="196"/>
      <c r="D27" s="196"/>
      <c r="E27" s="196"/>
      <c r="F27" s="201"/>
    </row>
    <row r="28" spans="1:6" x14ac:dyDescent="0.25">
      <c r="A28" s="197"/>
      <c r="B28" s="198"/>
      <c r="C28" s="198"/>
      <c r="D28" s="198"/>
      <c r="E28" s="198"/>
      <c r="F28" s="202"/>
    </row>
    <row r="29" spans="1:6" ht="15.75" thickBot="1" x14ac:dyDescent="0.3">
      <c r="A29" s="199"/>
      <c r="B29" s="200"/>
      <c r="C29" s="200"/>
      <c r="D29" s="200"/>
      <c r="E29" s="200"/>
      <c r="F29" s="203"/>
    </row>
    <row r="30" spans="1:6" x14ac:dyDescent="0.25">
      <c r="A30" s="13" t="s">
        <v>3</v>
      </c>
      <c r="B30" s="190" t="s">
        <v>26</v>
      </c>
      <c r="C30" s="190"/>
      <c r="D30" s="190" t="s">
        <v>70</v>
      </c>
      <c r="E30" s="190"/>
      <c r="F30" s="191"/>
    </row>
    <row r="31" spans="1:6" x14ac:dyDescent="0.25">
      <c r="A31" s="13" t="s">
        <v>6</v>
      </c>
      <c r="B31" s="190">
        <v>0.74</v>
      </c>
      <c r="C31" s="190"/>
      <c r="D31" s="190">
        <v>0.22046299999999999</v>
      </c>
      <c r="E31" s="190"/>
      <c r="F31" s="191"/>
    </row>
    <row r="32" spans="1:6" ht="15.75" thickBot="1" x14ac:dyDescent="0.3">
      <c r="A32" s="14" t="s">
        <v>7</v>
      </c>
      <c r="B32" s="190">
        <v>2022</v>
      </c>
      <c r="C32" s="190"/>
      <c r="D32" s="190">
        <v>2027</v>
      </c>
      <c r="E32" s="190"/>
      <c r="F32" s="191"/>
    </row>
    <row r="33" spans="1:6" ht="45" customHeight="1" thickBot="1" x14ac:dyDescent="0.3">
      <c r="A33" s="24" t="s">
        <v>128</v>
      </c>
      <c r="B33" s="187" t="s">
        <v>129</v>
      </c>
      <c r="C33" s="187"/>
      <c r="D33" s="187" t="s">
        <v>130</v>
      </c>
      <c r="E33" s="187"/>
      <c r="F33" s="189"/>
    </row>
  </sheetData>
  <mergeCells count="12">
    <mergeCell ref="I6:K8"/>
    <mergeCell ref="A27:F29"/>
    <mergeCell ref="B30:C30"/>
    <mergeCell ref="B31:C31"/>
    <mergeCell ref="B32:C32"/>
    <mergeCell ref="B33:C33"/>
    <mergeCell ref="A1:F1"/>
    <mergeCell ref="D33:F33"/>
    <mergeCell ref="D30:F30"/>
    <mergeCell ref="D31:F31"/>
    <mergeCell ref="D32:F32"/>
    <mergeCell ref="D4:F4"/>
  </mergeCells>
  <pageMargins left="0.7" right="0.7" top="0.75" bottom="0.75" header="0.3" footer="0.3"/>
  <pageSetup orientation="portrait" r:id="rId1"/>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68BB0-F657-479F-BC13-4EF8D89FAC80}">
  <sheetPr>
    <tabColor rgb="FF0070C0"/>
  </sheetPr>
  <dimension ref="A1:BR88"/>
  <sheetViews>
    <sheetView view="pageBreakPreview" zoomScale="60" zoomScaleNormal="100" workbookViewId="0">
      <selection activeCell="B5" sqref="B5:B24"/>
    </sheetView>
  </sheetViews>
  <sheetFormatPr defaultRowHeight="15" x14ac:dyDescent="0.25"/>
  <cols>
    <col min="1" max="1" width="13.28515625" customWidth="1"/>
    <col min="2" max="2" width="14.42578125" bestFit="1" customWidth="1"/>
    <col min="3" max="3" width="12" customWidth="1"/>
    <col min="5" max="6" width="10.85546875" bestFit="1" customWidth="1"/>
    <col min="7" max="7" width="2.5703125" style="78" customWidth="1"/>
    <col min="8" max="8" width="16" bestFit="1" customWidth="1"/>
    <col min="9" max="9" width="14.28515625" bestFit="1" customWidth="1"/>
    <col min="10" max="10" width="11.85546875" customWidth="1"/>
  </cols>
  <sheetData>
    <row r="1" spans="1:20" s="45" customFormat="1" ht="33.6" customHeight="1" thickBot="1" x14ac:dyDescent="0.55000000000000004">
      <c r="A1" s="204" t="s">
        <v>144</v>
      </c>
      <c r="B1" s="204"/>
      <c r="C1" s="204"/>
      <c r="D1" s="83" t="s">
        <v>14</v>
      </c>
      <c r="E1" s="25"/>
      <c r="F1" s="25">
        <f>MIN(M12:T12)</f>
        <v>0</v>
      </c>
      <c r="G1" s="78"/>
      <c r="H1" s="205" t="s">
        <v>11</v>
      </c>
      <c r="I1" s="206"/>
      <c r="J1" s="207"/>
    </row>
    <row r="2" spans="1:20" s="45" customFormat="1" x14ac:dyDescent="0.25">
      <c r="A2" s="204"/>
      <c r="B2" s="204"/>
      <c r="C2" s="204"/>
      <c r="G2" s="78"/>
      <c r="H2" s="29" t="s">
        <v>16</v>
      </c>
      <c r="I2" s="21" t="s">
        <v>6</v>
      </c>
      <c r="J2" s="26"/>
    </row>
    <row r="3" spans="1:20" s="45" customFormat="1" ht="15.75" thickBot="1" x14ac:dyDescent="0.3">
      <c r="A3" s="204"/>
      <c r="B3" s="204"/>
      <c r="C3" s="204"/>
      <c r="G3" s="78"/>
      <c r="H3" s="7" t="s">
        <v>73</v>
      </c>
      <c r="I3" s="8">
        <v>4.0015149999999998E-3</v>
      </c>
      <c r="J3" s="27"/>
    </row>
    <row r="4" spans="1:20" ht="15.75" thickBot="1" x14ac:dyDescent="0.3">
      <c r="A4" s="72"/>
      <c r="B4" s="73" t="s">
        <v>132</v>
      </c>
      <c r="D4" s="192" t="s">
        <v>15</v>
      </c>
      <c r="E4" s="193"/>
      <c r="F4" s="194"/>
      <c r="H4" s="7" t="s">
        <v>74</v>
      </c>
      <c r="I4" s="8">
        <v>5.3188799999999998E-3</v>
      </c>
      <c r="J4" s="27"/>
      <c r="L4" s="24" t="s">
        <v>14</v>
      </c>
      <c r="M4" s="25">
        <f>MIN(M12:T12)</f>
        <v>0</v>
      </c>
    </row>
    <row r="5" spans="1:20" x14ac:dyDescent="0.25">
      <c r="A5" s="74">
        <v>2021</v>
      </c>
      <c r="B5" s="80">
        <f>(IF(OR(A5&lt;$M$4,$M$4=0),$L$88,SUM(E6:F6)))*(1+FUEL!B5)</f>
        <v>8.0128781633486187E-3</v>
      </c>
      <c r="D5" s="13"/>
      <c r="E5" s="17" t="str">
        <f>IF(M10="","",M10)</f>
        <v>I-5 Exp</v>
      </c>
      <c r="F5" s="18" t="str">
        <f>IF(N10="","",N10)</f>
        <v>GTN</v>
      </c>
      <c r="H5" s="7" t="s">
        <v>75</v>
      </c>
      <c r="I5" s="8">
        <v>1.7326399999999999E-3</v>
      </c>
      <c r="J5" s="27"/>
    </row>
    <row r="6" spans="1:20" ht="15.75" thickBot="1" x14ac:dyDescent="0.3">
      <c r="A6" s="74">
        <v>2022</v>
      </c>
      <c r="B6" s="80">
        <f>(IF(OR(A6&lt;$M$4,$M$4=0),$L$88,SUM(E7:F7)))*(1+FUEL!B6)</f>
        <v>8.0128781633486187E-3</v>
      </c>
      <c r="D6" s="15">
        <v>2021</v>
      </c>
      <c r="E6" s="12">
        <f>IF(M$11="","",IFERROR((IF($D6&lt;M$12,0,M$11)/(IF($D6&gt;=$M$12,1,0)+IF(AND($D6&gt;=$N$12,$N$12&lt;&gt;""),1,0)+IF(AND($D6&gt;=$O$12,$O$12&lt;&gt;""),1,0)+IF(AND($D6&gt;=$P$12,$P$12&lt;&gt;""),1,0))),0))</f>
        <v>0</v>
      </c>
      <c r="F6" s="27">
        <f t="shared" ref="F6:F25" si="0">IF(N$11="","",IFERROR((IF($D6&lt;N$12,0,N$11)/(IF($D6&gt;=$M$12,1,0)+IF(AND($D6&gt;=$N$12,$N$12&lt;&gt;""),1,0)+IF(AND($D6&gt;=$O$12,$O$12&lt;&gt;""),1,0)+IF(AND($D6&gt;=$P$12,$P$12&lt;&gt;""),1,0))),0))</f>
        <v>0</v>
      </c>
      <c r="H6" s="7" t="s">
        <v>76</v>
      </c>
      <c r="I6" s="8">
        <v>4.3465600000000002E-3</v>
      </c>
      <c r="J6" s="27"/>
    </row>
    <row r="7" spans="1:20" ht="14.1" customHeight="1" x14ac:dyDescent="0.25">
      <c r="A7" s="74">
        <v>2023</v>
      </c>
      <c r="B7" s="80">
        <f>(IF(OR(A7&lt;$M$4,$M$4=0),$L$88,SUM(E8:F8)))*(1+FUEL!B7)</f>
        <v>8.0128781633486187E-3</v>
      </c>
      <c r="D7" s="15">
        <v>2022</v>
      </c>
      <c r="E7" s="12">
        <f t="shared" ref="E7:E25" si="1">IF(M$11="","",IFERROR((IF($D7&lt;M$12,0,M$11)/(IF($D7&gt;=$M$12,1,0)+IF(AND($D7&gt;=$N$12,$N$12&lt;&gt;""),1,0)+IF(AND($D7&gt;=$O$12,$O$12&lt;&gt;""),1,0)+IF(AND($D7&gt;=$P$12,$P$12&lt;&gt;""),1,0))),0))</f>
        <v>0</v>
      </c>
      <c r="F7" s="27">
        <f t="shared" si="0"/>
        <v>0</v>
      </c>
      <c r="H7" s="7" t="s">
        <v>77</v>
      </c>
      <c r="I7" s="8">
        <v>4.5241600000000002E-3</v>
      </c>
      <c r="J7" s="27"/>
      <c r="L7" s="195" t="s">
        <v>13</v>
      </c>
      <c r="M7" s="196"/>
      <c r="N7" s="196"/>
      <c r="O7" s="196"/>
      <c r="P7" s="196"/>
      <c r="Q7" s="196"/>
      <c r="R7" s="196"/>
      <c r="S7" s="196"/>
      <c r="T7" s="201"/>
    </row>
    <row r="8" spans="1:20" ht="14.45" customHeight="1" x14ac:dyDescent="0.25">
      <c r="A8" s="74">
        <v>2024</v>
      </c>
      <c r="B8" s="80">
        <f>(IF(OR(A8&lt;$M$4,$M$4=0),$L$88,SUM(E9:F9)))*(1+FUEL!B8)</f>
        <v>8.0128781633486187E-3</v>
      </c>
      <c r="D8" s="15">
        <v>2023</v>
      </c>
      <c r="E8" s="12">
        <f t="shared" si="1"/>
        <v>0</v>
      </c>
      <c r="F8" s="27">
        <f t="shared" si="0"/>
        <v>0</v>
      </c>
      <c r="H8" s="7" t="s">
        <v>78</v>
      </c>
      <c r="I8" s="8">
        <v>6.5625600000000003E-3</v>
      </c>
      <c r="J8" s="27"/>
      <c r="L8" s="197"/>
      <c r="M8" s="198"/>
      <c r="N8" s="198"/>
      <c r="O8" s="198"/>
      <c r="P8" s="198"/>
      <c r="Q8" s="198"/>
      <c r="R8" s="198"/>
      <c r="S8" s="198"/>
      <c r="T8" s="202"/>
    </row>
    <row r="9" spans="1:20" ht="15" customHeight="1" thickBot="1" x14ac:dyDescent="0.3">
      <c r="A9" s="74">
        <v>2025</v>
      </c>
      <c r="B9" s="80">
        <f>(IF(OR(A9&lt;$M$4,$M$4=0),$L$88,SUM(E10:F10)))*(1+FUEL!B9)</f>
        <v>8.0128781633486187E-3</v>
      </c>
      <c r="D9" s="15">
        <v>2024</v>
      </c>
      <c r="E9" s="12">
        <f t="shared" si="1"/>
        <v>0</v>
      </c>
      <c r="F9" s="27">
        <f t="shared" si="0"/>
        <v>0</v>
      </c>
      <c r="H9" s="7" t="s">
        <v>79</v>
      </c>
      <c r="I9" s="8">
        <v>6.8304000000000004E-3</v>
      </c>
      <c r="J9" s="27"/>
      <c r="L9" s="199"/>
      <c r="M9" s="200"/>
      <c r="N9" s="200"/>
      <c r="O9" s="200"/>
      <c r="P9" s="200"/>
      <c r="Q9" s="200"/>
      <c r="R9" s="200"/>
      <c r="S9" s="200"/>
      <c r="T9" s="203"/>
    </row>
    <row r="10" spans="1:20" x14ac:dyDescent="0.25">
      <c r="A10" s="74">
        <v>2026</v>
      </c>
      <c r="B10" s="80">
        <f>(IF(OR(A10&lt;$M$4,$M$4=0),$L$88,SUM(E11:F11)))*(1+FUEL!B10)</f>
        <v>8.0128781633486187E-3</v>
      </c>
      <c r="D10" s="15">
        <v>2025</v>
      </c>
      <c r="E10" s="12">
        <f t="shared" si="1"/>
        <v>0</v>
      </c>
      <c r="F10" s="27">
        <f t="shared" si="0"/>
        <v>0</v>
      </c>
      <c r="H10" s="7" t="s">
        <v>80</v>
      </c>
      <c r="I10" s="8">
        <v>7.0127999999999996E-3</v>
      </c>
      <c r="J10" s="27"/>
      <c r="L10" s="29"/>
      <c r="M10" s="21" t="str">
        <f>IF('INCRM FIXED TRANSPORT'!J9="","",'INCRM FIXED TRANSPORT'!J9)</f>
        <v>I-5 Exp</v>
      </c>
      <c r="N10" s="21" t="str">
        <f>IF('INCRM FIXED TRANSPORT'!K9="","",'INCRM FIXED TRANSPORT'!K9)</f>
        <v>GTN</v>
      </c>
      <c r="O10" s="21" t="str">
        <f>IF('INCRM FIXED TRANSPORT'!L9="","",'INCRM FIXED TRANSPORT'!L9)</f>
        <v/>
      </c>
      <c r="P10" s="21" t="str">
        <f>IF('INCRM FIXED TRANSPORT'!M9="","",'INCRM FIXED TRANSPORT'!M9)</f>
        <v/>
      </c>
      <c r="Q10" s="21" t="str">
        <f>IF('INCRM FIXED TRANSPORT'!N9="","",'INCRM FIXED TRANSPORT'!N9)</f>
        <v/>
      </c>
      <c r="R10" s="21" t="str">
        <f>IF('INCRM FIXED TRANSPORT'!O9="","",'INCRM FIXED TRANSPORT'!O9)</f>
        <v/>
      </c>
      <c r="S10" s="21" t="str">
        <f>IF('INCRM FIXED TRANSPORT'!P9="","",'INCRM FIXED TRANSPORT'!P9)</f>
        <v/>
      </c>
      <c r="T10" s="22" t="str">
        <f>IF('INCRM FIXED TRANSPORT'!Q9="","",'INCRM FIXED TRANSPORT'!Q9)</f>
        <v/>
      </c>
    </row>
    <row r="11" spans="1:20" ht="15.75" thickBot="1" x14ac:dyDescent="0.3">
      <c r="A11" s="74">
        <v>2027</v>
      </c>
      <c r="B11" s="80">
        <f>(IF(OR(A11&lt;$M$4,$M$4=0),$L$88,SUM(E12:F12)))*(1+FUEL!B11)</f>
        <v>8.0128781633486187E-3</v>
      </c>
      <c r="D11" s="15">
        <v>2026</v>
      </c>
      <c r="E11" s="12">
        <f t="shared" si="1"/>
        <v>0</v>
      </c>
      <c r="F11" s="27">
        <f t="shared" si="0"/>
        <v>0</v>
      </c>
      <c r="H11" s="7" t="s">
        <v>81</v>
      </c>
      <c r="I11" s="8">
        <v>7.2721599999999997E-3</v>
      </c>
      <c r="J11" s="27"/>
      <c r="L11" s="13" t="s">
        <v>6</v>
      </c>
      <c r="M11" s="8">
        <v>0</v>
      </c>
      <c r="N11" s="8">
        <v>0</v>
      </c>
      <c r="O11" s="8"/>
      <c r="P11" s="8"/>
      <c r="Q11" s="8"/>
      <c r="R11" s="8"/>
      <c r="S11" s="8"/>
      <c r="T11" s="9"/>
    </row>
    <row r="12" spans="1:20" ht="15.75" thickBot="1" x14ac:dyDescent="0.3">
      <c r="A12" s="74">
        <v>2028</v>
      </c>
      <c r="B12" s="80">
        <f>(IF(OR(A12&lt;$M$4,$M$4=0),$L$88,SUM(E13:F13)))*(1+FUEL!B12)</f>
        <v>8.0128781633486187E-3</v>
      </c>
      <c r="D12" s="15">
        <v>2027</v>
      </c>
      <c r="E12" s="12">
        <f t="shared" si="1"/>
        <v>0</v>
      </c>
      <c r="F12" s="27">
        <f t="shared" si="0"/>
        <v>0</v>
      </c>
      <c r="H12" s="7" t="s">
        <v>82</v>
      </c>
      <c r="I12" s="8">
        <v>7.5070400000000004E-3</v>
      </c>
      <c r="J12" s="27"/>
      <c r="L12" s="14" t="s">
        <v>7</v>
      </c>
      <c r="M12" s="21">
        <f>IF('INCRM FIXED TRANSPORT'!J11="","",'INCRM FIXED TRANSPORT'!J11)</f>
        <v>0</v>
      </c>
      <c r="N12" s="21">
        <f>IF('INCRM FIXED TRANSPORT'!K11="","",'INCRM FIXED TRANSPORT'!K11)</f>
        <v>0</v>
      </c>
      <c r="O12" s="21" t="str">
        <f>IF('INCRM FIXED TRANSPORT'!L11="","",'INCRM FIXED TRANSPORT'!L11)</f>
        <v/>
      </c>
      <c r="P12" s="21" t="str">
        <f>IF('INCRM FIXED TRANSPORT'!M11="","",'INCRM FIXED TRANSPORT'!M11)</f>
        <v/>
      </c>
      <c r="Q12" s="21" t="str">
        <f>IF('INCRM FIXED TRANSPORT'!N11="","",'INCRM FIXED TRANSPORT'!N11)</f>
        <v/>
      </c>
      <c r="R12" s="21" t="str">
        <f>IF('INCRM FIXED TRANSPORT'!O11="","",'INCRM FIXED TRANSPORT'!O11)</f>
        <v/>
      </c>
      <c r="S12" s="21" t="str">
        <f>IF('INCRM FIXED TRANSPORT'!P11="","",'INCRM FIXED TRANSPORT'!P11)</f>
        <v/>
      </c>
      <c r="T12" s="21" t="str">
        <f>IF('INCRM FIXED TRANSPORT'!Q11="","",'INCRM FIXED TRANSPORT'!Q11)</f>
        <v/>
      </c>
    </row>
    <row r="13" spans="1:20" ht="15.75" thickBot="1" x14ac:dyDescent="0.3">
      <c r="A13" s="74">
        <v>2029</v>
      </c>
      <c r="B13" s="80">
        <f>(IF(OR(A13&lt;$M$4,$M$4=0),$L$88,SUM(E14:F14)))*(1+FUEL!B13)</f>
        <v>8.0128781633486187E-3</v>
      </c>
      <c r="D13" s="15">
        <v>2028</v>
      </c>
      <c r="E13" s="12">
        <f t="shared" si="1"/>
        <v>0</v>
      </c>
      <c r="F13" s="27">
        <f t="shared" si="0"/>
        <v>0</v>
      </c>
      <c r="H13" s="7" t="s">
        <v>83</v>
      </c>
      <c r="I13" s="8">
        <v>7.7424E-3</v>
      </c>
      <c r="J13" s="27"/>
    </row>
    <row r="14" spans="1:20" ht="14.45" customHeight="1" x14ac:dyDescent="0.25">
      <c r="A14" s="74">
        <v>2030</v>
      </c>
      <c r="B14" s="80">
        <f>(IF(OR(A14&lt;$M$4,$M$4=0),$L$88,SUM(E15:F15)))*(1+FUEL!B14)</f>
        <v>8.0128781633486187E-3</v>
      </c>
      <c r="D14" s="15">
        <v>2029</v>
      </c>
      <c r="E14" s="12">
        <f t="shared" si="1"/>
        <v>0</v>
      </c>
      <c r="F14" s="27">
        <f t="shared" si="0"/>
        <v>0</v>
      </c>
      <c r="H14" s="7" t="s">
        <v>84</v>
      </c>
      <c r="I14" s="8">
        <v>8.0155199999999999E-3</v>
      </c>
      <c r="J14" s="27"/>
      <c r="M14" s="6"/>
      <c r="N14" s="205" t="s">
        <v>11</v>
      </c>
      <c r="O14" s="206"/>
      <c r="P14" s="207"/>
    </row>
    <row r="15" spans="1:20" ht="14.45" customHeight="1" x14ac:dyDescent="0.25">
      <c r="A15" s="74">
        <v>2031</v>
      </c>
      <c r="B15" s="80">
        <f>(IF(OR(A15&lt;$M$4,$M$4=0),$L$88,SUM(E16:F16)))*(1+FUEL!B15)</f>
        <v>8.0128781633486187E-3</v>
      </c>
      <c r="D15" s="15">
        <v>2030</v>
      </c>
      <c r="E15" s="12">
        <f t="shared" si="1"/>
        <v>0</v>
      </c>
      <c r="F15" s="27">
        <f t="shared" si="0"/>
        <v>0</v>
      </c>
      <c r="H15" s="7" t="s">
        <v>85</v>
      </c>
      <c r="I15" s="8">
        <v>8.3110400000000004E-3</v>
      </c>
      <c r="J15" s="27"/>
      <c r="L15" s="6"/>
      <c r="M15" s="6"/>
      <c r="N15" s="208"/>
      <c r="O15" s="209"/>
      <c r="P15" s="210"/>
    </row>
    <row r="16" spans="1:20" ht="14.45" customHeight="1" x14ac:dyDescent="0.25">
      <c r="A16" s="74">
        <v>2032</v>
      </c>
      <c r="B16" s="80">
        <f>(IF(OR(A16&lt;$M$4,$M$4=0),$L$88,SUM(E17:F17)))*(1+FUEL!B16)</f>
        <v>8.0128781633486187E-3</v>
      </c>
      <c r="D16" s="15">
        <v>2031</v>
      </c>
      <c r="E16" s="12">
        <f t="shared" si="1"/>
        <v>0</v>
      </c>
      <c r="F16" s="27">
        <f t="shared" si="0"/>
        <v>0</v>
      </c>
      <c r="H16" s="7" t="s">
        <v>86</v>
      </c>
      <c r="I16" s="8">
        <v>9.79936E-3</v>
      </c>
      <c r="J16" s="27"/>
      <c r="L16" s="6"/>
      <c r="M16" s="6"/>
      <c r="N16" s="208"/>
      <c r="O16" s="209"/>
      <c r="P16" s="210"/>
    </row>
    <row r="17" spans="1:16" ht="15" customHeight="1" thickBot="1" x14ac:dyDescent="0.3">
      <c r="A17" s="74">
        <v>2033</v>
      </c>
      <c r="B17" s="80">
        <f>(IF(OR(A17&lt;$M$4,$M$4=0),$L$88,SUM(E18:F18)))*(1+FUEL!B17)</f>
        <v>8.0128781633486187E-3</v>
      </c>
      <c r="D17" s="15">
        <v>2032</v>
      </c>
      <c r="E17" s="12">
        <f t="shared" si="1"/>
        <v>0</v>
      </c>
      <c r="F17" s="27">
        <f t="shared" si="0"/>
        <v>0</v>
      </c>
      <c r="H17" s="7" t="s">
        <v>87</v>
      </c>
      <c r="I17" s="8">
        <v>0.03</v>
      </c>
      <c r="J17" s="27"/>
      <c r="L17" s="6"/>
      <c r="M17" s="6"/>
      <c r="N17" s="211"/>
      <c r="O17" s="212"/>
      <c r="P17" s="213"/>
    </row>
    <row r="18" spans="1:16" x14ac:dyDescent="0.25">
      <c r="A18" s="74">
        <v>2034</v>
      </c>
      <c r="B18" s="80">
        <f>(IF(OR(A18&lt;$M$4,$M$4=0),$L$88,SUM(E19:F19)))*(1+FUEL!B18)</f>
        <v>8.0128781633486187E-3</v>
      </c>
      <c r="D18" s="15">
        <v>2033</v>
      </c>
      <c r="E18" s="12">
        <f t="shared" si="1"/>
        <v>0</v>
      </c>
      <c r="F18" s="27">
        <f t="shared" si="0"/>
        <v>0</v>
      </c>
      <c r="H18" s="7" t="s">
        <v>88</v>
      </c>
      <c r="I18" s="8">
        <v>0.03</v>
      </c>
      <c r="J18" s="27"/>
      <c r="K18" s="29" t="s">
        <v>16</v>
      </c>
      <c r="L18" s="21" t="s">
        <v>6</v>
      </c>
      <c r="M18" s="2"/>
      <c r="P18" s="26"/>
    </row>
    <row r="19" spans="1:16" x14ac:dyDescent="0.25">
      <c r="A19" s="74">
        <v>2035</v>
      </c>
      <c r="B19" s="80">
        <f>(IF(OR(A19&lt;$M$4,$M$4=0),$L$88,SUM(E20:F20)))*(1+FUEL!B19)</f>
        <v>8.0128781633486187E-3</v>
      </c>
      <c r="D19" s="15">
        <v>2034</v>
      </c>
      <c r="E19" s="12">
        <f t="shared" si="1"/>
        <v>0</v>
      </c>
      <c r="F19" s="27">
        <f t="shared" si="0"/>
        <v>0</v>
      </c>
      <c r="H19" s="7" t="s">
        <v>89</v>
      </c>
      <c r="I19" s="8">
        <v>0.03</v>
      </c>
      <c r="J19" s="27"/>
      <c r="K19" s="7" t="s">
        <v>73</v>
      </c>
      <c r="L19" s="8">
        <v>4.0015149999999998E-3</v>
      </c>
      <c r="M19" s="2"/>
      <c r="P19" s="27"/>
    </row>
    <row r="20" spans="1:16" x14ac:dyDescent="0.25">
      <c r="A20" s="74">
        <v>2036</v>
      </c>
      <c r="B20" s="80">
        <f>(IF(OR(A20&lt;$M$4,$M$4=0),$L$88,SUM(E21:F21)))*(1+FUEL!B20)</f>
        <v>8.0128781633486187E-3</v>
      </c>
      <c r="D20" s="15">
        <v>2035</v>
      </c>
      <c r="E20" s="12">
        <f t="shared" si="1"/>
        <v>0</v>
      </c>
      <c r="F20" s="27">
        <f t="shared" si="0"/>
        <v>0</v>
      </c>
      <c r="H20" s="7" t="s">
        <v>90</v>
      </c>
      <c r="I20" s="8">
        <v>0.03</v>
      </c>
      <c r="J20" s="27"/>
      <c r="K20" s="7" t="s">
        <v>74</v>
      </c>
      <c r="L20" s="8">
        <v>5.3188799999999998E-3</v>
      </c>
      <c r="M20" s="2"/>
      <c r="P20" s="27"/>
    </row>
    <row r="21" spans="1:16" x14ac:dyDescent="0.25">
      <c r="A21" s="74">
        <v>2037</v>
      </c>
      <c r="B21" s="80">
        <f>(IF(OR(A21&lt;$M$4,$M$4=0),$L$88,SUM(E22:F22)))*(1+FUEL!B21)</f>
        <v>8.0128781633486187E-3</v>
      </c>
      <c r="D21" s="15">
        <v>2036</v>
      </c>
      <c r="E21" s="12">
        <f t="shared" si="1"/>
        <v>0</v>
      </c>
      <c r="F21" s="27">
        <f t="shared" si="0"/>
        <v>0</v>
      </c>
      <c r="H21" s="7" t="s">
        <v>91</v>
      </c>
      <c r="I21" s="8">
        <v>0.03</v>
      </c>
      <c r="J21" s="27"/>
      <c r="K21" s="7" t="s">
        <v>75</v>
      </c>
      <c r="L21" s="8">
        <v>1.7326399999999999E-3</v>
      </c>
      <c r="M21" s="2"/>
      <c r="P21" s="27"/>
    </row>
    <row r="22" spans="1:16" x14ac:dyDescent="0.25">
      <c r="A22" s="74">
        <v>2038</v>
      </c>
      <c r="B22" s="80">
        <f>(IF(OR(A22&lt;$M$4,$M$4=0),$L$88,SUM(E23:F23)))*(1+FUEL!B22)</f>
        <v>8.0128781633486187E-3</v>
      </c>
      <c r="D22" s="15">
        <v>2037</v>
      </c>
      <c r="E22" s="12">
        <f t="shared" si="1"/>
        <v>0</v>
      </c>
      <c r="F22" s="27">
        <f t="shared" si="0"/>
        <v>0</v>
      </c>
      <c r="H22" s="7" t="s">
        <v>92</v>
      </c>
      <c r="I22" s="8">
        <v>0.03</v>
      </c>
      <c r="J22" s="27"/>
      <c r="K22" s="7" t="s">
        <v>76</v>
      </c>
      <c r="L22" s="8">
        <v>4.3465600000000002E-3</v>
      </c>
      <c r="M22" s="2"/>
      <c r="P22" s="27"/>
    </row>
    <row r="23" spans="1:16" x14ac:dyDescent="0.25">
      <c r="A23" s="74">
        <v>2039</v>
      </c>
      <c r="B23" s="80">
        <f>(IF(OR(A23&lt;$M$4,$M$4=0),$L$88,SUM(E24:F24)))*(1+FUEL!B23)</f>
        <v>8.0128781633486187E-3</v>
      </c>
      <c r="D23" s="15">
        <v>2038</v>
      </c>
      <c r="E23" s="12">
        <f t="shared" si="1"/>
        <v>0</v>
      </c>
      <c r="F23" s="27">
        <f t="shared" si="0"/>
        <v>0</v>
      </c>
      <c r="H23" s="7" t="s">
        <v>93</v>
      </c>
      <c r="I23" s="8">
        <v>0.03</v>
      </c>
      <c r="J23" s="27"/>
      <c r="K23" s="7" t="s">
        <v>77</v>
      </c>
      <c r="L23" s="8">
        <v>4.5241600000000002E-3</v>
      </c>
      <c r="M23" s="2"/>
      <c r="P23" s="27"/>
    </row>
    <row r="24" spans="1:16" ht="15.75" thickBot="1" x14ac:dyDescent="0.3">
      <c r="A24" s="64">
        <v>2040</v>
      </c>
      <c r="B24" s="80">
        <f>(IF(OR(A24&lt;$M$4,$M$4=0),$L$88,SUM(E25:F25)))*(1+FUEL!B24)</f>
        <v>8.0128781633486187E-3</v>
      </c>
      <c r="D24" s="15">
        <v>2039</v>
      </c>
      <c r="E24" s="12">
        <f t="shared" si="1"/>
        <v>0</v>
      </c>
      <c r="F24" s="27">
        <f t="shared" si="0"/>
        <v>0</v>
      </c>
      <c r="H24" s="7" t="s">
        <v>94</v>
      </c>
      <c r="I24" s="8">
        <v>0.03</v>
      </c>
      <c r="J24" s="27"/>
      <c r="K24" s="7" t="s">
        <v>78</v>
      </c>
      <c r="L24" s="8">
        <v>6.5625600000000003E-3</v>
      </c>
      <c r="P24" s="27"/>
    </row>
    <row r="25" spans="1:16" ht="15.75" thickBot="1" x14ac:dyDescent="0.3">
      <c r="D25" s="16">
        <v>2040</v>
      </c>
      <c r="E25" s="77">
        <f t="shared" si="1"/>
        <v>0</v>
      </c>
      <c r="F25" s="28">
        <f t="shared" si="0"/>
        <v>0</v>
      </c>
      <c r="H25" s="7" t="s">
        <v>95</v>
      </c>
      <c r="I25" s="8">
        <v>0.03</v>
      </c>
      <c r="J25" s="27"/>
      <c r="K25" s="7" t="s">
        <v>79</v>
      </c>
      <c r="L25" s="8">
        <v>6.8304000000000004E-3</v>
      </c>
      <c r="P25" s="27"/>
    </row>
    <row r="26" spans="1:16" s="45" customFormat="1" ht="15.75" thickBot="1" x14ac:dyDescent="0.3">
      <c r="D26" s="82"/>
      <c r="E26" s="82"/>
      <c r="F26" s="82"/>
      <c r="G26" s="78"/>
      <c r="H26" s="7"/>
      <c r="I26" s="8"/>
      <c r="J26" s="27"/>
      <c r="K26" s="7" t="s">
        <v>80</v>
      </c>
      <c r="L26" s="8">
        <v>7.0127999999999996E-3</v>
      </c>
      <c r="P26" s="27"/>
    </row>
    <row r="27" spans="1:16" x14ac:dyDescent="0.25">
      <c r="A27" s="195" t="s">
        <v>13</v>
      </c>
      <c r="B27" s="196"/>
      <c r="C27" s="201"/>
      <c r="H27" s="7" t="s">
        <v>96</v>
      </c>
      <c r="I27" s="8">
        <v>0.03</v>
      </c>
      <c r="J27" s="27"/>
      <c r="K27" s="7" t="s">
        <v>81</v>
      </c>
      <c r="L27" s="8">
        <v>7.2721599999999997E-3</v>
      </c>
      <c r="P27" s="27"/>
    </row>
    <row r="28" spans="1:16" x14ac:dyDescent="0.25">
      <c r="A28" s="197"/>
      <c r="B28" s="198"/>
      <c r="C28" s="202"/>
      <c r="H28" s="7" t="s">
        <v>97</v>
      </c>
      <c r="I28" s="8">
        <v>0.03</v>
      </c>
      <c r="J28" s="27"/>
      <c r="K28" s="7" t="s">
        <v>82</v>
      </c>
      <c r="L28" s="8">
        <v>7.5070400000000004E-3</v>
      </c>
      <c r="P28" s="27"/>
    </row>
    <row r="29" spans="1:16" ht="14.45" customHeight="1" thickBot="1" x14ac:dyDescent="0.3">
      <c r="A29" s="199"/>
      <c r="B29" s="200"/>
      <c r="C29" s="203"/>
      <c r="G29" s="45"/>
      <c r="H29" s="7" t="s">
        <v>98</v>
      </c>
      <c r="I29" s="8">
        <v>0.03</v>
      </c>
      <c r="J29" s="27"/>
      <c r="K29" s="7" t="s">
        <v>83</v>
      </c>
      <c r="L29" s="8">
        <v>7.7424E-3</v>
      </c>
      <c r="P29" s="27"/>
    </row>
    <row r="30" spans="1:16" ht="14.45" customHeight="1" x14ac:dyDescent="0.25">
      <c r="A30" s="29"/>
      <c r="B30" s="21" t="str">
        <f>IF('INCRM FIXED TRANSPORT'!B30="","",'INCRM FIXED TRANSPORT'!B30)</f>
        <v>I-5 Exp</v>
      </c>
      <c r="C30" s="22" t="str">
        <f>IF('INCRM FIXED TRANSPORT'!D30="","",'INCRM FIXED TRANSPORT'!D30)</f>
        <v>GTN</v>
      </c>
      <c r="G30" s="45"/>
      <c r="H30" s="7" t="s">
        <v>99</v>
      </c>
      <c r="I30" s="8">
        <v>0.03</v>
      </c>
      <c r="J30" s="27"/>
      <c r="K30" s="7" t="s">
        <v>84</v>
      </c>
      <c r="L30" s="8">
        <v>8.0155199999999999E-3</v>
      </c>
      <c r="P30" s="27"/>
    </row>
    <row r="31" spans="1:16" ht="15" customHeight="1" thickBot="1" x14ac:dyDescent="0.3">
      <c r="A31" s="13" t="s">
        <v>6</v>
      </c>
      <c r="B31" s="8">
        <v>0.03</v>
      </c>
      <c r="C31" s="9">
        <v>6.8999999999999999E-3</v>
      </c>
      <c r="G31" s="45"/>
      <c r="H31" s="7" t="s">
        <v>100</v>
      </c>
      <c r="I31" s="8">
        <v>0.03</v>
      </c>
      <c r="J31" s="27"/>
      <c r="K31" s="7" t="s">
        <v>85</v>
      </c>
      <c r="L31" s="8">
        <v>8.3110400000000004E-3</v>
      </c>
      <c r="P31" s="27"/>
    </row>
    <row r="32" spans="1:16" ht="15" customHeight="1" thickBot="1" x14ac:dyDescent="0.3">
      <c r="A32" s="14" t="s">
        <v>7</v>
      </c>
      <c r="B32" s="79">
        <f>IF('INCRM FIXED TRANSPORT'!B32="","",'INCRM FIXED TRANSPORT'!B32)</f>
        <v>2022</v>
      </c>
      <c r="C32" s="25">
        <f>IF('INCRM FIXED TRANSPORT'!D32="","",'INCRM FIXED TRANSPORT'!D32)</f>
        <v>2027</v>
      </c>
      <c r="G32" s="45" t="str">
        <f>IF('INCRM FIXED TRANSPORT'!G30="","",'INCRM FIXED TRANSPORT'!G30)</f>
        <v/>
      </c>
      <c r="H32" s="7" t="s">
        <v>101</v>
      </c>
      <c r="I32" s="8">
        <v>0.03</v>
      </c>
      <c r="J32" s="27"/>
      <c r="K32" s="7" t="s">
        <v>86</v>
      </c>
      <c r="L32" s="8">
        <v>9.79936E-3</v>
      </c>
      <c r="P32" s="27"/>
    </row>
    <row r="33" spans="7:70" x14ac:dyDescent="0.25">
      <c r="G33" s="45"/>
      <c r="H33" s="7" t="s">
        <v>102</v>
      </c>
      <c r="I33" s="8">
        <v>0.01</v>
      </c>
      <c r="J33" s="27"/>
      <c r="K33" s="7" t="s">
        <v>159</v>
      </c>
      <c r="L33" s="8">
        <v>9.79936E-3</v>
      </c>
      <c r="P33" s="27"/>
    </row>
    <row r="34" spans="7:70" ht="15.75" thickBot="1" x14ac:dyDescent="0.3">
      <c r="G34" s="45" t="str">
        <f>IF('INCRM FIXED TRANSPORT'!G32="","",'INCRM FIXED TRANSPORT'!G32)</f>
        <v/>
      </c>
      <c r="H34" s="23" t="s">
        <v>103</v>
      </c>
      <c r="I34" s="10">
        <v>9.79936E-3</v>
      </c>
      <c r="J34" s="28"/>
      <c r="K34" s="7" t="s">
        <v>160</v>
      </c>
      <c r="L34" s="8">
        <v>9.79936E-3</v>
      </c>
      <c r="M34" s="45"/>
      <c r="N34" s="45"/>
      <c r="O34" s="45"/>
      <c r="P34" s="27"/>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v>9.79936E-3</v>
      </c>
    </row>
    <row r="35" spans="7:70" x14ac:dyDescent="0.25">
      <c r="H35" s="20" t="s">
        <v>17</v>
      </c>
      <c r="I35" s="20">
        <v>2.7487460000000009E-2</v>
      </c>
      <c r="K35" s="7" t="s">
        <v>87</v>
      </c>
      <c r="L35" s="8">
        <v>8.3199999999999993E-3</v>
      </c>
      <c r="M35" s="27"/>
    </row>
    <row r="36" spans="7:70" x14ac:dyDescent="0.25">
      <c r="K36" s="7" t="s">
        <v>111</v>
      </c>
      <c r="L36" s="8">
        <v>8.3199999999999993E-3</v>
      </c>
      <c r="M36" s="27"/>
    </row>
    <row r="37" spans="7:70" x14ac:dyDescent="0.25">
      <c r="K37" s="7" t="s">
        <v>161</v>
      </c>
      <c r="L37" s="8">
        <v>8.3199999999999993E-3</v>
      </c>
      <c r="M37" s="27"/>
    </row>
    <row r="38" spans="7:70" x14ac:dyDescent="0.25">
      <c r="K38" s="7" t="s">
        <v>89</v>
      </c>
      <c r="L38" s="8">
        <v>8.3199999999999993E-3</v>
      </c>
      <c r="M38" s="27"/>
    </row>
    <row r="39" spans="7:70" x14ac:dyDescent="0.25">
      <c r="K39" s="7" t="s">
        <v>162</v>
      </c>
      <c r="L39" s="8">
        <v>8.3199999999999993E-3</v>
      </c>
      <c r="M39" s="27"/>
    </row>
    <row r="40" spans="7:70" x14ac:dyDescent="0.25">
      <c r="K40" s="7" t="s">
        <v>163</v>
      </c>
      <c r="L40" s="8">
        <v>8.3199999999999993E-3</v>
      </c>
      <c r="M40" s="27"/>
    </row>
    <row r="41" spans="7:70" x14ac:dyDescent="0.25">
      <c r="K41" s="7" t="s">
        <v>164</v>
      </c>
      <c r="L41" s="8">
        <v>8.3199999999999993E-3</v>
      </c>
      <c r="M41" s="27"/>
    </row>
    <row r="42" spans="7:70" x14ac:dyDescent="0.25">
      <c r="K42" s="7" t="s">
        <v>165</v>
      </c>
      <c r="L42" s="8">
        <v>8.3199999999999993E-3</v>
      </c>
      <c r="M42" s="27"/>
    </row>
    <row r="43" spans="7:70" x14ac:dyDescent="0.25">
      <c r="K43" s="7" t="s">
        <v>113</v>
      </c>
      <c r="L43" s="8">
        <v>8.3199999999999993E-3</v>
      </c>
      <c r="M43" s="27"/>
    </row>
    <row r="44" spans="7:70" x14ac:dyDescent="0.25">
      <c r="K44" s="7" t="s">
        <v>114</v>
      </c>
      <c r="L44" s="8">
        <v>8.3199999999999993E-3</v>
      </c>
      <c r="M44" s="27"/>
    </row>
    <row r="45" spans="7:70" x14ac:dyDescent="0.25">
      <c r="K45" s="7" t="s">
        <v>90</v>
      </c>
      <c r="L45" s="8">
        <v>8.3199999999999993E-3</v>
      </c>
      <c r="M45" s="27"/>
    </row>
    <row r="46" spans="7:70" x14ac:dyDescent="0.25">
      <c r="K46" s="7" t="s">
        <v>91</v>
      </c>
      <c r="L46" s="8">
        <v>8.3199999999999993E-3</v>
      </c>
      <c r="M46" s="27"/>
    </row>
    <row r="47" spans="7:70" x14ac:dyDescent="0.25">
      <c r="K47" s="7" t="s">
        <v>115</v>
      </c>
      <c r="L47" s="8">
        <v>8.3199999999999993E-3</v>
      </c>
      <c r="M47" s="27"/>
    </row>
    <row r="48" spans="7:70" x14ac:dyDescent="0.25">
      <c r="K48" s="7" t="s">
        <v>166</v>
      </c>
      <c r="L48" s="8">
        <v>8.3199999999999993E-3</v>
      </c>
      <c r="M48" s="27"/>
    </row>
    <row r="49" spans="11:13" x14ac:dyDescent="0.25">
      <c r="K49" s="7" t="s">
        <v>167</v>
      </c>
      <c r="L49" s="8">
        <v>8.3199999999999993E-3</v>
      </c>
      <c r="M49" s="27"/>
    </row>
    <row r="50" spans="11:13" x14ac:dyDescent="0.25">
      <c r="K50" s="7" t="s">
        <v>168</v>
      </c>
      <c r="L50" s="8">
        <v>8.3199999999999993E-3</v>
      </c>
      <c r="M50" s="27"/>
    </row>
    <row r="51" spans="11:13" x14ac:dyDescent="0.25">
      <c r="K51" s="7" t="s">
        <v>169</v>
      </c>
      <c r="L51" s="8">
        <v>8.3199999999999993E-3</v>
      </c>
      <c r="M51" s="27"/>
    </row>
    <row r="52" spans="11:13" x14ac:dyDescent="0.25">
      <c r="K52" s="7" t="s">
        <v>170</v>
      </c>
      <c r="L52" s="8">
        <v>8.3199999999999993E-3</v>
      </c>
      <c r="M52" s="27"/>
    </row>
    <row r="53" spans="11:13" x14ac:dyDescent="0.25">
      <c r="K53" s="7" t="s">
        <v>171</v>
      </c>
      <c r="L53" s="8">
        <v>8.3199999999999993E-3</v>
      </c>
      <c r="M53" s="27"/>
    </row>
    <row r="54" spans="11:13" x14ac:dyDescent="0.25">
      <c r="K54" s="7" t="s">
        <v>172</v>
      </c>
      <c r="L54" s="8">
        <v>8.3199999999999993E-3</v>
      </c>
      <c r="M54" s="27"/>
    </row>
    <row r="55" spans="11:13" x14ac:dyDescent="0.25">
      <c r="K55" s="7" t="s">
        <v>173</v>
      </c>
      <c r="L55" s="8">
        <v>8.3199999999999993E-3</v>
      </c>
      <c r="M55" s="27"/>
    </row>
    <row r="56" spans="11:13" x14ac:dyDescent="0.25">
      <c r="K56" s="7" t="s">
        <v>174</v>
      </c>
      <c r="L56" s="8">
        <v>8.3199999999999993E-3</v>
      </c>
      <c r="M56" s="27"/>
    </row>
    <row r="57" spans="11:13" x14ac:dyDescent="0.25">
      <c r="K57" s="7" t="s">
        <v>175</v>
      </c>
      <c r="L57" s="8">
        <v>8.3199999999999993E-3</v>
      </c>
      <c r="M57" s="27"/>
    </row>
    <row r="58" spans="11:13" x14ac:dyDescent="0.25">
      <c r="K58" s="7" t="s">
        <v>176</v>
      </c>
      <c r="L58" s="8">
        <v>8.3199999999999993E-3</v>
      </c>
      <c r="M58" s="27"/>
    </row>
    <row r="59" spans="11:13" x14ac:dyDescent="0.25">
      <c r="K59" s="7" t="s">
        <v>177</v>
      </c>
      <c r="L59" s="8">
        <v>8.3199999999999993E-3</v>
      </c>
      <c r="M59" s="27"/>
    </row>
    <row r="60" spans="11:13" x14ac:dyDescent="0.25">
      <c r="K60" s="7" t="s">
        <v>178</v>
      </c>
      <c r="L60" s="8">
        <v>8.3199999999999993E-3</v>
      </c>
      <c r="M60" s="27"/>
    </row>
    <row r="61" spans="11:13" x14ac:dyDescent="0.25">
      <c r="K61" s="7" t="s">
        <v>179</v>
      </c>
      <c r="L61" s="8">
        <v>8.3199999999999993E-3</v>
      </c>
      <c r="M61" s="27"/>
    </row>
    <row r="62" spans="11:13" x14ac:dyDescent="0.25">
      <c r="K62" s="7" t="s">
        <v>180</v>
      </c>
      <c r="L62" s="8">
        <v>8.3199999999999993E-3</v>
      </c>
      <c r="M62" s="27"/>
    </row>
    <row r="63" spans="11:13" x14ac:dyDescent="0.25">
      <c r="K63" s="7" t="s">
        <v>181</v>
      </c>
      <c r="L63" s="8">
        <v>8.3199999999999993E-3</v>
      </c>
      <c r="M63" s="27"/>
    </row>
    <row r="64" spans="11:13" x14ac:dyDescent="0.25">
      <c r="K64" s="7" t="s">
        <v>182</v>
      </c>
      <c r="L64" s="8">
        <v>8.3199999999999993E-3</v>
      </c>
      <c r="M64" s="27"/>
    </row>
    <row r="65" spans="11:13" x14ac:dyDescent="0.25">
      <c r="K65" s="7" t="s">
        <v>183</v>
      </c>
      <c r="L65" s="8">
        <v>8.3199999999999993E-3</v>
      </c>
      <c r="M65" s="27"/>
    </row>
    <row r="66" spans="11:13" x14ac:dyDescent="0.25">
      <c r="K66" s="7" t="s">
        <v>94</v>
      </c>
      <c r="L66" s="8">
        <v>8.3199999999999993E-3</v>
      </c>
      <c r="M66" s="27"/>
    </row>
    <row r="67" spans="11:13" x14ac:dyDescent="0.25">
      <c r="K67" s="7" t="s">
        <v>184</v>
      </c>
      <c r="L67" s="8">
        <v>8.3199999999999993E-3</v>
      </c>
      <c r="M67" s="27"/>
    </row>
    <row r="68" spans="11:13" x14ac:dyDescent="0.25">
      <c r="K68" s="7" t="s">
        <v>185</v>
      </c>
      <c r="L68" s="8">
        <v>8.3199999999999993E-3</v>
      </c>
      <c r="M68" s="27"/>
    </row>
    <row r="69" spans="11:13" x14ac:dyDescent="0.25">
      <c r="K69" s="7" t="s">
        <v>186</v>
      </c>
      <c r="L69" s="8">
        <v>8.3199999999999993E-3</v>
      </c>
      <c r="M69" s="27"/>
    </row>
    <row r="70" spans="11:13" x14ac:dyDescent="0.25">
      <c r="K70" s="7" t="s">
        <v>187</v>
      </c>
      <c r="L70" s="8">
        <v>8.3199999999999993E-3</v>
      </c>
      <c r="M70" s="27"/>
    </row>
    <row r="71" spans="11:13" x14ac:dyDescent="0.25">
      <c r="K71" s="7" t="s">
        <v>188</v>
      </c>
      <c r="L71" s="8">
        <v>8.3199999999999993E-3</v>
      </c>
      <c r="M71" s="27"/>
    </row>
    <row r="72" spans="11:13" x14ac:dyDescent="0.25">
      <c r="K72" s="7" t="s">
        <v>189</v>
      </c>
      <c r="L72" s="8">
        <v>8.3199999999999993E-3</v>
      </c>
      <c r="M72" s="27"/>
    </row>
    <row r="73" spans="11:13" x14ac:dyDescent="0.25">
      <c r="K73" s="7" t="s">
        <v>190</v>
      </c>
      <c r="L73" s="8">
        <v>8.3199999999999993E-3</v>
      </c>
      <c r="M73" s="27"/>
    </row>
    <row r="74" spans="11:13" x14ac:dyDescent="0.25">
      <c r="K74" s="7" t="s">
        <v>191</v>
      </c>
      <c r="L74" s="8">
        <v>8.3199999999999993E-3</v>
      </c>
      <c r="M74" s="27"/>
    </row>
    <row r="75" spans="11:13" x14ac:dyDescent="0.25">
      <c r="K75" s="7" t="s">
        <v>192</v>
      </c>
      <c r="L75" s="8">
        <v>8.3199999999999993E-3</v>
      </c>
      <c r="M75" s="27"/>
    </row>
    <row r="76" spans="11:13" x14ac:dyDescent="0.25">
      <c r="K76" s="7" t="s">
        <v>193</v>
      </c>
      <c r="L76" s="8">
        <v>8.3199999999999993E-3</v>
      </c>
      <c r="M76" s="27"/>
    </row>
    <row r="77" spans="11:13" x14ac:dyDescent="0.25">
      <c r="K77" s="7" t="s">
        <v>194</v>
      </c>
      <c r="L77" s="8">
        <v>8.3199999999999993E-3</v>
      </c>
      <c r="M77" s="27"/>
    </row>
    <row r="78" spans="11:13" x14ac:dyDescent="0.25">
      <c r="K78" s="7" t="s">
        <v>195</v>
      </c>
      <c r="L78" s="8">
        <v>8.3199999999999993E-3</v>
      </c>
      <c r="M78" s="27"/>
    </row>
    <row r="79" spans="11:13" x14ac:dyDescent="0.25">
      <c r="K79" s="7" t="s">
        <v>196</v>
      </c>
      <c r="L79" s="8">
        <v>8.3199999999999993E-3</v>
      </c>
      <c r="M79" s="27"/>
    </row>
    <row r="80" spans="11:13" x14ac:dyDescent="0.25">
      <c r="K80" s="7" t="s">
        <v>197</v>
      </c>
      <c r="L80" s="8">
        <v>8.3199999999999993E-3</v>
      </c>
      <c r="M80" s="27"/>
    </row>
    <row r="81" spans="11:13" ht="15.75" thickBot="1" x14ac:dyDescent="0.3">
      <c r="K81" s="23" t="s">
        <v>198</v>
      </c>
      <c r="L81" s="10">
        <v>8.3199999999999993E-3</v>
      </c>
      <c r="M81" s="28"/>
    </row>
    <row r="82" spans="11:13" x14ac:dyDescent="0.25">
      <c r="K82" s="20" t="s">
        <v>99</v>
      </c>
      <c r="L82" s="20">
        <v>8.3199999999999993E-3</v>
      </c>
    </row>
    <row r="83" spans="11:13" x14ac:dyDescent="0.25">
      <c r="K83" s="45" t="s">
        <v>100</v>
      </c>
      <c r="L83" s="45">
        <v>8.3199999999999993E-3</v>
      </c>
    </row>
    <row r="84" spans="11:13" x14ac:dyDescent="0.25">
      <c r="K84" s="45" t="s">
        <v>199</v>
      </c>
      <c r="L84" s="45">
        <v>8.3199999999999993E-3</v>
      </c>
    </row>
    <row r="85" spans="11:13" x14ac:dyDescent="0.25">
      <c r="K85" s="45" t="s">
        <v>200</v>
      </c>
      <c r="L85" s="45">
        <v>8.3199999999999993E-3</v>
      </c>
    </row>
    <row r="86" spans="11:13" x14ac:dyDescent="0.25">
      <c r="K86" s="45" t="s">
        <v>201</v>
      </c>
      <c r="L86" s="45">
        <v>8.3199999999999993E-3</v>
      </c>
    </row>
    <row r="87" spans="11:13" x14ac:dyDescent="0.25">
      <c r="K87" s="45" t="s">
        <v>101</v>
      </c>
      <c r="L87" s="45">
        <v>8.3199999999999993E-3</v>
      </c>
    </row>
    <row r="88" spans="11:13" x14ac:dyDescent="0.25">
      <c r="L88">
        <f>AVERAGE(L19:L87)</f>
        <v>7.9642863043478222E-3</v>
      </c>
    </row>
  </sheetData>
  <mergeCells count="6">
    <mergeCell ref="A27:C29"/>
    <mergeCell ref="D4:F4"/>
    <mergeCell ref="A1:C3"/>
    <mergeCell ref="H1:J1"/>
    <mergeCell ref="N14:P17"/>
    <mergeCell ref="L7:T9"/>
  </mergeCells>
  <pageMargins left="0.7" right="0.7" top="0.75" bottom="0.75" header="0.3" footer="0.3"/>
  <pageSetup scale="76" orientation="portrait" r:id="rId1"/>
  <rowBreaks count="1" manualBreakCount="1">
    <brk id="35" max="9" man="1"/>
  </rowBreaks>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FED0F-0F37-46F1-ABF4-19DADA28D9D0}">
  <dimension ref="A1:N68"/>
  <sheetViews>
    <sheetView view="pageBreakPreview" zoomScale="60" zoomScaleNormal="100" workbookViewId="0">
      <selection activeCell="B5" sqref="B5"/>
    </sheetView>
  </sheetViews>
  <sheetFormatPr defaultRowHeight="15" x14ac:dyDescent="0.25"/>
  <cols>
    <col min="2" max="2" width="17.28515625" bestFit="1" customWidth="1"/>
    <col min="4" max="4" width="16" bestFit="1" customWidth="1"/>
    <col min="10" max="10" width="2.5703125" style="3" customWidth="1"/>
  </cols>
  <sheetData>
    <row r="1" spans="1:14" ht="21" customHeight="1" x14ac:dyDescent="0.25">
      <c r="A1" s="204" t="s">
        <v>145</v>
      </c>
      <c r="B1" s="204"/>
      <c r="C1" s="214"/>
      <c r="D1" s="205" t="s">
        <v>11</v>
      </c>
      <c r="E1" s="206"/>
      <c r="F1" s="207"/>
      <c r="L1" s="205" t="s">
        <v>11</v>
      </c>
      <c r="M1" s="206"/>
      <c r="N1" s="207"/>
    </row>
    <row r="2" spans="1:14" x14ac:dyDescent="0.25">
      <c r="A2" s="204"/>
      <c r="B2" s="204"/>
      <c r="C2" s="214"/>
      <c r="D2" s="208"/>
      <c r="E2" s="209"/>
      <c r="F2" s="210"/>
      <c r="L2" s="208"/>
      <c r="M2" s="209"/>
      <c r="N2" s="210"/>
    </row>
    <row r="3" spans="1:14" ht="15.75" thickBot="1" x14ac:dyDescent="0.3">
      <c r="A3" s="204"/>
      <c r="B3" s="204"/>
      <c r="C3" s="214"/>
      <c r="D3" s="208"/>
      <c r="E3" s="209"/>
      <c r="F3" s="210"/>
      <c r="L3" s="208"/>
      <c r="M3" s="209"/>
      <c r="N3" s="210"/>
    </row>
    <row r="4" spans="1:14" ht="15.75" thickBot="1" x14ac:dyDescent="0.3">
      <c r="A4" s="72"/>
      <c r="B4" s="73" t="s">
        <v>133</v>
      </c>
      <c r="D4" s="211"/>
      <c r="E4" s="212"/>
      <c r="F4" s="213"/>
      <c r="L4" s="211"/>
      <c r="M4" s="212"/>
      <c r="N4" s="213"/>
    </row>
    <row r="5" spans="1:14" x14ac:dyDescent="0.25">
      <c r="A5" s="74">
        <v>2021</v>
      </c>
      <c r="B5" s="80">
        <f>$M$68/100</f>
        <v>6.101219512195122E-3</v>
      </c>
      <c r="D5" s="29" t="s">
        <v>16</v>
      </c>
      <c r="E5" s="21" t="s">
        <v>6</v>
      </c>
      <c r="F5" s="26"/>
      <c r="L5" s="29" t="s">
        <v>16</v>
      </c>
      <c r="M5" s="21" t="s">
        <v>6</v>
      </c>
      <c r="N5" s="26"/>
    </row>
    <row r="6" spans="1:14" x14ac:dyDescent="0.25">
      <c r="A6" s="74">
        <v>2022</v>
      </c>
      <c r="B6" s="80">
        <f t="shared" ref="B6:B24" si="0">$M$68/100</f>
        <v>6.101219512195122E-3</v>
      </c>
      <c r="D6" s="7" t="s">
        <v>73</v>
      </c>
      <c r="E6" s="8">
        <v>5.0000000000000001E-3</v>
      </c>
      <c r="F6" s="27"/>
      <c r="L6" s="7" t="s">
        <v>73</v>
      </c>
      <c r="M6" s="8">
        <v>5.0000000000000001E-3</v>
      </c>
      <c r="N6" s="27"/>
    </row>
    <row r="7" spans="1:14" x14ac:dyDescent="0.25">
      <c r="A7" s="74">
        <v>2023</v>
      </c>
      <c r="B7" s="80">
        <f t="shared" si="0"/>
        <v>6.101219512195122E-3</v>
      </c>
      <c r="D7" s="7" t="s">
        <v>74</v>
      </c>
      <c r="E7" s="8">
        <v>5.0000000000000001E-3</v>
      </c>
      <c r="F7" s="27"/>
      <c r="L7" s="7" t="s">
        <v>74</v>
      </c>
      <c r="M7" s="8">
        <v>5.0000000000000001E-3</v>
      </c>
      <c r="N7" s="27"/>
    </row>
    <row r="8" spans="1:14" x14ac:dyDescent="0.25">
      <c r="A8" s="74">
        <v>2024</v>
      </c>
      <c r="B8" s="80">
        <f t="shared" si="0"/>
        <v>6.101219512195122E-3</v>
      </c>
      <c r="D8" s="7" t="s">
        <v>75</v>
      </c>
      <c r="E8" s="8">
        <v>5.0000000000000001E-3</v>
      </c>
      <c r="F8" s="27"/>
      <c r="L8" s="7" t="s">
        <v>75</v>
      </c>
      <c r="M8" s="8">
        <v>5.0000000000000001E-3</v>
      </c>
      <c r="N8" s="27"/>
    </row>
    <row r="9" spans="1:14" x14ac:dyDescent="0.25">
      <c r="A9" s="74">
        <v>2025</v>
      </c>
      <c r="B9" s="80">
        <f t="shared" si="0"/>
        <v>6.101219512195122E-3</v>
      </c>
      <c r="D9" s="7" t="s">
        <v>76</v>
      </c>
      <c r="E9" s="8">
        <v>5.0000000000000001E-3</v>
      </c>
      <c r="F9" s="27"/>
      <c r="L9" s="7" t="s">
        <v>76</v>
      </c>
      <c r="M9" s="8">
        <v>5.0000000000000001E-3</v>
      </c>
      <c r="N9" s="27"/>
    </row>
    <row r="10" spans="1:14" x14ac:dyDescent="0.25">
      <c r="A10" s="74">
        <v>2026</v>
      </c>
      <c r="B10" s="80">
        <f t="shared" si="0"/>
        <v>6.101219512195122E-3</v>
      </c>
      <c r="D10" s="7" t="s">
        <v>77</v>
      </c>
      <c r="E10" s="8">
        <v>5.0000000000000001E-3</v>
      </c>
      <c r="F10" s="27"/>
      <c r="L10" s="7" t="s">
        <v>77</v>
      </c>
      <c r="M10" s="8">
        <v>5.0000000000000001E-3</v>
      </c>
      <c r="N10" s="27"/>
    </row>
    <row r="11" spans="1:14" x14ac:dyDescent="0.25">
      <c r="A11" s="74">
        <v>2027</v>
      </c>
      <c r="B11" s="80">
        <f t="shared" si="0"/>
        <v>6.101219512195122E-3</v>
      </c>
      <c r="D11" s="7" t="s">
        <v>78</v>
      </c>
      <c r="E11" s="8">
        <v>5.0000000000000001E-3</v>
      </c>
      <c r="F11" s="27"/>
      <c r="L11" s="7" t="s">
        <v>78</v>
      </c>
      <c r="M11" s="8">
        <v>5.0000000000000001E-3</v>
      </c>
      <c r="N11" s="27"/>
    </row>
    <row r="12" spans="1:14" x14ac:dyDescent="0.25">
      <c r="A12" s="74">
        <v>2028</v>
      </c>
      <c r="B12" s="80">
        <f t="shared" si="0"/>
        <v>6.101219512195122E-3</v>
      </c>
      <c r="D12" s="7" t="s">
        <v>79</v>
      </c>
      <c r="E12" s="8">
        <v>5.0000000000000001E-3</v>
      </c>
      <c r="F12" s="27"/>
      <c r="L12" s="7" t="s">
        <v>79</v>
      </c>
      <c r="M12" s="8">
        <v>5.0000000000000001E-3</v>
      </c>
      <c r="N12" s="27"/>
    </row>
    <row r="13" spans="1:14" x14ac:dyDescent="0.25">
      <c r="A13" s="74">
        <v>2029</v>
      </c>
      <c r="B13" s="80">
        <f t="shared" si="0"/>
        <v>6.101219512195122E-3</v>
      </c>
      <c r="D13" s="7" t="s">
        <v>80</v>
      </c>
      <c r="E13" s="8">
        <v>5.0000000000000001E-3</v>
      </c>
      <c r="F13" s="27"/>
      <c r="L13" s="7" t="s">
        <v>80</v>
      </c>
      <c r="M13" s="8">
        <v>5.0000000000000001E-3</v>
      </c>
      <c r="N13" s="27"/>
    </row>
    <row r="14" spans="1:14" x14ac:dyDescent="0.25">
      <c r="A14" s="74">
        <v>2030</v>
      </c>
      <c r="B14" s="80">
        <f t="shared" si="0"/>
        <v>6.101219512195122E-3</v>
      </c>
      <c r="D14" s="7" t="s">
        <v>81</v>
      </c>
      <c r="E14" s="8">
        <v>5.0000000000000001E-3</v>
      </c>
      <c r="F14" s="27"/>
      <c r="L14" s="7" t="s">
        <v>81</v>
      </c>
      <c r="M14" s="8">
        <v>5.0000000000000001E-3</v>
      </c>
      <c r="N14" s="27"/>
    </row>
    <row r="15" spans="1:14" x14ac:dyDescent="0.25">
      <c r="A15" s="74">
        <v>2031</v>
      </c>
      <c r="B15" s="80">
        <f t="shared" si="0"/>
        <v>6.101219512195122E-3</v>
      </c>
      <c r="D15" s="7" t="s">
        <v>82</v>
      </c>
      <c r="E15" s="8">
        <v>5.0000000000000001E-3</v>
      </c>
      <c r="F15" s="27"/>
      <c r="L15" s="7" t="s">
        <v>82</v>
      </c>
      <c r="M15" s="8">
        <v>5.0000000000000001E-3</v>
      </c>
      <c r="N15" s="27"/>
    </row>
    <row r="16" spans="1:14" x14ac:dyDescent="0.25">
      <c r="A16" s="74">
        <v>2032</v>
      </c>
      <c r="B16" s="80">
        <f t="shared" si="0"/>
        <v>6.101219512195122E-3</v>
      </c>
      <c r="D16" s="7" t="s">
        <v>83</v>
      </c>
      <c r="E16" s="8">
        <v>5.0000000000000001E-3</v>
      </c>
      <c r="F16" s="27"/>
      <c r="L16" s="7" t="s">
        <v>83</v>
      </c>
      <c r="M16" s="8">
        <v>5.0000000000000001E-3</v>
      </c>
      <c r="N16" s="27"/>
    </row>
    <row r="17" spans="1:14" x14ac:dyDescent="0.25">
      <c r="A17" s="74">
        <v>2033</v>
      </c>
      <c r="B17" s="80">
        <f t="shared" si="0"/>
        <v>6.101219512195122E-3</v>
      </c>
      <c r="D17" s="7" t="s">
        <v>84</v>
      </c>
      <c r="E17" s="8">
        <v>5.0000000000000001E-3</v>
      </c>
      <c r="F17" s="27"/>
      <c r="L17" s="7" t="s">
        <v>84</v>
      </c>
      <c r="M17" s="8">
        <v>5.0000000000000001E-3</v>
      </c>
      <c r="N17" s="27"/>
    </row>
    <row r="18" spans="1:14" x14ac:dyDescent="0.25">
      <c r="A18" s="74">
        <v>2034</v>
      </c>
      <c r="B18" s="80">
        <f t="shared" si="0"/>
        <v>6.101219512195122E-3</v>
      </c>
      <c r="D18" s="7" t="s">
        <v>85</v>
      </c>
      <c r="E18" s="8">
        <v>5.0000000000000001E-3</v>
      </c>
      <c r="F18" s="27"/>
      <c r="L18" s="7" t="s">
        <v>85</v>
      </c>
      <c r="M18" s="8">
        <v>5.0000000000000001E-3</v>
      </c>
      <c r="N18" s="27"/>
    </row>
    <row r="19" spans="1:14" x14ac:dyDescent="0.25">
      <c r="A19" s="74">
        <v>2035</v>
      </c>
      <c r="B19" s="80">
        <f t="shared" si="0"/>
        <v>6.101219512195122E-3</v>
      </c>
      <c r="D19" s="7" t="s">
        <v>86</v>
      </c>
      <c r="E19" s="8">
        <v>5.0000000000000001E-3</v>
      </c>
      <c r="F19" s="27"/>
      <c r="L19" s="7" t="s">
        <v>86</v>
      </c>
      <c r="M19" s="8">
        <v>5.0000000000000001E-3</v>
      </c>
      <c r="N19" s="27"/>
    </row>
    <row r="20" spans="1:14" x14ac:dyDescent="0.25">
      <c r="A20" s="74">
        <v>2036</v>
      </c>
      <c r="B20" s="80">
        <f t="shared" si="0"/>
        <v>6.101219512195122E-3</v>
      </c>
      <c r="D20" s="7" t="s">
        <v>104</v>
      </c>
      <c r="E20" s="8">
        <v>1.61</v>
      </c>
      <c r="F20" s="27"/>
      <c r="L20" s="7" t="s">
        <v>104</v>
      </c>
      <c r="M20" s="8">
        <v>1.1599999999999999</v>
      </c>
      <c r="N20" s="27"/>
    </row>
    <row r="21" spans="1:14" x14ac:dyDescent="0.25">
      <c r="A21" s="74">
        <v>2037</v>
      </c>
      <c r="B21" s="80">
        <f t="shared" si="0"/>
        <v>6.101219512195122E-3</v>
      </c>
      <c r="D21" s="7" t="s">
        <v>105</v>
      </c>
      <c r="E21" s="8">
        <v>0.17</v>
      </c>
      <c r="F21" s="27"/>
      <c r="L21" s="7" t="s">
        <v>105</v>
      </c>
      <c r="M21" s="8">
        <v>0.17</v>
      </c>
      <c r="N21" s="27"/>
    </row>
    <row r="22" spans="1:14" x14ac:dyDescent="0.25">
      <c r="A22" s="74">
        <v>2038</v>
      </c>
      <c r="B22" s="80">
        <f t="shared" si="0"/>
        <v>6.101219512195122E-3</v>
      </c>
      <c r="D22" s="7" t="s">
        <v>106</v>
      </c>
      <c r="E22" s="8">
        <v>0.17</v>
      </c>
      <c r="F22" s="27"/>
      <c r="L22" s="7" t="s">
        <v>106</v>
      </c>
      <c r="M22" s="8">
        <v>0.17</v>
      </c>
      <c r="N22" s="27"/>
    </row>
    <row r="23" spans="1:14" x14ac:dyDescent="0.25">
      <c r="A23" s="74">
        <v>2039</v>
      </c>
      <c r="B23" s="80">
        <f t="shared" si="0"/>
        <v>6.101219512195122E-3</v>
      </c>
      <c r="D23" s="7" t="s">
        <v>107</v>
      </c>
      <c r="E23" s="8">
        <v>0.17</v>
      </c>
      <c r="F23" s="27"/>
      <c r="L23" s="7" t="s">
        <v>107</v>
      </c>
      <c r="M23" s="8">
        <v>0.17</v>
      </c>
      <c r="N23" s="27"/>
    </row>
    <row r="24" spans="1:14" ht="15.75" thickBot="1" x14ac:dyDescent="0.3">
      <c r="A24" s="64">
        <v>2040</v>
      </c>
      <c r="B24" s="81">
        <f t="shared" si="0"/>
        <v>6.101219512195122E-3</v>
      </c>
      <c r="D24" s="7" t="s">
        <v>108</v>
      </c>
      <c r="E24" s="8">
        <v>1.61</v>
      </c>
      <c r="F24" s="27"/>
      <c r="L24" s="7" t="s">
        <v>108</v>
      </c>
      <c r="M24" s="8">
        <v>1.1599999999999999</v>
      </c>
      <c r="N24" s="27"/>
    </row>
    <row r="25" spans="1:14" x14ac:dyDescent="0.25">
      <c r="D25" s="7" t="s">
        <v>109</v>
      </c>
      <c r="E25" s="8">
        <v>0.17</v>
      </c>
      <c r="F25" s="27"/>
      <c r="L25" s="7" t="s">
        <v>109</v>
      </c>
      <c r="M25" s="8">
        <v>0.17</v>
      </c>
      <c r="N25" s="27"/>
    </row>
    <row r="26" spans="1:14" x14ac:dyDescent="0.25">
      <c r="D26" s="7" t="s">
        <v>110</v>
      </c>
      <c r="E26" s="8">
        <v>1.61</v>
      </c>
      <c r="F26" s="27"/>
      <c r="L26" s="7" t="s">
        <v>110</v>
      </c>
      <c r="M26" s="8">
        <v>1.1599999999999999</v>
      </c>
      <c r="N26" s="27"/>
    </row>
    <row r="27" spans="1:14" x14ac:dyDescent="0.25">
      <c r="D27" s="7" t="s">
        <v>111</v>
      </c>
      <c r="E27" s="8">
        <v>1.61</v>
      </c>
      <c r="F27" s="27"/>
      <c r="L27" s="7" t="s">
        <v>111</v>
      </c>
      <c r="M27" s="8">
        <v>1.1599999999999999</v>
      </c>
      <c r="N27" s="27"/>
    </row>
    <row r="28" spans="1:14" x14ac:dyDescent="0.25">
      <c r="D28" s="7" t="s">
        <v>112</v>
      </c>
      <c r="E28" s="8">
        <v>1.61</v>
      </c>
      <c r="F28" s="27"/>
      <c r="L28" s="7" t="s">
        <v>112</v>
      </c>
      <c r="M28" s="8">
        <v>1.1599999999999999</v>
      </c>
      <c r="N28" s="27"/>
    </row>
    <row r="29" spans="1:14" x14ac:dyDescent="0.25">
      <c r="D29" s="7" t="s">
        <v>113</v>
      </c>
      <c r="E29" s="8">
        <v>1.61</v>
      </c>
      <c r="F29" s="27"/>
      <c r="L29" s="7" t="s">
        <v>113</v>
      </c>
      <c r="M29" s="8">
        <v>1.1599999999999999</v>
      </c>
      <c r="N29" s="27"/>
    </row>
    <row r="30" spans="1:14" x14ac:dyDescent="0.25">
      <c r="D30" s="7" t="s">
        <v>114</v>
      </c>
      <c r="E30" s="8">
        <v>1.61</v>
      </c>
      <c r="F30" s="27"/>
      <c r="L30" s="7" t="s">
        <v>114</v>
      </c>
      <c r="M30" s="8">
        <v>1.1599999999999999</v>
      </c>
      <c r="N30" s="27"/>
    </row>
    <row r="31" spans="1:14" x14ac:dyDescent="0.25">
      <c r="D31" s="7" t="s">
        <v>115</v>
      </c>
      <c r="E31" s="8">
        <v>1.61</v>
      </c>
      <c r="F31" s="27"/>
      <c r="L31" s="7" t="s">
        <v>115</v>
      </c>
      <c r="M31" s="8">
        <v>1.1599999999999999</v>
      </c>
      <c r="N31" s="27"/>
    </row>
    <row r="32" spans="1:14" x14ac:dyDescent="0.25">
      <c r="D32" s="7" t="s">
        <v>116</v>
      </c>
      <c r="E32" s="8">
        <v>1.61</v>
      </c>
      <c r="F32" s="27"/>
      <c r="L32" s="7" t="s">
        <v>116</v>
      </c>
      <c r="M32" s="8">
        <v>1.1599999999999999</v>
      </c>
      <c r="N32" s="27"/>
    </row>
    <row r="33" spans="4:14" x14ac:dyDescent="0.25">
      <c r="D33" s="7" t="s">
        <v>117</v>
      </c>
      <c r="E33" s="8">
        <v>1.61</v>
      </c>
      <c r="F33" s="27"/>
      <c r="L33" s="7" t="s">
        <v>117</v>
      </c>
      <c r="M33" s="8">
        <v>1.1599999999999999</v>
      </c>
      <c r="N33" s="27"/>
    </row>
    <row r="34" spans="4:14" x14ac:dyDescent="0.25">
      <c r="D34" s="7" t="s">
        <v>94</v>
      </c>
      <c r="E34" s="8">
        <v>1.61</v>
      </c>
      <c r="F34" s="27"/>
      <c r="L34" s="7" t="s">
        <v>94</v>
      </c>
      <c r="M34" s="8">
        <v>1.1599999999999999</v>
      </c>
      <c r="N34" s="27"/>
    </row>
    <row r="35" spans="4:14" x14ac:dyDescent="0.25">
      <c r="D35" s="7" t="s">
        <v>95</v>
      </c>
      <c r="E35" s="8">
        <v>1.61</v>
      </c>
      <c r="F35" s="27"/>
      <c r="L35" s="7" t="s">
        <v>95</v>
      </c>
      <c r="M35" s="8">
        <v>1.1599999999999999</v>
      </c>
      <c r="N35" s="27"/>
    </row>
    <row r="36" spans="4:14" x14ac:dyDescent="0.25">
      <c r="D36" s="7" t="s">
        <v>96</v>
      </c>
      <c r="E36" s="8">
        <v>1.61</v>
      </c>
      <c r="F36" s="27"/>
      <c r="L36" s="7" t="s">
        <v>96</v>
      </c>
      <c r="M36" s="8">
        <v>1.1599999999999999</v>
      </c>
      <c r="N36" s="27"/>
    </row>
    <row r="37" spans="4:14" x14ac:dyDescent="0.25">
      <c r="D37" s="7" t="s">
        <v>97</v>
      </c>
      <c r="E37" s="8">
        <v>1.61</v>
      </c>
      <c r="F37" s="27"/>
      <c r="L37" s="7" t="s">
        <v>97</v>
      </c>
      <c r="M37" s="8">
        <v>1.1599999999999999</v>
      </c>
      <c r="N37" s="27"/>
    </row>
    <row r="38" spans="4:14" x14ac:dyDescent="0.25">
      <c r="D38" s="7" t="s">
        <v>98</v>
      </c>
      <c r="E38" s="8">
        <v>1.61</v>
      </c>
      <c r="F38" s="27"/>
      <c r="L38" s="7" t="s">
        <v>98</v>
      </c>
      <c r="M38" s="8">
        <v>1.1599999999999999</v>
      </c>
      <c r="N38" s="27"/>
    </row>
    <row r="39" spans="4:14" x14ac:dyDescent="0.25">
      <c r="D39" s="7" t="s">
        <v>99</v>
      </c>
      <c r="E39" s="8">
        <v>1.61</v>
      </c>
      <c r="F39" s="27"/>
      <c r="L39" s="7" t="s">
        <v>99</v>
      </c>
      <c r="M39" s="8">
        <v>1.1599999999999999</v>
      </c>
      <c r="N39" s="27"/>
    </row>
    <row r="40" spans="4:14" x14ac:dyDescent="0.25">
      <c r="D40" s="7" t="s">
        <v>100</v>
      </c>
      <c r="E40" s="8">
        <v>1.61</v>
      </c>
      <c r="F40" s="27"/>
      <c r="L40" s="7" t="s">
        <v>100</v>
      </c>
      <c r="M40" s="8">
        <v>1.1599999999999999</v>
      </c>
      <c r="N40" s="27"/>
    </row>
    <row r="41" spans="4:14" x14ac:dyDescent="0.25">
      <c r="D41" s="7" t="s">
        <v>101</v>
      </c>
      <c r="E41" s="8">
        <v>1.61</v>
      </c>
      <c r="F41" s="27"/>
      <c r="L41" s="7" t="s">
        <v>101</v>
      </c>
      <c r="M41" s="8">
        <v>1.1599999999999999</v>
      </c>
      <c r="N41" s="27"/>
    </row>
    <row r="42" spans="4:14" x14ac:dyDescent="0.25">
      <c r="D42" s="7" t="s">
        <v>118</v>
      </c>
      <c r="E42" s="8">
        <v>1.61</v>
      </c>
      <c r="F42" s="27"/>
      <c r="L42" s="7" t="s">
        <v>118</v>
      </c>
      <c r="M42" s="8">
        <v>1.1599999999999999</v>
      </c>
      <c r="N42" s="27"/>
    </row>
    <row r="43" spans="4:14" x14ac:dyDescent="0.25">
      <c r="D43" s="7" t="s">
        <v>119</v>
      </c>
      <c r="E43" s="8">
        <v>0.53</v>
      </c>
      <c r="F43" s="27"/>
      <c r="L43" s="7" t="s">
        <v>119</v>
      </c>
      <c r="M43" s="8">
        <v>0.53</v>
      </c>
      <c r="N43" s="27"/>
    </row>
    <row r="44" spans="4:14" x14ac:dyDescent="0.25">
      <c r="D44" s="7" t="s">
        <v>120</v>
      </c>
      <c r="E44" s="8">
        <v>0.53</v>
      </c>
      <c r="F44" s="27"/>
      <c r="L44" s="7" t="s">
        <v>120</v>
      </c>
      <c r="M44" s="8">
        <v>0.53</v>
      </c>
      <c r="N44" s="27"/>
    </row>
    <row r="45" spans="4:14" x14ac:dyDescent="0.25">
      <c r="D45" s="7" t="s">
        <v>121</v>
      </c>
      <c r="E45" s="8">
        <v>1.61</v>
      </c>
      <c r="F45" s="27"/>
      <c r="L45" s="7" t="s">
        <v>121</v>
      </c>
      <c r="M45" s="8">
        <v>1.1599999999999999</v>
      </c>
      <c r="N45" s="27"/>
    </row>
    <row r="46" spans="4:14" ht="15.75" thickBot="1" x14ac:dyDescent="0.3">
      <c r="D46" s="23" t="s">
        <v>122</v>
      </c>
      <c r="E46" s="10">
        <v>5.0000000000000001E-3</v>
      </c>
      <c r="F46" s="28"/>
      <c r="L46" s="7" t="s">
        <v>122</v>
      </c>
      <c r="M46" s="8">
        <v>5.0000000000000001E-3</v>
      </c>
      <c r="N46" s="27"/>
    </row>
    <row r="47" spans="4:14" x14ac:dyDescent="0.25">
      <c r="D47" s="20" t="s">
        <v>17</v>
      </c>
      <c r="E47" s="20">
        <f>AVERAGE(M6:M67)</f>
        <v>0.61012195121951218</v>
      </c>
      <c r="L47" s="7"/>
      <c r="M47" s="8"/>
      <c r="N47" s="27"/>
    </row>
    <row r="48" spans="4:14" x14ac:dyDescent="0.25">
      <c r="L48" s="7"/>
      <c r="M48" s="8"/>
      <c r="N48" s="27"/>
    </row>
    <row r="49" spans="12:14" x14ac:dyDescent="0.25">
      <c r="L49" s="7"/>
      <c r="M49" s="8"/>
      <c r="N49" s="27"/>
    </row>
    <row r="50" spans="12:14" x14ac:dyDescent="0.25">
      <c r="L50" s="7"/>
      <c r="M50" s="8"/>
      <c r="N50" s="27"/>
    </row>
    <row r="51" spans="12:14" x14ac:dyDescent="0.25">
      <c r="L51" s="7"/>
      <c r="M51" s="8"/>
      <c r="N51" s="27"/>
    </row>
    <row r="52" spans="12:14" x14ac:dyDescent="0.25">
      <c r="L52" s="7"/>
      <c r="M52" s="8"/>
      <c r="N52" s="27"/>
    </row>
    <row r="53" spans="12:14" x14ac:dyDescent="0.25">
      <c r="L53" s="7"/>
      <c r="M53" s="8"/>
      <c r="N53" s="27"/>
    </row>
    <row r="54" spans="12:14" x14ac:dyDescent="0.25">
      <c r="L54" s="7"/>
      <c r="M54" s="8"/>
      <c r="N54" s="27"/>
    </row>
    <row r="55" spans="12:14" x14ac:dyDescent="0.25">
      <c r="L55" s="7"/>
      <c r="M55" s="8"/>
      <c r="N55" s="27"/>
    </row>
    <row r="56" spans="12:14" x14ac:dyDescent="0.25">
      <c r="L56" s="7"/>
      <c r="M56" s="8"/>
      <c r="N56" s="27"/>
    </row>
    <row r="57" spans="12:14" x14ac:dyDescent="0.25">
      <c r="L57" s="7"/>
      <c r="M57" s="8"/>
      <c r="N57" s="27"/>
    </row>
    <row r="58" spans="12:14" x14ac:dyDescent="0.25">
      <c r="L58" s="7"/>
      <c r="M58" s="8"/>
      <c r="N58" s="27"/>
    </row>
    <row r="59" spans="12:14" x14ac:dyDescent="0.25">
      <c r="L59" s="7"/>
      <c r="M59" s="8"/>
      <c r="N59" s="27"/>
    </row>
    <row r="60" spans="12:14" x14ac:dyDescent="0.25">
      <c r="L60" s="7"/>
      <c r="M60" s="8"/>
      <c r="N60" s="27"/>
    </row>
    <row r="61" spans="12:14" x14ac:dyDescent="0.25">
      <c r="L61" s="7"/>
      <c r="M61" s="8"/>
      <c r="N61" s="27"/>
    </row>
    <row r="62" spans="12:14" x14ac:dyDescent="0.25">
      <c r="L62" s="7"/>
      <c r="M62" s="8"/>
      <c r="N62" s="27"/>
    </row>
    <row r="63" spans="12:14" x14ac:dyDescent="0.25">
      <c r="L63" s="7"/>
      <c r="M63" s="8"/>
      <c r="N63" s="27"/>
    </row>
    <row r="64" spans="12:14" x14ac:dyDescent="0.25">
      <c r="L64" s="7"/>
      <c r="M64" s="8"/>
      <c r="N64" s="27"/>
    </row>
    <row r="65" spans="12:14" x14ac:dyDescent="0.25">
      <c r="L65" s="7"/>
      <c r="M65" s="8"/>
      <c r="N65" s="27"/>
    </row>
    <row r="66" spans="12:14" x14ac:dyDescent="0.25">
      <c r="L66" s="7"/>
      <c r="M66" s="8"/>
      <c r="N66" s="27"/>
    </row>
    <row r="67" spans="12:14" ht="15.75" thickBot="1" x14ac:dyDescent="0.3">
      <c r="L67" s="23"/>
      <c r="M67" s="10"/>
      <c r="N67" s="28"/>
    </row>
    <row r="68" spans="12:14" x14ac:dyDescent="0.25">
      <c r="L68" s="20" t="s">
        <v>17</v>
      </c>
      <c r="M68" s="20">
        <f>AVERAGE(M6:M67)</f>
        <v>0.61012195121951218</v>
      </c>
    </row>
  </sheetData>
  <mergeCells count="3">
    <mergeCell ref="L1:N4"/>
    <mergeCell ref="D1:F4"/>
    <mergeCell ref="A1:C3"/>
  </mergeCells>
  <pageMargins left="0.7" right="0.7" top="0.75" bottom="0.75" header="0.3" footer="0.3"/>
  <pageSetup scale="96" orientation="portrait" r:id="rId1"/>
  <rowBreaks count="1" manualBreakCount="1">
    <brk id="47"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15422-D9F0-4EA9-B8D5-638C07F2F046}">
  <sheetPr>
    <tabColor rgb="FFFF0000"/>
  </sheetPr>
  <dimension ref="A1:P25"/>
  <sheetViews>
    <sheetView view="pageBreakPreview" zoomScale="60" zoomScaleNormal="100" workbookViewId="0">
      <selection sqref="A1:E2"/>
    </sheetView>
  </sheetViews>
  <sheetFormatPr defaultRowHeight="15" x14ac:dyDescent="0.25"/>
  <cols>
    <col min="2" max="2" width="18.28515625" bestFit="1" customWidth="1"/>
    <col min="3" max="3" width="12" customWidth="1"/>
    <col min="5" max="5" width="10.85546875" bestFit="1" customWidth="1"/>
    <col min="6" max="6" width="2.5703125" style="78" customWidth="1"/>
    <col min="8" max="8" width="12.85546875" bestFit="1" customWidth="1"/>
  </cols>
  <sheetData>
    <row r="1" spans="1:16" s="45" customFormat="1" x14ac:dyDescent="0.25">
      <c r="A1" s="188" t="s">
        <v>146</v>
      </c>
      <c r="B1" s="188"/>
      <c r="C1" s="188"/>
      <c r="D1" s="188"/>
      <c r="E1" s="188"/>
      <c r="F1" s="78"/>
    </row>
    <row r="2" spans="1:16" s="45" customFormat="1" x14ac:dyDescent="0.25">
      <c r="A2" s="188"/>
      <c r="B2" s="188"/>
      <c r="C2" s="188"/>
      <c r="D2" s="188"/>
      <c r="E2" s="188"/>
      <c r="F2" s="78"/>
    </row>
    <row r="3" spans="1:16" ht="15.75" thickBot="1" x14ac:dyDescent="0.3"/>
    <row r="4" spans="1:16" x14ac:dyDescent="0.25">
      <c r="A4" s="72"/>
      <c r="B4" s="73" t="s">
        <v>132</v>
      </c>
      <c r="D4" s="192" t="s">
        <v>8</v>
      </c>
      <c r="E4" s="194"/>
    </row>
    <row r="5" spans="1:16" ht="15.75" thickBot="1" x14ac:dyDescent="0.3">
      <c r="A5" s="74">
        <v>2021</v>
      </c>
      <c r="B5" s="75">
        <f>SUM(E6:E6)*(1+INFLATION!B6)</f>
        <v>0</v>
      </c>
      <c r="D5" s="13"/>
      <c r="E5" s="18" t="str">
        <f>IF(I9="","",I9)</f>
        <v/>
      </c>
    </row>
    <row r="6" spans="1:16" ht="14.1" customHeight="1" x14ac:dyDescent="0.25">
      <c r="A6" s="74">
        <v>2022</v>
      </c>
      <c r="B6" s="75">
        <f>SUM(E7:E7)*(1+INFLATION!B7)</f>
        <v>0</v>
      </c>
      <c r="D6" s="15">
        <v>2021</v>
      </c>
      <c r="E6" s="27">
        <v>0</v>
      </c>
      <c r="H6" s="195" t="s">
        <v>12</v>
      </c>
      <c r="I6" s="196"/>
      <c r="J6" s="196"/>
      <c r="K6" s="196"/>
      <c r="L6" s="196"/>
      <c r="M6" s="196"/>
      <c r="N6" s="196"/>
      <c r="O6" s="196"/>
      <c r="P6" s="201"/>
    </row>
    <row r="7" spans="1:16" ht="14.45" customHeight="1" x14ac:dyDescent="0.25">
      <c r="A7" s="74">
        <v>2023</v>
      </c>
      <c r="B7" s="75">
        <f>SUM(E8:E8)*(1+INFLATION!B8)</f>
        <v>0</v>
      </c>
      <c r="D7" s="15">
        <v>2022</v>
      </c>
      <c r="E7" s="27">
        <v>0</v>
      </c>
      <c r="H7" s="197"/>
      <c r="I7" s="198"/>
      <c r="J7" s="198"/>
      <c r="K7" s="198"/>
      <c r="L7" s="198"/>
      <c r="M7" s="198"/>
      <c r="N7" s="198"/>
      <c r="O7" s="198"/>
      <c r="P7" s="202"/>
    </row>
    <row r="8" spans="1:16" ht="15" customHeight="1" thickBot="1" x14ac:dyDescent="0.3">
      <c r="A8" s="74">
        <v>2024</v>
      </c>
      <c r="B8" s="75">
        <f>SUM(E9:E9)*(1+INFLATION!B9)</f>
        <v>0</v>
      </c>
      <c r="D8" s="15">
        <v>2023</v>
      </c>
      <c r="E8" s="27">
        <v>0</v>
      </c>
      <c r="H8" s="199"/>
      <c r="I8" s="200"/>
      <c r="J8" s="200"/>
      <c r="K8" s="200"/>
      <c r="L8" s="200"/>
      <c r="M8" s="200"/>
      <c r="N8" s="200"/>
      <c r="O8" s="200"/>
      <c r="P8" s="203"/>
    </row>
    <row r="9" spans="1:16" x14ac:dyDescent="0.25">
      <c r="A9" s="74">
        <v>2025</v>
      </c>
      <c r="B9" s="75">
        <f>SUM(E10:E10)*(1+INFLATION!B10)</f>
        <v>0</v>
      </c>
      <c r="D9" s="15">
        <v>2024</v>
      </c>
      <c r="E9" s="27">
        <v>0</v>
      </c>
      <c r="H9" s="1"/>
      <c r="I9" s="8"/>
      <c r="J9" s="8"/>
      <c r="K9" s="8"/>
      <c r="L9" s="8"/>
      <c r="M9" s="8"/>
      <c r="N9" s="8"/>
      <c r="O9" s="8"/>
      <c r="P9" s="9"/>
    </row>
    <row r="10" spans="1:16" x14ac:dyDescent="0.25">
      <c r="A10" s="74">
        <v>2026</v>
      </c>
      <c r="B10" s="75">
        <f>SUM(E11:E11)*(1+INFLATION!B11)</f>
        <v>0</v>
      </c>
      <c r="D10" s="15">
        <v>2025</v>
      </c>
      <c r="E10" s="27">
        <v>0</v>
      </c>
      <c r="H10" s="13" t="s">
        <v>6</v>
      </c>
      <c r="I10" s="8"/>
      <c r="J10" s="8"/>
      <c r="K10" s="8"/>
      <c r="L10" s="8"/>
      <c r="M10" s="8"/>
      <c r="N10" s="8"/>
      <c r="O10" s="8"/>
      <c r="P10" s="9"/>
    </row>
    <row r="11" spans="1:16" ht="15.75" thickBot="1" x14ac:dyDescent="0.3">
      <c r="A11" s="74">
        <v>2027</v>
      </c>
      <c r="B11" s="75">
        <f>SUM(E12:E12)*(1+INFLATION!B12)</f>
        <v>0</v>
      </c>
      <c r="D11" s="15">
        <v>2026</v>
      </c>
      <c r="E11" s="27">
        <v>0</v>
      </c>
      <c r="H11" s="14" t="s">
        <v>7</v>
      </c>
      <c r="I11" s="10"/>
      <c r="J11" s="10"/>
      <c r="K11" s="10"/>
      <c r="L11" s="10"/>
      <c r="M11" s="10"/>
      <c r="N11" s="10"/>
      <c r="O11" s="10"/>
      <c r="P11" s="11"/>
    </row>
    <row r="12" spans="1:16" x14ac:dyDescent="0.25">
      <c r="A12" s="74">
        <v>2028</v>
      </c>
      <c r="B12" s="75">
        <f>SUM(E13:E13)*(1+INFLATION!B13)</f>
        <v>0</v>
      </c>
      <c r="D12" s="15">
        <v>2027</v>
      </c>
      <c r="E12" s="27">
        <v>0</v>
      </c>
    </row>
    <row r="13" spans="1:16" x14ac:dyDescent="0.25">
      <c r="A13" s="74">
        <v>2029</v>
      </c>
      <c r="B13" s="75">
        <f>SUM(E14:E14)*(1+INFLATION!B14)</f>
        <v>0</v>
      </c>
      <c r="D13" s="15">
        <v>2028</v>
      </c>
      <c r="E13" s="27">
        <v>0</v>
      </c>
    </row>
    <row r="14" spans="1:16" x14ac:dyDescent="0.25">
      <c r="A14" s="74">
        <v>2030</v>
      </c>
      <c r="B14" s="75">
        <f>SUM(E15:E15)*(1+INFLATION!B15)</f>
        <v>0</v>
      </c>
      <c r="D14" s="15">
        <v>2029</v>
      </c>
      <c r="E14" s="27">
        <v>0</v>
      </c>
    </row>
    <row r="15" spans="1:16" x14ac:dyDescent="0.25">
      <c r="A15" s="74">
        <v>2031</v>
      </c>
      <c r="B15" s="75">
        <f>SUM(E16:E16)*(1+INFLATION!B16)</f>
        <v>0</v>
      </c>
      <c r="D15" s="15">
        <v>2030</v>
      </c>
      <c r="E15" s="27">
        <v>0</v>
      </c>
    </row>
    <row r="16" spans="1:16" x14ac:dyDescent="0.25">
      <c r="A16" s="74">
        <v>2032</v>
      </c>
      <c r="B16" s="75">
        <f>SUM(E17:E17)*(1+INFLATION!B17)</f>
        <v>0</v>
      </c>
      <c r="D16" s="15">
        <v>2031</v>
      </c>
      <c r="E16" s="27">
        <v>0</v>
      </c>
    </row>
    <row r="17" spans="1:5" x14ac:dyDescent="0.25">
      <c r="A17" s="74">
        <v>2033</v>
      </c>
      <c r="B17" s="75">
        <f>SUM(E18:E18)*(1+INFLATION!B18)</f>
        <v>0</v>
      </c>
      <c r="D17" s="15">
        <v>2032</v>
      </c>
      <c r="E17" s="27">
        <v>0</v>
      </c>
    </row>
    <row r="18" spans="1:5" x14ac:dyDescent="0.25">
      <c r="A18" s="74">
        <v>2034</v>
      </c>
      <c r="B18" s="75">
        <f>SUM(E19:E19)*(1+INFLATION!B19)</f>
        <v>0</v>
      </c>
      <c r="D18" s="15">
        <v>2033</v>
      </c>
      <c r="E18" s="27">
        <v>0</v>
      </c>
    </row>
    <row r="19" spans="1:5" x14ac:dyDescent="0.25">
      <c r="A19" s="74">
        <v>2035</v>
      </c>
      <c r="B19" s="75">
        <f>SUM(E20:E20)*(1+INFLATION!B20)</f>
        <v>0</v>
      </c>
      <c r="D19" s="15">
        <v>2034</v>
      </c>
      <c r="E19" s="27">
        <v>0</v>
      </c>
    </row>
    <row r="20" spans="1:5" x14ac:dyDescent="0.25">
      <c r="A20" s="74">
        <v>2036</v>
      </c>
      <c r="B20" s="75">
        <f>SUM(E21:E21)*(1+INFLATION!B21)</f>
        <v>0</v>
      </c>
      <c r="D20" s="15">
        <v>2035</v>
      </c>
      <c r="E20" s="27">
        <v>0</v>
      </c>
    </row>
    <row r="21" spans="1:5" x14ac:dyDescent="0.25">
      <c r="A21" s="74">
        <v>2037</v>
      </c>
      <c r="B21" s="75">
        <f>SUM(E22:E22)*(1+INFLATION!B22)</f>
        <v>0</v>
      </c>
      <c r="D21" s="15">
        <v>2036</v>
      </c>
      <c r="E21" s="27">
        <v>0</v>
      </c>
    </row>
    <row r="22" spans="1:5" x14ac:dyDescent="0.25">
      <c r="A22" s="74">
        <v>2038</v>
      </c>
      <c r="B22" s="75">
        <f>SUM(E23:E23)*(1+INFLATION!B23)</f>
        <v>0</v>
      </c>
      <c r="D22" s="15">
        <v>2037</v>
      </c>
      <c r="E22" s="27">
        <v>0</v>
      </c>
    </row>
    <row r="23" spans="1:5" x14ac:dyDescent="0.25">
      <c r="A23" s="74">
        <v>2039</v>
      </c>
      <c r="B23" s="75">
        <f>SUM(E24:E24)*(1+INFLATION!B24)</f>
        <v>0</v>
      </c>
      <c r="D23" s="15">
        <v>2038</v>
      </c>
      <c r="E23" s="27">
        <v>0</v>
      </c>
    </row>
    <row r="24" spans="1:5" ht="15.75" thickBot="1" x14ac:dyDescent="0.3">
      <c r="A24" s="64">
        <v>2040</v>
      </c>
      <c r="B24" s="76">
        <f>SUM(E25:E25)*(1+INFLATION!B25)</f>
        <v>0</v>
      </c>
      <c r="D24" s="15">
        <v>2039</v>
      </c>
      <c r="E24" s="27">
        <v>0</v>
      </c>
    </row>
    <row r="25" spans="1:5" ht="15.75" thickBot="1" x14ac:dyDescent="0.3">
      <c r="D25" s="16">
        <v>2040</v>
      </c>
      <c r="E25" s="28">
        <v>0</v>
      </c>
    </row>
  </sheetData>
  <mergeCells count="3">
    <mergeCell ref="H6:P8"/>
    <mergeCell ref="D4:E4"/>
    <mergeCell ref="A1:E2"/>
  </mergeCells>
  <pageMargins left="0.7" right="0.7" top="0.75" bottom="0.75" header="0.3" footer="0.3"/>
  <pageSetup orientation="portrait"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A0B2A-C3C6-4B3B-8C1E-F17DDB000BCC}">
  <sheetPr>
    <tabColor rgb="FFFF0000"/>
  </sheetPr>
  <dimension ref="A1:O80"/>
  <sheetViews>
    <sheetView view="pageBreakPreview" zoomScale="60" zoomScaleNormal="100" workbookViewId="0">
      <selection activeCell="M32" sqref="M32"/>
    </sheetView>
  </sheetViews>
  <sheetFormatPr defaultRowHeight="15" x14ac:dyDescent="0.25"/>
  <cols>
    <col min="2" max="2" width="14.28515625" bestFit="1" customWidth="1"/>
    <col min="3" max="3" width="12" customWidth="1"/>
    <col min="5" max="5" width="10.85546875" bestFit="1" customWidth="1"/>
    <col min="7" max="7" width="14.28515625" bestFit="1" customWidth="1"/>
    <col min="8" max="8" width="11.85546875" customWidth="1"/>
  </cols>
  <sheetData>
    <row r="1" spans="1:15" ht="15.75" thickBot="1" x14ac:dyDescent="0.3">
      <c r="A1" s="188" t="s">
        <v>147</v>
      </c>
      <c r="B1" s="188"/>
      <c r="C1" s="188"/>
      <c r="D1" s="188"/>
      <c r="E1" s="188"/>
      <c r="G1" s="24" t="s">
        <v>14</v>
      </c>
      <c r="H1" s="25">
        <f>MIN(H11:O11)</f>
        <v>0</v>
      </c>
    </row>
    <row r="2" spans="1:15" s="45" customFormat="1" x14ac:dyDescent="0.25">
      <c r="A2" s="188"/>
      <c r="B2" s="188"/>
      <c r="C2" s="188"/>
      <c r="D2" s="188"/>
      <c r="E2" s="188"/>
      <c r="G2" s="17"/>
      <c r="H2" s="17"/>
    </row>
    <row r="3" spans="1:15" s="45" customFormat="1" ht="15.75" thickBot="1" x14ac:dyDescent="0.3">
      <c r="G3" s="17"/>
      <c r="H3" s="17"/>
    </row>
    <row r="4" spans="1:15" x14ac:dyDescent="0.25">
      <c r="A4" s="72"/>
      <c r="B4" s="73" t="s">
        <v>132</v>
      </c>
      <c r="D4" s="192" t="s">
        <v>15</v>
      </c>
      <c r="E4" s="194"/>
    </row>
    <row r="5" spans="1:15" ht="15.75" thickBot="1" x14ac:dyDescent="0.3">
      <c r="A5" s="74">
        <v>2019</v>
      </c>
      <c r="B5" s="75">
        <f>IF(OR(A5&lt;$H$1,$H$1=0),$J$80,SUM(E6:E6))*(1+INFLATION!B6)</f>
        <v>0</v>
      </c>
      <c r="D5" s="13"/>
      <c r="E5" s="18" t="str">
        <f>IF(H9="","",H9)</f>
        <v/>
      </c>
    </row>
    <row r="6" spans="1:15" ht="14.1" customHeight="1" x14ac:dyDescent="0.25">
      <c r="A6" s="74">
        <v>2020</v>
      </c>
      <c r="B6" s="75">
        <f>IF(OR(A6&lt;$H$1,$H$1=0),$J$80,SUM(E7:E7))*(1+INFLATION!B7)</f>
        <v>0</v>
      </c>
      <c r="D6" s="15">
        <v>2019</v>
      </c>
      <c r="E6" s="27">
        <v>0</v>
      </c>
      <c r="G6" s="195" t="s">
        <v>13</v>
      </c>
      <c r="H6" s="196"/>
      <c r="I6" s="196"/>
      <c r="J6" s="196"/>
      <c r="K6" s="196"/>
      <c r="L6" s="196"/>
      <c r="M6" s="196"/>
      <c r="N6" s="196"/>
      <c r="O6" s="201"/>
    </row>
    <row r="7" spans="1:15" ht="14.45" customHeight="1" x14ac:dyDescent="0.25">
      <c r="A7" s="74">
        <v>2021</v>
      </c>
      <c r="B7" s="75">
        <f>IF(OR(A7&lt;$H$1,$H$1=0),$J$80,SUM(E8:E8))*(1+INFLATION!B8)</f>
        <v>0</v>
      </c>
      <c r="D7" s="15">
        <v>2020</v>
      </c>
      <c r="E7" s="27">
        <v>0</v>
      </c>
      <c r="G7" s="197"/>
      <c r="H7" s="198"/>
      <c r="I7" s="198"/>
      <c r="J7" s="198"/>
      <c r="K7" s="198"/>
      <c r="L7" s="198"/>
      <c r="M7" s="198"/>
      <c r="N7" s="198"/>
      <c r="O7" s="202"/>
    </row>
    <row r="8" spans="1:15" ht="15" customHeight="1" thickBot="1" x14ac:dyDescent="0.3">
      <c r="A8" s="74">
        <v>2022</v>
      </c>
      <c r="B8" s="75">
        <f>IF(OR(A8&lt;$H$1,$H$1=0),$J$80,SUM(E9:E9))*(1+INFLATION!B9)</f>
        <v>0</v>
      </c>
      <c r="D8" s="15">
        <v>2021</v>
      </c>
      <c r="E8" s="27">
        <v>0</v>
      </c>
      <c r="G8" s="199"/>
      <c r="H8" s="200"/>
      <c r="I8" s="200"/>
      <c r="J8" s="200"/>
      <c r="K8" s="200"/>
      <c r="L8" s="200"/>
      <c r="M8" s="200"/>
      <c r="N8" s="200"/>
      <c r="O8" s="203"/>
    </row>
    <row r="9" spans="1:15" x14ac:dyDescent="0.25">
      <c r="A9" s="74">
        <v>2023</v>
      </c>
      <c r="B9" s="75">
        <f>IF(OR(A9&lt;$H$1,$H$1=0),$J$80,SUM(E10:E10))*(1+INFLATION!B10)</f>
        <v>0</v>
      </c>
      <c r="D9" s="15">
        <v>2022</v>
      </c>
      <c r="E9" s="27">
        <v>0</v>
      </c>
      <c r="G9" s="29"/>
      <c r="H9" s="21" t="str">
        <f>IF('FIXED STORAGE'!I9="","",'FIXED STORAGE'!I9)</f>
        <v/>
      </c>
      <c r="I9" s="21" t="str">
        <f>IF('FIXED STORAGE'!J9="","",'FIXED STORAGE'!J9)</f>
        <v/>
      </c>
      <c r="J9" s="21" t="str">
        <f>IF('FIXED STORAGE'!K9="","",'FIXED STORAGE'!K9)</f>
        <v/>
      </c>
      <c r="K9" s="21" t="str">
        <f>IF('FIXED STORAGE'!L9="","",'FIXED STORAGE'!L9)</f>
        <v/>
      </c>
      <c r="L9" s="21" t="str">
        <f>IF('FIXED STORAGE'!M9="","",'FIXED STORAGE'!M9)</f>
        <v/>
      </c>
      <c r="M9" s="21" t="str">
        <f>IF('FIXED STORAGE'!N9="","",'FIXED STORAGE'!N9)</f>
        <v/>
      </c>
      <c r="N9" s="21" t="str">
        <f>IF('FIXED STORAGE'!O9="","",'FIXED STORAGE'!O9)</f>
        <v/>
      </c>
      <c r="O9" s="22" t="str">
        <f>IF('FIXED STORAGE'!P9="","",'FIXED STORAGE'!P9)</f>
        <v/>
      </c>
    </row>
    <row r="10" spans="1:15" ht="15.75" thickBot="1" x14ac:dyDescent="0.3">
      <c r="A10" s="74">
        <v>2024</v>
      </c>
      <c r="B10" s="75">
        <f>IF(OR(A10&lt;$H$1,$H$1=0),$J$80,SUM(E11:E11))*(1+INFLATION!B11)</f>
        <v>0</v>
      </c>
      <c r="D10" s="15">
        <v>2023</v>
      </c>
      <c r="E10" s="27">
        <v>0</v>
      </c>
      <c r="G10" s="13" t="s">
        <v>6</v>
      </c>
      <c r="H10" s="8"/>
      <c r="I10" s="8"/>
      <c r="J10" s="8"/>
      <c r="K10" s="8"/>
      <c r="L10" s="8"/>
      <c r="M10" s="8"/>
      <c r="N10" s="8"/>
      <c r="O10" s="9"/>
    </row>
    <row r="11" spans="1:15" ht="15.75" thickBot="1" x14ac:dyDescent="0.3">
      <c r="A11" s="74">
        <v>2025</v>
      </c>
      <c r="B11" s="75">
        <f>IF(OR(A11&lt;$H$1,$H$1=0),$J$80,SUM(E12:E12))*(1+INFLATION!B12)</f>
        <v>0</v>
      </c>
      <c r="D11" s="15">
        <v>2024</v>
      </c>
      <c r="E11" s="27">
        <v>0</v>
      </c>
      <c r="G11" s="14" t="s">
        <v>7</v>
      </c>
      <c r="H11" s="21" t="str">
        <f>IF('FIXED STORAGE'!I11="","",'FIXED STORAGE'!I11)</f>
        <v/>
      </c>
      <c r="I11" s="21" t="str">
        <f>IF('FIXED STORAGE'!J11="","",'FIXED STORAGE'!J11)</f>
        <v/>
      </c>
      <c r="J11" s="21" t="str">
        <f>IF('FIXED STORAGE'!K11="","",'FIXED STORAGE'!K11)</f>
        <v/>
      </c>
      <c r="K11" s="21" t="str">
        <f>IF('FIXED STORAGE'!L11="","",'FIXED STORAGE'!L11)</f>
        <v/>
      </c>
      <c r="L11" s="21" t="str">
        <f>IF('FIXED STORAGE'!M11="","",'FIXED STORAGE'!M11)</f>
        <v/>
      </c>
      <c r="M11" s="21" t="str">
        <f>IF('FIXED STORAGE'!N11="","",'FIXED STORAGE'!N11)</f>
        <v/>
      </c>
      <c r="N11" s="21" t="str">
        <f>IF('FIXED STORAGE'!O11="","",'FIXED STORAGE'!O11)</f>
        <v/>
      </c>
      <c r="O11" s="21" t="str">
        <f>IF('FIXED STORAGE'!P11="","",'FIXED STORAGE'!P11)</f>
        <v/>
      </c>
    </row>
    <row r="12" spans="1:15" ht="15.75" thickBot="1" x14ac:dyDescent="0.3">
      <c r="A12" s="74">
        <v>2026</v>
      </c>
      <c r="B12" s="75">
        <f>IF(OR(A12&lt;$H$1,$H$1=0),$J$80,SUM(E13:E13))*(1+INFLATION!B13)</f>
        <v>0</v>
      </c>
      <c r="D12" s="15">
        <v>2025</v>
      </c>
      <c r="E12" s="27">
        <v>0</v>
      </c>
    </row>
    <row r="13" spans="1:15" ht="14.45" customHeight="1" x14ac:dyDescent="0.25">
      <c r="A13" s="74">
        <v>2027</v>
      </c>
      <c r="B13" s="75">
        <f>IF(OR(A13&lt;$H$1,$H$1=0),$J$80,SUM(E14:E14))*(1+INFLATION!B14)</f>
        <v>0</v>
      </c>
      <c r="D13" s="15">
        <v>2026</v>
      </c>
      <c r="E13" s="27">
        <v>0</v>
      </c>
      <c r="H13" s="6"/>
      <c r="I13" s="205" t="s">
        <v>11</v>
      </c>
      <c r="J13" s="206"/>
      <c r="K13" s="207"/>
    </row>
    <row r="14" spans="1:15" ht="14.45" customHeight="1" x14ac:dyDescent="0.25">
      <c r="A14" s="74">
        <v>2028</v>
      </c>
      <c r="B14" s="75">
        <f>IF(OR(A14&lt;$H$1,$H$1=0),$J$80,SUM(E15:E15))*(1+INFLATION!B15)</f>
        <v>0</v>
      </c>
      <c r="D14" s="15">
        <v>2027</v>
      </c>
      <c r="E14" s="27">
        <v>0</v>
      </c>
      <c r="G14" s="6"/>
      <c r="H14" s="6"/>
      <c r="I14" s="208"/>
      <c r="J14" s="209"/>
      <c r="K14" s="210"/>
    </row>
    <row r="15" spans="1:15" ht="14.45" customHeight="1" x14ac:dyDescent="0.25">
      <c r="A15" s="74">
        <v>2029</v>
      </c>
      <c r="B15" s="75">
        <f>IF(OR(A15&lt;$H$1,$H$1=0),$J$80,SUM(E16:E16))*(1+INFLATION!B16)</f>
        <v>0</v>
      </c>
      <c r="D15" s="15">
        <v>2028</v>
      </c>
      <c r="E15" s="27">
        <v>0</v>
      </c>
      <c r="G15" s="6"/>
      <c r="H15" s="6"/>
      <c r="I15" s="208"/>
      <c r="J15" s="209"/>
      <c r="K15" s="210"/>
    </row>
    <row r="16" spans="1:15" ht="15" customHeight="1" thickBot="1" x14ac:dyDescent="0.3">
      <c r="A16" s="74">
        <v>2030</v>
      </c>
      <c r="B16" s="75">
        <f>IF(OR(A16&lt;$H$1,$H$1=0),$J$80,SUM(E17:E17))*(1+INFLATION!B17)</f>
        <v>0</v>
      </c>
      <c r="D16" s="15">
        <v>2029</v>
      </c>
      <c r="E16" s="27">
        <v>0</v>
      </c>
      <c r="G16" s="6"/>
      <c r="H16" s="6"/>
      <c r="I16" s="211"/>
      <c r="J16" s="212"/>
      <c r="K16" s="213"/>
    </row>
    <row r="17" spans="1:11" x14ac:dyDescent="0.25">
      <c r="A17" s="74">
        <v>2031</v>
      </c>
      <c r="B17" s="75">
        <f>IF(OR(A17&lt;$H$1,$H$1=0),$J$80,SUM(E18:E18))*(1+INFLATION!B18)</f>
        <v>0</v>
      </c>
      <c r="D17" s="15">
        <v>2030</v>
      </c>
      <c r="E17" s="27">
        <v>0</v>
      </c>
      <c r="G17" s="2"/>
      <c r="H17" s="2"/>
      <c r="I17" s="29" t="s">
        <v>16</v>
      </c>
      <c r="J17" s="21" t="s">
        <v>6</v>
      </c>
      <c r="K17" s="26"/>
    </row>
    <row r="18" spans="1:11" x14ac:dyDescent="0.25">
      <c r="A18" s="74">
        <v>2032</v>
      </c>
      <c r="B18" s="75">
        <f>IF(OR(A18&lt;$H$1,$H$1=0),$J$80,SUM(E19:E19))*(1+INFLATION!B19)</f>
        <v>0</v>
      </c>
      <c r="D18" s="15">
        <v>2031</v>
      </c>
      <c r="E18" s="27">
        <v>0</v>
      </c>
      <c r="G18" s="2"/>
      <c r="H18" s="2"/>
      <c r="I18" s="7"/>
      <c r="J18" s="8">
        <v>0</v>
      </c>
      <c r="K18" s="27"/>
    </row>
    <row r="19" spans="1:11" x14ac:dyDescent="0.25">
      <c r="A19" s="74">
        <v>2033</v>
      </c>
      <c r="B19" s="75">
        <f>IF(OR(A19&lt;$H$1,$H$1=0),$J$80,SUM(E20:E20))*(1+INFLATION!B20)</f>
        <v>0</v>
      </c>
      <c r="D19" s="15">
        <v>2032</v>
      </c>
      <c r="E19" s="27">
        <v>0</v>
      </c>
      <c r="G19" s="2"/>
      <c r="H19" s="2"/>
      <c r="I19" s="7"/>
      <c r="J19" s="8"/>
      <c r="K19" s="27"/>
    </row>
    <row r="20" spans="1:11" x14ac:dyDescent="0.25">
      <c r="A20" s="74">
        <v>2034</v>
      </c>
      <c r="B20" s="75">
        <f>IF(OR(A20&lt;$H$1,$H$1=0),$J$80,SUM(E21:E21))*(1+INFLATION!B21)</f>
        <v>0</v>
      </c>
      <c r="D20" s="15">
        <v>2033</v>
      </c>
      <c r="E20" s="27">
        <v>0</v>
      </c>
      <c r="G20" s="2"/>
      <c r="H20" s="2"/>
      <c r="I20" s="7"/>
      <c r="J20" s="8"/>
      <c r="K20" s="27"/>
    </row>
    <row r="21" spans="1:11" x14ac:dyDescent="0.25">
      <c r="A21" s="74">
        <v>2035</v>
      </c>
      <c r="B21" s="75">
        <f>IF(OR(A21&lt;$H$1,$H$1=0),$J$80,SUM(E22:E22))*(1+INFLATION!B22)</f>
        <v>0</v>
      </c>
      <c r="D21" s="15">
        <v>2034</v>
      </c>
      <c r="E21" s="27">
        <v>0</v>
      </c>
      <c r="G21" s="2"/>
      <c r="H21" s="2"/>
      <c r="I21" s="7"/>
      <c r="J21" s="8"/>
      <c r="K21" s="27"/>
    </row>
    <row r="22" spans="1:11" x14ac:dyDescent="0.25">
      <c r="A22" s="74">
        <v>2036</v>
      </c>
      <c r="B22" s="75">
        <f>IF(OR(A22&lt;$H$1,$H$1=0),$J$80,SUM(E23:E23))*(1+INFLATION!B23)</f>
        <v>0</v>
      </c>
      <c r="D22" s="15">
        <v>2035</v>
      </c>
      <c r="E22" s="27">
        <v>0</v>
      </c>
      <c r="G22" s="2"/>
      <c r="H22" s="2"/>
      <c r="I22" s="7"/>
      <c r="J22" s="8"/>
      <c r="K22" s="27"/>
    </row>
    <row r="23" spans="1:11" x14ac:dyDescent="0.25">
      <c r="A23" s="74">
        <v>2037</v>
      </c>
      <c r="B23" s="75">
        <f>IF(OR(A23&lt;$H$1,$H$1=0),$J$80,SUM(E24:E24))*(1+INFLATION!B24)</f>
        <v>0</v>
      </c>
      <c r="D23" s="15">
        <v>2036</v>
      </c>
      <c r="E23" s="27">
        <v>0</v>
      </c>
      <c r="I23" s="7"/>
      <c r="J23" s="8"/>
      <c r="K23" s="27"/>
    </row>
    <row r="24" spans="1:11" ht="15.75" thickBot="1" x14ac:dyDescent="0.3">
      <c r="A24" s="64">
        <v>2038</v>
      </c>
      <c r="B24" s="76">
        <f>IF(OR(A24&lt;$H$1,$H$1=0),$J$80,SUM(E25:E25))*(1+INFLATION!B25)</f>
        <v>0</v>
      </c>
      <c r="D24" s="15">
        <v>2037</v>
      </c>
      <c r="E24" s="27">
        <v>0</v>
      </c>
      <c r="I24" s="7"/>
      <c r="J24" s="8"/>
      <c r="K24" s="27"/>
    </row>
    <row r="25" spans="1:11" ht="15.75" thickBot="1" x14ac:dyDescent="0.3">
      <c r="D25" s="16">
        <v>2038</v>
      </c>
      <c r="E25" s="28">
        <v>0</v>
      </c>
      <c r="I25" s="7"/>
      <c r="J25" s="8"/>
      <c r="K25" s="27"/>
    </row>
    <row r="26" spans="1:11" x14ac:dyDescent="0.25">
      <c r="I26" s="7"/>
      <c r="J26" s="8"/>
      <c r="K26" s="27"/>
    </row>
    <row r="27" spans="1:11" x14ac:dyDescent="0.25">
      <c r="I27" s="7"/>
      <c r="J27" s="8"/>
      <c r="K27" s="27"/>
    </row>
    <row r="28" spans="1:11" x14ac:dyDescent="0.25">
      <c r="I28" s="7"/>
      <c r="J28" s="8"/>
      <c r="K28" s="27"/>
    </row>
    <row r="29" spans="1:11" x14ac:dyDescent="0.25">
      <c r="I29" s="7"/>
      <c r="J29" s="8"/>
      <c r="K29" s="27"/>
    </row>
    <row r="30" spans="1:11" x14ac:dyDescent="0.25">
      <c r="I30" s="7"/>
      <c r="J30" s="8"/>
      <c r="K30" s="27"/>
    </row>
    <row r="31" spans="1:11" x14ac:dyDescent="0.25">
      <c r="I31" s="7"/>
      <c r="J31" s="8"/>
      <c r="K31" s="27"/>
    </row>
    <row r="32" spans="1:11" x14ac:dyDescent="0.25">
      <c r="I32" s="7"/>
      <c r="J32" s="8"/>
      <c r="K32" s="27"/>
    </row>
    <row r="33" spans="9:11" x14ac:dyDescent="0.25">
      <c r="I33" s="7"/>
      <c r="J33" s="8"/>
      <c r="K33" s="27"/>
    </row>
    <row r="34" spans="9:11" x14ac:dyDescent="0.25">
      <c r="I34" s="7"/>
      <c r="J34" s="8"/>
      <c r="K34" s="27"/>
    </row>
    <row r="35" spans="9:11" x14ac:dyDescent="0.25">
      <c r="I35" s="7"/>
      <c r="J35" s="8"/>
      <c r="K35" s="27"/>
    </row>
    <row r="36" spans="9:11" x14ac:dyDescent="0.25">
      <c r="I36" s="7"/>
      <c r="J36" s="8"/>
      <c r="K36" s="27"/>
    </row>
    <row r="37" spans="9:11" x14ac:dyDescent="0.25">
      <c r="I37" s="7"/>
      <c r="J37" s="8"/>
      <c r="K37" s="27"/>
    </row>
    <row r="38" spans="9:11" x14ac:dyDescent="0.25">
      <c r="I38" s="7"/>
      <c r="J38" s="8"/>
      <c r="K38" s="27"/>
    </row>
    <row r="39" spans="9:11" x14ac:dyDescent="0.25">
      <c r="I39" s="7"/>
      <c r="J39" s="8"/>
      <c r="K39" s="27"/>
    </row>
    <row r="40" spans="9:11" x14ac:dyDescent="0.25">
      <c r="I40" s="7"/>
      <c r="J40" s="8"/>
      <c r="K40" s="27"/>
    </row>
    <row r="41" spans="9:11" x14ac:dyDescent="0.25">
      <c r="I41" s="7"/>
      <c r="J41" s="8"/>
      <c r="K41" s="27"/>
    </row>
    <row r="42" spans="9:11" x14ac:dyDescent="0.25">
      <c r="I42" s="7"/>
      <c r="J42" s="8"/>
      <c r="K42" s="27"/>
    </row>
    <row r="43" spans="9:11" x14ac:dyDescent="0.25">
      <c r="I43" s="7"/>
      <c r="J43" s="8"/>
      <c r="K43" s="27"/>
    </row>
    <row r="44" spans="9:11" x14ac:dyDescent="0.25">
      <c r="I44" s="7"/>
      <c r="J44" s="8"/>
      <c r="K44" s="27"/>
    </row>
    <row r="45" spans="9:11" x14ac:dyDescent="0.25">
      <c r="I45" s="7"/>
      <c r="J45" s="8"/>
      <c r="K45" s="27"/>
    </row>
    <row r="46" spans="9:11" x14ac:dyDescent="0.25">
      <c r="I46" s="7"/>
      <c r="J46" s="8"/>
      <c r="K46" s="27"/>
    </row>
    <row r="47" spans="9:11" x14ac:dyDescent="0.25">
      <c r="I47" s="7"/>
      <c r="J47" s="8"/>
      <c r="K47" s="27"/>
    </row>
    <row r="48" spans="9:11" x14ac:dyDescent="0.25">
      <c r="I48" s="7"/>
      <c r="J48" s="8"/>
      <c r="K48" s="27"/>
    </row>
    <row r="49" spans="9:11" x14ac:dyDescent="0.25">
      <c r="I49" s="7"/>
      <c r="J49" s="8"/>
      <c r="K49" s="27"/>
    </row>
    <row r="50" spans="9:11" x14ac:dyDescent="0.25">
      <c r="I50" s="7"/>
      <c r="J50" s="8"/>
      <c r="K50" s="27"/>
    </row>
    <row r="51" spans="9:11" x14ac:dyDescent="0.25">
      <c r="I51" s="7"/>
      <c r="J51" s="8"/>
      <c r="K51" s="27"/>
    </row>
    <row r="52" spans="9:11" x14ac:dyDescent="0.25">
      <c r="I52" s="7"/>
      <c r="J52" s="8"/>
      <c r="K52" s="27"/>
    </row>
    <row r="53" spans="9:11" x14ac:dyDescent="0.25">
      <c r="I53" s="7"/>
      <c r="J53" s="8"/>
      <c r="K53" s="27"/>
    </row>
    <row r="54" spans="9:11" x14ac:dyDescent="0.25">
      <c r="I54" s="7"/>
      <c r="J54" s="8"/>
      <c r="K54" s="27"/>
    </row>
    <row r="55" spans="9:11" x14ac:dyDescent="0.25">
      <c r="I55" s="7"/>
      <c r="J55" s="8"/>
      <c r="K55" s="27"/>
    </row>
    <row r="56" spans="9:11" x14ac:dyDescent="0.25">
      <c r="I56" s="7"/>
      <c r="J56" s="8"/>
      <c r="K56" s="27"/>
    </row>
    <row r="57" spans="9:11" x14ac:dyDescent="0.25">
      <c r="I57" s="7"/>
      <c r="J57" s="8"/>
      <c r="K57" s="27"/>
    </row>
    <row r="58" spans="9:11" x14ac:dyDescent="0.25">
      <c r="I58" s="7"/>
      <c r="J58" s="8"/>
      <c r="K58" s="27"/>
    </row>
    <row r="59" spans="9:11" x14ac:dyDescent="0.25">
      <c r="I59" s="7"/>
      <c r="J59" s="8"/>
      <c r="K59" s="27"/>
    </row>
    <row r="60" spans="9:11" x14ac:dyDescent="0.25">
      <c r="I60" s="7"/>
      <c r="J60" s="8"/>
      <c r="K60" s="27"/>
    </row>
    <row r="61" spans="9:11" x14ac:dyDescent="0.25">
      <c r="I61" s="7"/>
      <c r="J61" s="8"/>
      <c r="K61" s="27"/>
    </row>
    <row r="62" spans="9:11" x14ac:dyDescent="0.25">
      <c r="I62" s="7"/>
      <c r="J62" s="8"/>
      <c r="K62" s="27"/>
    </row>
    <row r="63" spans="9:11" x14ac:dyDescent="0.25">
      <c r="I63" s="7"/>
      <c r="J63" s="8"/>
      <c r="K63" s="27"/>
    </row>
    <row r="64" spans="9:11" x14ac:dyDescent="0.25">
      <c r="I64" s="7"/>
      <c r="J64" s="8"/>
      <c r="K64" s="27"/>
    </row>
    <row r="65" spans="9:11" x14ac:dyDescent="0.25">
      <c r="I65" s="7"/>
      <c r="J65" s="8"/>
      <c r="K65" s="27"/>
    </row>
    <row r="66" spans="9:11" x14ac:dyDescent="0.25">
      <c r="I66" s="7"/>
      <c r="J66" s="8"/>
      <c r="K66" s="27"/>
    </row>
    <row r="67" spans="9:11" x14ac:dyDescent="0.25">
      <c r="I67" s="7"/>
      <c r="J67" s="8"/>
      <c r="K67" s="27"/>
    </row>
    <row r="68" spans="9:11" x14ac:dyDescent="0.25">
      <c r="I68" s="7"/>
      <c r="J68" s="8"/>
      <c r="K68" s="27"/>
    </row>
    <row r="69" spans="9:11" x14ac:dyDescent="0.25">
      <c r="I69" s="7"/>
      <c r="J69" s="8"/>
      <c r="K69" s="27"/>
    </row>
    <row r="70" spans="9:11" x14ac:dyDescent="0.25">
      <c r="I70" s="7"/>
      <c r="J70" s="8"/>
      <c r="K70" s="27"/>
    </row>
    <row r="71" spans="9:11" x14ac:dyDescent="0.25">
      <c r="I71" s="7"/>
      <c r="J71" s="8"/>
      <c r="K71" s="27"/>
    </row>
    <row r="72" spans="9:11" x14ac:dyDescent="0.25">
      <c r="I72" s="7"/>
      <c r="J72" s="8"/>
      <c r="K72" s="27"/>
    </row>
    <row r="73" spans="9:11" x14ac:dyDescent="0.25">
      <c r="I73" s="7"/>
      <c r="J73" s="8"/>
      <c r="K73" s="27"/>
    </row>
    <row r="74" spans="9:11" x14ac:dyDescent="0.25">
      <c r="I74" s="7"/>
      <c r="J74" s="8"/>
      <c r="K74" s="27"/>
    </row>
    <row r="75" spans="9:11" x14ac:dyDescent="0.25">
      <c r="I75" s="7"/>
      <c r="J75" s="8"/>
      <c r="K75" s="27"/>
    </row>
    <row r="76" spans="9:11" x14ac:dyDescent="0.25">
      <c r="I76" s="7"/>
      <c r="J76" s="8"/>
      <c r="K76" s="27"/>
    </row>
    <row r="77" spans="9:11" x14ac:dyDescent="0.25">
      <c r="I77" s="7"/>
      <c r="J77" s="8"/>
      <c r="K77" s="27"/>
    </row>
    <row r="78" spans="9:11" x14ac:dyDescent="0.25">
      <c r="I78" s="7"/>
      <c r="J78" s="8"/>
      <c r="K78" s="27"/>
    </row>
    <row r="79" spans="9:11" ht="15.75" thickBot="1" x14ac:dyDescent="0.3">
      <c r="I79" s="23"/>
      <c r="J79" s="10"/>
      <c r="K79" s="28"/>
    </row>
    <row r="80" spans="9:11" x14ac:dyDescent="0.25">
      <c r="I80" s="20" t="s">
        <v>17</v>
      </c>
      <c r="J80" s="20">
        <f>AVERAGE(J18:J79)</f>
        <v>0</v>
      </c>
    </row>
  </sheetData>
  <mergeCells count="4">
    <mergeCell ref="A1:E2"/>
    <mergeCell ref="D4:E4"/>
    <mergeCell ref="G6:O8"/>
    <mergeCell ref="I13:K16"/>
  </mergeCells>
  <pageMargins left="0.7" right="0.7" top="0.75" bottom="0.75" header="0.3" footer="0.3"/>
  <pageSetup orientation="portrait" r:id="rId1"/>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E1495-657A-42E8-8A54-96E390B5E325}">
  <sheetPr>
    <tabColor rgb="FFFFC000"/>
  </sheetPr>
  <dimension ref="A1:AE32"/>
  <sheetViews>
    <sheetView view="pageBreakPreview" zoomScale="60" zoomScaleNormal="100" workbookViewId="0">
      <selection activeCell="R35" sqref="R35"/>
    </sheetView>
  </sheetViews>
  <sheetFormatPr defaultRowHeight="15" x14ac:dyDescent="0.25"/>
  <cols>
    <col min="7" max="7" width="10.85546875" bestFit="1" customWidth="1"/>
    <col min="10" max="10" width="13.28515625" bestFit="1" customWidth="1"/>
    <col min="16" max="16" width="1.42578125" style="3" customWidth="1"/>
    <col min="24" max="24" width="1" style="3" customWidth="1"/>
  </cols>
  <sheetData>
    <row r="1" spans="1:31" s="45" customFormat="1" x14ac:dyDescent="0.25">
      <c r="A1" s="215" t="s">
        <v>148</v>
      </c>
      <c r="B1" s="216"/>
      <c r="C1" s="216"/>
      <c r="D1" s="216"/>
      <c r="E1" s="216"/>
      <c r="F1" s="216"/>
      <c r="G1" s="216"/>
      <c r="H1" s="216"/>
      <c r="I1" s="216"/>
      <c r="J1" s="216"/>
      <c r="K1" s="216"/>
      <c r="L1" s="216"/>
      <c r="M1" s="216"/>
      <c r="N1" s="216"/>
      <c r="O1" s="217"/>
      <c r="P1" s="78"/>
      <c r="Q1" s="215" t="s">
        <v>148</v>
      </c>
      <c r="R1" s="216"/>
      <c r="S1" s="216"/>
      <c r="T1" s="216"/>
      <c r="U1" s="216"/>
      <c r="V1" s="216"/>
      <c r="W1" s="216"/>
      <c r="X1" s="216"/>
      <c r="Y1" s="216"/>
      <c r="Z1" s="216"/>
      <c r="AA1" s="216"/>
      <c r="AB1" s="216"/>
      <c r="AC1" s="216"/>
      <c r="AD1" s="216"/>
      <c r="AE1" s="217"/>
    </row>
    <row r="2" spans="1:31" s="45" customFormat="1" ht="15.75" thickBot="1" x14ac:dyDescent="0.3">
      <c r="A2" s="218"/>
      <c r="B2" s="219"/>
      <c r="C2" s="219"/>
      <c r="D2" s="219"/>
      <c r="E2" s="219"/>
      <c r="F2" s="219"/>
      <c r="G2" s="219"/>
      <c r="H2" s="219"/>
      <c r="I2" s="219"/>
      <c r="J2" s="219"/>
      <c r="K2" s="219"/>
      <c r="L2" s="219"/>
      <c r="M2" s="219"/>
      <c r="N2" s="219"/>
      <c r="O2" s="220"/>
      <c r="P2" s="78"/>
      <c r="Q2" s="218"/>
      <c r="R2" s="219"/>
      <c r="S2" s="219"/>
      <c r="T2" s="219"/>
      <c r="U2" s="219"/>
      <c r="V2" s="219"/>
      <c r="W2" s="219"/>
      <c r="X2" s="219"/>
      <c r="Y2" s="219"/>
      <c r="Z2" s="219"/>
      <c r="AA2" s="219"/>
      <c r="AB2" s="219"/>
      <c r="AC2" s="219"/>
      <c r="AD2" s="219"/>
      <c r="AE2" s="220"/>
    </row>
    <row r="3" spans="1:31" ht="31.5" x14ac:dyDescent="0.5">
      <c r="A3" s="74" t="s">
        <v>47</v>
      </c>
      <c r="B3" s="85" t="s">
        <v>27</v>
      </c>
      <c r="C3" s="85" t="s">
        <v>28</v>
      </c>
      <c r="D3" s="85" t="s">
        <v>29</v>
      </c>
      <c r="E3" s="85" t="s">
        <v>30</v>
      </c>
      <c r="F3" s="85" t="s">
        <v>31</v>
      </c>
      <c r="G3" s="85" t="s">
        <v>32</v>
      </c>
      <c r="H3" s="75" t="s">
        <v>33</v>
      </c>
      <c r="J3" s="197" t="s">
        <v>34</v>
      </c>
      <c r="K3" s="198"/>
      <c r="L3" s="198"/>
      <c r="M3" s="198"/>
      <c r="N3" s="198"/>
      <c r="O3" s="202"/>
      <c r="P3" s="78"/>
      <c r="Q3" s="197" t="s">
        <v>38</v>
      </c>
      <c r="R3" s="198"/>
      <c r="S3" s="198"/>
      <c r="T3" s="198"/>
      <c r="U3" s="198"/>
      <c r="V3" s="198"/>
      <c r="W3" s="202"/>
      <c r="Y3" s="197" t="s">
        <v>39</v>
      </c>
      <c r="Z3" s="198"/>
      <c r="AA3" s="198"/>
      <c r="AB3" s="198"/>
      <c r="AC3" s="198"/>
      <c r="AD3" s="198"/>
      <c r="AE3" s="202"/>
    </row>
    <row r="4" spans="1:31" x14ac:dyDescent="0.25">
      <c r="A4" s="74">
        <v>2021</v>
      </c>
      <c r="B4" s="85">
        <f>IF($K$13="Peak",(VLOOKUP(B$3,$J$5:$M$11,2,FALSE)*$Z5)+(VLOOKUP(B$3,$J$5:$M$11,3,FALSE)*$AA5)+(VLOOKUP(B$3,$J$5:$M$11,4,FALSE)*$AB5),(VLOOKUP(B$3,$J$5:$M$11,2,FALSE)*$R5)+(VLOOKUP(B$3,$J$5:$M$11,3,FALSE)*$S5)+(VLOOKUP(B$3,$J$5:$M$11,4,FALSE)*$T5))</f>
        <v>3.666370368912002</v>
      </c>
      <c r="C4" s="85">
        <f t="shared" ref="C4:H4" si="0">IF($K$13="Peak",(VLOOKUP(C$3,$J$5:$M$11,2,FALSE)*$Z5)+(VLOOKUP(C$3,$J$5:$M$11,3,FALSE)*$AA5)+(VLOOKUP(C$3,$J$5:$M$11,4,FALSE)*$AB5),(VLOOKUP(C$3,$J$5:$M$11,2,FALSE)*$R5)+(VLOOKUP(C$3,$J$5:$M$11,3,FALSE)*$S5)+(VLOOKUP(C$3,$J$5:$M$11,4,FALSE)*$T5))</f>
        <v>3.5875617733387424</v>
      </c>
      <c r="D4" s="85">
        <f t="shared" si="0"/>
        <v>3.6016720304866778</v>
      </c>
      <c r="E4" s="85">
        <f t="shared" si="0"/>
        <v>3.2381878689999128</v>
      </c>
      <c r="F4" s="85">
        <f>IF($K$13="Peak",(VLOOKUP(F$3,$J$5:$M$11,2,FALSE)*$Z5)+(VLOOKUP(F$3,$J$5:$M$11,3,FALSE)*$AA5)+(VLOOKUP(F$3,$J$5:$M$11,4,FALSE)*$AB5),(VLOOKUP(F$3,$J$5:$M$11,2,FALSE)*$R5)+(VLOOKUP(F$3,$J$5:$M$11,3,FALSE)*$S5)+(VLOOKUP(F$3,$J$5:$M$11,4,FALSE)*$T5))</f>
        <v>3.2381878689999128</v>
      </c>
      <c r="G4" s="85">
        <f t="shared" si="0"/>
        <v>3.6604369543418489</v>
      </c>
      <c r="H4" s="75">
        <f t="shared" si="0"/>
        <v>3.3368983264902576</v>
      </c>
      <c r="J4" s="13"/>
      <c r="K4" s="12" t="s">
        <v>35</v>
      </c>
      <c r="L4" s="12" t="s">
        <v>37</v>
      </c>
      <c r="M4" s="12" t="s">
        <v>36</v>
      </c>
      <c r="N4" s="12"/>
      <c r="O4" s="27"/>
      <c r="P4" s="78"/>
      <c r="Q4" s="1"/>
      <c r="R4" s="12" t="s">
        <v>35</v>
      </c>
      <c r="S4" s="12" t="s">
        <v>37</v>
      </c>
      <c r="T4" s="12" t="s">
        <v>36</v>
      </c>
      <c r="U4" s="2"/>
      <c r="V4" s="2"/>
      <c r="W4" s="37"/>
      <c r="Y4" s="1"/>
      <c r="Z4" s="12" t="s">
        <v>35</v>
      </c>
      <c r="AA4" s="12" t="s">
        <v>37</v>
      </c>
      <c r="AB4" s="12" t="s">
        <v>36</v>
      </c>
      <c r="AC4" s="2"/>
      <c r="AD4" s="2"/>
      <c r="AE4" s="37"/>
    </row>
    <row r="5" spans="1:31" x14ac:dyDescent="0.25">
      <c r="A5" s="74">
        <v>2022</v>
      </c>
      <c r="B5" s="85">
        <f t="shared" ref="B5:B23" si="1">IF($K$13="Peak",(VLOOKUP(B$3,$J$5:$M$11,2,FALSE)*$Z6)+(VLOOKUP(B$3,$J$5:$M$11,3,FALSE)*$AA6)+(VLOOKUP(B$3,$J$5:$M$11,4,FALSE)*$AB6),(VLOOKUP(B$3,$J$5:$M$11,2,FALSE)*$R6)+(VLOOKUP(B$3,$J$5:$M$11,3,FALSE)*$S6)+(VLOOKUP(B$3,$J$5:$M$11,4,FALSE)*$T6))</f>
        <v>3.1963555534588006</v>
      </c>
      <c r="C5" s="85">
        <f t="shared" ref="C5:C23" si="2">IF($K$13="Peak",(VLOOKUP(C$3,$J$5:$M$11,2,FALSE)*$Z6)+(VLOOKUP(C$3,$J$5:$M$11,3,FALSE)*$AA6)+(VLOOKUP(C$3,$J$5:$M$11,4,FALSE)*$AB6),(VLOOKUP(C$3,$J$5:$M$11,2,FALSE)*$R6)+(VLOOKUP(C$3,$J$5:$M$11,3,FALSE)*$S6)+(VLOOKUP(C$3,$J$5:$M$11,4,FALSE)*$T6))</f>
        <v>3.1554155569341278</v>
      </c>
      <c r="D5" s="85">
        <f t="shared" ref="D5:D23" si="3">IF($K$13="Peak",(VLOOKUP(D$3,$J$5:$M$11,2,FALSE)*$Z6)+(VLOOKUP(D$3,$J$5:$M$11,3,FALSE)*$AA6)+(VLOOKUP(D$3,$J$5:$M$11,4,FALSE)*$AB6),(VLOOKUP(D$3,$J$5:$M$11,2,FALSE)*$R6)+(VLOOKUP(D$3,$J$5:$M$11,3,FALSE)*$S6)+(VLOOKUP(D$3,$J$5:$M$11,4,FALSE)*$T6))</f>
        <v>3.1627456441460198</v>
      </c>
      <c r="E5" s="85">
        <f t="shared" ref="E5:E23" si="4">IF($K$13="Peak",(VLOOKUP(E$3,$J$5:$M$11,2,FALSE)*$Z6)+(VLOOKUP(E$3,$J$5:$M$11,3,FALSE)*$AA6)+(VLOOKUP(E$3,$J$5:$M$11,4,FALSE)*$AB6),(VLOOKUP(E$3,$J$5:$M$11,2,FALSE)*$R6)+(VLOOKUP(E$3,$J$5:$M$11,3,FALSE)*$S6)+(VLOOKUP(E$3,$J$5:$M$11,4,FALSE)*$T6))</f>
        <v>2.895741362373633</v>
      </c>
      <c r="F5" s="85">
        <f t="shared" ref="F5:F23" si="5">IF($K$13="Peak",(VLOOKUP(F$3,$J$5:$M$11,2,FALSE)*$Z6)+(VLOOKUP(F$3,$J$5:$M$11,3,FALSE)*$AA6)+(VLOOKUP(F$3,$J$5:$M$11,4,FALSE)*$AB6),(VLOOKUP(F$3,$J$5:$M$11,2,FALSE)*$R6)+(VLOOKUP(F$3,$J$5:$M$11,3,FALSE)*$S6)+(VLOOKUP(F$3,$J$5:$M$11,4,FALSE)*$T6))</f>
        <v>2.895741362373633</v>
      </c>
      <c r="G5" s="85">
        <f t="shared" ref="G5:G23" si="6">IF($K$13="Peak",(VLOOKUP(G$3,$J$5:$M$11,2,FALSE)*$Z6)+(VLOOKUP(G$3,$J$5:$M$11,3,FALSE)*$AA6)+(VLOOKUP(G$3,$J$5:$M$11,4,FALSE)*$AB6),(VLOOKUP(G$3,$J$5:$M$11,2,FALSE)*$R6)+(VLOOKUP(G$3,$J$5:$M$11,3,FALSE)*$S6)+(VLOOKUP(G$3,$J$5:$M$11,4,FALSE)*$T6))</f>
        <v>3.1932732250641056</v>
      </c>
      <c r="H5" s="75">
        <f t="shared" ref="H5:H23" si="7">IF($K$13="Peak",(VLOOKUP(H$3,$J$5:$M$11,2,FALSE)*$Z6)+(VLOOKUP(H$3,$J$5:$M$11,3,FALSE)*$AA6)+(VLOOKUP(H$3,$J$5:$M$11,4,FALSE)*$AB6),(VLOOKUP(H$3,$J$5:$M$11,2,FALSE)*$R6)+(VLOOKUP(H$3,$J$5:$M$11,3,FALSE)*$S6)+(VLOOKUP(H$3,$J$5:$M$11,4,FALSE)*$T6))</f>
        <v>2.9584770589972189</v>
      </c>
      <c r="J5" s="15" t="s">
        <v>27</v>
      </c>
      <c r="K5" s="8">
        <v>0</v>
      </c>
      <c r="L5" s="8">
        <v>0.40908289415237914</v>
      </c>
      <c r="M5" s="8">
        <v>0.59091710584762092</v>
      </c>
      <c r="N5" s="12"/>
      <c r="O5" s="27"/>
      <c r="P5" s="78"/>
      <c r="Q5" s="15">
        <v>2021</v>
      </c>
      <c r="R5" s="8">
        <v>1.8125198426413895</v>
      </c>
      <c r="S5" s="8">
        <v>2.6428061928405895</v>
      </c>
      <c r="T5" s="8">
        <v>3.1138721296391596</v>
      </c>
      <c r="U5" s="2"/>
      <c r="V5" s="2"/>
      <c r="W5" s="37"/>
      <c r="Y5" s="15">
        <v>2021</v>
      </c>
      <c r="Z5" s="8">
        <v>2.0299999999999998</v>
      </c>
      <c r="AA5" s="8">
        <v>3.17</v>
      </c>
      <c r="AB5" s="8">
        <v>4.01</v>
      </c>
      <c r="AC5" s="2"/>
      <c r="AD5" s="2"/>
      <c r="AE5" s="37"/>
    </row>
    <row r="6" spans="1:31" x14ac:dyDescent="0.25">
      <c r="A6" s="74">
        <v>2023</v>
      </c>
      <c r="B6" s="85">
        <f t="shared" si="1"/>
        <v>2.8725653858152107</v>
      </c>
      <c r="C6" s="85">
        <f t="shared" si="2"/>
        <v>2.8540333280205017</v>
      </c>
      <c r="D6" s="85">
        <f t="shared" si="3"/>
        <v>2.8573513937601795</v>
      </c>
      <c r="E6" s="85">
        <f t="shared" si="4"/>
        <v>2.6593194110768907</v>
      </c>
      <c r="F6" s="85">
        <f t="shared" si="5"/>
        <v>2.6593194110768907</v>
      </c>
      <c r="G6" s="85">
        <f t="shared" si="6"/>
        <v>2.8711701270755494</v>
      </c>
      <c r="H6" s="75">
        <f t="shared" si="7"/>
        <v>2.6990264761306704</v>
      </c>
      <c r="J6" s="15" t="s">
        <v>28</v>
      </c>
      <c r="K6" s="8">
        <v>0</v>
      </c>
      <c r="L6" s="8">
        <v>0.50290265078721119</v>
      </c>
      <c r="M6" s="8">
        <v>0.49709734921278881</v>
      </c>
      <c r="N6" s="12"/>
      <c r="O6" s="27"/>
      <c r="P6" s="78"/>
      <c r="Q6" s="15">
        <v>2022</v>
      </c>
      <c r="R6" s="8">
        <v>1.809541431002694</v>
      </c>
      <c r="S6" s="8">
        <v>2.5332040114589267</v>
      </c>
      <c r="T6" s="8">
        <v>2.6373849997566139</v>
      </c>
      <c r="U6" s="2"/>
      <c r="V6" s="2"/>
      <c r="W6" s="37"/>
      <c r="Y6" s="15">
        <v>2022</v>
      </c>
      <c r="Z6" s="8">
        <v>1.9947131077094886</v>
      </c>
      <c r="AA6" s="8">
        <v>2.9384978790466545</v>
      </c>
      <c r="AB6" s="8">
        <v>3.3748664861836417</v>
      </c>
      <c r="AC6" s="2"/>
      <c r="AD6" s="2"/>
      <c r="AE6" s="37"/>
    </row>
    <row r="7" spans="1:31" x14ac:dyDescent="0.25">
      <c r="A7" s="74">
        <v>2024</v>
      </c>
      <c r="B7" s="85">
        <f t="shared" si="1"/>
        <v>3.0420024452391585</v>
      </c>
      <c r="C7" s="85">
        <f t="shared" si="2"/>
        <v>3.0137714154489612</v>
      </c>
      <c r="D7" s="85">
        <f t="shared" si="3"/>
        <v>3.0188260302025056</v>
      </c>
      <c r="E7" s="85">
        <f t="shared" si="4"/>
        <v>2.8037307092111439</v>
      </c>
      <c r="F7" s="85">
        <f t="shared" si="5"/>
        <v>2.8037307092111439</v>
      </c>
      <c r="G7" s="85">
        <f t="shared" si="6"/>
        <v>3.039876961308515</v>
      </c>
      <c r="H7" s="75">
        <f t="shared" si="7"/>
        <v>2.8515310077895162</v>
      </c>
      <c r="J7" s="15" t="s">
        <v>29</v>
      </c>
      <c r="K7" s="8">
        <v>0</v>
      </c>
      <c r="L7" s="8">
        <v>0.48610472561109702</v>
      </c>
      <c r="M7" s="8">
        <v>0.51389527438890292</v>
      </c>
      <c r="N7" s="12"/>
      <c r="O7" s="27"/>
      <c r="P7" s="78"/>
      <c r="Q7" s="15">
        <v>2023</v>
      </c>
      <c r="R7" s="8">
        <v>1.8769770356130757</v>
      </c>
      <c r="S7" s="8">
        <v>2.530982377174396</v>
      </c>
      <c r="T7" s="8">
        <v>2.489635679426395</v>
      </c>
      <c r="U7" s="2"/>
      <c r="V7" s="2"/>
      <c r="W7" s="37"/>
      <c r="Y7" s="15">
        <v>2023</v>
      </c>
      <c r="Z7" s="8">
        <v>1.9815987749205051</v>
      </c>
      <c r="AA7" s="8">
        <v>2.7558425296680387</v>
      </c>
      <c r="AB7" s="8">
        <v>2.9533708377709882</v>
      </c>
      <c r="AC7" s="2"/>
      <c r="AD7" s="2"/>
      <c r="AE7" s="37"/>
    </row>
    <row r="8" spans="1:31" x14ac:dyDescent="0.25">
      <c r="A8" s="74">
        <v>2025</v>
      </c>
      <c r="B8" s="85">
        <f t="shared" si="1"/>
        <v>3.2704547227972678</v>
      </c>
      <c r="C8" s="85">
        <f t="shared" si="2"/>
        <v>3.2271945440133685</v>
      </c>
      <c r="D8" s="85">
        <f t="shared" si="3"/>
        <v>3.2349400474380432</v>
      </c>
      <c r="E8" s="85">
        <f t="shared" si="4"/>
        <v>2.9976515239222286</v>
      </c>
      <c r="F8" s="85">
        <f t="shared" si="5"/>
        <v>2.9976515239222286</v>
      </c>
      <c r="G8" s="85">
        <f t="shared" si="6"/>
        <v>3.2671977103706835</v>
      </c>
      <c r="H8" s="75">
        <f t="shared" si="7"/>
        <v>3.0573703246041637</v>
      </c>
      <c r="J8" s="15" t="s">
        <v>30</v>
      </c>
      <c r="K8" s="8">
        <v>0.22237147071914926</v>
      </c>
      <c r="L8" s="8">
        <v>0.39466264163829928</v>
      </c>
      <c r="M8" s="8">
        <v>0.38296588764255141</v>
      </c>
      <c r="N8" s="12"/>
      <c r="O8" s="27"/>
      <c r="P8" s="78"/>
      <c r="Q8" s="15">
        <v>2024</v>
      </c>
      <c r="R8" s="8">
        <v>1.9615470361788501</v>
      </c>
      <c r="S8" s="8">
        <v>2.6051770997560615</v>
      </c>
      <c r="T8" s="8">
        <v>2.6172275198223049</v>
      </c>
      <c r="U8" s="2"/>
      <c r="V8" s="2"/>
      <c r="W8" s="37"/>
      <c r="Y8" s="15">
        <v>2024</v>
      </c>
      <c r="Z8" s="8">
        <v>2.0740821191892755</v>
      </c>
      <c r="AA8" s="8">
        <v>2.8641912995158507</v>
      </c>
      <c r="AB8" s="8">
        <v>3.1650983877752989</v>
      </c>
      <c r="AC8" s="2"/>
      <c r="AD8" s="2"/>
      <c r="AE8" s="37"/>
    </row>
    <row r="9" spans="1:31" x14ac:dyDescent="0.25">
      <c r="A9" s="74">
        <v>2026</v>
      </c>
      <c r="B9" s="85">
        <f t="shared" si="1"/>
        <v>3.4197741581695844</v>
      </c>
      <c r="C9" s="85">
        <f t="shared" si="2"/>
        <v>3.3718764957630971</v>
      </c>
      <c r="D9" s="85">
        <f t="shared" si="3"/>
        <v>3.3804523158043551</v>
      </c>
      <c r="E9" s="85">
        <f t="shared" si="4"/>
        <v>3.1383330569065233</v>
      </c>
      <c r="F9" s="85">
        <f t="shared" si="5"/>
        <v>3.1383330569065233</v>
      </c>
      <c r="G9" s="85">
        <f t="shared" si="6"/>
        <v>3.4161679945787782</v>
      </c>
      <c r="H9" s="75">
        <f t="shared" si="7"/>
        <v>3.2014338669657523</v>
      </c>
      <c r="J9" s="15" t="s">
        <v>31</v>
      </c>
      <c r="K9" s="8">
        <v>0.22237147071914926</v>
      </c>
      <c r="L9" s="8">
        <v>0.39466264163829928</v>
      </c>
      <c r="M9" s="8">
        <v>0.38296588764255141</v>
      </c>
      <c r="N9" s="12"/>
      <c r="O9" s="27"/>
      <c r="P9" s="78"/>
      <c r="Q9" s="15">
        <v>2025</v>
      </c>
      <c r="R9" s="8">
        <v>2.0752837250357121</v>
      </c>
      <c r="S9" s="8">
        <v>2.7241486884176647</v>
      </c>
      <c r="T9" s="8">
        <v>2.9271535346519366</v>
      </c>
      <c r="U9" s="2"/>
      <c r="V9" s="2"/>
      <c r="W9" s="37"/>
      <c r="Y9" s="15">
        <v>2025</v>
      </c>
      <c r="Z9" s="8">
        <v>2.2023907571761483</v>
      </c>
      <c r="AA9" s="8">
        <v>2.99798354441924</v>
      </c>
      <c r="AB9" s="8">
        <v>3.4590823612950703</v>
      </c>
      <c r="AC9" s="2"/>
      <c r="AD9" s="2"/>
      <c r="AE9" s="37"/>
    </row>
    <row r="10" spans="1:31" x14ac:dyDescent="0.25">
      <c r="A10" s="74">
        <v>2027</v>
      </c>
      <c r="B10" s="85">
        <f t="shared" si="1"/>
        <v>3.4710398301079168</v>
      </c>
      <c r="C10" s="85">
        <f t="shared" si="2"/>
        <v>3.4269489845235688</v>
      </c>
      <c r="D10" s="85">
        <f t="shared" si="3"/>
        <v>3.4348432143920191</v>
      </c>
      <c r="E10" s="85">
        <f t="shared" si="4"/>
        <v>3.1981340162494898</v>
      </c>
      <c r="F10" s="85">
        <f t="shared" si="5"/>
        <v>3.1981340162494898</v>
      </c>
      <c r="G10" s="85">
        <f t="shared" si="6"/>
        <v>3.4677202776695371</v>
      </c>
      <c r="H10" s="75">
        <f t="shared" si="7"/>
        <v>3.258246899597447</v>
      </c>
      <c r="J10" s="15" t="s">
        <v>32</v>
      </c>
      <c r="K10" s="8">
        <v>0</v>
      </c>
      <c r="L10" s="8">
        <v>0.41614648292637035</v>
      </c>
      <c r="M10" s="8">
        <v>0.58385351707362976</v>
      </c>
      <c r="N10" s="12"/>
      <c r="O10" s="27"/>
      <c r="P10" s="78"/>
      <c r="Q10" s="15">
        <v>2026</v>
      </c>
      <c r="R10" s="8">
        <v>2.2056967679324138</v>
      </c>
      <c r="S10" s="8">
        <v>2.856263706412113</v>
      </c>
      <c r="T10" s="8">
        <v>3.1493129385839129</v>
      </c>
      <c r="U10" s="2"/>
      <c r="V10" s="2"/>
      <c r="W10" s="37"/>
      <c r="Y10" s="15">
        <v>2026</v>
      </c>
      <c r="Z10" s="8">
        <v>2.3298811729892606</v>
      </c>
      <c r="AA10" s="8">
        <v>3.1180941169787753</v>
      </c>
      <c r="AB10" s="8">
        <v>3.6286226466243581</v>
      </c>
      <c r="AC10" s="2"/>
      <c r="AD10" s="2"/>
      <c r="AE10" s="37"/>
    </row>
    <row r="11" spans="1:31" x14ac:dyDescent="0.25">
      <c r="A11" s="74">
        <v>2028</v>
      </c>
      <c r="B11" s="85">
        <f t="shared" si="1"/>
        <v>3.431118385066545</v>
      </c>
      <c r="C11" s="85">
        <f t="shared" si="2"/>
        <v>3.3951788540931553</v>
      </c>
      <c r="D11" s="85">
        <f t="shared" si="3"/>
        <v>3.4016136347172985</v>
      </c>
      <c r="E11" s="85">
        <f t="shared" si="4"/>
        <v>3.1448924272782017</v>
      </c>
      <c r="F11" s="85">
        <f t="shared" si="5"/>
        <v>3.1448924272782017</v>
      </c>
      <c r="G11" s="85">
        <f t="shared" si="6"/>
        <v>3.4284125363558711</v>
      </c>
      <c r="H11" s="75">
        <f t="shared" si="7"/>
        <v>3.203237785134232</v>
      </c>
      <c r="J11" s="15" t="s">
        <v>33</v>
      </c>
      <c r="K11" s="8">
        <v>0.18978352190384595</v>
      </c>
      <c r="L11" s="8">
        <v>0.35396464302396091</v>
      </c>
      <c r="M11" s="8">
        <v>0.45625183507219313</v>
      </c>
      <c r="N11" s="12"/>
      <c r="O11" s="27"/>
      <c r="P11" s="78"/>
      <c r="Q11" s="15">
        <v>2027</v>
      </c>
      <c r="R11" s="8">
        <v>2.2440358238012079</v>
      </c>
      <c r="S11" s="8">
        <v>2.9365141236523762</v>
      </c>
      <c r="T11" s="8">
        <v>3.2087448865245198</v>
      </c>
      <c r="U11" s="2"/>
      <c r="V11" s="2"/>
      <c r="W11" s="37"/>
      <c r="Y11" s="15">
        <v>2027</v>
      </c>
      <c r="Z11" s="8">
        <v>2.4055622175352109</v>
      </c>
      <c r="AA11" s="8">
        <v>3.193336755599999</v>
      </c>
      <c r="AB11" s="8">
        <v>3.6632894304503507</v>
      </c>
      <c r="AC11" s="2"/>
      <c r="AD11" s="2"/>
      <c r="AE11" s="37"/>
    </row>
    <row r="12" spans="1:31" x14ac:dyDescent="0.25">
      <c r="A12" s="74">
        <v>2029</v>
      </c>
      <c r="B12" s="85">
        <f t="shared" si="1"/>
        <v>3.5038268843672085</v>
      </c>
      <c r="C12" s="85">
        <f t="shared" si="2"/>
        <v>3.469692630157545</v>
      </c>
      <c r="D12" s="85">
        <f t="shared" si="3"/>
        <v>3.4758041856414081</v>
      </c>
      <c r="E12" s="85">
        <f t="shared" si="4"/>
        <v>3.2125174594707957</v>
      </c>
      <c r="F12" s="85">
        <f t="shared" si="5"/>
        <v>3.2125174594707957</v>
      </c>
      <c r="G12" s="85">
        <f t="shared" si="6"/>
        <v>3.5012569530063509</v>
      </c>
      <c r="H12" s="75">
        <f t="shared" si="7"/>
        <v>3.2707840132642443</v>
      </c>
      <c r="J12" s="1"/>
      <c r="K12" s="2"/>
      <c r="L12" s="2"/>
      <c r="M12" s="2"/>
      <c r="N12" s="2"/>
      <c r="O12" s="37"/>
      <c r="P12" s="78"/>
      <c r="Q12" s="15">
        <v>2028</v>
      </c>
      <c r="R12" s="8">
        <v>2.1457421018994971</v>
      </c>
      <c r="S12" s="8">
        <v>2.9302724700501539</v>
      </c>
      <c r="T12" s="8">
        <v>3.1468357408226941</v>
      </c>
      <c r="U12" s="2"/>
      <c r="V12" s="2"/>
      <c r="W12" s="37"/>
      <c r="Y12" s="15">
        <v>2028</v>
      </c>
      <c r="Z12" s="8">
        <v>2.2758322587101887</v>
      </c>
      <c r="AA12" s="8">
        <v>3.2047557894889782</v>
      </c>
      <c r="AB12" s="8">
        <v>3.5878257553733954</v>
      </c>
      <c r="AC12" s="2"/>
      <c r="AD12" s="2"/>
      <c r="AE12" s="37"/>
    </row>
    <row r="13" spans="1:31" ht="15.75" thickBot="1" x14ac:dyDescent="0.3">
      <c r="A13" s="74">
        <v>2030</v>
      </c>
      <c r="B13" s="85">
        <f t="shared" si="1"/>
        <v>3.5851199574280539</v>
      </c>
      <c r="C13" s="85">
        <f t="shared" si="2"/>
        <v>3.5522305901972504</v>
      </c>
      <c r="D13" s="85">
        <f t="shared" si="3"/>
        <v>3.5581192553318566</v>
      </c>
      <c r="E13" s="85">
        <f t="shared" si="4"/>
        <v>3.2923647081028746</v>
      </c>
      <c r="F13" s="85">
        <f t="shared" si="5"/>
        <v>3.2923647081028746</v>
      </c>
      <c r="G13" s="85">
        <f t="shared" si="6"/>
        <v>3.5826437522716135</v>
      </c>
      <c r="H13" s="75">
        <f t="shared" si="7"/>
        <v>3.3502750845384588</v>
      </c>
      <c r="J13" s="14" t="s">
        <v>40</v>
      </c>
      <c r="K13" s="10" t="s">
        <v>42</v>
      </c>
      <c r="L13" s="38"/>
      <c r="M13" s="38"/>
      <c r="N13" s="38"/>
      <c r="O13" s="39"/>
      <c r="P13" s="78"/>
      <c r="Q13" s="15">
        <v>2029</v>
      </c>
      <c r="R13" s="8">
        <v>2.1957462708612905</v>
      </c>
      <c r="S13" s="8">
        <v>3.0160876969014501</v>
      </c>
      <c r="T13" s="8">
        <v>3.2178549588723815</v>
      </c>
      <c r="U13" s="2"/>
      <c r="V13" s="2"/>
      <c r="W13" s="37"/>
      <c r="Y13" s="15">
        <v>2029</v>
      </c>
      <c r="Z13" s="8">
        <v>2.3190567445199841</v>
      </c>
      <c r="AA13" s="8">
        <v>3.2888346968863811</v>
      </c>
      <c r="AB13" s="8">
        <v>3.6526626946771019</v>
      </c>
      <c r="AC13" s="2"/>
      <c r="AD13" s="2"/>
      <c r="AE13" s="37"/>
    </row>
    <row r="14" spans="1:31" x14ac:dyDescent="0.25">
      <c r="A14" s="74">
        <v>2031</v>
      </c>
      <c r="B14" s="85">
        <f t="shared" si="1"/>
        <v>3.580557225625431</v>
      </c>
      <c r="C14" s="85">
        <f t="shared" si="2"/>
        <v>3.5476160037737907</v>
      </c>
      <c r="D14" s="85">
        <f t="shared" si="3"/>
        <v>3.5535139532006621</v>
      </c>
      <c r="E14" s="85">
        <f t="shared" si="4"/>
        <v>3.2930557488581336</v>
      </c>
      <c r="F14" s="85">
        <f t="shared" si="5"/>
        <v>3.2930557488581336</v>
      </c>
      <c r="G14" s="85">
        <f t="shared" si="6"/>
        <v>3.5780771163902467</v>
      </c>
      <c r="H14" s="75">
        <f t="shared" si="7"/>
        <v>3.3502198608482807</v>
      </c>
      <c r="P14" s="78"/>
      <c r="Q14" s="15">
        <v>2030</v>
      </c>
      <c r="R14" s="8">
        <v>2.2558156654782282</v>
      </c>
      <c r="S14" s="8">
        <v>3.0995264224156611</v>
      </c>
      <c r="T14" s="8">
        <v>3.2864488182131764</v>
      </c>
      <c r="U14" s="2"/>
      <c r="V14" s="2"/>
      <c r="W14" s="37"/>
      <c r="Y14" s="15">
        <v>2030</v>
      </c>
      <c r="Z14" s="8">
        <v>2.3892803431191298</v>
      </c>
      <c r="AA14" s="8">
        <v>3.377968602593155</v>
      </c>
      <c r="AB14" s="8">
        <v>3.7285276789593023</v>
      </c>
      <c r="AC14" s="2"/>
      <c r="AD14" s="2"/>
      <c r="AE14" s="37"/>
    </row>
    <row r="15" spans="1:31" x14ac:dyDescent="0.25">
      <c r="A15" s="74">
        <v>2032</v>
      </c>
      <c r="B15" s="85">
        <f t="shared" si="1"/>
        <v>3.6932100263007195</v>
      </c>
      <c r="C15" s="85">
        <f t="shared" si="2"/>
        <v>3.6584436059017147</v>
      </c>
      <c r="D15" s="85">
        <f t="shared" si="3"/>
        <v>3.6646683473575776</v>
      </c>
      <c r="E15" s="85">
        <f t="shared" si="4"/>
        <v>3.4019444327613497</v>
      </c>
      <c r="F15" s="85">
        <f t="shared" si="5"/>
        <v>3.4019444327613497</v>
      </c>
      <c r="G15" s="85">
        <f t="shared" si="6"/>
        <v>3.6905924998260131</v>
      </c>
      <c r="H15" s="75">
        <f t="shared" si="7"/>
        <v>3.4604930293329623</v>
      </c>
      <c r="P15" s="78"/>
      <c r="Q15" s="15">
        <v>2031</v>
      </c>
      <c r="R15" s="8">
        <v>2.2748439624723078</v>
      </c>
      <c r="S15" s="8">
        <v>3.1092790691880929</v>
      </c>
      <c r="T15" s="8">
        <v>3.2901418955231883</v>
      </c>
      <c r="U15" s="2"/>
      <c r="V15" s="2"/>
      <c r="W15" s="37"/>
      <c r="Y15" s="15">
        <v>2031</v>
      </c>
      <c r="Z15" s="8">
        <v>2.4085339805770096</v>
      </c>
      <c r="AA15" s="8">
        <v>3.3730792681263511</v>
      </c>
      <c r="AB15" s="8">
        <v>3.7241910491966759</v>
      </c>
      <c r="AC15" s="2"/>
      <c r="AD15" s="2"/>
      <c r="AE15" s="37"/>
    </row>
    <row r="16" spans="1:31" x14ac:dyDescent="0.25">
      <c r="A16" s="74">
        <v>2033</v>
      </c>
      <c r="B16" s="85">
        <f t="shared" si="1"/>
        <v>3.7846778863624295</v>
      </c>
      <c r="C16" s="85">
        <f t="shared" si="2"/>
        <v>3.7504388791794714</v>
      </c>
      <c r="D16" s="85">
        <f t="shared" si="3"/>
        <v>3.7565691901224252</v>
      </c>
      <c r="E16" s="85">
        <f t="shared" si="4"/>
        <v>3.4906070722504499</v>
      </c>
      <c r="F16" s="85">
        <f t="shared" si="5"/>
        <v>3.4906070722504499</v>
      </c>
      <c r="G16" s="85">
        <f t="shared" si="6"/>
        <v>3.7821000682626504</v>
      </c>
      <c r="H16" s="75">
        <f t="shared" si="7"/>
        <v>3.5493261005299903</v>
      </c>
      <c r="P16" s="78"/>
      <c r="Q16" s="15">
        <v>2032</v>
      </c>
      <c r="R16" s="8">
        <v>2.376993123149028</v>
      </c>
      <c r="S16" s="8">
        <v>3.2108123086746341</v>
      </c>
      <c r="T16" s="8">
        <v>3.405177426331174</v>
      </c>
      <c r="U16" s="2"/>
      <c r="V16" s="2"/>
      <c r="W16" s="37"/>
      <c r="Y16" s="15">
        <v>2032</v>
      </c>
      <c r="Z16" s="8">
        <v>2.5109564845096308</v>
      </c>
      <c r="AA16" s="8">
        <v>3.4742361847587526</v>
      </c>
      <c r="AB16" s="8">
        <v>3.8448022749515003</v>
      </c>
      <c r="AC16" s="2"/>
      <c r="AD16" s="2"/>
      <c r="AE16" s="37"/>
    </row>
    <row r="17" spans="1:31" x14ac:dyDescent="0.25">
      <c r="A17" s="74">
        <v>2034</v>
      </c>
      <c r="B17" s="85">
        <f t="shared" si="1"/>
        <v>3.7846674406199976</v>
      </c>
      <c r="C17" s="85">
        <f t="shared" si="2"/>
        <v>3.7531197320631282</v>
      </c>
      <c r="D17" s="85">
        <f t="shared" si="3"/>
        <v>3.7587681803945259</v>
      </c>
      <c r="E17" s="85">
        <f t="shared" si="4"/>
        <v>3.4935505124035657</v>
      </c>
      <c r="F17" s="85">
        <f t="shared" si="5"/>
        <v>3.4935505124035657</v>
      </c>
      <c r="G17" s="85">
        <f t="shared" si="6"/>
        <v>3.7822922475050258</v>
      </c>
      <c r="H17" s="75">
        <f t="shared" si="7"/>
        <v>3.5506085798801541</v>
      </c>
      <c r="P17" s="78"/>
      <c r="Q17" s="15">
        <v>2033</v>
      </c>
      <c r="R17" s="8">
        <v>2.4525466851376958</v>
      </c>
      <c r="S17" s="8">
        <v>3.3087694362927444</v>
      </c>
      <c r="T17" s="8">
        <v>3.5056583525454075</v>
      </c>
      <c r="U17" s="2"/>
      <c r="V17" s="2"/>
      <c r="W17" s="37"/>
      <c r="Y17" s="15">
        <v>2033</v>
      </c>
      <c r="Z17" s="8">
        <v>2.5878741856614802</v>
      </c>
      <c r="AA17" s="8">
        <v>3.5690259196834013</v>
      </c>
      <c r="AB17" s="8">
        <v>3.9339704517420788</v>
      </c>
      <c r="AC17" s="2"/>
      <c r="AD17" s="2"/>
      <c r="AE17" s="37"/>
    </row>
    <row r="18" spans="1:31" x14ac:dyDescent="0.25">
      <c r="A18" s="74">
        <v>2035</v>
      </c>
      <c r="B18" s="85">
        <f t="shared" si="1"/>
        <v>3.8751566155617705</v>
      </c>
      <c r="C18" s="85">
        <f t="shared" si="2"/>
        <v>3.8492176718787512</v>
      </c>
      <c r="D18" s="85">
        <f t="shared" si="3"/>
        <v>3.8538619008851289</v>
      </c>
      <c r="E18" s="85">
        <f t="shared" si="4"/>
        <v>3.5770623252293099</v>
      </c>
      <c r="F18" s="85">
        <f t="shared" si="5"/>
        <v>3.5770623252293099</v>
      </c>
      <c r="G18" s="85">
        <f t="shared" si="6"/>
        <v>3.8732037003338866</v>
      </c>
      <c r="H18" s="75">
        <f t="shared" si="7"/>
        <v>3.6325835498706458</v>
      </c>
      <c r="P18" s="78"/>
      <c r="Q18" s="15">
        <v>2034</v>
      </c>
      <c r="R18" s="8">
        <v>2.449414905539113</v>
      </c>
      <c r="S18" s="8">
        <v>3.3258538681484042</v>
      </c>
      <c r="T18" s="8">
        <v>3.4974534596062949</v>
      </c>
      <c r="U18" s="2"/>
      <c r="V18" s="2"/>
      <c r="W18" s="37"/>
      <c r="Y18" s="15">
        <v>2034</v>
      </c>
      <c r="Z18" s="8">
        <v>2.5912726255594558</v>
      </c>
      <c r="AA18" s="8">
        <v>3.5859664281124859</v>
      </c>
      <c r="AB18" s="8">
        <v>3.922225119122102</v>
      </c>
      <c r="AC18" s="2"/>
      <c r="AD18" s="2"/>
      <c r="AE18" s="37"/>
    </row>
    <row r="19" spans="1:31" x14ac:dyDescent="0.25">
      <c r="A19" s="74">
        <v>2036</v>
      </c>
      <c r="B19" s="85">
        <f t="shared" si="1"/>
        <v>3.932991739568823</v>
      </c>
      <c r="C19" s="85">
        <f t="shared" si="2"/>
        <v>3.9087736371412314</v>
      </c>
      <c r="D19" s="85">
        <f t="shared" si="3"/>
        <v>3.9131097587330785</v>
      </c>
      <c r="E19" s="85">
        <f t="shared" si="4"/>
        <v>3.6345014727326803</v>
      </c>
      <c r="F19" s="85">
        <f t="shared" si="5"/>
        <v>3.6345014727326803</v>
      </c>
      <c r="G19" s="85">
        <f t="shared" si="6"/>
        <v>3.9311683846319658</v>
      </c>
      <c r="H19" s="75">
        <f t="shared" si="7"/>
        <v>3.6892954830913638</v>
      </c>
      <c r="P19" s="78"/>
      <c r="Q19" s="15">
        <v>2035</v>
      </c>
      <c r="R19" s="8">
        <v>2.4983812262224849</v>
      </c>
      <c r="S19" s="8">
        <v>3.4415301681871169</v>
      </c>
      <c r="T19" s="8">
        <v>3.5546402531527557</v>
      </c>
      <c r="U19" s="2"/>
      <c r="V19" s="2"/>
      <c r="W19" s="37"/>
      <c r="Y19" s="15">
        <v>2035</v>
      </c>
      <c r="Z19" s="8">
        <v>2.6298055509583973</v>
      </c>
      <c r="AA19" s="8">
        <v>3.7117820121765446</v>
      </c>
      <c r="AB19" s="8">
        <v>3.9882583601591923</v>
      </c>
      <c r="AC19" s="2"/>
      <c r="AD19" s="2"/>
      <c r="AE19" s="37"/>
    </row>
    <row r="20" spans="1:31" x14ac:dyDescent="0.25">
      <c r="A20" s="74">
        <v>2037</v>
      </c>
      <c r="B20" s="85">
        <f t="shared" si="1"/>
        <v>4.0174850818341667</v>
      </c>
      <c r="C20" s="85">
        <f t="shared" si="2"/>
        <v>3.9843621546913166</v>
      </c>
      <c r="D20" s="85">
        <f t="shared" si="3"/>
        <v>3.990292637477848</v>
      </c>
      <c r="E20" s="85">
        <f t="shared" si="4"/>
        <v>3.7178324677209704</v>
      </c>
      <c r="F20" s="85">
        <f t="shared" si="5"/>
        <v>3.7178324677209704</v>
      </c>
      <c r="G20" s="85">
        <f t="shared" si="6"/>
        <v>4.0149912922026436</v>
      </c>
      <c r="H20" s="75">
        <f t="shared" si="7"/>
        <v>3.7768602112669556</v>
      </c>
      <c r="P20" s="78"/>
      <c r="Q20" s="15">
        <v>2036</v>
      </c>
      <c r="R20" s="8">
        <v>2.5426072506223574</v>
      </c>
      <c r="S20" s="8">
        <v>3.5078815785087731</v>
      </c>
      <c r="T20" s="8">
        <v>3.6069511857174934</v>
      </c>
      <c r="U20" s="2"/>
      <c r="V20" s="2"/>
      <c r="W20" s="37"/>
      <c r="Y20" s="15">
        <v>2036</v>
      </c>
      <c r="Z20" s="8">
        <v>2.6795460152248252</v>
      </c>
      <c r="AA20" s="8">
        <v>3.7804557331993456</v>
      </c>
      <c r="AB20" s="8">
        <v>4.0385900888644723</v>
      </c>
      <c r="AC20" s="2"/>
      <c r="AD20" s="2"/>
      <c r="AE20" s="37"/>
    </row>
    <row r="21" spans="1:31" x14ac:dyDescent="0.25">
      <c r="A21" s="74">
        <v>2038</v>
      </c>
      <c r="B21" s="85">
        <f t="shared" si="1"/>
        <v>4.1476191354371483</v>
      </c>
      <c r="C21" s="85">
        <f t="shared" si="2"/>
        <v>4.1127347922945532</v>
      </c>
      <c r="D21" s="85">
        <f t="shared" si="3"/>
        <v>4.1189806471863752</v>
      </c>
      <c r="E21" s="85">
        <f t="shared" si="4"/>
        <v>3.8446108611382908</v>
      </c>
      <c r="F21" s="85">
        <f t="shared" si="5"/>
        <v>3.8446108611382908</v>
      </c>
      <c r="G21" s="85">
        <f t="shared" si="6"/>
        <v>4.1449927306856509</v>
      </c>
      <c r="H21" s="75">
        <f t="shared" si="7"/>
        <v>3.9049341261813475</v>
      </c>
      <c r="P21" s="78"/>
      <c r="Q21" s="15">
        <v>2037</v>
      </c>
      <c r="R21" s="8">
        <v>2.6033136681141031</v>
      </c>
      <c r="S21" s="8">
        <v>3.5320475568902632</v>
      </c>
      <c r="T21" s="8">
        <v>3.6495104460662615</v>
      </c>
      <c r="U21" s="2"/>
      <c r="V21" s="2"/>
      <c r="W21" s="37"/>
      <c r="Y21" s="15">
        <v>2037</v>
      </c>
      <c r="Z21" s="8">
        <v>2.7914851155342069</v>
      </c>
      <c r="AA21" s="8">
        <v>3.8088626664015974</v>
      </c>
      <c r="AB21" s="8">
        <v>4.1619111961667281</v>
      </c>
      <c r="AC21" s="2"/>
      <c r="AD21" s="2"/>
      <c r="AE21" s="37"/>
    </row>
    <row r="22" spans="1:31" x14ac:dyDescent="0.25">
      <c r="A22" s="74">
        <v>2039</v>
      </c>
      <c r="B22" s="85">
        <f t="shared" si="1"/>
        <v>4.292668215398856</v>
      </c>
      <c r="C22" s="85">
        <f t="shared" si="2"/>
        <v>4.2554282011690141</v>
      </c>
      <c r="D22" s="85">
        <f t="shared" si="3"/>
        <v>4.2620958263582915</v>
      </c>
      <c r="E22" s="85">
        <f t="shared" si="4"/>
        <v>3.986899304029845</v>
      </c>
      <c r="F22" s="85">
        <f t="shared" si="5"/>
        <v>3.986899304029845</v>
      </c>
      <c r="G22" s="85">
        <f t="shared" si="6"/>
        <v>4.2898644546996998</v>
      </c>
      <c r="H22" s="75">
        <f t="shared" si="7"/>
        <v>4.0487020583004982</v>
      </c>
      <c r="P22" s="78"/>
      <c r="Q22" s="15">
        <v>2038</v>
      </c>
      <c r="R22" s="8">
        <v>2.7448475031121435</v>
      </c>
      <c r="S22" s="8">
        <v>3.6460914217968128</v>
      </c>
      <c r="T22" s="8">
        <v>3.8125390031818904</v>
      </c>
      <c r="U22" s="2"/>
      <c r="V22" s="2"/>
      <c r="W22" s="37"/>
      <c r="Y22" s="15">
        <v>2038</v>
      </c>
      <c r="Z22" s="8">
        <v>2.9129916680013377</v>
      </c>
      <c r="AA22" s="8">
        <v>3.9279025658296289</v>
      </c>
      <c r="AB22" s="8">
        <v>4.299725563392637</v>
      </c>
      <c r="AC22" s="2"/>
      <c r="AD22" s="2"/>
      <c r="AE22" s="37"/>
    </row>
    <row r="23" spans="1:31" ht="15.75" thickBot="1" x14ac:dyDescent="0.3">
      <c r="A23" s="64">
        <v>2040</v>
      </c>
      <c r="B23" s="86">
        <f t="shared" si="1"/>
        <v>4.3572296851222889</v>
      </c>
      <c r="C23" s="86">
        <f t="shared" si="2"/>
        <v>4.3214829197128575</v>
      </c>
      <c r="D23" s="86">
        <f t="shared" si="3"/>
        <v>4.3278831866947138</v>
      </c>
      <c r="E23" s="86">
        <f t="shared" si="4"/>
        <v>4.0542845522854947</v>
      </c>
      <c r="F23" s="86">
        <f t="shared" si="5"/>
        <v>4.0542845522854947</v>
      </c>
      <c r="G23" s="86">
        <f t="shared" si="6"/>
        <v>4.3545383495240166</v>
      </c>
      <c r="H23" s="76">
        <f t="shared" si="7"/>
        <v>4.1149920992845352</v>
      </c>
      <c r="P23" s="78"/>
      <c r="Q23" s="15">
        <v>2039</v>
      </c>
      <c r="R23" s="8">
        <v>2.8927285603104202</v>
      </c>
      <c r="S23" s="8">
        <v>3.7694703846583915</v>
      </c>
      <c r="T23" s="8">
        <v>3.9742272041594027</v>
      </c>
      <c r="U23" s="2"/>
      <c r="V23" s="2"/>
      <c r="W23" s="37"/>
      <c r="Y23" s="15">
        <v>2039</v>
      </c>
      <c r="Z23" s="8">
        <v>3.0542694429320649</v>
      </c>
      <c r="AA23" s="8">
        <v>4.0581146179505714</v>
      </c>
      <c r="AB23" s="8">
        <v>4.4550460912945979</v>
      </c>
      <c r="AC23" s="2"/>
      <c r="AD23" s="2"/>
      <c r="AE23" s="37"/>
    </row>
    <row r="24" spans="1:31" ht="15.75" thickBot="1" x14ac:dyDescent="0.3">
      <c r="P24" s="78"/>
      <c r="Q24" s="16">
        <v>2040</v>
      </c>
      <c r="R24" s="10">
        <v>2.9863063248533721</v>
      </c>
      <c r="S24" s="10">
        <v>3.8536044898755719</v>
      </c>
      <c r="T24" s="10">
        <v>4.0573309025083271</v>
      </c>
      <c r="U24" s="38"/>
      <c r="V24" s="38"/>
      <c r="W24" s="39"/>
      <c r="Y24" s="16">
        <v>2040</v>
      </c>
      <c r="Z24" s="10">
        <v>3.1260504885148883</v>
      </c>
      <c r="AA24" s="10">
        <v>4.1320812098243609</v>
      </c>
      <c r="AB24" s="10">
        <v>4.5130965384887283</v>
      </c>
      <c r="AC24" s="38"/>
      <c r="AD24" s="38"/>
      <c r="AE24" s="39"/>
    </row>
    <row r="31" spans="1:31" hidden="1" x14ac:dyDescent="0.25">
      <c r="A31" t="s">
        <v>41</v>
      </c>
    </row>
    <row r="32" spans="1:31" hidden="1" x14ac:dyDescent="0.25">
      <c r="A32" t="s">
        <v>42</v>
      </c>
    </row>
  </sheetData>
  <mergeCells count="5">
    <mergeCell ref="Q3:W3"/>
    <mergeCell ref="Y3:AE3"/>
    <mergeCell ref="J3:O3"/>
    <mergeCell ref="A1:O2"/>
    <mergeCell ref="Q1:AE2"/>
  </mergeCells>
  <dataValidations count="1">
    <dataValidation type="list" allowBlank="1" showInputMessage="1" showErrorMessage="1" sqref="K13" xr:uid="{C69055BE-07C2-49B7-9DB2-1F80270B337B}">
      <formula1>$A$31:$A$32</formula1>
    </dataValidation>
  </dataValidations>
  <pageMargins left="0.7" right="0.7" top="0.75" bottom="0.75" header="0.3" footer="0.3"/>
  <pageSetup scale="62" orientation="portrait" r:id="rId1"/>
  <colBreaks count="1" manualBreakCount="1">
    <brk id="1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50FFF-AC0F-40DA-9162-263049C7FC2B}">
  <sheetPr>
    <tabColor rgb="FFFFC000"/>
  </sheetPr>
  <dimension ref="A1:AD38"/>
  <sheetViews>
    <sheetView view="pageBreakPreview" zoomScale="118" zoomScaleNormal="100" zoomScaleSheetLayoutView="118" workbookViewId="0">
      <selection sqref="A1:F3"/>
    </sheetView>
  </sheetViews>
  <sheetFormatPr defaultRowHeight="15" x14ac:dyDescent="0.25"/>
  <cols>
    <col min="2" max="2" width="10.85546875" bestFit="1" customWidth="1"/>
    <col min="5" max="5" width="8.7109375" style="45" customWidth="1"/>
    <col min="6" max="6" width="8.7109375" style="78"/>
    <col min="11" max="11" width="8.7109375" style="45"/>
    <col min="15" max="15" width="8.7109375" style="45"/>
    <col min="18" max="18" width="13.85546875" bestFit="1" customWidth="1"/>
    <col min="19" max="19" width="8.7109375" style="45" customWidth="1"/>
    <col min="20" max="20" width="9.85546875" customWidth="1"/>
    <col min="21" max="21" width="9.7109375" bestFit="1" customWidth="1"/>
    <col min="22" max="22" width="13.140625" style="45" bestFit="1" customWidth="1"/>
  </cols>
  <sheetData>
    <row r="1" spans="1:30" s="45" customFormat="1" ht="14.45" customHeight="1" x14ac:dyDescent="0.25">
      <c r="A1" s="215" t="s">
        <v>149</v>
      </c>
      <c r="B1" s="216"/>
      <c r="C1" s="216"/>
      <c r="D1" s="216"/>
      <c r="E1" s="216"/>
      <c r="F1" s="217"/>
      <c r="G1" s="223" t="s">
        <v>150</v>
      </c>
      <c r="H1" s="224"/>
      <c r="I1" s="224"/>
      <c r="J1" s="224"/>
      <c r="K1" s="224"/>
      <c r="L1" s="224"/>
      <c r="M1" s="224"/>
      <c r="N1" s="224"/>
      <c r="O1" s="224"/>
      <c r="P1" s="224"/>
      <c r="Q1" s="224"/>
      <c r="R1" s="224"/>
      <c r="S1" s="224"/>
      <c r="T1" s="224"/>
      <c r="U1" s="224"/>
      <c r="V1" s="224"/>
      <c r="W1" s="224"/>
    </row>
    <row r="2" spans="1:30" s="45" customFormat="1" ht="15" customHeight="1" x14ac:dyDescent="0.25">
      <c r="A2" s="223"/>
      <c r="B2" s="224"/>
      <c r="C2" s="224"/>
      <c r="D2" s="224"/>
      <c r="E2" s="224"/>
      <c r="F2" s="225"/>
      <c r="G2" s="223"/>
      <c r="H2" s="224"/>
      <c r="I2" s="224"/>
      <c r="J2" s="224"/>
      <c r="K2" s="224"/>
      <c r="L2" s="224"/>
      <c r="M2" s="224"/>
      <c r="N2" s="224"/>
      <c r="O2" s="224"/>
      <c r="P2" s="224"/>
      <c r="Q2" s="224"/>
      <c r="R2" s="224"/>
      <c r="S2" s="224"/>
      <c r="T2" s="224"/>
      <c r="U2" s="224"/>
      <c r="V2" s="224"/>
      <c r="W2" s="224"/>
    </row>
    <row r="3" spans="1:30" s="45" customFormat="1" ht="15" customHeight="1" thickBot="1" x14ac:dyDescent="0.3">
      <c r="A3" s="218"/>
      <c r="B3" s="219"/>
      <c r="C3" s="219"/>
      <c r="D3" s="219"/>
      <c r="E3" s="219"/>
      <c r="F3" s="220"/>
      <c r="G3" s="223"/>
      <c r="H3" s="224"/>
      <c r="I3" s="224"/>
      <c r="J3" s="224"/>
      <c r="K3" s="224"/>
      <c r="L3" s="224"/>
      <c r="M3" s="224"/>
      <c r="N3" s="224"/>
      <c r="O3" s="224"/>
      <c r="P3" s="224"/>
      <c r="Q3" s="224"/>
      <c r="R3" s="224"/>
      <c r="S3" s="224"/>
      <c r="T3" s="224"/>
      <c r="U3" s="224"/>
      <c r="V3" s="224"/>
      <c r="W3" s="224"/>
    </row>
    <row r="4" spans="1:30" ht="15.75" thickBot="1" x14ac:dyDescent="0.3">
      <c r="A4" s="14" t="s">
        <v>49</v>
      </c>
      <c r="B4" s="10" t="s">
        <v>156</v>
      </c>
      <c r="C4" s="11" t="s">
        <v>156</v>
      </c>
      <c r="F4" s="99"/>
      <c r="H4" s="87"/>
      <c r="I4" s="88"/>
      <c r="J4" s="89" t="s">
        <v>156</v>
      </c>
      <c r="L4" s="87"/>
      <c r="M4" s="62"/>
      <c r="N4" s="89" t="s">
        <v>157</v>
      </c>
      <c r="P4" s="87"/>
      <c r="Q4" s="62"/>
      <c r="R4" s="89" t="s">
        <v>139</v>
      </c>
      <c r="S4" s="91"/>
      <c r="T4" s="87"/>
      <c r="U4" s="62"/>
      <c r="V4" s="89" t="s">
        <v>204</v>
      </c>
      <c r="W4" s="35"/>
      <c r="X4" s="3"/>
      <c r="Z4" s="20" t="s">
        <v>50</v>
      </c>
      <c r="AA4" s="20" t="s">
        <v>124</v>
      </c>
      <c r="AB4" s="45"/>
      <c r="AC4" s="221" t="s">
        <v>67</v>
      </c>
      <c r="AD4" s="221"/>
    </row>
    <row r="5" spans="1:30" x14ac:dyDescent="0.25">
      <c r="A5" s="72" t="s">
        <v>47</v>
      </c>
      <c r="B5" s="84" t="s">
        <v>32</v>
      </c>
      <c r="C5" s="84" t="s">
        <v>31</v>
      </c>
      <c r="D5" s="73" t="s">
        <v>33</v>
      </c>
      <c r="F5" s="100"/>
      <c r="H5" s="59" t="s">
        <v>45</v>
      </c>
      <c r="I5" s="60" t="s">
        <v>46</v>
      </c>
      <c r="J5" s="90" t="s">
        <v>47</v>
      </c>
      <c r="L5" s="59" t="s">
        <v>45</v>
      </c>
      <c r="M5" s="60" t="s">
        <v>46</v>
      </c>
      <c r="N5" s="90" t="s">
        <v>47</v>
      </c>
      <c r="P5" s="59" t="s">
        <v>45</v>
      </c>
      <c r="Q5" s="60" t="s">
        <v>46</v>
      </c>
      <c r="R5" s="90" t="s">
        <v>47</v>
      </c>
      <c r="S5" s="92"/>
      <c r="T5" s="108" t="s">
        <v>45</v>
      </c>
      <c r="U5" s="109" t="s">
        <v>46</v>
      </c>
      <c r="V5" s="110" t="s">
        <v>47</v>
      </c>
      <c r="W5" s="44"/>
      <c r="X5" s="3"/>
      <c r="Z5" s="36" t="s">
        <v>157</v>
      </c>
      <c r="AA5" s="47">
        <v>0.15</v>
      </c>
      <c r="AB5" s="34"/>
      <c r="AC5" s="43" t="s">
        <v>32</v>
      </c>
      <c r="AD5" s="19">
        <v>0.75</v>
      </c>
    </row>
    <row r="6" spans="1:30" x14ac:dyDescent="0.25">
      <c r="A6" s="74">
        <v>2021</v>
      </c>
      <c r="B6" s="85">
        <f>HLOOKUP($B$4,$H$4:$W$25,(ROW()-3),FALSE)</f>
        <v>4.0204300574323657</v>
      </c>
      <c r="C6" s="85">
        <f t="shared" ref="B6:C25" si="0">HLOOKUP($B$4,$H$4:$W$25,(ROW()-3),FALSE)</f>
        <v>4.0204300574323657</v>
      </c>
      <c r="D6" s="75">
        <f t="shared" ref="D6:D25" si="1">(B6*$AD$5)+(C6*$AD$6)</f>
        <v>4.0204300574323657</v>
      </c>
      <c r="F6" s="100"/>
      <c r="H6" s="15">
        <v>2021</v>
      </c>
      <c r="I6" s="8">
        <v>78.131900085670921</v>
      </c>
      <c r="J6" s="27">
        <f>I6*$N$37*10</f>
        <v>4.0204300574323657</v>
      </c>
      <c r="L6" s="15">
        <v>2021</v>
      </c>
      <c r="M6" s="8">
        <v>21.951754949311628</v>
      </c>
      <c r="N6" s="27">
        <f>M6*$N$37*10</f>
        <v>1.1295705763565305</v>
      </c>
      <c r="P6" s="15">
        <v>2021</v>
      </c>
      <c r="Q6" s="8">
        <v>24.48</v>
      </c>
      <c r="R6" s="27">
        <f>Q6*$N$37*10</f>
        <v>1.2596663807999999</v>
      </c>
      <c r="S6" s="93"/>
      <c r="T6" s="15">
        <v>2021</v>
      </c>
      <c r="U6" s="8">
        <v>41</v>
      </c>
      <c r="V6" s="27">
        <v>2.1097353599999997</v>
      </c>
      <c r="W6" s="3"/>
      <c r="Z6" s="36" t="s">
        <v>48</v>
      </c>
      <c r="AA6" s="47">
        <v>0.05</v>
      </c>
      <c r="AC6" s="43" t="s">
        <v>31</v>
      </c>
      <c r="AD6" s="19">
        <v>0.25</v>
      </c>
    </row>
    <row r="7" spans="1:30" x14ac:dyDescent="0.25">
      <c r="A7" s="74">
        <v>2022</v>
      </c>
      <c r="B7" s="85">
        <f t="shared" si="0"/>
        <v>4.0842464075503395</v>
      </c>
      <c r="C7" s="85">
        <f t="shared" si="0"/>
        <v>4.0842464075503395</v>
      </c>
      <c r="D7" s="75">
        <f t="shared" si="1"/>
        <v>4.0842464075503395</v>
      </c>
      <c r="F7" s="100"/>
      <c r="H7" s="15">
        <v>2022</v>
      </c>
      <c r="I7" s="8">
        <v>79.372088975919667</v>
      </c>
      <c r="J7" s="27">
        <f t="shared" ref="J7:J25" si="2">I7*$N$37*10</f>
        <v>4.0842464075503395</v>
      </c>
      <c r="L7" s="15">
        <v>2022</v>
      </c>
      <c r="M7" s="8">
        <v>24.697916523717975</v>
      </c>
      <c r="N7" s="27">
        <f t="shared" ref="N7:N25" si="3">M7*$N$37*10</f>
        <v>1.2708797026442951</v>
      </c>
      <c r="P7" s="15">
        <v>2022</v>
      </c>
      <c r="Q7" s="8">
        <v>24.9696</v>
      </c>
      <c r="R7" s="27">
        <f t="shared" ref="R7:R25" si="4">Q7*$N$37*10</f>
        <v>1.2848597084159998</v>
      </c>
      <c r="S7" s="93"/>
      <c r="T7" s="15">
        <v>2022</v>
      </c>
      <c r="U7" s="8">
        <v>42.024999999999999</v>
      </c>
      <c r="V7" s="27">
        <v>2.162478744</v>
      </c>
      <c r="W7" s="3"/>
      <c r="Z7" s="19" t="s">
        <v>204</v>
      </c>
      <c r="AA7" s="48">
        <v>0.1</v>
      </c>
    </row>
    <row r="8" spans="1:30" x14ac:dyDescent="0.25">
      <c r="A8" s="74">
        <v>2023</v>
      </c>
      <c r="B8" s="85">
        <f t="shared" si="0"/>
        <v>4.1480627576683133</v>
      </c>
      <c r="C8" s="85">
        <f t="shared" si="0"/>
        <v>4.1480627576683133</v>
      </c>
      <c r="D8" s="75">
        <f t="shared" si="1"/>
        <v>4.1480627576683133</v>
      </c>
      <c r="F8" s="100"/>
      <c r="H8" s="15">
        <v>2023</v>
      </c>
      <c r="I8" s="8">
        <v>80.612277866168412</v>
      </c>
      <c r="J8" s="27">
        <f t="shared" si="2"/>
        <v>4.1480627576683133</v>
      </c>
      <c r="L8" s="15">
        <v>2023</v>
      </c>
      <c r="M8" s="8">
        <v>27.809529969286007</v>
      </c>
      <c r="N8" s="27">
        <f t="shared" si="3"/>
        <v>1.4309938712483514</v>
      </c>
      <c r="P8" s="15">
        <v>2023</v>
      </c>
      <c r="Q8" s="8">
        <v>25.468992</v>
      </c>
      <c r="R8" s="27">
        <f t="shared" si="4"/>
        <v>1.31055690258432</v>
      </c>
      <c r="S8" s="93"/>
      <c r="T8" s="15">
        <v>2023</v>
      </c>
      <c r="U8" s="8">
        <v>43.075624999999995</v>
      </c>
      <c r="V8" s="27">
        <v>2.2165407125999996</v>
      </c>
      <c r="W8" s="3"/>
      <c r="Z8" s="19" t="s">
        <v>123</v>
      </c>
      <c r="AA8" s="48">
        <v>0.2</v>
      </c>
    </row>
    <row r="9" spans="1:30" x14ac:dyDescent="0.25">
      <c r="A9" s="74">
        <v>2024</v>
      </c>
      <c r="B9" s="85">
        <f t="shared" si="0"/>
        <v>4.2118791077862872</v>
      </c>
      <c r="C9" s="85">
        <f t="shared" si="0"/>
        <v>4.2118791077862872</v>
      </c>
      <c r="D9" s="75">
        <f t="shared" si="1"/>
        <v>4.2118791077862872</v>
      </c>
      <c r="F9" s="100"/>
      <c r="H9" s="15">
        <v>2024</v>
      </c>
      <c r="I9" s="8">
        <v>81.852466756417158</v>
      </c>
      <c r="J9" s="27">
        <f t="shared" si="2"/>
        <v>4.2118791077862872</v>
      </c>
      <c r="L9" s="15">
        <v>2024</v>
      </c>
      <c r="M9" s="8">
        <v>31.309673537104725</v>
      </c>
      <c r="N9" s="27">
        <f t="shared" si="3"/>
        <v>1.6111006188118562</v>
      </c>
      <c r="P9" s="15">
        <v>2024</v>
      </c>
      <c r="Q9" s="8">
        <v>25.978371840000001</v>
      </c>
      <c r="R9" s="27">
        <f t="shared" si="4"/>
        <v>1.3367680406360063</v>
      </c>
      <c r="S9" s="93"/>
      <c r="T9" s="15">
        <v>2024</v>
      </c>
      <c r="U9" s="8">
        <v>44.152515624999992</v>
      </c>
      <c r="V9" s="27">
        <v>2.2719542304149996</v>
      </c>
      <c r="W9" s="3"/>
      <c r="Z9" s="19" t="s">
        <v>156</v>
      </c>
      <c r="AA9" s="48">
        <v>0.5</v>
      </c>
    </row>
    <row r="10" spans="1:30" x14ac:dyDescent="0.25">
      <c r="A10" s="74">
        <v>2025</v>
      </c>
      <c r="B10" s="85">
        <f t="shared" si="0"/>
        <v>4.3395118080222357</v>
      </c>
      <c r="C10" s="85">
        <f t="shared" si="0"/>
        <v>4.3395118080222357</v>
      </c>
      <c r="D10" s="75">
        <f t="shared" si="1"/>
        <v>4.3395118080222357</v>
      </c>
      <c r="F10" s="100"/>
      <c r="H10" s="15">
        <v>2025</v>
      </c>
      <c r="I10" s="8">
        <v>84.332844536914649</v>
      </c>
      <c r="J10" s="27">
        <f t="shared" si="2"/>
        <v>4.3395118080222357</v>
      </c>
      <c r="L10" s="15">
        <v>2025</v>
      </c>
      <c r="M10" s="8">
        <v>35.260897327933968</v>
      </c>
      <c r="N10" s="27">
        <f t="shared" si="3"/>
        <v>1.814418583367605</v>
      </c>
      <c r="P10" s="15">
        <v>2025</v>
      </c>
      <c r="Q10" s="8">
        <v>26.4979392768</v>
      </c>
      <c r="R10" s="27">
        <f t="shared" si="4"/>
        <v>1.3635034014487266</v>
      </c>
      <c r="S10" s="93"/>
      <c r="T10" s="15">
        <v>2025</v>
      </c>
      <c r="U10" s="8">
        <v>45.256328515624986</v>
      </c>
      <c r="V10" s="27">
        <v>2.3287530861753742</v>
      </c>
      <c r="W10" s="3"/>
      <c r="Z10" s="19" t="s">
        <v>139</v>
      </c>
      <c r="AA10" s="19"/>
    </row>
    <row r="11" spans="1:30" x14ac:dyDescent="0.25">
      <c r="A11" s="74">
        <v>2026</v>
      </c>
      <c r="B11" s="85">
        <f t="shared" si="0"/>
        <v>4.4033281581402095</v>
      </c>
      <c r="C11" s="85">
        <f t="shared" si="0"/>
        <v>4.4033281581402095</v>
      </c>
      <c r="D11" s="75">
        <f t="shared" si="1"/>
        <v>4.4033281581402095</v>
      </c>
      <c r="F11" s="100"/>
      <c r="H11" s="15">
        <v>2026</v>
      </c>
      <c r="I11" s="8">
        <v>85.573033427163395</v>
      </c>
      <c r="J11" s="27">
        <f t="shared" si="2"/>
        <v>4.4033281581402095</v>
      </c>
      <c r="L11" s="15">
        <v>2026</v>
      </c>
      <c r="M11" s="8">
        <v>39.716715307264508</v>
      </c>
      <c r="N11" s="27">
        <f t="shared" si="3"/>
        <v>2.0437014308972974</v>
      </c>
      <c r="P11" s="15">
        <v>2026</v>
      </c>
      <c r="Q11" s="8">
        <v>27.027898062336</v>
      </c>
      <c r="R11" s="27">
        <f t="shared" si="4"/>
        <v>1.390773469477701</v>
      </c>
      <c r="S11" s="93"/>
      <c r="T11" s="15">
        <v>2026</v>
      </c>
      <c r="U11" s="8">
        <v>46.387736728515605</v>
      </c>
      <c r="V11" s="27">
        <v>2.3869719133297584</v>
      </c>
      <c r="W11" s="3"/>
      <c r="Z11" s="19" t="s">
        <v>125</v>
      </c>
      <c r="AA11" s="19"/>
    </row>
    <row r="12" spans="1:30" x14ac:dyDescent="0.25">
      <c r="A12" s="74">
        <v>2027</v>
      </c>
      <c r="B12" s="85">
        <f t="shared" si="0"/>
        <v>4.4671445082581842</v>
      </c>
      <c r="C12" s="85">
        <f t="shared" si="0"/>
        <v>4.4671445082581842</v>
      </c>
      <c r="D12" s="75">
        <f t="shared" si="1"/>
        <v>4.4671445082581842</v>
      </c>
      <c r="F12" s="100"/>
      <c r="H12" s="15">
        <v>2027</v>
      </c>
      <c r="I12" s="8">
        <v>86.813222317412141</v>
      </c>
      <c r="J12" s="27">
        <f t="shared" si="2"/>
        <v>4.4671445082581842</v>
      </c>
      <c r="L12" s="15">
        <v>2027</v>
      </c>
      <c r="M12" s="8">
        <v>44.729023608920066</v>
      </c>
      <c r="N12" s="27">
        <f t="shared" si="3"/>
        <v>2.3016195786832556</v>
      </c>
      <c r="P12" s="15">
        <v>2027</v>
      </c>
      <c r="Q12" s="8">
        <v>27.568456023582719</v>
      </c>
      <c r="R12" s="27">
        <f t="shared" si="4"/>
        <v>1.4185889388672552</v>
      </c>
      <c r="S12" s="93"/>
      <c r="T12" s="15">
        <v>2027</v>
      </c>
      <c r="U12" s="8">
        <v>47.547430146728495</v>
      </c>
      <c r="V12" s="27">
        <v>2.4466462111630021</v>
      </c>
      <c r="W12" s="3"/>
      <c r="Y12" s="19"/>
      <c r="Z12" s="19"/>
      <c r="AA12" s="45"/>
    </row>
    <row r="13" spans="1:30" x14ac:dyDescent="0.25">
      <c r="A13" s="74">
        <v>2028</v>
      </c>
      <c r="B13" s="85">
        <f t="shared" si="0"/>
        <v>4.530960858376158</v>
      </c>
      <c r="C13" s="85">
        <f t="shared" si="0"/>
        <v>4.530960858376158</v>
      </c>
      <c r="D13" s="75">
        <f t="shared" si="1"/>
        <v>4.530960858376158</v>
      </c>
      <c r="F13" s="100"/>
      <c r="H13" s="15">
        <v>2028</v>
      </c>
      <c r="I13" s="8">
        <v>88.053411207660886</v>
      </c>
      <c r="J13" s="27">
        <f t="shared" si="2"/>
        <v>4.530960858376158</v>
      </c>
      <c r="L13" s="15">
        <v>2028</v>
      </c>
      <c r="M13" s="8">
        <v>50.374854292133868</v>
      </c>
      <c r="N13" s="27">
        <f t="shared" si="3"/>
        <v>2.5921368623161607</v>
      </c>
      <c r="P13" s="15">
        <v>2028</v>
      </c>
      <c r="Q13" s="8">
        <v>28.119825144054374</v>
      </c>
      <c r="R13" s="27">
        <f t="shared" si="4"/>
        <v>1.4469607176446</v>
      </c>
      <c r="S13" s="93"/>
      <c r="T13" s="15">
        <v>2028</v>
      </c>
      <c r="U13" s="8">
        <v>48.736115900396705</v>
      </c>
      <c r="V13" s="27">
        <v>2.5078123664420771</v>
      </c>
      <c r="W13" s="3"/>
      <c r="Y13" s="19"/>
      <c r="Z13" s="19"/>
      <c r="AA13" s="45"/>
    </row>
    <row r="14" spans="1:30" x14ac:dyDescent="0.25">
      <c r="A14" s="74">
        <v>2029</v>
      </c>
      <c r="B14" s="85">
        <f t="shared" si="0"/>
        <v>4.5947772084941318</v>
      </c>
      <c r="C14" s="85">
        <f t="shared" si="0"/>
        <v>4.5947772084941318</v>
      </c>
      <c r="D14" s="75">
        <f t="shared" si="1"/>
        <v>4.5947772084941318</v>
      </c>
      <c r="F14" s="100"/>
      <c r="H14" s="15">
        <v>2029</v>
      </c>
      <c r="I14" s="8">
        <v>89.293600097909632</v>
      </c>
      <c r="J14" s="27">
        <f t="shared" si="2"/>
        <v>4.5947772084941318</v>
      </c>
      <c r="L14" s="15">
        <v>2029</v>
      </c>
      <c r="M14" s="8">
        <v>56.722278248106377</v>
      </c>
      <c r="N14" s="27">
        <f t="shared" si="3"/>
        <v>2.9187560029216799</v>
      </c>
      <c r="P14" s="15">
        <v>2029</v>
      </c>
      <c r="Q14" s="8">
        <v>28.682221646935464</v>
      </c>
      <c r="R14" s="27">
        <f t="shared" si="4"/>
        <v>1.4758999319974921</v>
      </c>
      <c r="S14" s="93"/>
      <c r="T14" s="15">
        <v>2029</v>
      </c>
      <c r="U14" s="8">
        <v>49.954518797906616</v>
      </c>
      <c r="V14" s="27">
        <v>2.5705076756031287</v>
      </c>
      <c r="W14" s="3"/>
      <c r="Y14" s="19"/>
      <c r="Z14" s="19"/>
      <c r="AA14" s="45"/>
    </row>
    <row r="15" spans="1:30" x14ac:dyDescent="0.25">
      <c r="A15" s="74">
        <v>2030</v>
      </c>
      <c r="B15" s="85">
        <f t="shared" si="0"/>
        <v>4.6585935586121057</v>
      </c>
      <c r="C15" s="85">
        <f t="shared" si="0"/>
        <v>4.6585935586121057</v>
      </c>
      <c r="D15" s="75">
        <f t="shared" si="1"/>
        <v>4.6585935586121057</v>
      </c>
      <c r="F15" s="100"/>
      <c r="H15" s="15">
        <v>2030</v>
      </c>
      <c r="I15" s="8">
        <v>90.533788988158364</v>
      </c>
      <c r="J15" s="27">
        <f t="shared" si="2"/>
        <v>4.6585935586121057</v>
      </c>
      <c r="L15" s="15">
        <v>2030</v>
      </c>
      <c r="M15" s="8">
        <v>63.881361932898578</v>
      </c>
      <c r="N15" s="27">
        <f t="shared" si="3"/>
        <v>3.2871406857266852</v>
      </c>
      <c r="P15" s="15">
        <v>2030</v>
      </c>
      <c r="Q15" s="8">
        <v>29.255866079874174</v>
      </c>
      <c r="R15" s="27">
        <f t="shared" si="4"/>
        <v>1.5054179306374422</v>
      </c>
      <c r="S15" s="93"/>
      <c r="T15" s="15">
        <v>2030</v>
      </c>
      <c r="U15" s="8">
        <v>51.203381767854275</v>
      </c>
      <c r="V15" s="27">
        <v>2.6347703674932066</v>
      </c>
      <c r="W15" s="3"/>
      <c r="Y15" s="19"/>
      <c r="Z15" s="19"/>
      <c r="AA15" s="45"/>
    </row>
    <row r="16" spans="1:30" x14ac:dyDescent="0.25">
      <c r="A16" s="74">
        <v>2031</v>
      </c>
      <c r="B16" s="85">
        <f t="shared" si="0"/>
        <v>4.7224099087300795</v>
      </c>
      <c r="C16" s="85">
        <f t="shared" si="0"/>
        <v>4.7224099087300795</v>
      </c>
      <c r="D16" s="75">
        <f t="shared" si="1"/>
        <v>4.7224099087300795</v>
      </c>
      <c r="F16" s="100"/>
      <c r="H16" s="15">
        <v>2031</v>
      </c>
      <c r="I16" s="8">
        <v>91.773977878407109</v>
      </c>
      <c r="J16" s="27">
        <f t="shared" si="2"/>
        <v>4.7224099087300795</v>
      </c>
      <c r="L16" s="15">
        <v>2031</v>
      </c>
      <c r="M16" s="8">
        <v>63.881361932898578</v>
      </c>
      <c r="N16" s="27">
        <f t="shared" si="3"/>
        <v>3.2871406857266852</v>
      </c>
      <c r="P16" s="15">
        <v>2031</v>
      </c>
      <c r="Q16" s="8">
        <v>29.840983401471657</v>
      </c>
      <c r="R16" s="27">
        <f t="shared" si="4"/>
        <v>1.5355262892501909</v>
      </c>
      <c r="S16" s="93"/>
      <c r="T16" s="15">
        <v>2031</v>
      </c>
      <c r="U16" s="8">
        <v>52.483466312050624</v>
      </c>
      <c r="V16" s="27">
        <v>2.7006396266805366</v>
      </c>
      <c r="W16" s="3"/>
      <c r="Y16" s="19"/>
      <c r="Z16" s="19"/>
      <c r="AA16" s="45"/>
    </row>
    <row r="17" spans="1:27" x14ac:dyDescent="0.25">
      <c r="A17" s="74">
        <v>2032</v>
      </c>
      <c r="B17" s="85">
        <f t="shared" si="0"/>
        <v>4.7862262588480533</v>
      </c>
      <c r="C17" s="85">
        <f t="shared" si="0"/>
        <v>4.7862262588480533</v>
      </c>
      <c r="D17" s="75">
        <f t="shared" si="1"/>
        <v>4.7862262588480533</v>
      </c>
      <c r="F17" s="100"/>
      <c r="H17" s="15">
        <v>2032</v>
      </c>
      <c r="I17" s="8">
        <v>93.014166768655855</v>
      </c>
      <c r="J17" s="27">
        <f t="shared" si="2"/>
        <v>4.7862262588480533</v>
      </c>
      <c r="L17" s="15">
        <v>2032</v>
      </c>
      <c r="M17" s="8">
        <v>63.881361932898578</v>
      </c>
      <c r="N17" s="27">
        <f t="shared" si="3"/>
        <v>3.2871406857266852</v>
      </c>
      <c r="P17" s="15">
        <v>2032</v>
      </c>
      <c r="Q17" s="8">
        <v>30.43780306950109</v>
      </c>
      <c r="R17" s="27">
        <f t="shared" si="4"/>
        <v>1.5662368150351949</v>
      </c>
      <c r="S17" s="93"/>
      <c r="T17" s="15">
        <v>2032</v>
      </c>
      <c r="U17" s="8">
        <v>53.795552969851883</v>
      </c>
      <c r="V17" s="27">
        <v>2.7681556173475497</v>
      </c>
      <c r="W17" s="3"/>
      <c r="Y17" s="19"/>
      <c r="AA17" s="45"/>
    </row>
    <row r="18" spans="1:27" x14ac:dyDescent="0.25">
      <c r="A18" s="74">
        <v>2033</v>
      </c>
      <c r="B18" s="85">
        <f t="shared" si="0"/>
        <v>4.850042608966028</v>
      </c>
      <c r="C18" s="85">
        <f t="shared" si="0"/>
        <v>4.850042608966028</v>
      </c>
      <c r="D18" s="75">
        <f t="shared" si="1"/>
        <v>4.850042608966028</v>
      </c>
      <c r="F18" s="100"/>
      <c r="H18" s="15">
        <v>2033</v>
      </c>
      <c r="I18" s="8">
        <v>94.254355658904601</v>
      </c>
      <c r="J18" s="27">
        <f t="shared" si="2"/>
        <v>4.850042608966028</v>
      </c>
      <c r="L18" s="15">
        <v>2033</v>
      </c>
      <c r="M18" s="8">
        <v>63.881361932898578</v>
      </c>
      <c r="N18" s="27">
        <f t="shared" si="3"/>
        <v>3.2871406857266852</v>
      </c>
      <c r="P18" s="15">
        <v>2033</v>
      </c>
      <c r="Q18" s="8">
        <v>31.046559130891112</v>
      </c>
      <c r="R18" s="27">
        <f t="shared" si="4"/>
        <v>1.5975615513358987</v>
      </c>
      <c r="S18" s="93"/>
      <c r="T18" s="15">
        <v>2033</v>
      </c>
      <c r="U18" s="8">
        <v>55.140441794098173</v>
      </c>
      <c r="V18" s="27">
        <v>2.8373595077812381</v>
      </c>
      <c r="W18" s="3"/>
      <c r="AA18" s="45"/>
    </row>
    <row r="19" spans="1:27" x14ac:dyDescent="0.25">
      <c r="A19" s="74">
        <v>2034</v>
      </c>
      <c r="B19" s="85">
        <f t="shared" si="0"/>
        <v>4.9138589590840018</v>
      </c>
      <c r="C19" s="85">
        <f t="shared" si="0"/>
        <v>4.9138589590840018</v>
      </c>
      <c r="D19" s="75">
        <f t="shared" si="1"/>
        <v>4.9138589590840018</v>
      </c>
      <c r="F19" s="100"/>
      <c r="H19" s="15">
        <v>2034</v>
      </c>
      <c r="I19" s="8">
        <v>95.494544549153346</v>
      </c>
      <c r="J19" s="27">
        <f t="shared" si="2"/>
        <v>4.9138589590840018</v>
      </c>
      <c r="L19" s="15">
        <v>2034</v>
      </c>
      <c r="M19" s="8">
        <v>63.881361932898578</v>
      </c>
      <c r="N19" s="27">
        <f t="shared" si="3"/>
        <v>3.2871406857266852</v>
      </c>
      <c r="P19" s="15">
        <v>2034</v>
      </c>
      <c r="Q19" s="8">
        <v>31.667490313508935</v>
      </c>
      <c r="R19" s="27">
        <f t="shared" si="4"/>
        <v>1.6295127823626168</v>
      </c>
      <c r="S19" s="93"/>
      <c r="T19" s="15">
        <v>2034</v>
      </c>
      <c r="U19" s="8">
        <v>56.518952838950625</v>
      </c>
      <c r="V19" s="27">
        <v>2.9082934954757689</v>
      </c>
      <c r="W19" s="3"/>
      <c r="AA19" s="45"/>
    </row>
    <row r="20" spans="1:27" x14ac:dyDescent="0.25">
      <c r="A20" s="74">
        <v>2035</v>
      </c>
      <c r="B20" s="85">
        <f t="shared" si="0"/>
        <v>4.9776753092019757</v>
      </c>
      <c r="C20" s="85">
        <f t="shared" si="0"/>
        <v>4.9776753092019757</v>
      </c>
      <c r="D20" s="75">
        <f t="shared" si="1"/>
        <v>4.9776753092019757</v>
      </c>
      <c r="F20" s="100"/>
      <c r="H20" s="15">
        <v>2035</v>
      </c>
      <c r="I20" s="8">
        <v>96.734733439402092</v>
      </c>
      <c r="J20" s="27">
        <f t="shared" si="2"/>
        <v>4.9776753092019757</v>
      </c>
      <c r="L20" s="15">
        <v>2035</v>
      </c>
      <c r="M20" s="8">
        <v>63.881361932898578</v>
      </c>
      <c r="N20" s="27">
        <f t="shared" si="3"/>
        <v>3.2871406857266852</v>
      </c>
      <c r="P20" s="15">
        <v>2035</v>
      </c>
      <c r="Q20" s="8">
        <v>32.300840119779117</v>
      </c>
      <c r="R20" s="27">
        <f t="shared" si="4"/>
        <v>1.6621030380098691</v>
      </c>
      <c r="S20" s="93"/>
      <c r="T20" s="15">
        <v>2035</v>
      </c>
      <c r="U20" s="8">
        <v>57.931926659924386</v>
      </c>
      <c r="V20" s="27">
        <v>2.9810008328626623</v>
      </c>
      <c r="W20" s="3"/>
      <c r="AA20" s="45"/>
    </row>
    <row r="21" spans="1:27" x14ac:dyDescent="0.25">
      <c r="A21" s="74">
        <v>2036</v>
      </c>
      <c r="B21" s="85">
        <f t="shared" si="0"/>
        <v>5.0414916593199504</v>
      </c>
      <c r="C21" s="85">
        <f t="shared" si="0"/>
        <v>5.0414916593199504</v>
      </c>
      <c r="D21" s="75">
        <f t="shared" si="1"/>
        <v>5.0414916593199504</v>
      </c>
      <c r="F21" s="100"/>
      <c r="H21" s="15">
        <v>2036</v>
      </c>
      <c r="I21" s="8">
        <v>97.974922329650838</v>
      </c>
      <c r="J21" s="27">
        <f t="shared" si="2"/>
        <v>5.0414916593199504</v>
      </c>
      <c r="L21" s="15">
        <v>2036</v>
      </c>
      <c r="M21" s="8">
        <v>63.881361932898578</v>
      </c>
      <c r="N21" s="27">
        <f t="shared" si="3"/>
        <v>3.2871406857266852</v>
      </c>
      <c r="P21" s="15">
        <v>2036</v>
      </c>
      <c r="Q21" s="8">
        <v>32.946856922174703</v>
      </c>
      <c r="R21" s="27">
        <f t="shared" si="4"/>
        <v>1.6953450987700669</v>
      </c>
      <c r="S21" s="93"/>
      <c r="T21" s="15">
        <v>2036</v>
      </c>
      <c r="U21" s="8">
        <v>59.380224826422491</v>
      </c>
      <c r="V21" s="27">
        <v>3.0555258536842289</v>
      </c>
      <c r="W21" s="3"/>
      <c r="AA21" s="45"/>
    </row>
    <row r="22" spans="1:27" x14ac:dyDescent="0.25">
      <c r="A22" s="74">
        <v>2037</v>
      </c>
      <c r="B22" s="85">
        <f t="shared" si="0"/>
        <v>5.169124359555898</v>
      </c>
      <c r="C22" s="85">
        <f t="shared" si="0"/>
        <v>5.169124359555898</v>
      </c>
      <c r="D22" s="75">
        <f t="shared" si="1"/>
        <v>5.169124359555898</v>
      </c>
      <c r="F22" s="100"/>
      <c r="H22" s="15">
        <v>2037</v>
      </c>
      <c r="I22" s="8">
        <v>100.45530011014833</v>
      </c>
      <c r="J22" s="27">
        <f t="shared" si="2"/>
        <v>5.169124359555898</v>
      </c>
      <c r="L22" s="15">
        <v>2037</v>
      </c>
      <c r="M22" s="8">
        <v>63.881361932898578</v>
      </c>
      <c r="N22" s="27">
        <f t="shared" si="3"/>
        <v>3.2871406857266852</v>
      </c>
      <c r="P22" s="15">
        <v>2037</v>
      </c>
      <c r="Q22" s="8">
        <v>33.605794060618194</v>
      </c>
      <c r="R22" s="27">
        <f t="shared" si="4"/>
        <v>1.7292520007454679</v>
      </c>
      <c r="S22" s="93"/>
      <c r="T22" s="15">
        <v>2037</v>
      </c>
      <c r="U22" s="8">
        <v>60.864730447083048</v>
      </c>
      <c r="V22" s="27">
        <v>3.1319140000263346</v>
      </c>
      <c r="W22" s="3"/>
      <c r="AA22" s="45"/>
    </row>
    <row r="23" spans="1:27" x14ac:dyDescent="0.25">
      <c r="A23" s="74">
        <v>2038</v>
      </c>
      <c r="B23" s="85">
        <f t="shared" si="0"/>
        <v>5.2329407096738727</v>
      </c>
      <c r="C23" s="85">
        <f t="shared" si="0"/>
        <v>5.2329407096738727</v>
      </c>
      <c r="D23" s="75">
        <f t="shared" si="1"/>
        <v>5.2329407096738727</v>
      </c>
      <c r="F23" s="100"/>
      <c r="H23" s="15">
        <v>2038</v>
      </c>
      <c r="I23" s="8">
        <v>101.69548900039707</v>
      </c>
      <c r="J23" s="27">
        <f t="shared" si="2"/>
        <v>5.2329407096738727</v>
      </c>
      <c r="L23" s="15">
        <v>2038</v>
      </c>
      <c r="M23" s="8">
        <v>63.881361932898578</v>
      </c>
      <c r="N23" s="27">
        <f t="shared" si="3"/>
        <v>3.2871406857266852</v>
      </c>
      <c r="P23" s="15">
        <v>2038</v>
      </c>
      <c r="Q23" s="8">
        <v>34.277909941830558</v>
      </c>
      <c r="R23" s="27">
        <f t="shared" si="4"/>
        <v>1.7638370407603774</v>
      </c>
      <c r="S23" s="93"/>
      <c r="T23" s="15">
        <v>2038</v>
      </c>
      <c r="U23" s="8">
        <v>62.386348708260115</v>
      </c>
      <c r="V23" s="27">
        <v>3.2102118500269921</v>
      </c>
      <c r="W23" s="3"/>
      <c r="AA23" s="45"/>
    </row>
    <row r="24" spans="1:27" x14ac:dyDescent="0.25">
      <c r="A24" s="74">
        <v>2039</v>
      </c>
      <c r="B24" s="85">
        <f t="shared" si="0"/>
        <v>5.2967570597918465</v>
      </c>
      <c r="C24" s="85">
        <f t="shared" si="0"/>
        <v>5.2967570597918465</v>
      </c>
      <c r="D24" s="75">
        <f t="shared" si="1"/>
        <v>5.2967570597918465</v>
      </c>
      <c r="F24" s="100"/>
      <c r="H24" s="15">
        <v>2039</v>
      </c>
      <c r="I24" s="8">
        <v>102.93567789064582</v>
      </c>
      <c r="J24" s="27">
        <f t="shared" si="2"/>
        <v>5.2967570597918465</v>
      </c>
      <c r="L24" s="15">
        <v>2039</v>
      </c>
      <c r="M24" s="8">
        <v>63.881361932898578</v>
      </c>
      <c r="N24" s="27">
        <f t="shared" si="3"/>
        <v>3.2871406857266852</v>
      </c>
      <c r="P24" s="15">
        <v>2039</v>
      </c>
      <c r="Q24" s="8">
        <v>34.963468140667167</v>
      </c>
      <c r="R24" s="27">
        <f t="shared" si="4"/>
        <v>1.7991137815755849</v>
      </c>
      <c r="S24" s="93"/>
      <c r="T24" s="15">
        <v>2039</v>
      </c>
      <c r="U24" s="8">
        <v>63.946007425966613</v>
      </c>
      <c r="V24" s="27">
        <v>3.2904671462776669</v>
      </c>
      <c r="W24" s="3"/>
      <c r="AA24" s="45"/>
    </row>
    <row r="25" spans="1:27" ht="15.75" thickBot="1" x14ac:dyDescent="0.3">
      <c r="A25" s="95">
        <v>2040</v>
      </c>
      <c r="B25" s="96">
        <f t="shared" si="0"/>
        <v>5.3605734099098203</v>
      </c>
      <c r="C25" s="96">
        <f t="shared" si="0"/>
        <v>5.3605734099098203</v>
      </c>
      <c r="D25" s="97">
        <f t="shared" si="1"/>
        <v>5.3605734099098203</v>
      </c>
      <c r="E25" s="98"/>
      <c r="F25" s="101"/>
      <c r="H25" s="15">
        <v>2040</v>
      </c>
      <c r="I25" s="8">
        <v>104.17586678089457</v>
      </c>
      <c r="J25" s="27">
        <f t="shared" si="2"/>
        <v>5.3605734099098203</v>
      </c>
      <c r="L25" s="15">
        <v>2040</v>
      </c>
      <c r="M25" s="8">
        <v>63.881361932898578</v>
      </c>
      <c r="N25" s="27">
        <f t="shared" si="3"/>
        <v>3.2871406857266852</v>
      </c>
      <c r="P25" s="15">
        <v>2040</v>
      </c>
      <c r="Q25" s="8">
        <v>35.662737503480514</v>
      </c>
      <c r="R25" s="27">
        <f t="shared" si="4"/>
        <v>1.8350960572070969</v>
      </c>
      <c r="S25" s="93"/>
      <c r="T25" s="15">
        <v>2040</v>
      </c>
      <c r="U25" s="8">
        <v>65.544657611615776</v>
      </c>
      <c r="V25" s="27">
        <v>3.3727288249346081</v>
      </c>
      <c r="W25" s="3"/>
      <c r="AA25" s="45"/>
    </row>
    <row r="26" spans="1:27" ht="15.75" thickTop="1" x14ac:dyDescent="0.25">
      <c r="G26" s="94"/>
      <c r="H26" s="94"/>
      <c r="I26" s="94"/>
      <c r="J26" s="94"/>
      <c r="K26" s="94"/>
      <c r="L26" s="94"/>
      <c r="M26" s="94"/>
      <c r="N26" s="94"/>
      <c r="O26" s="94"/>
      <c r="P26" s="94"/>
      <c r="Q26" s="94"/>
      <c r="R26" s="94"/>
      <c r="S26" s="94"/>
      <c r="T26" s="94"/>
      <c r="U26" s="94"/>
      <c r="V26" s="94"/>
    </row>
    <row r="27" spans="1:27" x14ac:dyDescent="0.25">
      <c r="A27" s="222" t="s">
        <v>134</v>
      </c>
      <c r="B27" s="222"/>
      <c r="C27" s="222"/>
      <c r="D27" s="222"/>
      <c r="E27" s="222"/>
      <c r="G27" s="46"/>
      <c r="H27" s="46"/>
      <c r="I27" s="46"/>
    </row>
    <row r="28" spans="1:27" x14ac:dyDescent="0.25">
      <c r="A28" s="222"/>
      <c r="B28" s="222"/>
      <c r="C28" s="222"/>
      <c r="D28" s="222"/>
      <c r="E28" s="222"/>
      <c r="G28" s="45"/>
      <c r="H28" s="45"/>
      <c r="I28" s="45"/>
    </row>
    <row r="29" spans="1:27" x14ac:dyDescent="0.25">
      <c r="A29" s="222" t="s">
        <v>135</v>
      </c>
      <c r="B29" s="222"/>
      <c r="C29" s="222"/>
      <c r="D29" s="222"/>
      <c r="E29" s="222"/>
      <c r="G29" t="s">
        <v>134</v>
      </c>
      <c r="R29" s="46"/>
      <c r="S29" s="46"/>
      <c r="T29" s="46"/>
      <c r="U29" s="46"/>
      <c r="V29" s="46"/>
    </row>
    <row r="30" spans="1:27" x14ac:dyDescent="0.25">
      <c r="A30" s="222"/>
      <c r="B30" s="222"/>
      <c r="C30" s="222"/>
      <c r="D30" s="222"/>
      <c r="E30" s="222"/>
      <c r="G30" s="45" t="s">
        <v>135</v>
      </c>
    </row>
    <row r="31" spans="1:27" x14ac:dyDescent="0.25">
      <c r="A31" s="45" t="s">
        <v>138</v>
      </c>
      <c r="B31" s="45"/>
      <c r="C31" s="45"/>
      <c r="D31" s="45"/>
      <c r="G31" t="s">
        <v>138</v>
      </c>
    </row>
    <row r="32" spans="1:27" x14ac:dyDescent="0.25">
      <c r="A32" s="45">
        <v>2012</v>
      </c>
      <c r="B32" s="45">
        <v>1.032</v>
      </c>
      <c r="C32" s="45" t="s">
        <v>137</v>
      </c>
      <c r="D32" s="45"/>
      <c r="G32">
        <v>2012</v>
      </c>
      <c r="H32">
        <v>1.032</v>
      </c>
      <c r="I32" t="s">
        <v>137</v>
      </c>
    </row>
    <row r="33" spans="1:14" x14ac:dyDescent="0.25">
      <c r="A33" s="45">
        <v>2013</v>
      </c>
      <c r="B33" s="45">
        <v>1.0349999999999999</v>
      </c>
      <c r="C33" s="45" t="s">
        <v>137</v>
      </c>
      <c r="D33" s="45"/>
      <c r="G33">
        <v>2013</v>
      </c>
      <c r="H33">
        <v>1.0349999999999999</v>
      </c>
      <c r="I33" s="45" t="s">
        <v>137</v>
      </c>
    </row>
    <row r="34" spans="1:14" x14ac:dyDescent="0.25">
      <c r="A34" s="45">
        <v>2014</v>
      </c>
      <c r="B34" s="45">
        <v>1.0429999999999999</v>
      </c>
      <c r="C34" s="45" t="s">
        <v>137</v>
      </c>
      <c r="D34" s="45"/>
      <c r="G34">
        <v>2014</v>
      </c>
      <c r="H34">
        <v>1.0429999999999999</v>
      </c>
      <c r="I34" s="45" t="s">
        <v>137</v>
      </c>
    </row>
    <row r="35" spans="1:14" x14ac:dyDescent="0.25">
      <c r="A35" s="45">
        <v>2015</v>
      </c>
      <c r="B35" s="45">
        <v>1.0620000000000001</v>
      </c>
      <c r="C35" s="45" t="s">
        <v>137</v>
      </c>
      <c r="D35" s="45"/>
      <c r="G35">
        <v>2015</v>
      </c>
      <c r="H35">
        <v>1.0620000000000001</v>
      </c>
      <c r="I35" s="45" t="s">
        <v>137</v>
      </c>
    </row>
    <row r="36" spans="1:14" x14ac:dyDescent="0.25">
      <c r="A36" s="45">
        <v>2016</v>
      </c>
      <c r="B36" s="45">
        <v>1.073</v>
      </c>
      <c r="C36" s="45" t="s">
        <v>137</v>
      </c>
      <c r="D36" s="45"/>
      <c r="G36">
        <v>2016</v>
      </c>
      <c r="H36">
        <v>1.073</v>
      </c>
      <c r="I36" s="45" t="s">
        <v>137</v>
      </c>
      <c r="N36" s="45" t="s">
        <v>155</v>
      </c>
    </row>
    <row r="37" spans="1:14" x14ac:dyDescent="0.25">
      <c r="A37" s="45">
        <v>2017</v>
      </c>
      <c r="B37" s="45">
        <v>1.075</v>
      </c>
      <c r="C37" s="45" t="s">
        <v>137</v>
      </c>
      <c r="D37" s="45"/>
      <c r="G37">
        <v>2017</v>
      </c>
      <c r="H37">
        <v>1.075</v>
      </c>
      <c r="I37" s="45" t="s">
        <v>137</v>
      </c>
      <c r="N37" s="45">
        <v>5.145696E-3</v>
      </c>
    </row>
    <row r="38" spans="1:14" x14ac:dyDescent="0.25">
      <c r="A38" s="45" t="s">
        <v>136</v>
      </c>
      <c r="B38" s="45">
        <f>AVERAGE(B32:B37)</f>
        <v>1.0533333333333335</v>
      </c>
      <c r="C38" s="45" t="s">
        <v>137</v>
      </c>
      <c r="G38" t="s">
        <v>136</v>
      </c>
      <c r="H38">
        <f>AVERAGE(H32:H37)</f>
        <v>1.0533333333333335</v>
      </c>
    </row>
  </sheetData>
  <mergeCells count="5">
    <mergeCell ref="AC4:AD4"/>
    <mergeCell ref="A27:E28"/>
    <mergeCell ref="A29:E30"/>
    <mergeCell ref="A1:F3"/>
    <mergeCell ref="G1:W3"/>
  </mergeCells>
  <dataValidations count="2">
    <dataValidation type="list" allowBlank="1" showInputMessage="1" showErrorMessage="1" sqref="B4" xr:uid="{F0746822-3DA8-4C52-931E-12E598F847AF}">
      <formula1>$Z$5:$Z$12</formula1>
    </dataValidation>
    <dataValidation type="list" allowBlank="1" showInputMessage="1" showErrorMessage="1" sqref="C4" xr:uid="{3A6A3C5D-5F63-4FD9-9835-93FA6561167C}">
      <formula1>$Z$5:$Z$13</formula1>
    </dataValidation>
  </dataValidations>
  <pageMargins left="0.7" right="0.7" top="0.75" bottom="0.75" header="0.3" footer="0.3"/>
  <pageSetup scale="56" orientation="portrait" r:id="rId1"/>
  <colBreaks count="1" manualBreakCount="1">
    <brk id="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7629851B82A084FB3BA5F4048F24A7B" ma:contentTypeVersion="44" ma:contentTypeDescription="" ma:contentTypeScope="" ma:versionID="ece0822c0647505d933469330be9608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2021-06-15T07:00:00+00:00</OpenedDate>
    <SignificantOrder xmlns="dc463f71-b30c-4ab2-9473-d307f9d35888">false</SignificantOrder>
    <Date1 xmlns="dc463f71-b30c-4ab2-9473-d307f9d35888">2021-06-15T07:00:00+00:00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210450</DocketNumber>
    <DelegatedOrder xmlns="dc463f71-b30c-4ab2-9473-d307f9d35888">false</DelegatedOrder>
  </documentManagement>
</p:properties>
</file>

<file path=customXml/itemProps1.xml><?xml version="1.0" encoding="utf-8"?>
<ds:datastoreItem xmlns:ds="http://schemas.openxmlformats.org/officeDocument/2006/customXml" ds:itemID="{A5014A5D-2E13-47DF-904A-72E9279B6A31}"/>
</file>

<file path=customXml/itemProps2.xml><?xml version="1.0" encoding="utf-8"?>
<ds:datastoreItem xmlns:ds="http://schemas.openxmlformats.org/officeDocument/2006/customXml" ds:itemID="{44925479-4501-489A-8209-9D40474EC455}"/>
</file>

<file path=customXml/itemProps3.xml><?xml version="1.0" encoding="utf-8"?>
<ds:datastoreItem xmlns:ds="http://schemas.openxmlformats.org/officeDocument/2006/customXml" ds:itemID="{1282E6A5-B98E-48EE-9851-7B58632A3E30}"/>
</file>

<file path=customXml/itemProps4.xml><?xml version="1.0" encoding="utf-8"?>
<ds:datastoreItem xmlns:ds="http://schemas.openxmlformats.org/officeDocument/2006/customXml" ds:itemID="{63B2EB94-A5BA-41AA-8060-CFE7008659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SUMMARY</vt:lpstr>
      <vt:lpstr>NEW FINAL CALCULATION </vt:lpstr>
      <vt:lpstr>INCRM FIXED TRANSPORT</vt:lpstr>
      <vt:lpstr>VARIABLE TRANSPORT</vt:lpstr>
      <vt:lpstr>FUEL</vt:lpstr>
      <vt:lpstr>FIXED STORAGE</vt:lpstr>
      <vt:lpstr>VARIABLE STORAGE</vt:lpstr>
      <vt:lpstr>COMMODITY COST</vt:lpstr>
      <vt:lpstr>CARBON TAX</vt:lpstr>
      <vt:lpstr>NEW CARBON TAX</vt:lpstr>
      <vt:lpstr>Upstream Emissions</vt:lpstr>
      <vt:lpstr>ENVIRONMENTAL ADDER</vt:lpstr>
      <vt:lpstr>DISTRIBUTION SYSTEM</vt:lpstr>
      <vt:lpstr>RISK PREMIUM</vt:lpstr>
      <vt:lpstr>INFLATION</vt:lpstr>
      <vt:lpstr>CARBON SENSITIVITIES ---&gt;</vt:lpstr>
      <vt:lpstr>Cap and Trade</vt:lpstr>
      <vt:lpstr>Market Choice</vt:lpstr>
      <vt:lpstr>Raise Wages</vt:lpstr>
      <vt:lpstr>'CARBON TAX'!Print_Area</vt:lpstr>
      <vt:lpstr>'DISTRIBUTION SYSTEM'!Print_Area</vt:lpstr>
      <vt:lpstr>'FIXED STORAGE'!Print_Area</vt:lpstr>
      <vt:lpstr>FUEL!Print_Area</vt:lpstr>
      <vt:lpstr>'INCRM FIXED TRANSPORT'!Print_Area</vt:lpstr>
      <vt:lpstr>INFLATION!Print_Area</vt:lpstr>
      <vt:lpstr>'NEW CARBON TAX'!Print_Area</vt:lpstr>
      <vt:lpstr>'NEW FINAL CALCULATION '!Print_Area</vt:lpstr>
      <vt:lpstr>'VARIABLE STORAGE'!Print_Area</vt:lpstr>
      <vt:lpstr>'VARIABLE TRANSPORT'!Print_Area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McGreal, Devin</dc:creator>
  <cp:lastModifiedBy>Peters, Maryalice</cp:lastModifiedBy>
  <cp:lastPrinted>2018-09-28T21:55:21Z</cp:lastPrinted>
  <dcterms:created xsi:type="dcterms:W3CDTF">2018-03-23T17:37:03Z</dcterms:created>
  <dcterms:modified xsi:type="dcterms:W3CDTF">2021-06-11T22:41:39Z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0x0101006E56B4D1795A2E4DB2F0B01679ED314A0057629851B82A084FB3BA5F4048F24A7B</vt:lpwstr>
  </property>
  <property fmtid="{D5CDD505-2E9C-101B-9397-08002B2CF9AE}" pid="3" name="_docset_NoMedatataSyncRequired">
    <vt:lpwstr>False</vt:lpwstr>
  </property>
  <property fmtid="{D5CDD505-2E9C-101B-9397-08002B2CF9AE}" pid="4" name="IsEFSEC">
    <vt:bool>false</vt:bool>
  </property>
</Properties>
</file>