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kagit\Commodity Rebates\2021\"/>
    </mc:Choice>
  </mc:AlternateContent>
  <xr:revisionPtr revIDLastSave="0" documentId="8_{4E1B8460-FB7B-4E08-967C-8AB46B0B4D60}" xr6:coauthVersionLast="45" xr6:coauthVersionMax="45" xr10:uidLastSave="{00000000-0000-0000-0000-000000000000}"/>
  <bookViews>
    <workbookView xWindow="5190" yWindow="1305" windowWidth="21600" windowHeight="11385" xr2:uid="{00000000-000D-0000-FFFF-FFFF00000000}"/>
  </bookViews>
  <sheets>
    <sheet name="Rebate Analysis" sheetId="6" r:id="rId1"/>
    <sheet name="Commodity Revenue" sheetId="7" r:id="rId2"/>
    <sheet name="Tonnages Collected" sheetId="5" r:id="rId3"/>
    <sheet name="CRC Prices" sheetId="1" r:id="rId4"/>
    <sheet name="CRC Composition" sheetId="2" r:id="rId5"/>
    <sheet name="Customers" sheetId="4" r:id="rId6"/>
  </sheets>
  <definedNames>
    <definedName name="_xlnm.Print_Area" localSheetId="4">'CRC Composition'!$A$1:$AC$19</definedName>
    <definedName name="_xlnm.Print_Area" localSheetId="3">'CRC Prices'!$A$1:$K$20</definedName>
    <definedName name="_xlnm.Print_Area" localSheetId="5">Customers!$B$1:$T$23</definedName>
    <definedName name="_xlnm.Print_Area" localSheetId="0">'Rebate Analysis'!$M$1:$R$32</definedName>
    <definedName name="_xlnm.Print_Area" localSheetId="2">'Tonnages Collected'!$A$1:$I$22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9" i="7" l="1"/>
  <c r="AA38" i="7"/>
  <c r="AA37" i="7"/>
  <c r="AA36" i="7"/>
  <c r="N17" i="4" l="1"/>
  <c r="X18" i="2" l="1"/>
  <c r="M17" i="4" l="1"/>
  <c r="V18" i="2" l="1"/>
  <c r="L17" i="4" l="1"/>
  <c r="T18" i="2"/>
  <c r="V8" i="2" l="1"/>
  <c r="X8" i="2" s="1"/>
  <c r="G18" i="1"/>
  <c r="H18" i="1"/>
  <c r="K18" i="1"/>
  <c r="K19" i="1" s="1"/>
  <c r="G19" i="1"/>
  <c r="B18" i="1"/>
  <c r="B19" i="1" s="1"/>
  <c r="N7" i="4"/>
  <c r="C10" i="6" l="1"/>
  <c r="C17" i="4"/>
  <c r="D17" i="4"/>
  <c r="E17" i="4"/>
  <c r="F17" i="4"/>
  <c r="G17" i="4"/>
  <c r="H17" i="4"/>
  <c r="I17" i="4"/>
  <c r="J17" i="4"/>
  <c r="K12" i="4"/>
  <c r="K17" i="4"/>
  <c r="D10" i="6" l="1"/>
  <c r="E10" i="6" l="1"/>
  <c r="L29" i="6" l="1"/>
  <c r="C22" i="5" l="1"/>
  <c r="A29" i="7" l="1"/>
  <c r="A30" i="7"/>
  <c r="A31" i="7"/>
  <c r="A32" i="7"/>
  <c r="A33" i="7"/>
  <c r="A34" i="7"/>
  <c r="A35" i="7"/>
  <c r="A36" i="7"/>
  <c r="A37" i="7"/>
  <c r="A38" i="7"/>
  <c r="A39" i="7"/>
  <c r="A28" i="7"/>
  <c r="O18" i="4" l="1"/>
  <c r="O17" i="4"/>
  <c r="O12" i="4"/>
  <c r="O11" i="4"/>
  <c r="O10" i="4"/>
  <c r="O9" i="4"/>
  <c r="O7" i="4"/>
  <c r="N13" i="4"/>
  <c r="M13" i="4"/>
  <c r="L13" i="4"/>
  <c r="K13" i="4"/>
  <c r="N20" i="4"/>
  <c r="M20" i="4"/>
  <c r="O19" i="4"/>
  <c r="N23" i="4" l="1"/>
  <c r="M23" i="4"/>
  <c r="O20" i="4"/>
  <c r="M14" i="4" l="1"/>
  <c r="M21" i="4"/>
  <c r="N14" i="4"/>
  <c r="N21" i="4"/>
  <c r="V11" i="6"/>
  <c r="P10" i="6" s="1"/>
  <c r="AB10" i="6" l="1"/>
  <c r="AG12" i="6"/>
  <c r="AI18" i="6" s="1"/>
  <c r="AI11" i="6" l="1"/>
  <c r="AI23" i="6"/>
  <c r="AJ25" i="6" s="1"/>
  <c r="AI10" i="6"/>
  <c r="AJ27" i="6" l="1"/>
  <c r="AB11" i="6"/>
  <c r="V10" i="6" s="1"/>
  <c r="AI12" i="6"/>
  <c r="AI16" i="6" s="1"/>
  <c r="T19" i="2" l="1"/>
  <c r="R19" i="2"/>
  <c r="P19" i="2"/>
  <c r="N19" i="2"/>
  <c r="L19" i="2"/>
  <c r="J19" i="2"/>
  <c r="H19" i="2"/>
  <c r="F19" i="2"/>
  <c r="D19" i="2"/>
  <c r="B19" i="2"/>
  <c r="I16" i="2" l="1"/>
  <c r="I12" i="2"/>
  <c r="I8" i="2"/>
  <c r="I13" i="2"/>
  <c r="I15" i="2"/>
  <c r="I11" i="2"/>
  <c r="I14" i="2"/>
  <c r="I10" i="2"/>
  <c r="I17" i="2"/>
  <c r="I9" i="2"/>
  <c r="I18" i="2"/>
  <c r="D13" i="5" s="1"/>
  <c r="E13" i="5" s="1"/>
  <c r="G15" i="2"/>
  <c r="G11" i="2"/>
  <c r="G16" i="2"/>
  <c r="G14" i="2"/>
  <c r="G10" i="2"/>
  <c r="G17" i="2"/>
  <c r="G13" i="2"/>
  <c r="G9" i="2"/>
  <c r="G12" i="2"/>
  <c r="G8" i="2"/>
  <c r="G18" i="2"/>
  <c r="D12" i="5" s="1"/>
  <c r="E12" i="5" s="1"/>
  <c r="O15" i="2"/>
  <c r="O11" i="2"/>
  <c r="O8" i="2"/>
  <c r="O14" i="2"/>
  <c r="O10" i="2"/>
  <c r="O17" i="2"/>
  <c r="O13" i="2"/>
  <c r="O9" i="2"/>
  <c r="O16" i="2"/>
  <c r="O12" i="2"/>
  <c r="O18" i="2"/>
  <c r="D16" i="5" s="1"/>
  <c r="E16" i="5" s="1"/>
  <c r="Q16" i="2"/>
  <c r="Q12" i="2"/>
  <c r="Q8" i="2"/>
  <c r="Q15" i="2"/>
  <c r="Q11" i="2"/>
  <c r="Q14" i="2"/>
  <c r="Q10" i="2"/>
  <c r="Q17" i="2"/>
  <c r="Q13" i="2"/>
  <c r="Q9" i="2"/>
  <c r="Q18" i="2"/>
  <c r="D17" i="5" s="1"/>
  <c r="E17" i="5" s="1"/>
  <c r="C10" i="2"/>
  <c r="C14" i="2"/>
  <c r="C13" i="2"/>
  <c r="C11" i="2"/>
  <c r="C15" i="2"/>
  <c r="C8" i="2"/>
  <c r="C12" i="2"/>
  <c r="C16" i="2"/>
  <c r="C9" i="2"/>
  <c r="C17" i="2"/>
  <c r="C18" i="2"/>
  <c r="D10" i="5" s="1"/>
  <c r="E10" i="5" s="1"/>
  <c r="K17" i="2"/>
  <c r="K13" i="2"/>
  <c r="K9" i="2"/>
  <c r="K10" i="2"/>
  <c r="K16" i="2"/>
  <c r="K12" i="2"/>
  <c r="K8" i="2"/>
  <c r="K15" i="2"/>
  <c r="K11" i="2"/>
  <c r="K14" i="2"/>
  <c r="K18" i="2"/>
  <c r="D14" i="5" s="1"/>
  <c r="E14" i="5" s="1"/>
  <c r="S17" i="2"/>
  <c r="S13" i="2"/>
  <c r="S9" i="2"/>
  <c r="S16" i="2"/>
  <c r="S12" i="2"/>
  <c r="S8" i="2"/>
  <c r="S15" i="2"/>
  <c r="S11" i="2"/>
  <c r="S14" i="2"/>
  <c r="S10" i="2"/>
  <c r="S18" i="2"/>
  <c r="D18" i="5" s="1"/>
  <c r="E18" i="5" s="1"/>
  <c r="E18" i="2"/>
  <c r="D11" i="5" s="1"/>
  <c r="E11" i="5" s="1"/>
  <c r="E14" i="2"/>
  <c r="E10" i="2"/>
  <c r="E15" i="2"/>
  <c r="E17" i="2"/>
  <c r="E13" i="2"/>
  <c r="E9" i="2"/>
  <c r="E16" i="2"/>
  <c r="E12" i="2"/>
  <c r="E8" i="2"/>
  <c r="E11" i="2"/>
  <c r="M14" i="2"/>
  <c r="M10" i="2"/>
  <c r="M17" i="2"/>
  <c r="M13" i="2"/>
  <c r="M9" i="2"/>
  <c r="M16" i="2"/>
  <c r="M12" i="2"/>
  <c r="M8" i="2"/>
  <c r="M15" i="2"/>
  <c r="M11" i="2"/>
  <c r="M18" i="2"/>
  <c r="D15" i="5" s="1"/>
  <c r="E15" i="5" s="1"/>
  <c r="U14" i="2"/>
  <c r="U10" i="2"/>
  <c r="U17" i="2"/>
  <c r="U13" i="2"/>
  <c r="U9" i="2"/>
  <c r="U16" i="2"/>
  <c r="U12" i="2"/>
  <c r="U8" i="2"/>
  <c r="U15" i="2"/>
  <c r="U11" i="2"/>
  <c r="U18" i="2"/>
  <c r="D19" i="5" s="1"/>
  <c r="E19" i="5" s="1"/>
  <c r="M19" i="2" l="1"/>
  <c r="C19" i="2"/>
  <c r="E19" i="2"/>
  <c r="I19" i="2"/>
  <c r="K19" i="2"/>
  <c r="S19" i="2"/>
  <c r="Q19" i="2"/>
  <c r="U19" i="2"/>
  <c r="O19" i="2"/>
  <c r="G19" i="2"/>
  <c r="Z13" i="2"/>
  <c r="Z14" i="2"/>
  <c r="Z15" i="2"/>
  <c r="Z16" i="2"/>
  <c r="Z17" i="2"/>
  <c r="Z18" i="2"/>
  <c r="H20" i="4" l="1"/>
  <c r="J20" i="4"/>
  <c r="L20" i="4"/>
  <c r="C11" i="6" s="1"/>
  <c r="C12" i="6" s="1"/>
  <c r="K20" i="4"/>
  <c r="F20" i="4"/>
  <c r="E18" i="6" l="1"/>
  <c r="E24" i="6"/>
  <c r="L23" i="4"/>
  <c r="K23" i="4"/>
  <c r="K14" i="4" s="1"/>
  <c r="AA31" i="7"/>
  <c r="AA35" i="7"/>
  <c r="AA33" i="7"/>
  <c r="I20" i="4"/>
  <c r="E20" i="4"/>
  <c r="D20" i="4"/>
  <c r="G20" i="4"/>
  <c r="C20" i="4"/>
  <c r="L14" i="4" l="1"/>
  <c r="L21" i="4"/>
  <c r="U12" i="6"/>
  <c r="W18" i="6" s="1"/>
  <c r="W10" i="6"/>
  <c r="AA30" i="7"/>
  <c r="AA28" i="7"/>
  <c r="AA34" i="7"/>
  <c r="AA32" i="7"/>
  <c r="AA29" i="7"/>
  <c r="K21" i="4"/>
  <c r="I12" i="6" l="1"/>
  <c r="K18" i="6" s="1"/>
  <c r="B38" i="7"/>
  <c r="F20" i="5"/>
  <c r="B37" i="7"/>
  <c r="F19" i="5"/>
  <c r="G19" i="5" s="1"/>
  <c r="B36" i="7"/>
  <c r="F18" i="5"/>
  <c r="G18" i="5" s="1"/>
  <c r="O12" i="6"/>
  <c r="Q18" i="6" s="1"/>
  <c r="Q10" i="6"/>
  <c r="B39" i="7" l="1"/>
  <c r="F21" i="5"/>
  <c r="X19" i="2"/>
  <c r="Z12" i="2"/>
  <c r="Z11" i="2"/>
  <c r="Z10" i="2"/>
  <c r="Z9" i="2"/>
  <c r="Z8" i="2"/>
  <c r="V19" i="2"/>
  <c r="W17" i="2" l="1"/>
  <c r="W13" i="2"/>
  <c r="W9" i="2"/>
  <c r="W10" i="2"/>
  <c r="W16" i="2"/>
  <c r="W12" i="2"/>
  <c r="W8" i="2"/>
  <c r="W14" i="2"/>
  <c r="W15" i="2"/>
  <c r="W11" i="2"/>
  <c r="W18" i="2"/>
  <c r="D20" i="5" s="1"/>
  <c r="E20" i="5" s="1"/>
  <c r="G20" i="5" s="1"/>
  <c r="Y18" i="2"/>
  <c r="D21" i="5" s="1"/>
  <c r="E21" i="5" s="1"/>
  <c r="Y14" i="2"/>
  <c r="Y10" i="2"/>
  <c r="Y15" i="2"/>
  <c r="Y17" i="2"/>
  <c r="Y13" i="2"/>
  <c r="Y9" i="2"/>
  <c r="Y16" i="2"/>
  <c r="Y12" i="2"/>
  <c r="Y8" i="2"/>
  <c r="Y11" i="2"/>
  <c r="Z19" i="2"/>
  <c r="AA9" i="2" s="1"/>
  <c r="G21" i="5" l="1"/>
  <c r="E22" i="5"/>
  <c r="AA12" i="2"/>
  <c r="AA10" i="2"/>
  <c r="AA18" i="2"/>
  <c r="AA14" i="2"/>
  <c r="AA15" i="2"/>
  <c r="AA17" i="2"/>
  <c r="AA13" i="2"/>
  <c r="AA16" i="2"/>
  <c r="AA11" i="2"/>
  <c r="AA8" i="2"/>
  <c r="W19" i="2"/>
  <c r="AC13" i="2"/>
  <c r="H7" i="7" s="1"/>
  <c r="AC10" i="2"/>
  <c r="E7" i="7" s="1"/>
  <c r="E19" i="7" s="1"/>
  <c r="E39" i="7" s="1"/>
  <c r="AC8" i="2"/>
  <c r="C7" i="7" s="1"/>
  <c r="C19" i="7" s="1"/>
  <c r="C39" i="7" s="1"/>
  <c r="AC15" i="2"/>
  <c r="AC16" i="2"/>
  <c r="AC9" i="2"/>
  <c r="D7" i="7" s="1"/>
  <c r="D19" i="7" s="1"/>
  <c r="D39" i="7" s="1"/>
  <c r="AC17" i="2"/>
  <c r="AC14" i="2"/>
  <c r="AC11" i="2"/>
  <c r="F7" i="7" s="1"/>
  <c r="AC12" i="2"/>
  <c r="G7" i="7" s="1"/>
  <c r="G19" i="7" s="1"/>
  <c r="G39" i="7" s="1"/>
  <c r="Y19" i="2"/>
  <c r="L7" i="7" l="1"/>
  <c r="L14" i="7" s="1"/>
  <c r="K7" i="7"/>
  <c r="K18" i="7" s="1"/>
  <c r="K38" i="7" s="1"/>
  <c r="I7" i="7"/>
  <c r="I14" i="7" s="1"/>
  <c r="J7" i="7"/>
  <c r="J13" i="7" s="1"/>
  <c r="F9" i="7"/>
  <c r="F11" i="7"/>
  <c r="F13" i="7"/>
  <c r="F15" i="7"/>
  <c r="F17" i="7"/>
  <c r="F37" i="7" s="1"/>
  <c r="F8" i="7"/>
  <c r="F10" i="7"/>
  <c r="F12" i="7"/>
  <c r="F14" i="7"/>
  <c r="F16" i="7"/>
  <c r="F18" i="7"/>
  <c r="F38" i="7" s="1"/>
  <c r="H10" i="7"/>
  <c r="H12" i="7"/>
  <c r="H14" i="7"/>
  <c r="H16" i="7"/>
  <c r="H18" i="7"/>
  <c r="H38" i="7" s="1"/>
  <c r="H9" i="7"/>
  <c r="H11" i="7"/>
  <c r="H13" i="7"/>
  <c r="H15" i="7"/>
  <c r="H17" i="7"/>
  <c r="H37" i="7" s="1"/>
  <c r="H8" i="7"/>
  <c r="H19" i="7"/>
  <c r="H39" i="7" s="1"/>
  <c r="C8" i="7"/>
  <c r="C9" i="7"/>
  <c r="C11" i="7"/>
  <c r="C13" i="7"/>
  <c r="C15" i="7"/>
  <c r="C17" i="7"/>
  <c r="C37" i="7" s="1"/>
  <c r="C12" i="7"/>
  <c r="C16" i="7"/>
  <c r="C18" i="7"/>
  <c r="C38" i="7" s="1"/>
  <c r="C10" i="7"/>
  <c r="C14" i="7"/>
  <c r="K9" i="7"/>
  <c r="G8" i="7"/>
  <c r="G9" i="7"/>
  <c r="G11" i="7"/>
  <c r="G13" i="7"/>
  <c r="G15" i="7"/>
  <c r="G17" i="7"/>
  <c r="G37" i="7" s="1"/>
  <c r="G14" i="7"/>
  <c r="G10" i="7"/>
  <c r="G12" i="7"/>
  <c r="G16" i="7"/>
  <c r="G18" i="7"/>
  <c r="G38" i="7" s="1"/>
  <c r="D10" i="7"/>
  <c r="D12" i="7"/>
  <c r="D14" i="7"/>
  <c r="D16" i="7"/>
  <c r="D18" i="7"/>
  <c r="D38" i="7" s="1"/>
  <c r="D8" i="7"/>
  <c r="D9" i="7"/>
  <c r="D11" i="7"/>
  <c r="D13" i="7"/>
  <c r="D15" i="7"/>
  <c r="D17" i="7"/>
  <c r="D37" i="7" s="1"/>
  <c r="E10" i="7"/>
  <c r="E12" i="7"/>
  <c r="E14" i="7"/>
  <c r="E16" i="7"/>
  <c r="E18" i="7"/>
  <c r="E38" i="7" s="1"/>
  <c r="E11" i="7"/>
  <c r="E15" i="7"/>
  <c r="E17" i="7"/>
  <c r="E37" i="7" s="1"/>
  <c r="E8" i="7"/>
  <c r="E9" i="7"/>
  <c r="E13" i="7"/>
  <c r="F19" i="7"/>
  <c r="F39" i="7" s="1"/>
  <c r="AC19" i="2"/>
  <c r="L11" i="7" l="1"/>
  <c r="J18" i="7"/>
  <c r="J38" i="7" s="1"/>
  <c r="J19" i="7"/>
  <c r="J39" i="7" s="1"/>
  <c r="K17" i="7"/>
  <c r="K37" i="7" s="1"/>
  <c r="J10" i="7"/>
  <c r="K19" i="7"/>
  <c r="K39" i="7" s="1"/>
  <c r="K13" i="7"/>
  <c r="L8" i="7"/>
  <c r="I9" i="7"/>
  <c r="K10" i="7"/>
  <c r="K16" i="7"/>
  <c r="J14" i="7"/>
  <c r="J17" i="7"/>
  <c r="J37" i="7" s="1"/>
  <c r="J9" i="7"/>
  <c r="L16" i="7"/>
  <c r="I16" i="7"/>
  <c r="L15" i="7"/>
  <c r="L12" i="7"/>
  <c r="I15" i="7"/>
  <c r="I12" i="7"/>
  <c r="I8" i="7"/>
  <c r="L19" i="7"/>
  <c r="L39" i="7" s="1"/>
  <c r="K12" i="7"/>
  <c r="K11" i="7"/>
  <c r="K8" i="7"/>
  <c r="L13" i="7"/>
  <c r="L18" i="7"/>
  <c r="L38" i="7" s="1"/>
  <c r="L10" i="7"/>
  <c r="J12" i="7"/>
  <c r="J11" i="7"/>
  <c r="I11" i="7"/>
  <c r="I18" i="7"/>
  <c r="I38" i="7" s="1"/>
  <c r="I10" i="7"/>
  <c r="K14" i="7"/>
  <c r="K15" i="7"/>
  <c r="I19" i="7"/>
  <c r="I39" i="7" s="1"/>
  <c r="L17" i="7"/>
  <c r="L37" i="7" s="1"/>
  <c r="L9" i="7"/>
  <c r="J16" i="7"/>
  <c r="J8" i="7"/>
  <c r="I17" i="7"/>
  <c r="I37" i="7" s="1"/>
  <c r="I13" i="7"/>
  <c r="J15" i="7"/>
  <c r="AA40" i="7"/>
  <c r="M39" i="7" l="1"/>
  <c r="AB39" i="7" s="1"/>
  <c r="M38" i="7"/>
  <c r="AB38" i="7" s="1"/>
  <c r="M37" i="7"/>
  <c r="AB37" i="7" s="1"/>
  <c r="AC10" i="6"/>
  <c r="AA12" i="6"/>
  <c r="AC18" i="6" s="1"/>
  <c r="J36" i="7" l="1"/>
  <c r="H36" i="7"/>
  <c r="I36" i="7"/>
  <c r="F36" i="7"/>
  <c r="T19" i="7" l="1"/>
  <c r="AF19" i="7" s="1"/>
  <c r="U19" i="7"/>
  <c r="S19" i="7"/>
  <c r="U18" i="7"/>
  <c r="U17" i="7"/>
  <c r="U16" i="7"/>
  <c r="S17" i="7"/>
  <c r="T16" i="7"/>
  <c r="AF16" i="7" s="1"/>
  <c r="V18" i="7"/>
  <c r="V16" i="7"/>
  <c r="R16" i="7"/>
  <c r="S18" i="7"/>
  <c r="T17" i="7"/>
  <c r="AF17" i="7" s="1"/>
  <c r="P19" i="7"/>
  <c r="AB19" i="7" s="1"/>
  <c r="R19" i="7"/>
  <c r="AD19" i="7" s="1"/>
  <c r="AA19" i="2"/>
  <c r="D36" i="7"/>
  <c r="G36" i="7"/>
  <c r="E36" i="7"/>
  <c r="K36" i="7"/>
  <c r="L36" i="7"/>
  <c r="C36" i="7"/>
  <c r="V17" i="7" l="1"/>
  <c r="AH17" i="7" s="1"/>
  <c r="Q16" i="7"/>
  <c r="Q17" i="7"/>
  <c r="R18" i="7"/>
  <c r="X17" i="7"/>
  <c r="W16" i="7"/>
  <c r="Q18" i="7"/>
  <c r="AC18" i="7" s="1"/>
  <c r="W17" i="7"/>
  <c r="T18" i="7"/>
  <c r="O17" i="7"/>
  <c r="S16" i="7"/>
  <c r="O18" i="7"/>
  <c r="X18" i="7"/>
  <c r="W18" i="7"/>
  <c r="O16" i="7"/>
  <c r="X16" i="7"/>
  <c r="P17" i="7"/>
  <c r="R17" i="7"/>
  <c r="AD17" i="7" s="1"/>
  <c r="P16" i="7"/>
  <c r="AB16" i="7" s="1"/>
  <c r="P18" i="7"/>
  <c r="AB18" i="7" s="1"/>
  <c r="O19" i="7"/>
  <c r="X19" i="7"/>
  <c r="V19" i="7"/>
  <c r="W19" i="7"/>
  <c r="Q19" i="7"/>
  <c r="AE18" i="7"/>
  <c r="AG16" i="7"/>
  <c r="AG17" i="7"/>
  <c r="AH16" i="7"/>
  <c r="AH18" i="7"/>
  <c r="AD16" i="7"/>
  <c r="AE17" i="7"/>
  <c r="AG18" i="7"/>
  <c r="AE19" i="7"/>
  <c r="AG19" i="7"/>
  <c r="M19" i="7"/>
  <c r="M17" i="7"/>
  <c r="M18" i="7"/>
  <c r="M16" i="7"/>
  <c r="AF18" i="7" l="1"/>
  <c r="AJ19" i="7"/>
  <c r="AJ16" i="7"/>
  <c r="AJ18" i="7"/>
  <c r="AJ17" i="7"/>
  <c r="AC19" i="7"/>
  <c r="AH19" i="7"/>
  <c r="AD18" i="7"/>
  <c r="AC16" i="7"/>
  <c r="AE16" i="7"/>
  <c r="AC17" i="7"/>
  <c r="AB17" i="7"/>
  <c r="AI18" i="7"/>
  <c r="AI19" i="7"/>
  <c r="AI17" i="7"/>
  <c r="AI16" i="7"/>
  <c r="M36" i="7"/>
  <c r="AB36" i="7" s="1"/>
  <c r="Y17" i="7"/>
  <c r="Y16" i="7"/>
  <c r="Y18" i="7"/>
  <c r="Y19" i="7"/>
  <c r="Q25" i="7" l="1"/>
  <c r="U25" i="7"/>
  <c r="L25" i="7"/>
  <c r="R25" i="7"/>
  <c r="V25" i="7"/>
  <c r="O25" i="7"/>
  <c r="S25" i="7"/>
  <c r="H25" i="7"/>
  <c r="T25" i="7"/>
  <c r="X25" i="7"/>
  <c r="I25" i="7"/>
  <c r="W25" i="7"/>
  <c r="K25" i="7" l="1"/>
  <c r="J25" i="7"/>
  <c r="G25" i="7"/>
  <c r="F25" i="7"/>
  <c r="C25" i="7"/>
  <c r="E25" i="7"/>
  <c r="AC11" i="6" l="1"/>
  <c r="AC12" i="6" s="1"/>
  <c r="AC23" i="6" l="1"/>
  <c r="AC16" i="6"/>
  <c r="AD20" i="6" s="1"/>
  <c r="W11" i="6" l="1"/>
  <c r="W12" i="6" s="1"/>
  <c r="AD27" i="6"/>
  <c r="X25" i="6" l="1"/>
  <c r="P11" i="6" s="1"/>
  <c r="J13" i="4"/>
  <c r="J23" i="4" s="1"/>
  <c r="J21" i="4" s="1"/>
  <c r="B35" i="7" s="1"/>
  <c r="E13" i="4"/>
  <c r="H13" i="4"/>
  <c r="C13" i="4"/>
  <c r="O8" i="4"/>
  <c r="O13" i="4" s="1"/>
  <c r="I13" i="4"/>
  <c r="I23" i="4" s="1"/>
  <c r="I21" i="4" s="1"/>
  <c r="F13" i="4"/>
  <c r="D13" i="4"/>
  <c r="G13" i="4"/>
  <c r="G23" i="4" s="1"/>
  <c r="G21" i="4" s="1"/>
  <c r="B34" i="7" l="1"/>
  <c r="F17" i="5"/>
  <c r="G17" i="5" s="1"/>
  <c r="F16" i="5"/>
  <c r="G16" i="5" s="1"/>
  <c r="B32" i="7"/>
  <c r="F14" i="5"/>
  <c r="G14" i="5" s="1"/>
  <c r="Q11" i="6"/>
  <c r="Q12" i="6" s="1"/>
  <c r="K10" i="6"/>
  <c r="G14" i="4"/>
  <c r="D23" i="4"/>
  <c r="F23" i="4"/>
  <c r="F21" i="4" s="1"/>
  <c r="I14" i="4"/>
  <c r="O23" i="4"/>
  <c r="O14" i="4" s="1"/>
  <c r="H23" i="4"/>
  <c r="H21" i="4" s="1"/>
  <c r="J14" i="4"/>
  <c r="E23" i="4"/>
  <c r="E21" i="4" s="1"/>
  <c r="C23" i="4"/>
  <c r="C21" i="4" s="1"/>
  <c r="B28" i="7" l="1"/>
  <c r="F10" i="5"/>
  <c r="G10" i="5" s="1"/>
  <c r="B30" i="7"/>
  <c r="F12" i="5"/>
  <c r="G12" i="5" s="1"/>
  <c r="B31" i="7"/>
  <c r="F13" i="5"/>
  <c r="G13" i="5" s="1"/>
  <c r="B33" i="7"/>
  <c r="F15" i="5"/>
  <c r="G15" i="5" s="1"/>
  <c r="F14" i="4"/>
  <c r="D14" i="4"/>
  <c r="P8" i="4"/>
  <c r="P13" i="4"/>
  <c r="D21" i="4"/>
  <c r="C14" i="4"/>
  <c r="E14" i="4"/>
  <c r="P11" i="4"/>
  <c r="P17" i="4"/>
  <c r="P7" i="4"/>
  <c r="P20" i="4"/>
  <c r="P19" i="4"/>
  <c r="O21" i="4"/>
  <c r="B40" i="7" s="1"/>
  <c r="P9" i="4"/>
  <c r="P18" i="4"/>
  <c r="P23" i="4"/>
  <c r="P12" i="4"/>
  <c r="P10" i="4"/>
  <c r="H14" i="4"/>
  <c r="P37" i="7" l="1"/>
  <c r="T37" i="7"/>
  <c r="X37" i="7"/>
  <c r="Q38" i="7"/>
  <c r="U38" i="7"/>
  <c r="O39" i="7"/>
  <c r="S39" i="7"/>
  <c r="Q37" i="7"/>
  <c r="U37" i="7"/>
  <c r="R38" i="7"/>
  <c r="V38" i="7"/>
  <c r="P39" i="7"/>
  <c r="T39" i="7"/>
  <c r="X39" i="7"/>
  <c r="O37" i="7"/>
  <c r="S37" i="7"/>
  <c r="W37" i="7"/>
  <c r="P38" i="7"/>
  <c r="T38" i="7"/>
  <c r="X38" i="7"/>
  <c r="R39" i="7"/>
  <c r="V39" i="7"/>
  <c r="R37" i="7"/>
  <c r="V37" i="7"/>
  <c r="O38" i="7"/>
  <c r="S38" i="7"/>
  <c r="W38" i="7"/>
  <c r="Q39" i="7"/>
  <c r="U39" i="7"/>
  <c r="W39" i="7"/>
  <c r="B29" i="7"/>
  <c r="F11" i="5"/>
  <c r="G11" i="5" s="1"/>
  <c r="X12" i="7"/>
  <c r="AJ12" i="7" s="1"/>
  <c r="L32" i="7"/>
  <c r="M15" i="7"/>
  <c r="O15" i="7"/>
  <c r="O35" i="7" s="1"/>
  <c r="C35" i="7"/>
  <c r="W14" i="7"/>
  <c r="AI14" i="7" s="1"/>
  <c r="K34" i="7"/>
  <c r="O12" i="7"/>
  <c r="O32" i="7" s="1"/>
  <c r="M12" i="7"/>
  <c r="C32" i="7"/>
  <c r="P12" i="7"/>
  <c r="AB12" i="7" s="1"/>
  <c r="D32" i="7"/>
  <c r="V15" i="7"/>
  <c r="AH15" i="7" s="1"/>
  <c r="J35" i="7"/>
  <c r="W15" i="7"/>
  <c r="AI15" i="7" s="1"/>
  <c r="K35" i="7"/>
  <c r="U15" i="7"/>
  <c r="AG15" i="7" s="1"/>
  <c r="I35" i="7"/>
  <c r="P14" i="7"/>
  <c r="AB14" i="7" s="1"/>
  <c r="D34" i="7"/>
  <c r="T14" i="7"/>
  <c r="AF14" i="7" s="1"/>
  <c r="H34" i="7"/>
  <c r="T15" i="7"/>
  <c r="AF15" i="7" s="1"/>
  <c r="H35" i="7"/>
  <c r="W12" i="7"/>
  <c r="AI12" i="7" s="1"/>
  <c r="K32" i="7"/>
  <c r="T12" i="7"/>
  <c r="AF12" i="7" s="1"/>
  <c r="H32" i="7"/>
  <c r="Q15" i="7"/>
  <c r="AC15" i="7" s="1"/>
  <c r="E35" i="7"/>
  <c r="R15" i="7"/>
  <c r="AD15" i="7" s="1"/>
  <c r="F35" i="7"/>
  <c r="O14" i="7"/>
  <c r="O34" i="7" s="1"/>
  <c r="M14" i="7"/>
  <c r="C34" i="7"/>
  <c r="Q14" i="7"/>
  <c r="AC14" i="7" s="1"/>
  <c r="E34" i="7"/>
  <c r="V14" i="7"/>
  <c r="AH14" i="7" s="1"/>
  <c r="J34" i="7"/>
  <c r="V12" i="7"/>
  <c r="AH12" i="7" s="1"/>
  <c r="J32" i="7"/>
  <c r="X15" i="7"/>
  <c r="AJ15" i="7" s="1"/>
  <c r="L35" i="7"/>
  <c r="U14" i="7"/>
  <c r="AG14" i="7" s="1"/>
  <c r="I34" i="7"/>
  <c r="Q12" i="7"/>
  <c r="AC12" i="7" s="1"/>
  <c r="E32" i="7"/>
  <c r="R12" i="7"/>
  <c r="AD12" i="7" s="1"/>
  <c r="F32" i="7"/>
  <c r="S12" i="7"/>
  <c r="AE12" i="7" s="1"/>
  <c r="G32" i="7"/>
  <c r="U12" i="7"/>
  <c r="AG12" i="7" s="1"/>
  <c r="I32" i="7"/>
  <c r="P15" i="7"/>
  <c r="AB15" i="7" s="1"/>
  <c r="D35" i="7"/>
  <c r="S15" i="7"/>
  <c r="AE15" i="7" s="1"/>
  <c r="G35" i="7"/>
  <c r="X14" i="7"/>
  <c r="AJ14" i="7" s="1"/>
  <c r="L34" i="7"/>
  <c r="R14" i="7"/>
  <c r="AD14" i="7" s="1"/>
  <c r="F34" i="7"/>
  <c r="S14" i="7"/>
  <c r="AE14" i="7" s="1"/>
  <c r="G34" i="7"/>
  <c r="G22" i="5"/>
  <c r="F22" i="5" s="1"/>
  <c r="T9" i="7"/>
  <c r="AF9" i="7" s="1"/>
  <c r="U9" i="7"/>
  <c r="AG9" i="7" s="1"/>
  <c r="S9" i="7"/>
  <c r="AE9" i="7" s="1"/>
  <c r="V9" i="7"/>
  <c r="AH9" i="7" s="1"/>
  <c r="R9" i="7"/>
  <c r="AD9" i="7" s="1"/>
  <c r="X9" i="7"/>
  <c r="AJ9" i="7" s="1"/>
  <c r="W9" i="7"/>
  <c r="AI9" i="7" s="1"/>
  <c r="Q9" i="7"/>
  <c r="AC9" i="7" s="1"/>
  <c r="P9" i="7"/>
  <c r="AB9" i="7" s="1"/>
  <c r="C29" i="7"/>
  <c r="X36" i="7"/>
  <c r="U36" i="7"/>
  <c r="R36" i="7"/>
  <c r="W36" i="7"/>
  <c r="Q36" i="7"/>
  <c r="P36" i="7"/>
  <c r="V36" i="7"/>
  <c r="T36" i="7"/>
  <c r="O36" i="7"/>
  <c r="S36" i="7"/>
  <c r="Y39" i="7" l="1"/>
  <c r="AC39" i="7" s="1"/>
  <c r="Y38" i="7"/>
  <c r="AC38" i="7" s="1"/>
  <c r="Y37" i="7"/>
  <c r="AC37" i="7" s="1"/>
  <c r="V29" i="7"/>
  <c r="V34" i="7"/>
  <c r="T35" i="7"/>
  <c r="M35" i="7"/>
  <c r="AB35" i="7" s="1"/>
  <c r="W35" i="7"/>
  <c r="V35" i="7"/>
  <c r="U35" i="7"/>
  <c r="S35" i="7"/>
  <c r="R35" i="7"/>
  <c r="Q35" i="7"/>
  <c r="M34" i="7"/>
  <c r="AB34" i="7" s="1"/>
  <c r="W34" i="7"/>
  <c r="T34" i="7"/>
  <c r="P34" i="7"/>
  <c r="Q29" i="7"/>
  <c r="M32" i="7"/>
  <c r="AB32" i="7" s="1"/>
  <c r="J29" i="7"/>
  <c r="E29" i="7"/>
  <c r="R29" i="7"/>
  <c r="T29" i="7"/>
  <c r="H29" i="7"/>
  <c r="R34" i="7"/>
  <c r="P29" i="7"/>
  <c r="X35" i="7"/>
  <c r="F29" i="7"/>
  <c r="X32" i="7"/>
  <c r="W32" i="7"/>
  <c r="U32" i="7"/>
  <c r="T32" i="7"/>
  <c r="R32" i="7"/>
  <c r="P32" i="7"/>
  <c r="X29" i="7"/>
  <c r="X13" i="7"/>
  <c r="L33" i="7"/>
  <c r="S13" i="7"/>
  <c r="G33" i="7"/>
  <c r="T13" i="7"/>
  <c r="H33" i="7"/>
  <c r="U13" i="7"/>
  <c r="I33" i="7"/>
  <c r="Y15" i="7"/>
  <c r="X34" i="7"/>
  <c r="Q32" i="7"/>
  <c r="U34" i="7"/>
  <c r="S32" i="7"/>
  <c r="U29" i="7"/>
  <c r="S34" i="7"/>
  <c r="I29" i="7"/>
  <c r="W13" i="7"/>
  <c r="K33" i="7"/>
  <c r="P13" i="7"/>
  <c r="D33" i="7"/>
  <c r="Q13" i="7"/>
  <c r="E33" i="7"/>
  <c r="M13" i="7"/>
  <c r="O13" i="7"/>
  <c r="C33" i="7"/>
  <c r="Y12" i="7"/>
  <c r="Q34" i="7"/>
  <c r="V32" i="7"/>
  <c r="P35" i="7"/>
  <c r="K29" i="7"/>
  <c r="R13" i="7"/>
  <c r="F33" i="7"/>
  <c r="V13" i="7"/>
  <c r="J33" i="7"/>
  <c r="Y14" i="7"/>
  <c r="Q11" i="7"/>
  <c r="E31" i="7"/>
  <c r="T10" i="7"/>
  <c r="H30" i="7"/>
  <c r="G29" i="7"/>
  <c r="X11" i="7"/>
  <c r="L31" i="7"/>
  <c r="P11" i="7"/>
  <c r="D31" i="7"/>
  <c r="M9" i="7"/>
  <c r="O9" i="7"/>
  <c r="V10" i="7"/>
  <c r="J30" i="7"/>
  <c r="P10" i="7"/>
  <c r="D30" i="7"/>
  <c r="S11" i="7"/>
  <c r="G31" i="7"/>
  <c r="W10" i="7"/>
  <c r="K30" i="7"/>
  <c r="S29" i="7"/>
  <c r="W11" i="7"/>
  <c r="K31" i="7"/>
  <c r="R11" i="7"/>
  <c r="F31" i="7"/>
  <c r="Q10" i="7"/>
  <c r="E30" i="7"/>
  <c r="S10" i="7"/>
  <c r="G30" i="7"/>
  <c r="D22" i="5"/>
  <c r="O11" i="7"/>
  <c r="M11" i="7"/>
  <c r="C31" i="7"/>
  <c r="X10" i="7"/>
  <c r="L30" i="7"/>
  <c r="W29" i="7"/>
  <c r="L29" i="7"/>
  <c r="V11" i="7"/>
  <c r="J31" i="7"/>
  <c r="U11" i="7"/>
  <c r="I31" i="7"/>
  <c r="T11" i="7"/>
  <c r="H31" i="7"/>
  <c r="R10" i="7"/>
  <c r="F30" i="7"/>
  <c r="O10" i="7"/>
  <c r="M10" i="7"/>
  <c r="C30" i="7"/>
  <c r="U10" i="7"/>
  <c r="I30" i="7"/>
  <c r="D29" i="7"/>
  <c r="Y36" i="7"/>
  <c r="AC36" i="7" s="1"/>
  <c r="Y35" i="7" l="1"/>
  <c r="AC35" i="7" s="1"/>
  <c r="Y34" i="7"/>
  <c r="AC34" i="7" s="1"/>
  <c r="Y32" i="7"/>
  <c r="AC32" i="7" s="1"/>
  <c r="M33" i="7"/>
  <c r="AB33" i="7" s="1"/>
  <c r="M29" i="7"/>
  <c r="AB29" i="7" s="1"/>
  <c r="AB13" i="7"/>
  <c r="P33" i="7"/>
  <c r="AH13" i="7"/>
  <c r="V33" i="7"/>
  <c r="AG13" i="7"/>
  <c r="U33" i="7"/>
  <c r="AE13" i="7"/>
  <c r="S33" i="7"/>
  <c r="AC13" i="7"/>
  <c r="Q33" i="7"/>
  <c r="AI13" i="7"/>
  <c r="W33" i="7"/>
  <c r="AD13" i="7"/>
  <c r="R33" i="7"/>
  <c r="Y13" i="7"/>
  <c r="O33" i="7"/>
  <c r="AF13" i="7"/>
  <c r="T33" i="7"/>
  <c r="AJ13" i="7"/>
  <c r="X33" i="7"/>
  <c r="Y10" i="7"/>
  <c r="O30" i="7"/>
  <c r="AJ10" i="7"/>
  <c r="X30" i="7"/>
  <c r="U8" i="7"/>
  <c r="I20" i="7"/>
  <c r="I28" i="7"/>
  <c r="I40" i="7" s="1"/>
  <c r="AJ11" i="7"/>
  <c r="X31" i="7"/>
  <c r="M31" i="7"/>
  <c r="AB31" i="7" s="1"/>
  <c r="O8" i="7"/>
  <c r="C20" i="7"/>
  <c r="M8" i="7"/>
  <c r="M20" i="7" s="1"/>
  <c r="M7" i="7" s="1"/>
  <c r="C28" i="7"/>
  <c r="D20" i="7"/>
  <c r="P8" i="7"/>
  <c r="D28" i="7"/>
  <c r="D40" i="7" s="1"/>
  <c r="T8" i="7"/>
  <c r="H20" i="7"/>
  <c r="H28" i="7"/>
  <c r="H40" i="7" s="1"/>
  <c r="AE10" i="7"/>
  <c r="S30" i="7"/>
  <c r="AD11" i="7"/>
  <c r="R31" i="7"/>
  <c r="AE11" i="7"/>
  <c r="S31" i="7"/>
  <c r="AF10" i="7"/>
  <c r="T30" i="7"/>
  <c r="AF11" i="7"/>
  <c r="T31" i="7"/>
  <c r="M30" i="7"/>
  <c r="AB30" i="7" s="1"/>
  <c r="AD10" i="7"/>
  <c r="R30" i="7"/>
  <c r="AG11" i="7"/>
  <c r="U31" i="7"/>
  <c r="Q8" i="7"/>
  <c r="E20" i="7"/>
  <c r="E28" i="7"/>
  <c r="E40" i="7" s="1"/>
  <c r="R8" i="7"/>
  <c r="F20" i="7"/>
  <c r="F28" i="7"/>
  <c r="F40" i="7" s="1"/>
  <c r="AH10" i="7"/>
  <c r="V30" i="7"/>
  <c r="AB11" i="7"/>
  <c r="P31" i="7"/>
  <c r="AH11" i="7"/>
  <c r="V31" i="7"/>
  <c r="J20" i="7"/>
  <c r="V8" i="7"/>
  <c r="J28" i="7"/>
  <c r="J40" i="7" s="1"/>
  <c r="AB10" i="7"/>
  <c r="P30" i="7"/>
  <c r="AG10" i="7"/>
  <c r="U30" i="7"/>
  <c r="Y11" i="7"/>
  <c r="O31" i="7"/>
  <c r="X8" i="7"/>
  <c r="L20" i="7"/>
  <c r="L28" i="7"/>
  <c r="L40" i="7" s="1"/>
  <c r="S8" i="7"/>
  <c r="G20" i="7"/>
  <c r="G28" i="7"/>
  <c r="G40" i="7" s="1"/>
  <c r="K20" i="7"/>
  <c r="W8" i="7"/>
  <c r="K28" i="7"/>
  <c r="K40" i="7" s="1"/>
  <c r="AC10" i="7"/>
  <c r="Q30" i="7"/>
  <c r="AI11" i="7"/>
  <c r="W31" i="7"/>
  <c r="AI10" i="7"/>
  <c r="W30" i="7"/>
  <c r="Y9" i="7"/>
  <c r="O29" i="7"/>
  <c r="Y29" i="7" s="1"/>
  <c r="AC11" i="7"/>
  <c r="Q31" i="7"/>
  <c r="L25" i="6" l="1"/>
  <c r="D11" i="6" s="1"/>
  <c r="E11" i="6" s="1"/>
  <c r="E12" i="6" s="1"/>
  <c r="AC29" i="7"/>
  <c r="Y33" i="7"/>
  <c r="AC33" i="7" s="1"/>
  <c r="AJ8" i="7"/>
  <c r="X20" i="7"/>
  <c r="AJ20" i="7" s="1"/>
  <c r="X28" i="7"/>
  <c r="X40" i="7" s="1"/>
  <c r="AE8" i="7"/>
  <c r="S20" i="7"/>
  <c r="AE20" i="7" s="1"/>
  <c r="F20" i="1" s="1"/>
  <c r="S28" i="7"/>
  <c r="S40" i="7" s="1"/>
  <c r="Y30" i="7"/>
  <c r="AC30" i="7" s="1"/>
  <c r="AI8" i="7"/>
  <c r="W20" i="7"/>
  <c r="AI20" i="7" s="1"/>
  <c r="J20" i="1" s="1"/>
  <c r="W28" i="7"/>
  <c r="W40" i="7" s="1"/>
  <c r="Q20" i="7"/>
  <c r="AC20" i="7" s="1"/>
  <c r="D20" i="1" s="1"/>
  <c r="AC8" i="7"/>
  <c r="Q28" i="7"/>
  <c r="Q40" i="7" s="1"/>
  <c r="P20" i="7"/>
  <c r="AB20" i="7" s="1"/>
  <c r="C20" i="1" s="1"/>
  <c r="AB8" i="7"/>
  <c r="P28" i="7"/>
  <c r="P40" i="7" s="1"/>
  <c r="AG8" i="7"/>
  <c r="U20" i="7"/>
  <c r="AG20" i="7" s="1"/>
  <c r="H20" i="1" s="1"/>
  <c r="U28" i="7"/>
  <c r="U40" i="7" s="1"/>
  <c r="AF8" i="7"/>
  <c r="T20" i="7"/>
  <c r="AF20" i="7" s="1"/>
  <c r="G20" i="1" s="1"/>
  <c r="T28" i="7"/>
  <c r="T40" i="7" s="1"/>
  <c r="M28" i="7"/>
  <c r="C40" i="7"/>
  <c r="Y31" i="7"/>
  <c r="AC31" i="7" s="1"/>
  <c r="AH8" i="7"/>
  <c r="V20" i="7"/>
  <c r="AH20" i="7" s="1"/>
  <c r="I20" i="1" s="1"/>
  <c r="V28" i="7"/>
  <c r="V40" i="7" s="1"/>
  <c r="AD8" i="7"/>
  <c r="R20" i="7"/>
  <c r="AD20" i="7" s="1"/>
  <c r="E20" i="1" s="1"/>
  <c r="R28" i="7"/>
  <c r="R40" i="7" s="1"/>
  <c r="O20" i="7"/>
  <c r="AA20" i="7" s="1"/>
  <c r="B20" i="1" s="1"/>
  <c r="Y8" i="7"/>
  <c r="Y20" i="7" s="1"/>
  <c r="O28" i="7"/>
  <c r="W16" i="6"/>
  <c r="X20" i="6" s="1"/>
  <c r="X27" i="6" s="1"/>
  <c r="Q16" i="6"/>
  <c r="R20" i="6" s="1"/>
  <c r="R25" i="6"/>
  <c r="K11" i="6" s="1"/>
  <c r="K12" i="6" s="1"/>
  <c r="K20" i="1" l="1"/>
  <c r="O40" i="7"/>
  <c r="Y28" i="7"/>
  <c r="AB28" i="7"/>
  <c r="M40" i="7"/>
  <c r="AB40" i="7" s="1"/>
  <c r="R27" i="6"/>
  <c r="Y40" i="7" l="1"/>
  <c r="AC28" i="7"/>
  <c r="E23" i="6" l="1"/>
  <c r="F25" i="6" s="1"/>
  <c r="AC40" i="7"/>
  <c r="K16" i="6"/>
  <c r="E14" i="6"/>
  <c r="E16" i="6" s="1"/>
  <c r="F20" i="6" s="1"/>
  <c r="L20" i="6"/>
  <c r="L27" i="6" s="1"/>
  <c r="L31" i="6" s="1"/>
  <c r="F27" i="6" l="1"/>
</calcChain>
</file>

<file path=xl/sharedStrings.xml><?xml version="1.0" encoding="utf-8"?>
<sst xmlns="http://schemas.openxmlformats.org/spreadsheetml/2006/main" count="302" uniqueCount="124">
  <si>
    <t>Passback Price/ton schedule</t>
  </si>
  <si>
    <t>Natural</t>
  </si>
  <si>
    <t>Colored</t>
  </si>
  <si>
    <t>Mixed</t>
  </si>
  <si>
    <t>Month</t>
  </si>
  <si>
    <t>ONP 6</t>
  </si>
  <si>
    <t>Mixed Paper</t>
  </si>
  <si>
    <t>OCC</t>
  </si>
  <si>
    <t>Alum.</t>
  </si>
  <si>
    <t>Tin</t>
  </si>
  <si>
    <t>Glass</t>
  </si>
  <si>
    <t>PET</t>
  </si>
  <si>
    <t>HDPE</t>
  </si>
  <si>
    <t>Plastics 3-7</t>
  </si>
  <si>
    <t>Average</t>
  </si>
  <si>
    <t>Stream Composition-CRC</t>
  </si>
  <si>
    <t>Total</t>
  </si>
  <si>
    <t>Tons</t>
  </si>
  <si>
    <t>Newspaper</t>
  </si>
  <si>
    <t>Mix Paper</t>
  </si>
  <si>
    <t>Aluminum</t>
  </si>
  <si>
    <t>HDPE Natl</t>
  </si>
  <si>
    <t>HDPE Col</t>
  </si>
  <si>
    <t>#3 - 7</t>
  </si>
  <si>
    <t>Residue</t>
  </si>
  <si>
    <t>Residential</t>
  </si>
  <si>
    <t>Contract Cities:</t>
  </si>
  <si>
    <t>Burlington</t>
  </si>
  <si>
    <t>Darrington</t>
  </si>
  <si>
    <t>Mount Vernon</t>
  </si>
  <si>
    <t>Stanwood</t>
  </si>
  <si>
    <t>Other</t>
  </si>
  <si>
    <t>WUTC:</t>
  </si>
  <si>
    <t>Skagit County</t>
  </si>
  <si>
    <t>Island County</t>
  </si>
  <si>
    <t>Snohomish County</t>
  </si>
  <si>
    <t>Jun</t>
  </si>
  <si>
    <t>Jul</t>
  </si>
  <si>
    <t>Aug</t>
  </si>
  <si>
    <t>Sep</t>
  </si>
  <si>
    <t>Oct</t>
  </si>
  <si>
    <t>Nov</t>
  </si>
  <si>
    <t>Dec</t>
  </si>
  <si>
    <t>Feb</t>
  </si>
  <si>
    <t>Mar</t>
  </si>
  <si>
    <t>Apr</t>
  </si>
  <si>
    <t>Less:</t>
  </si>
  <si>
    <t>CRC</t>
  </si>
  <si>
    <t xml:space="preserve">Res'l </t>
  </si>
  <si>
    <t>Collected</t>
  </si>
  <si>
    <t>Residual</t>
  </si>
  <si>
    <t>Net</t>
  </si>
  <si>
    <t>Rate</t>
  </si>
  <si>
    <t>WM Skagit County</t>
  </si>
  <si>
    <t>Commodity</t>
  </si>
  <si>
    <t>Customers</t>
  </si>
  <si>
    <t>Credit</t>
  </si>
  <si>
    <t>Credits</t>
  </si>
  <si>
    <t>May - June projected value without adjustment factor</t>
  </si>
  <si>
    <t>July - April projected value without adjustment factor</t>
  </si>
  <si>
    <t>Actual Commodity Revenue (adj. to reflect current customers)</t>
  </si>
  <si>
    <t>Owe Customer (company)</t>
  </si>
  <si>
    <t>Total Customers</t>
  </si>
  <si>
    <t>Projected Value</t>
  </si>
  <si>
    <t>Residential Commodity Adjustment</t>
  </si>
  <si>
    <t>Single Stream Tonnage and Revenue</t>
  </si>
  <si>
    <t>Total Single Stream Tonnage Processed</t>
  </si>
  <si>
    <t>Total Single Stream Commodity Revenue</t>
  </si>
  <si>
    <t>WM of Skagit County</t>
  </si>
  <si>
    <t>Cascade Recycling Center</t>
  </si>
  <si>
    <t>Monthly Price per ton of Commodities Sold</t>
  </si>
  <si>
    <t xml:space="preserve">Tonnage Delivered and Processed </t>
  </si>
  <si>
    <t>Waste Management of Skagit County</t>
  </si>
  <si>
    <t xml:space="preserve">% </t>
  </si>
  <si>
    <t>Excluding</t>
  </si>
  <si>
    <t>Average rate per ton</t>
  </si>
  <si>
    <t>Paper</t>
  </si>
  <si>
    <t>Plastics</t>
  </si>
  <si>
    <t>lbs./</t>
  </si>
  <si>
    <t>Customer</t>
  </si>
  <si>
    <t>Anacortes</t>
  </si>
  <si>
    <t>Projected Revenue May 2016-Apr 2017</t>
  </si>
  <si>
    <t>%</t>
  </si>
  <si>
    <t>Reg.</t>
  </si>
  <si>
    <t>Grand Total</t>
  </si>
  <si>
    <t>Tin Cans</t>
  </si>
  <si>
    <t>2017 - 2018 Rebate Calculation</t>
  </si>
  <si>
    <t>Projected Revenue May 2017-Apr 2018</t>
  </si>
  <si>
    <t>Adjust for Under/(Over) payment in 2016-2017</t>
  </si>
  <si>
    <t>2016 - 2017 Rebate Calculation</t>
  </si>
  <si>
    <t>Projected Revenue May 2015-Apr 2016</t>
  </si>
  <si>
    <t>Adjust for Under/(Over) payment in 2015-2016</t>
  </si>
  <si>
    <t>Total Current Customers</t>
  </si>
  <si>
    <t xml:space="preserve">Actual Commodity Revenue </t>
  </si>
  <si>
    <t>2018 - 2019 Rebate Calculation</t>
  </si>
  <si>
    <t>Adjust for Under/(Over) payment in 2017-2018</t>
  </si>
  <si>
    <t xml:space="preserve">Total </t>
  </si>
  <si>
    <t>Total Current Customers (annualized)</t>
  </si>
  <si>
    <t>2019 - 2020 Rebate Calculation</t>
  </si>
  <si>
    <t>Projected Revenue May 2018-Apr 2019</t>
  </si>
  <si>
    <t>Total Current Customers (most recent 6 months)</t>
  </si>
  <si>
    <r>
      <t>Projected Rev. May 2018-Apr 2019</t>
    </r>
    <r>
      <rPr>
        <b/>
        <i/>
        <sz val="11"/>
        <rFont val="Arial"/>
        <family val="2"/>
      </rPr>
      <t>(based on 6 mo. avg. - since "China Sword")</t>
    </r>
  </si>
  <si>
    <t>Adjust for Under/(Over) payment in 2018-2019</t>
  </si>
  <si>
    <t>Projected Rev. May 2019-Apr 2020 (based on most recent 6 mo. avg.)</t>
  </si>
  <si>
    <t>Residential Commodity Adjustment - as calculated</t>
  </si>
  <si>
    <t>Residential Commodity Adjustment - as proposed</t>
  </si>
  <si>
    <t>2020 - 2021 Rebate Calculation</t>
  </si>
  <si>
    <t>WUTC</t>
  </si>
  <si>
    <t>Recycling Customers by Jurisdiction - per Enspire</t>
  </si>
  <si>
    <t>Projected Revenue May 2019-Apr 2020</t>
  </si>
  <si>
    <t>Adjust for Under/(Over) payment in 2019-2020</t>
  </si>
  <si>
    <t>Projected Rev. May 2020-Apr 2021 (based on most recent 6 mo. avg.)</t>
  </si>
  <si>
    <t>Estimated cost of customer notice letters</t>
  </si>
  <si>
    <t>Residential Commodity Adjustment - as including cost of customer notices</t>
  </si>
  <si>
    <t>2021 - 2022 Rebate Calculation</t>
  </si>
  <si>
    <t>Projected Revenue May 2020-Apr 2021</t>
  </si>
  <si>
    <t>May, 20</t>
  </si>
  <si>
    <t>Jan., '21</t>
  </si>
  <si>
    <t>Projected Rev. May 2021-Apr 2022 (based on most recent 12 mo. avg.)</t>
  </si>
  <si>
    <t>Total Current Customers (most recent 12 months)</t>
  </si>
  <si>
    <t>Adjust for Under/(Over) payment in 2020-2021</t>
  </si>
  <si>
    <t>Revenue</t>
  </si>
  <si>
    <t>Per ton</t>
  </si>
  <si>
    <t>Residential Recycling Tons Collected - per Enspire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</si>
</sst>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/>
      <sz val="10"/>
      <name val="Arial"/>
      <family val="2"/>
    </font>
    <font>
      <sz val="11"/>
      <color indexed="8"/>
      <name val="Calibri"/>
      <family val="2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b/>
      <sz val="2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0"/>
      <name val="Arial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 val="singleAccounting"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 val="double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9"/>
      <name val="Arial"/>
      <family val="2"/>
    </font>
    <font>
      <b/>
      <u val="double"/>
      <sz val="11"/>
      <name val="Calibri"/>
      <family val="2"/>
      <scheme val="minor"/>
    </font>
    <font>
      <b/>
      <i/>
      <u val="double"/>
      <sz val="10"/>
      <name val="Calibri"/>
      <family val="2"/>
      <scheme val="minor"/>
    </font>
    <font>
      <b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u/>
      <sz val="11"/>
      <name val="Calibri"/>
      <family val="2"/>
      <scheme val="minor"/>
    </font>
    <font>
      <u/>
      <sz val="10"/>
      <name val="Arial"/>
      <family val="2"/>
    </font>
    <font>
      <b/>
      <i/>
      <sz val="11"/>
      <name val="Arial"/>
      <family val="2"/>
    </font>
    <font>
      <b/>
      <u val="doubleAccounting"/>
      <sz val="12"/>
      <name val="Arial"/>
      <family val="2"/>
    </font>
    <font>
      <b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6" fillId="0" borderId="0" applyNumberFormat="0" applyFont="0" applyFill="0" applyBorder="0">
      <alignment horizontal="left" indent="4"/>
      <protection locked="0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164" fontId="4" fillId="3" borderId="0" applyFont="0" applyFill="0" applyBorder="0" applyAlignment="0" applyProtection="0">
      <alignment wrapText="1"/>
    </xf>
    <xf numFmtId="44" fontId="3" fillId="0" borderId="0" applyFont="0" applyFill="0" applyBorder="0" applyAlignment="0" applyProtection="0"/>
  </cellStyleXfs>
  <cellXfs count="302">
    <xf numFmtId="0" fontId="0" fillId="0" borderId="0" xfId="0"/>
    <xf numFmtId="0" fontId="5" fillId="4" borderId="2" xfId="0" applyFont="1" applyFill="1" applyBorder="1"/>
    <xf numFmtId="0" fontId="0" fillId="4" borderId="2" xfId="0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2" fillId="0" borderId="0" xfId="0" applyFont="1"/>
    <xf numFmtId="0" fontId="5" fillId="0" borderId="2" xfId="0" applyFont="1" applyBorder="1"/>
    <xf numFmtId="0" fontId="0" fillId="0" borderId="2" xfId="0" applyBorder="1"/>
    <xf numFmtId="17" fontId="5" fillId="0" borderId="2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6" xfId="0" applyBorder="1"/>
    <xf numFmtId="43" fontId="3" fillId="0" borderId="7" xfId="4" applyFont="1" applyBorder="1" applyAlignment="1">
      <alignment horizontal="right"/>
    </xf>
    <xf numFmtId="0" fontId="5" fillId="0" borderId="11" xfId="0" applyFont="1" applyBorder="1"/>
    <xf numFmtId="0" fontId="0" fillId="0" borderId="0" xfId="0"/>
    <xf numFmtId="0" fontId="5" fillId="0" borderId="0" xfId="0" applyFont="1"/>
    <xf numFmtId="0" fontId="0" fillId="0" borderId="0" xfId="0"/>
    <xf numFmtId="17" fontId="9" fillId="0" borderId="4" xfId="0" applyNumberFormat="1" applyFont="1" applyBorder="1" applyAlignment="1">
      <alignment horizontal="right"/>
    </xf>
    <xf numFmtId="0" fontId="0" fillId="0" borderId="5" xfId="0" applyBorder="1"/>
    <xf numFmtId="0" fontId="9" fillId="0" borderId="7" xfId="0" applyFont="1" applyBorder="1" applyAlignment="1">
      <alignment horizontal="right"/>
    </xf>
    <xf numFmtId="0" fontId="0" fillId="0" borderId="8" xfId="0" applyBorder="1"/>
    <xf numFmtId="0" fontId="0" fillId="0" borderId="0" xfId="0"/>
    <xf numFmtId="0" fontId="12" fillId="0" borderId="0" xfId="0" applyFont="1"/>
    <xf numFmtId="164" fontId="0" fillId="0" borderId="0" xfId="1" applyNumberFormat="1" applyFont="1"/>
    <xf numFmtId="164" fontId="13" fillId="0" borderId="0" xfId="1" applyNumberFormat="1" applyFont="1"/>
    <xf numFmtId="164" fontId="11" fillId="0" borderId="0" xfId="1" applyNumberFormat="1" applyFont="1"/>
    <xf numFmtId="164" fontId="0" fillId="0" borderId="0" xfId="0" applyNumberFormat="1"/>
    <xf numFmtId="0" fontId="1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10" fontId="0" fillId="0" borderId="0" xfId="3" applyNumberFormat="1" applyFont="1"/>
    <xf numFmtId="43" fontId="13" fillId="0" borderId="0" xfId="1" applyFont="1"/>
    <xf numFmtId="43" fontId="13" fillId="0" borderId="0" xfId="0" applyNumberFormat="1" applyFont="1"/>
    <xf numFmtId="43" fontId="11" fillId="0" borderId="0" xfId="0" applyNumberFormat="1" applyFont="1"/>
    <xf numFmtId="10" fontId="11" fillId="0" borderId="0" xfId="3" applyNumberFormat="1" applyFont="1"/>
    <xf numFmtId="0" fontId="24" fillId="0" borderId="0" xfId="0" applyFont="1"/>
    <xf numFmtId="0" fontId="3" fillId="0" borderId="0" xfId="14" applyFill="1" applyProtection="1"/>
    <xf numFmtId="0" fontId="3" fillId="0" borderId="0" xfId="14" applyFont="1" applyFill="1" applyProtection="1"/>
    <xf numFmtId="10" fontId="3" fillId="0" borderId="0" xfId="20" applyNumberFormat="1" applyFont="1" applyFill="1" applyProtection="1"/>
    <xf numFmtId="0" fontId="5" fillId="0" borderId="0" xfId="14" applyFont="1" applyFill="1" applyAlignment="1" applyProtection="1">
      <alignment horizontal="center"/>
    </xf>
    <xf numFmtId="0" fontId="26" fillId="0" borderId="0" xfId="14" applyFont="1" applyFill="1" applyBorder="1" applyAlignment="1" applyProtection="1">
      <alignment horizontal="center"/>
    </xf>
    <xf numFmtId="165" fontId="27" fillId="0" borderId="0" xfId="3" applyNumberFormat="1" applyFont="1"/>
    <xf numFmtId="43" fontId="28" fillId="0" borderId="0" xfId="1" applyFont="1"/>
    <xf numFmtId="44" fontId="0" fillId="0" borderId="0" xfId="2" applyFont="1"/>
    <xf numFmtId="43" fontId="29" fillId="0" borderId="0" xfId="1" applyFont="1"/>
    <xf numFmtId="43" fontId="14" fillId="0" borderId="0" xfId="0" applyNumberFormat="1" applyFont="1"/>
    <xf numFmtId="0" fontId="2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164" fontId="32" fillId="0" borderId="0" xfId="1" applyNumberFormat="1" applyFont="1"/>
    <xf numFmtId="165" fontId="3" fillId="0" borderId="8" xfId="20" applyNumberFormat="1" applyFont="1" applyBorder="1" applyAlignment="1">
      <alignment horizontal="right"/>
    </xf>
    <xf numFmtId="43" fontId="5" fillId="0" borderId="9" xfId="4" applyFont="1" applyBorder="1"/>
    <xf numFmtId="9" fontId="5" fillId="0" borderId="10" xfId="0" applyNumberFormat="1" applyFont="1" applyBorder="1"/>
    <xf numFmtId="165" fontId="15" fillId="0" borderId="0" xfId="0" applyNumberFormat="1" applyFont="1"/>
    <xf numFmtId="17" fontId="12" fillId="0" borderId="0" xfId="0" applyNumberFormat="1" applyFont="1" applyAlignment="1">
      <alignment horizontal="center"/>
    </xf>
    <xf numFmtId="164" fontId="15" fillId="0" borderId="0" xfId="1" applyNumberFormat="1" applyFont="1"/>
    <xf numFmtId="165" fontId="33" fillId="0" borderId="0" xfId="3" applyNumberFormat="1" applyFont="1"/>
    <xf numFmtId="164" fontId="13" fillId="0" borderId="0" xfId="0" applyNumberFormat="1" applyFont="1"/>
    <xf numFmtId="165" fontId="33" fillId="0" borderId="0" xfId="3" applyNumberFormat="1" applyFont="1" applyFill="1"/>
    <xf numFmtId="164" fontId="11" fillId="0" borderId="0" xfId="1" applyNumberFormat="1" applyFont="1" applyFill="1"/>
    <xf numFmtId="164" fontId="0" fillId="0" borderId="0" xfId="1" applyNumberFormat="1" applyFont="1" applyFill="1"/>
    <xf numFmtId="166" fontId="0" fillId="0" borderId="0" xfId="2" applyNumberFormat="1" applyFont="1"/>
    <xf numFmtId="166" fontId="13" fillId="0" borderId="0" xfId="2" applyNumberFormat="1" applyFont="1"/>
    <xf numFmtId="166" fontId="11" fillId="0" borderId="0" xfId="2" applyNumberFormat="1" applyFont="1"/>
    <xf numFmtId="44" fontId="0" fillId="0" borderId="0" xfId="2" applyNumberFormat="1" applyFont="1"/>
    <xf numFmtId="44" fontId="13" fillId="0" borderId="0" xfId="2" applyNumberFormat="1" applyFont="1"/>
    <xf numFmtId="44" fontId="11" fillId="0" borderId="0" xfId="2" applyNumberFormat="1" applyFont="1"/>
    <xf numFmtId="166" fontId="3" fillId="0" borderId="0" xfId="2" applyNumberFormat="1" applyFont="1" applyFill="1" applyProtection="1"/>
    <xf numFmtId="166" fontId="5" fillId="0" borderId="0" xfId="2" applyNumberFormat="1" applyFont="1" applyFill="1" applyAlignment="1" applyProtection="1">
      <alignment horizontal="center"/>
    </xf>
    <xf numFmtId="166" fontId="26" fillId="0" borderId="0" xfId="2" applyNumberFormat="1" applyFont="1" applyFill="1" applyBorder="1" applyAlignment="1" applyProtection="1">
      <alignment horizontal="center"/>
    </xf>
    <xf numFmtId="166" fontId="12" fillId="0" borderId="0" xfId="2" applyNumberFormat="1" applyFont="1" applyAlignment="1">
      <alignment horizontal="center"/>
    </xf>
    <xf numFmtId="43" fontId="34" fillId="0" borderId="0" xfId="1" applyFont="1"/>
    <xf numFmtId="43" fontId="5" fillId="0" borderId="9" xfId="1" applyFont="1" applyBorder="1"/>
    <xf numFmtId="165" fontId="5" fillId="0" borderId="10" xfId="0" applyNumberFormat="1" applyFont="1" applyBorder="1"/>
    <xf numFmtId="0" fontId="0" fillId="0" borderId="24" xfId="0" applyBorder="1"/>
    <xf numFmtId="44" fontId="3" fillId="0" borderId="2" xfId="34" applyFont="1" applyFill="1" applyBorder="1"/>
    <xf numFmtId="0" fontId="35" fillId="0" borderId="0" xfId="0" applyFont="1"/>
    <xf numFmtId="10" fontId="32" fillId="0" borderId="0" xfId="3" applyNumberFormat="1" applyFont="1"/>
    <xf numFmtId="43" fontId="38" fillId="0" borderId="7" xfId="4" applyFont="1" applyBorder="1" applyAlignment="1">
      <alignment horizontal="right"/>
    </xf>
    <xf numFmtId="165" fontId="0" fillId="0" borderId="0" xfId="3" applyNumberFormat="1" applyFont="1"/>
    <xf numFmtId="165" fontId="14" fillId="0" borderId="0" xfId="3" applyNumberFormat="1" applyFont="1"/>
    <xf numFmtId="43" fontId="37" fillId="0" borderId="9" xfId="1" applyFont="1" applyBorder="1" applyProtection="1">
      <protection locked="0"/>
    </xf>
    <xf numFmtId="0" fontId="39" fillId="0" borderId="6" xfId="0" applyFont="1" applyBorder="1"/>
    <xf numFmtId="165" fontId="39" fillId="0" borderId="8" xfId="3" applyNumberFormat="1" applyFont="1" applyBorder="1"/>
    <xf numFmtId="0" fontId="39" fillId="0" borderId="0" xfId="0" applyFont="1"/>
    <xf numFmtId="165" fontId="39" fillId="0" borderId="0" xfId="3" applyNumberFormat="1" applyFont="1"/>
    <xf numFmtId="165" fontId="40" fillId="0" borderId="8" xfId="3" applyNumberFormat="1" applyFont="1" applyBorder="1"/>
    <xf numFmtId="165" fontId="40" fillId="0" borderId="0" xfId="3" applyNumberFormat="1" applyFont="1" applyBorder="1"/>
    <xf numFmtId="44" fontId="0" fillId="0" borderId="0" xfId="0" applyNumberFormat="1"/>
    <xf numFmtId="164" fontId="35" fillId="0" borderId="0" xfId="1" applyNumberFormat="1" applyFont="1"/>
    <xf numFmtId="43" fontId="36" fillId="0" borderId="0" xfId="1" applyFont="1" applyBorder="1" applyAlignment="1" applyProtection="1">
      <alignment horizontal="right"/>
      <protection locked="0"/>
    </xf>
    <xf numFmtId="43" fontId="41" fillId="0" borderId="0" xfId="1" applyFont="1" applyBorder="1" applyAlignment="1" applyProtection="1">
      <alignment horizontal="right"/>
      <protection locked="0"/>
    </xf>
    <xf numFmtId="44" fontId="3" fillId="0" borderId="3" xfId="2" applyFont="1" applyFill="1" applyBorder="1" applyProtection="1">
      <protection locked="0"/>
    </xf>
    <xf numFmtId="44" fontId="3" fillId="0" borderId="2" xfId="2" applyFont="1" applyFill="1" applyBorder="1" applyProtection="1">
      <protection locked="0"/>
    </xf>
    <xf numFmtId="10" fontId="28" fillId="0" borderId="0" xfId="3" applyNumberFormat="1" applyFont="1"/>
    <xf numFmtId="164" fontId="28" fillId="0" borderId="0" xfId="1" applyNumberFormat="1" applyFont="1"/>
    <xf numFmtId="164" fontId="42" fillId="0" borderId="0" xfId="1" applyNumberFormat="1" applyFont="1"/>
    <xf numFmtId="165" fontId="43" fillId="0" borderId="0" xfId="3" applyNumberFormat="1" applyFont="1"/>
    <xf numFmtId="0" fontId="44" fillId="0" borderId="0" xfId="0" applyFont="1"/>
    <xf numFmtId="44" fontId="45" fillId="0" borderId="0" xfId="0" applyNumberFormat="1" applyFont="1"/>
    <xf numFmtId="10" fontId="46" fillId="0" borderId="0" xfId="3" applyNumberFormat="1" applyFont="1"/>
    <xf numFmtId="165" fontId="47" fillId="0" borderId="8" xfId="20" applyNumberFormat="1" applyFont="1" applyBorder="1" applyAlignment="1">
      <alignment horizontal="right"/>
    </xf>
    <xf numFmtId="165" fontId="2" fillId="0" borderId="0" xfId="3" applyNumberFormat="1" applyFont="1"/>
    <xf numFmtId="165" fontId="15" fillId="0" borderId="0" xfId="3" applyNumberFormat="1" applyFont="1"/>
    <xf numFmtId="165" fontId="0" fillId="0" borderId="8" xfId="3" applyNumberFormat="1" applyFont="1" applyBorder="1"/>
    <xf numFmtId="0" fontId="16" fillId="0" borderId="15" xfId="0" applyFont="1" applyFill="1" applyBorder="1"/>
    <xf numFmtId="0" fontId="4" fillId="0" borderId="16" xfId="0" applyFont="1" applyFill="1" applyBorder="1"/>
    <xf numFmtId="0" fontId="17" fillId="0" borderId="16" xfId="0" applyFont="1" applyFill="1" applyBorder="1"/>
    <xf numFmtId="0" fontId="17" fillId="0" borderId="17" xfId="0" applyFont="1" applyFill="1" applyBorder="1"/>
    <xf numFmtId="0" fontId="18" fillId="0" borderId="18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7" fillId="0" borderId="0" xfId="0" applyFont="1" applyFill="1" applyBorder="1"/>
    <xf numFmtId="0" fontId="17" fillId="0" borderId="19" xfId="0" applyFont="1" applyFill="1" applyBorder="1"/>
    <xf numFmtId="15" fontId="18" fillId="0" borderId="18" xfId="0" applyNumberFormat="1" applyFont="1" applyFill="1" applyBorder="1"/>
    <xf numFmtId="15" fontId="18" fillId="0" borderId="0" xfId="0" applyNumberFormat="1" applyFont="1" applyFill="1" applyBorder="1"/>
    <xf numFmtId="0" fontId="17" fillId="0" borderId="18" xfId="0" applyFont="1" applyFill="1" applyBorder="1"/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8" fillId="0" borderId="20" xfId="0" applyFont="1" applyFill="1" applyBorder="1"/>
    <xf numFmtId="0" fontId="17" fillId="0" borderId="0" xfId="0" applyFont="1" applyFill="1" applyBorder="1" applyAlignment="1">
      <alignment horizontal="center"/>
    </xf>
    <xf numFmtId="41" fontId="17" fillId="0" borderId="0" xfId="0" applyNumberFormat="1" applyFont="1" applyFill="1" applyBorder="1"/>
    <xf numFmtId="44" fontId="22" fillId="0" borderId="0" xfId="7" applyFont="1" applyFill="1" applyBorder="1"/>
    <xf numFmtId="0" fontId="4" fillId="0" borderId="18" xfId="0" applyFont="1" applyFill="1" applyBorder="1"/>
    <xf numFmtId="0" fontId="4" fillId="0" borderId="0" xfId="0" applyFont="1" applyFill="1" applyBorder="1"/>
    <xf numFmtId="41" fontId="23" fillId="0" borderId="0" xfId="0" applyNumberFormat="1" applyFont="1" applyFill="1" applyBorder="1"/>
    <xf numFmtId="41" fontId="30" fillId="0" borderId="0" xfId="0" applyNumberFormat="1" applyFont="1" applyFill="1" applyBorder="1"/>
    <xf numFmtId="44" fontId="4" fillId="0" borderId="19" xfId="7" applyNumberFormat="1" applyFont="1" applyFill="1" applyBorder="1"/>
    <xf numFmtId="44" fontId="4" fillId="0" borderId="19" xfId="7" applyFont="1" applyFill="1" applyBorder="1"/>
    <xf numFmtId="166" fontId="4" fillId="0" borderId="0" xfId="7" applyNumberFormat="1" applyFont="1" applyFill="1" applyBorder="1"/>
    <xf numFmtId="44" fontId="23" fillId="0" borderId="19" xfId="7" applyNumberFormat="1" applyFont="1" applyFill="1" applyBorder="1"/>
    <xf numFmtId="44" fontId="18" fillId="0" borderId="21" xfId="7" applyNumberFormat="1" applyFont="1" applyFill="1" applyBorder="1"/>
    <xf numFmtId="44" fontId="18" fillId="0" borderId="19" xfId="7" applyNumberFormat="1" applyFont="1" applyFill="1" applyBorder="1"/>
    <xf numFmtId="0" fontId="0" fillId="0" borderId="22" xfId="0" applyFill="1" applyBorder="1"/>
    <xf numFmtId="0" fontId="0" fillId="0" borderId="1" xfId="0" applyFill="1" applyBorder="1"/>
    <xf numFmtId="0" fontId="0" fillId="0" borderId="23" xfId="0" applyFill="1" applyBorder="1"/>
    <xf numFmtId="0" fontId="16" fillId="5" borderId="15" xfId="0" applyFont="1" applyFill="1" applyBorder="1"/>
    <xf numFmtId="0" fontId="4" fillId="5" borderId="16" xfId="0" applyFont="1" applyFill="1" applyBorder="1"/>
    <xf numFmtId="0" fontId="17" fillId="5" borderId="16" xfId="0" applyFont="1" applyFill="1" applyBorder="1"/>
    <xf numFmtId="0" fontId="17" fillId="5" borderId="17" xfId="0" applyFont="1" applyFill="1" applyBorder="1"/>
    <xf numFmtId="0" fontId="18" fillId="5" borderId="18" xfId="0" applyFont="1" applyFill="1" applyBorder="1"/>
    <xf numFmtId="0" fontId="18" fillId="5" borderId="0" xfId="0" applyFont="1" applyFill="1" applyBorder="1"/>
    <xf numFmtId="0" fontId="19" fillId="5" borderId="0" xfId="0" applyFont="1" applyFill="1" applyBorder="1"/>
    <xf numFmtId="0" fontId="17" fillId="5" borderId="0" xfId="0" applyFont="1" applyFill="1" applyBorder="1"/>
    <xf numFmtId="0" fontId="17" fillId="5" borderId="19" xfId="0" applyFont="1" applyFill="1" applyBorder="1"/>
    <xf numFmtId="15" fontId="18" fillId="5" borderId="18" xfId="0" applyNumberFormat="1" applyFont="1" applyFill="1" applyBorder="1"/>
    <xf numFmtId="15" fontId="18" fillId="5" borderId="0" xfId="0" applyNumberFormat="1" applyFont="1" applyFill="1" applyBorder="1"/>
    <xf numFmtId="0" fontId="17" fillId="5" borderId="18" xfId="0" applyFont="1" applyFill="1" applyBorder="1"/>
    <xf numFmtId="0" fontId="18" fillId="5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18" fillId="5" borderId="20" xfId="0" applyFont="1" applyFill="1" applyBorder="1"/>
    <xf numFmtId="0" fontId="17" fillId="5" borderId="0" xfId="0" applyFont="1" applyFill="1" applyBorder="1" applyAlignment="1">
      <alignment horizontal="center"/>
    </xf>
    <xf numFmtId="41" fontId="17" fillId="5" borderId="0" xfId="0" applyNumberFormat="1" applyFont="1" applyFill="1" applyBorder="1"/>
    <xf numFmtId="44" fontId="22" fillId="5" borderId="0" xfId="7" applyFont="1" applyFill="1" applyBorder="1"/>
    <xf numFmtId="0" fontId="4" fillId="5" borderId="18" xfId="0" applyFont="1" applyFill="1" applyBorder="1"/>
    <xf numFmtId="0" fontId="4" fillId="5" borderId="0" xfId="0" applyFont="1" applyFill="1" applyBorder="1"/>
    <xf numFmtId="41" fontId="23" fillId="5" borderId="0" xfId="0" applyNumberFormat="1" applyFont="1" applyFill="1" applyBorder="1"/>
    <xf numFmtId="44" fontId="4" fillId="5" borderId="19" xfId="7" applyNumberFormat="1" applyFont="1" applyFill="1" applyBorder="1"/>
    <xf numFmtId="44" fontId="4" fillId="5" borderId="19" xfId="7" applyFont="1" applyFill="1" applyBorder="1"/>
    <xf numFmtId="166" fontId="4" fillId="5" borderId="0" xfId="7" applyNumberFormat="1" applyFont="1" applyFill="1" applyBorder="1"/>
    <xf numFmtId="44" fontId="23" fillId="5" borderId="19" xfId="7" applyNumberFormat="1" applyFont="1" applyFill="1" applyBorder="1"/>
    <xf numFmtId="44" fontId="18" fillId="5" borderId="21" xfId="7" applyNumberFormat="1" applyFont="1" applyFill="1" applyBorder="1"/>
    <xf numFmtId="44" fontId="18" fillId="5" borderId="19" xfId="7" applyNumberFormat="1" applyFont="1" applyFill="1" applyBorder="1"/>
    <xf numFmtId="0" fontId="0" fillId="5" borderId="22" xfId="0" applyFill="1" applyBorder="1"/>
    <xf numFmtId="0" fontId="0" fillId="5" borderId="1" xfId="0" applyFill="1" applyBorder="1"/>
    <xf numFmtId="0" fontId="0" fillId="5" borderId="23" xfId="0" applyFill="1" applyBorder="1"/>
    <xf numFmtId="0" fontId="16" fillId="6" borderId="15" xfId="0" applyFont="1" applyFill="1" applyBorder="1"/>
    <xf numFmtId="0" fontId="4" fillId="6" borderId="16" xfId="0" applyFont="1" applyFill="1" applyBorder="1"/>
    <xf numFmtId="0" fontId="17" fillId="6" borderId="16" xfId="0" applyFont="1" applyFill="1" applyBorder="1"/>
    <xf numFmtId="0" fontId="17" fillId="6" borderId="17" xfId="0" applyFont="1" applyFill="1" applyBorder="1"/>
    <xf numFmtId="0" fontId="18" fillId="6" borderId="18" xfId="0" applyFont="1" applyFill="1" applyBorder="1"/>
    <xf numFmtId="0" fontId="18" fillId="6" borderId="0" xfId="0" applyFont="1" applyFill="1" applyBorder="1"/>
    <xf numFmtId="0" fontId="19" fillId="6" borderId="0" xfId="0" applyFont="1" applyFill="1" applyBorder="1"/>
    <xf numFmtId="0" fontId="17" fillId="6" borderId="0" xfId="0" applyFont="1" applyFill="1" applyBorder="1"/>
    <xf numFmtId="0" fontId="17" fillId="6" borderId="19" xfId="0" applyFont="1" applyFill="1" applyBorder="1"/>
    <xf numFmtId="15" fontId="18" fillId="6" borderId="18" xfId="0" applyNumberFormat="1" applyFont="1" applyFill="1" applyBorder="1"/>
    <xf numFmtId="15" fontId="18" fillId="6" borderId="0" xfId="0" applyNumberFormat="1" applyFont="1" applyFill="1" applyBorder="1"/>
    <xf numFmtId="0" fontId="17" fillId="6" borderId="18" xfId="0" applyFont="1" applyFill="1" applyBorder="1"/>
    <xf numFmtId="0" fontId="18" fillId="6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18" fillId="6" borderId="20" xfId="0" applyFont="1" applyFill="1" applyBorder="1"/>
    <xf numFmtId="0" fontId="17" fillId="6" borderId="0" xfId="0" applyFont="1" applyFill="1" applyBorder="1" applyAlignment="1">
      <alignment horizontal="center"/>
    </xf>
    <xf numFmtId="41" fontId="17" fillId="6" borderId="0" xfId="0" applyNumberFormat="1" applyFont="1" applyFill="1" applyBorder="1"/>
    <xf numFmtId="44" fontId="22" fillId="6" borderId="0" xfId="7" applyFont="1" applyFill="1" applyBorder="1"/>
    <xf numFmtId="0" fontId="4" fillId="6" borderId="18" xfId="0" applyFont="1" applyFill="1" applyBorder="1"/>
    <xf numFmtId="0" fontId="4" fillId="6" borderId="0" xfId="0" applyFont="1" applyFill="1" applyBorder="1"/>
    <xf numFmtId="41" fontId="23" fillId="6" borderId="0" xfId="0" applyNumberFormat="1" applyFont="1" applyFill="1" applyBorder="1"/>
    <xf numFmtId="44" fontId="4" fillId="6" borderId="19" xfId="7" applyNumberFormat="1" applyFont="1" applyFill="1" applyBorder="1"/>
    <xf numFmtId="44" fontId="4" fillId="6" borderId="19" xfId="7" applyFont="1" applyFill="1" applyBorder="1"/>
    <xf numFmtId="166" fontId="4" fillId="6" borderId="0" xfId="7" applyNumberFormat="1" applyFont="1" applyFill="1" applyBorder="1"/>
    <xf numFmtId="44" fontId="23" fillId="6" borderId="19" xfId="7" applyNumberFormat="1" applyFont="1" applyFill="1" applyBorder="1"/>
    <xf numFmtId="44" fontId="18" fillId="6" borderId="21" xfId="7" applyNumberFormat="1" applyFont="1" applyFill="1" applyBorder="1"/>
    <xf numFmtId="44" fontId="18" fillId="6" borderId="19" xfId="7" applyNumberFormat="1" applyFont="1" applyFill="1" applyBorder="1"/>
    <xf numFmtId="0" fontId="0" fillId="6" borderId="22" xfId="0" applyFill="1" applyBorder="1"/>
    <xf numFmtId="0" fontId="0" fillId="6" borderId="1" xfId="0" applyFill="1" applyBorder="1"/>
    <xf numFmtId="0" fontId="0" fillId="6" borderId="23" xfId="0" applyFill="1" applyBorder="1"/>
    <xf numFmtId="0" fontId="16" fillId="7" borderId="15" xfId="0" applyFont="1" applyFill="1" applyBorder="1"/>
    <xf numFmtId="0" fontId="4" fillId="7" borderId="16" xfId="0" applyFont="1" applyFill="1" applyBorder="1"/>
    <xf numFmtId="0" fontId="17" fillId="7" borderId="16" xfId="0" applyFont="1" applyFill="1" applyBorder="1"/>
    <xf numFmtId="0" fontId="17" fillId="7" borderId="17" xfId="0" applyFont="1" applyFill="1" applyBorder="1"/>
    <xf numFmtId="0" fontId="18" fillId="7" borderId="18" xfId="0" applyFont="1" applyFill="1" applyBorder="1"/>
    <xf numFmtId="0" fontId="18" fillId="7" borderId="0" xfId="0" applyFont="1" applyFill="1" applyBorder="1"/>
    <xf numFmtId="0" fontId="19" fillId="7" borderId="0" xfId="0" applyFont="1" applyFill="1" applyBorder="1"/>
    <xf numFmtId="0" fontId="17" fillId="7" borderId="0" xfId="0" applyFont="1" applyFill="1" applyBorder="1"/>
    <xf numFmtId="0" fontId="17" fillId="7" borderId="19" xfId="0" applyFont="1" applyFill="1" applyBorder="1"/>
    <xf numFmtId="15" fontId="18" fillId="7" borderId="18" xfId="0" applyNumberFormat="1" applyFont="1" applyFill="1" applyBorder="1"/>
    <xf numFmtId="15" fontId="18" fillId="7" borderId="0" xfId="0" applyNumberFormat="1" applyFont="1" applyFill="1" applyBorder="1"/>
    <xf numFmtId="0" fontId="17" fillId="7" borderId="18" xfId="0" applyFont="1" applyFill="1" applyBorder="1"/>
    <xf numFmtId="0" fontId="18" fillId="7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8" fillId="7" borderId="20" xfId="0" applyFont="1" applyFill="1" applyBorder="1"/>
    <xf numFmtId="0" fontId="17" fillId="7" borderId="0" xfId="0" applyFont="1" applyFill="1" applyBorder="1" applyAlignment="1">
      <alignment horizontal="center"/>
    </xf>
    <xf numFmtId="41" fontId="17" fillId="7" borderId="0" xfId="0" applyNumberFormat="1" applyFont="1" applyFill="1" applyBorder="1"/>
    <xf numFmtId="44" fontId="22" fillId="7" borderId="0" xfId="7" applyFont="1" applyFill="1" applyBorder="1"/>
    <xf numFmtId="0" fontId="4" fillId="7" borderId="18" xfId="0" applyFont="1" applyFill="1" applyBorder="1"/>
    <xf numFmtId="0" fontId="4" fillId="7" borderId="0" xfId="0" applyFont="1" applyFill="1" applyBorder="1"/>
    <xf numFmtId="41" fontId="23" fillId="7" borderId="0" xfId="0" applyNumberFormat="1" applyFont="1" applyFill="1" applyBorder="1"/>
    <xf numFmtId="44" fontId="4" fillId="7" borderId="19" xfId="7" applyNumberFormat="1" applyFont="1" applyFill="1" applyBorder="1"/>
    <xf numFmtId="44" fontId="4" fillId="7" borderId="19" xfId="7" applyFont="1" applyFill="1" applyBorder="1"/>
    <xf numFmtId="166" fontId="4" fillId="7" borderId="0" xfId="7" applyNumberFormat="1" applyFont="1" applyFill="1" applyBorder="1"/>
    <xf numFmtId="44" fontId="23" fillId="7" borderId="19" xfId="7" applyNumberFormat="1" applyFont="1" applyFill="1" applyBorder="1"/>
    <xf numFmtId="44" fontId="18" fillId="7" borderId="21" xfId="7" applyNumberFormat="1" applyFont="1" applyFill="1" applyBorder="1"/>
    <xf numFmtId="44" fontId="18" fillId="7" borderId="19" xfId="7" applyNumberFormat="1" applyFont="1" applyFill="1" applyBorder="1"/>
    <xf numFmtId="0" fontId="0" fillId="7" borderId="22" xfId="0" applyFill="1" applyBorder="1"/>
    <xf numFmtId="0" fontId="0" fillId="7" borderId="1" xfId="0" applyFill="1" applyBorder="1"/>
    <xf numFmtId="0" fontId="0" fillId="7" borderId="23" xfId="0" applyFill="1" applyBorder="1"/>
    <xf numFmtId="167" fontId="18" fillId="7" borderId="21" xfId="7" applyNumberFormat="1" applyFont="1" applyFill="1" applyBorder="1"/>
    <xf numFmtId="43" fontId="0" fillId="0" borderId="0" xfId="1" applyFont="1" applyAlignment="1">
      <alignment horizontal="center"/>
    </xf>
    <xf numFmtId="166" fontId="50" fillId="7" borderId="0" xfId="2" applyNumberFormat="1" applyFont="1" applyFill="1" applyBorder="1"/>
    <xf numFmtId="167" fontId="18" fillId="7" borderId="19" xfId="7" applyNumberFormat="1" applyFont="1" applyFill="1" applyBorder="1"/>
    <xf numFmtId="44" fontId="49" fillId="7" borderId="19" xfId="7" applyNumberFormat="1" applyFont="1" applyFill="1" applyBorder="1"/>
    <xf numFmtId="44" fontId="50" fillId="7" borderId="0" xfId="2" applyFont="1" applyFill="1" applyBorder="1"/>
    <xf numFmtId="44" fontId="51" fillId="7" borderId="0" xfId="2" applyFont="1" applyFill="1" applyBorder="1"/>
    <xf numFmtId="44" fontId="18" fillId="7" borderId="0" xfId="7" applyNumberFormat="1" applyFont="1" applyFill="1" applyBorder="1"/>
    <xf numFmtId="9" fontId="0" fillId="0" borderId="0" xfId="3" applyFont="1"/>
    <xf numFmtId="10" fontId="0" fillId="0" borderId="0" xfId="0" applyNumberFormat="1"/>
    <xf numFmtId="44" fontId="3" fillId="0" borderId="2" xfId="2" applyFont="1" applyBorder="1" applyProtection="1">
      <protection locked="0"/>
    </xf>
    <xf numFmtId="43" fontId="36" fillId="0" borderId="0" xfId="1" applyFont="1" applyFill="1" applyBorder="1" applyAlignment="1" applyProtection="1">
      <alignment horizontal="right"/>
      <protection locked="0"/>
    </xf>
    <xf numFmtId="43" fontId="36" fillId="0" borderId="0" xfId="1" applyFont="1" applyBorder="1" applyProtection="1">
      <protection locked="0"/>
    </xf>
    <xf numFmtId="165" fontId="13" fillId="0" borderId="8" xfId="3" applyNumberFormat="1" applyFont="1" applyBorder="1"/>
    <xf numFmtId="43" fontId="41" fillId="0" borderId="0" xfId="1" applyFont="1" applyFill="1" applyBorder="1" applyAlignment="1" applyProtection="1">
      <alignment horizontal="right"/>
      <protection locked="0"/>
    </xf>
    <xf numFmtId="43" fontId="41" fillId="0" borderId="0" xfId="1" applyFont="1" applyBorder="1" applyProtection="1">
      <protection locked="0"/>
    </xf>
    <xf numFmtId="0" fontId="13" fillId="0" borderId="0" xfId="0" applyFont="1"/>
    <xf numFmtId="43" fontId="52" fillId="0" borderId="0" xfId="1" applyFont="1" applyBorder="1" applyAlignment="1" applyProtection="1">
      <alignment horizontal="right"/>
      <protection locked="0"/>
    </xf>
    <xf numFmtId="44" fontId="13" fillId="0" borderId="0" xfId="2" applyFont="1"/>
    <xf numFmtId="44" fontId="11" fillId="0" borderId="0" xfId="2" applyFont="1"/>
    <xf numFmtId="0" fontId="16" fillId="8" borderId="15" xfId="0" applyFont="1" applyFill="1" applyBorder="1"/>
    <xf numFmtId="0" fontId="4" fillId="8" borderId="16" xfId="0" applyFont="1" applyFill="1" applyBorder="1"/>
    <xf numFmtId="0" fontId="17" fillId="8" borderId="16" xfId="0" applyFont="1" applyFill="1" applyBorder="1"/>
    <xf numFmtId="0" fontId="17" fillId="8" borderId="17" xfId="0" applyFont="1" applyFill="1" applyBorder="1"/>
    <xf numFmtId="0" fontId="18" fillId="8" borderId="18" xfId="0" applyFont="1" applyFill="1" applyBorder="1"/>
    <xf numFmtId="0" fontId="18" fillId="8" borderId="0" xfId="0" applyFont="1" applyFill="1" applyBorder="1"/>
    <xf numFmtId="0" fontId="19" fillId="8" borderId="0" xfId="0" applyFont="1" applyFill="1" applyBorder="1"/>
    <xf numFmtId="0" fontId="17" fillId="8" borderId="0" xfId="0" applyFont="1" applyFill="1" applyBorder="1"/>
    <xf numFmtId="0" fontId="17" fillId="8" borderId="19" xfId="0" applyFont="1" applyFill="1" applyBorder="1"/>
    <xf numFmtId="15" fontId="18" fillId="8" borderId="18" xfId="0" applyNumberFormat="1" applyFont="1" applyFill="1" applyBorder="1"/>
    <xf numFmtId="15" fontId="18" fillId="8" borderId="0" xfId="0" applyNumberFormat="1" applyFont="1" applyFill="1" applyBorder="1"/>
    <xf numFmtId="0" fontId="17" fillId="8" borderId="18" xfId="0" applyFont="1" applyFill="1" applyBorder="1"/>
    <xf numFmtId="0" fontId="18" fillId="8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18" fillId="8" borderId="20" xfId="0" applyFont="1" applyFill="1" applyBorder="1"/>
    <xf numFmtId="0" fontId="17" fillId="8" borderId="0" xfId="0" applyFont="1" applyFill="1" applyBorder="1" applyAlignment="1">
      <alignment horizontal="center"/>
    </xf>
    <xf numFmtId="41" fontId="17" fillId="8" borderId="0" xfId="0" applyNumberFormat="1" applyFont="1" applyFill="1" applyBorder="1"/>
    <xf numFmtId="44" fontId="22" fillId="8" borderId="0" xfId="7" applyFont="1" applyFill="1" applyBorder="1"/>
    <xf numFmtId="0" fontId="4" fillId="8" borderId="18" xfId="0" applyFont="1" applyFill="1" applyBorder="1"/>
    <xf numFmtId="0" fontId="4" fillId="8" borderId="0" xfId="0" applyFont="1" applyFill="1" applyBorder="1"/>
    <xf numFmtId="41" fontId="23" fillId="8" borderId="0" xfId="0" applyNumberFormat="1" applyFont="1" applyFill="1" applyBorder="1"/>
    <xf numFmtId="44" fontId="4" fillId="8" borderId="19" xfId="7" applyNumberFormat="1" applyFont="1" applyFill="1" applyBorder="1"/>
    <xf numFmtId="44" fontId="4" fillId="8" borderId="19" xfId="7" applyFont="1" applyFill="1" applyBorder="1"/>
    <xf numFmtId="166" fontId="4" fillId="8" borderId="0" xfId="7" applyNumberFormat="1" applyFont="1" applyFill="1" applyBorder="1"/>
    <xf numFmtId="44" fontId="23" fillId="8" borderId="19" xfId="7" applyNumberFormat="1" applyFont="1" applyFill="1" applyBorder="1"/>
    <xf numFmtId="44" fontId="18" fillId="8" borderId="19" xfId="7" applyNumberFormat="1" applyFont="1" applyFill="1" applyBorder="1"/>
    <xf numFmtId="44" fontId="50" fillId="8" borderId="0" xfId="2" applyFont="1" applyFill="1" applyBorder="1"/>
    <xf numFmtId="44" fontId="51" fillId="8" borderId="0" xfId="2" applyFont="1" applyFill="1" applyBorder="1"/>
    <xf numFmtId="166" fontId="50" fillId="8" borderId="0" xfId="2" applyNumberFormat="1" applyFont="1" applyFill="1" applyBorder="1"/>
    <xf numFmtId="44" fontId="49" fillId="8" borderId="19" xfId="7" applyNumberFormat="1" applyFont="1" applyFill="1" applyBorder="1"/>
    <xf numFmtId="0" fontId="0" fillId="8" borderId="22" xfId="0" applyFill="1" applyBorder="1"/>
    <xf numFmtId="0" fontId="0" fillId="8" borderId="1" xfId="0" applyFill="1" applyBorder="1"/>
    <xf numFmtId="0" fontId="0" fillId="8" borderId="23" xfId="0" applyFill="1" applyBorder="1"/>
    <xf numFmtId="41" fontId="30" fillId="8" borderId="0" xfId="0" applyNumberFormat="1" applyFont="1" applyFill="1" applyBorder="1"/>
    <xf numFmtId="44" fontId="49" fillId="8" borderId="0" xfId="7" applyNumberFormat="1" applyFont="1" applyFill="1" applyBorder="1"/>
    <xf numFmtId="0" fontId="28" fillId="0" borderId="0" xfId="0" applyFont="1"/>
    <xf numFmtId="164" fontId="29" fillId="0" borderId="0" xfId="1" applyNumberFormat="1" applyFont="1"/>
    <xf numFmtId="0" fontId="20" fillId="8" borderId="18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7" borderId="18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6" fontId="25" fillId="0" borderId="0" xfId="2" applyNumberFormat="1" applyFont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</cellXfs>
  <cellStyles count="35">
    <cellStyle name="Comma" xfId="1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urrency" xfId="2" builtinId="4"/>
    <cellStyle name="Currency 2" xfId="7" xr:uid="{00000000-0005-0000-0000-000005000000}"/>
    <cellStyle name="Currency 2 2" xfId="8" xr:uid="{00000000-0005-0000-0000-000006000000}"/>
    <cellStyle name="Currency 3" xfId="9" xr:uid="{00000000-0005-0000-0000-000007000000}"/>
    <cellStyle name="Currency 4" xfId="10" xr:uid="{00000000-0005-0000-0000-000008000000}"/>
    <cellStyle name="Currency 4 2" xfId="11" xr:uid="{00000000-0005-0000-0000-000009000000}"/>
    <cellStyle name="Currency 5" xfId="12" xr:uid="{00000000-0005-0000-0000-00000A000000}"/>
    <cellStyle name="Currency 5 2" xfId="34" xr:uid="{00000000-0005-0000-0000-00000B000000}"/>
    <cellStyle name="Currency 6" xfId="13" xr:uid="{00000000-0005-0000-0000-00000C000000}"/>
    <cellStyle name="Normal" xfId="0" builtinId="0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Percent" xfId="3" builtinId="5"/>
    <cellStyle name="Percent 2" xfId="20" xr:uid="{00000000-0005-0000-0000-000015000000}"/>
    <cellStyle name="Percent 2 2" xfId="21" xr:uid="{00000000-0005-0000-0000-000016000000}"/>
    <cellStyle name="Percent 3" xfId="22" xr:uid="{00000000-0005-0000-0000-000017000000}"/>
    <cellStyle name="Percent 3 2" xfId="23" xr:uid="{00000000-0005-0000-0000-000018000000}"/>
    <cellStyle name="Percent 4" xfId="24" xr:uid="{00000000-0005-0000-0000-000019000000}"/>
    <cellStyle name="Percent 4 2" xfId="25" xr:uid="{00000000-0005-0000-0000-00001A000000}"/>
    <cellStyle name="PS_Comma" xfId="26" xr:uid="{00000000-0005-0000-0000-00001B000000}"/>
    <cellStyle name="PSChar" xfId="27" xr:uid="{00000000-0005-0000-0000-00001C000000}"/>
    <cellStyle name="PSDate" xfId="28" xr:uid="{00000000-0005-0000-0000-00001D000000}"/>
    <cellStyle name="PSDec" xfId="29" xr:uid="{00000000-0005-0000-0000-00001E000000}"/>
    <cellStyle name="PSHeading" xfId="30" xr:uid="{00000000-0005-0000-0000-00001F000000}"/>
    <cellStyle name="PSInt" xfId="31" xr:uid="{00000000-0005-0000-0000-000020000000}"/>
    <cellStyle name="PSSpacer" xfId="32" xr:uid="{00000000-0005-0000-0000-000021000000}"/>
    <cellStyle name="WM_STANDARD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"/>
  <sheetViews>
    <sheetView tabSelected="1" topLeftCell="A16" workbookViewId="0">
      <selection activeCell="A27" sqref="A27"/>
    </sheetView>
  </sheetViews>
  <sheetFormatPr defaultRowHeight="15" x14ac:dyDescent="0.25"/>
  <cols>
    <col min="1" max="1" width="84.7109375" style="20" bestFit="1" customWidth="1"/>
    <col min="2" max="2" width="9.140625" style="20"/>
    <col min="3" max="3" width="13.42578125" style="20" bestFit="1" customWidth="1"/>
    <col min="4" max="4" width="14" style="20" bestFit="1" customWidth="1"/>
    <col min="5" max="5" width="12.28515625" style="20" bestFit="1" customWidth="1"/>
    <col min="6" max="6" width="9.140625" style="20"/>
    <col min="7" max="7" width="77.5703125" style="20" bestFit="1" customWidth="1"/>
    <col min="8" max="8" width="9.42578125" style="20" customWidth="1"/>
    <col min="9" max="9" width="13.42578125" style="20" bestFit="1" customWidth="1"/>
    <col min="10" max="10" width="14" style="20" bestFit="1" customWidth="1"/>
    <col min="11" max="11" width="11" style="20" bestFit="1" customWidth="1"/>
    <col min="12" max="12" width="9.140625" style="20" bestFit="1" customWidth="1"/>
    <col min="13" max="13" width="53.42578125" style="20" customWidth="1"/>
    <col min="14" max="14" width="9.140625" style="20"/>
    <col min="15" max="15" width="13.42578125" style="20" bestFit="1" customWidth="1"/>
    <col min="16" max="16" width="14" style="20" bestFit="1" customWidth="1"/>
    <col min="17" max="17" width="11.7109375" style="20" bestFit="1" customWidth="1"/>
    <col min="18" max="18" width="9.140625" style="20" bestFit="1" customWidth="1"/>
    <col min="19" max="19" width="53.85546875" style="20" bestFit="1" customWidth="1"/>
    <col min="20" max="20" width="9.140625" style="20"/>
    <col min="21" max="21" width="13.42578125" style="20" bestFit="1" customWidth="1"/>
    <col min="22" max="22" width="14" style="20" bestFit="1" customWidth="1"/>
    <col min="23" max="23" width="12.28515625" style="20" bestFit="1" customWidth="1"/>
    <col min="24" max="24" width="9.140625" style="20"/>
    <col min="25" max="25" width="70" style="20" bestFit="1" customWidth="1"/>
    <col min="26" max="26" width="3.7109375" style="20" customWidth="1"/>
    <col min="27" max="27" width="13.42578125" style="20" bestFit="1" customWidth="1"/>
    <col min="28" max="28" width="14" style="20" bestFit="1" customWidth="1"/>
    <col min="29" max="29" width="17.5703125" style="20" bestFit="1" customWidth="1"/>
    <col min="30" max="30" width="11.7109375" style="20" bestFit="1" customWidth="1"/>
    <col min="31" max="31" width="70" bestFit="1" customWidth="1"/>
    <col min="33" max="33" width="13.42578125" bestFit="1" customWidth="1"/>
    <col min="34" max="34" width="14" bestFit="1" customWidth="1"/>
    <col min="35" max="35" width="12.28515625" bestFit="1" customWidth="1"/>
    <col min="36" max="36" width="9.140625" bestFit="1" customWidth="1"/>
  </cols>
  <sheetData>
    <row r="1" spans="1:36" ht="23.25" x14ac:dyDescent="0.35">
      <c r="A1" s="245" t="s">
        <v>53</v>
      </c>
      <c r="B1" s="246"/>
      <c r="C1" s="247"/>
      <c r="D1" s="247"/>
      <c r="E1" s="247"/>
      <c r="F1" s="248"/>
      <c r="G1" s="195" t="s">
        <v>53</v>
      </c>
      <c r="H1" s="196"/>
      <c r="I1" s="197"/>
      <c r="J1" s="197"/>
      <c r="K1" s="197"/>
      <c r="L1" s="198"/>
      <c r="M1" s="195" t="s">
        <v>53</v>
      </c>
      <c r="N1" s="196"/>
      <c r="O1" s="197"/>
      <c r="P1" s="197"/>
      <c r="Q1" s="197"/>
      <c r="R1" s="198"/>
      <c r="S1" s="135" t="s">
        <v>53</v>
      </c>
      <c r="T1" s="136"/>
      <c r="U1" s="137"/>
      <c r="V1" s="137"/>
      <c r="W1" s="137"/>
      <c r="X1" s="138"/>
      <c r="Y1" s="165" t="s">
        <v>53</v>
      </c>
      <c r="Z1" s="166"/>
      <c r="AA1" s="167"/>
      <c r="AB1" s="167"/>
      <c r="AC1" s="167"/>
      <c r="AD1" s="168"/>
      <c r="AE1" s="104" t="s">
        <v>53</v>
      </c>
      <c r="AF1" s="105"/>
      <c r="AG1" s="106"/>
      <c r="AH1" s="106"/>
      <c r="AI1" s="106"/>
      <c r="AJ1" s="107"/>
    </row>
    <row r="2" spans="1:36" ht="15.75" x14ac:dyDescent="0.25">
      <c r="A2" s="249" t="s">
        <v>114</v>
      </c>
      <c r="B2" s="250"/>
      <c r="C2" s="251"/>
      <c r="D2" s="252"/>
      <c r="E2" s="252"/>
      <c r="F2" s="253"/>
      <c r="G2" s="199" t="s">
        <v>106</v>
      </c>
      <c r="H2" s="200"/>
      <c r="I2" s="201"/>
      <c r="J2" s="202"/>
      <c r="K2" s="202"/>
      <c r="L2" s="203"/>
      <c r="M2" s="199" t="s">
        <v>98</v>
      </c>
      <c r="N2" s="200"/>
      <c r="O2" s="201"/>
      <c r="P2" s="202"/>
      <c r="Q2" s="202"/>
      <c r="R2" s="203"/>
      <c r="S2" s="139" t="s">
        <v>94</v>
      </c>
      <c r="T2" s="140"/>
      <c r="U2" s="141"/>
      <c r="V2" s="142"/>
      <c r="W2" s="142"/>
      <c r="X2" s="143"/>
      <c r="Y2" s="169" t="s">
        <v>86</v>
      </c>
      <c r="Z2" s="170"/>
      <c r="AA2" s="171"/>
      <c r="AB2" s="172"/>
      <c r="AC2" s="172"/>
      <c r="AD2" s="173"/>
      <c r="AE2" s="108" t="s">
        <v>89</v>
      </c>
      <c r="AF2" s="109"/>
      <c r="AG2" s="110"/>
      <c r="AH2" s="111"/>
      <c r="AI2" s="111"/>
      <c r="AJ2" s="112"/>
    </row>
    <row r="3" spans="1:36" ht="15.75" x14ac:dyDescent="0.25">
      <c r="A3" s="254"/>
      <c r="B3" s="255"/>
      <c r="C3" s="252"/>
      <c r="D3" s="252"/>
      <c r="E3" s="252"/>
      <c r="F3" s="253"/>
      <c r="G3" s="204"/>
      <c r="H3" s="205"/>
      <c r="I3" s="202"/>
      <c r="J3" s="202"/>
      <c r="K3" s="202"/>
      <c r="L3" s="203"/>
      <c r="M3" s="204"/>
      <c r="N3" s="205"/>
      <c r="O3" s="202"/>
      <c r="P3" s="202"/>
      <c r="Q3" s="202"/>
      <c r="R3" s="203"/>
      <c r="S3" s="144"/>
      <c r="T3" s="145"/>
      <c r="U3" s="142"/>
      <c r="V3" s="142"/>
      <c r="W3" s="142"/>
      <c r="X3" s="143"/>
      <c r="Y3" s="174"/>
      <c r="Z3" s="175"/>
      <c r="AA3" s="172"/>
      <c r="AB3" s="172"/>
      <c r="AC3" s="172"/>
      <c r="AD3" s="173"/>
      <c r="AE3" s="113"/>
      <c r="AF3" s="114"/>
      <c r="AG3" s="111"/>
      <c r="AH3" s="111"/>
      <c r="AI3" s="111"/>
      <c r="AJ3" s="112"/>
    </row>
    <row r="4" spans="1:36" ht="15.75" x14ac:dyDescent="0.25">
      <c r="A4" s="256"/>
      <c r="B4" s="252"/>
      <c r="C4" s="252"/>
      <c r="D4" s="252"/>
      <c r="E4" s="252"/>
      <c r="F4" s="253"/>
      <c r="G4" s="206"/>
      <c r="H4" s="202"/>
      <c r="I4" s="202"/>
      <c r="J4" s="202"/>
      <c r="K4" s="202"/>
      <c r="L4" s="203"/>
      <c r="M4" s="206"/>
      <c r="N4" s="202"/>
      <c r="O4" s="202"/>
      <c r="P4" s="202"/>
      <c r="Q4" s="202"/>
      <c r="R4" s="203"/>
      <c r="S4" s="146"/>
      <c r="T4" s="142"/>
      <c r="U4" s="142"/>
      <c r="V4" s="142"/>
      <c r="W4" s="142"/>
      <c r="X4" s="143"/>
      <c r="Y4" s="176"/>
      <c r="Z4" s="172"/>
      <c r="AA4" s="172"/>
      <c r="AB4" s="172"/>
      <c r="AC4" s="172"/>
      <c r="AD4" s="173"/>
      <c r="AE4" s="115"/>
      <c r="AF4" s="111"/>
      <c r="AG4" s="111"/>
      <c r="AH4" s="111"/>
      <c r="AI4" s="111"/>
      <c r="AJ4" s="112"/>
    </row>
    <row r="5" spans="1:36" ht="15.75" x14ac:dyDescent="0.25">
      <c r="A5" s="282" t="s">
        <v>25</v>
      </c>
      <c r="B5" s="283"/>
      <c r="C5" s="283"/>
      <c r="D5" s="283"/>
      <c r="E5" s="283"/>
      <c r="F5" s="284"/>
      <c r="G5" s="294" t="s">
        <v>25</v>
      </c>
      <c r="H5" s="295"/>
      <c r="I5" s="295"/>
      <c r="J5" s="295"/>
      <c r="K5" s="295"/>
      <c r="L5" s="296"/>
      <c r="M5" s="294" t="s">
        <v>25</v>
      </c>
      <c r="N5" s="295"/>
      <c r="O5" s="295"/>
      <c r="P5" s="295"/>
      <c r="Q5" s="295"/>
      <c r="R5" s="296"/>
      <c r="S5" s="291" t="s">
        <v>25</v>
      </c>
      <c r="T5" s="292"/>
      <c r="U5" s="292"/>
      <c r="V5" s="292"/>
      <c r="W5" s="292"/>
      <c r="X5" s="293"/>
      <c r="Y5" s="285" t="s">
        <v>25</v>
      </c>
      <c r="Z5" s="286"/>
      <c r="AA5" s="286"/>
      <c r="AB5" s="286"/>
      <c r="AC5" s="286"/>
      <c r="AD5" s="287"/>
      <c r="AE5" s="288" t="s">
        <v>25</v>
      </c>
      <c r="AF5" s="289"/>
      <c r="AG5" s="289"/>
      <c r="AH5" s="289"/>
      <c r="AI5" s="289"/>
      <c r="AJ5" s="290"/>
    </row>
    <row r="6" spans="1:36" ht="15.75" x14ac:dyDescent="0.25">
      <c r="A6" s="256"/>
      <c r="B6" s="252"/>
      <c r="C6" s="252"/>
      <c r="D6" s="252"/>
      <c r="E6" s="252"/>
      <c r="F6" s="253"/>
      <c r="G6" s="206"/>
      <c r="H6" s="202"/>
      <c r="I6" s="202"/>
      <c r="J6" s="202"/>
      <c r="K6" s="202"/>
      <c r="L6" s="203"/>
      <c r="M6" s="206"/>
      <c r="N6" s="202"/>
      <c r="O6" s="202"/>
      <c r="P6" s="202"/>
      <c r="Q6" s="202"/>
      <c r="R6" s="203"/>
      <c r="S6" s="146"/>
      <c r="T6" s="142"/>
      <c r="U6" s="142"/>
      <c r="V6" s="142"/>
      <c r="W6" s="142"/>
      <c r="X6" s="143"/>
      <c r="Y6" s="176"/>
      <c r="Z6" s="172"/>
      <c r="AA6" s="172"/>
      <c r="AB6" s="172"/>
      <c r="AC6" s="172"/>
      <c r="AD6" s="173"/>
      <c r="AE6" s="115"/>
      <c r="AF6" s="111"/>
      <c r="AG6" s="111"/>
      <c r="AH6" s="111"/>
      <c r="AI6" s="111"/>
      <c r="AJ6" s="112"/>
    </row>
    <row r="7" spans="1:36" ht="15.75" x14ac:dyDescent="0.25">
      <c r="A7" s="256"/>
      <c r="B7" s="252"/>
      <c r="C7" s="257"/>
      <c r="D7" s="257" t="s">
        <v>54</v>
      </c>
      <c r="E7" s="257" t="s">
        <v>16</v>
      </c>
      <c r="F7" s="253"/>
      <c r="G7" s="206"/>
      <c r="H7" s="202"/>
      <c r="I7" s="207"/>
      <c r="J7" s="207" t="s">
        <v>54</v>
      </c>
      <c r="K7" s="207" t="s">
        <v>16</v>
      </c>
      <c r="L7" s="203"/>
      <c r="M7" s="206"/>
      <c r="N7" s="202"/>
      <c r="O7" s="207"/>
      <c r="P7" s="207" t="s">
        <v>54</v>
      </c>
      <c r="Q7" s="207" t="s">
        <v>16</v>
      </c>
      <c r="R7" s="203"/>
      <c r="S7" s="146"/>
      <c r="T7" s="142"/>
      <c r="U7" s="147"/>
      <c r="V7" s="147" t="s">
        <v>54</v>
      </c>
      <c r="W7" s="147" t="s">
        <v>16</v>
      </c>
      <c r="X7" s="143"/>
      <c r="Y7" s="176"/>
      <c r="Z7" s="172"/>
      <c r="AA7" s="177"/>
      <c r="AB7" s="177" t="s">
        <v>54</v>
      </c>
      <c r="AC7" s="177" t="s">
        <v>16</v>
      </c>
      <c r="AD7" s="173"/>
      <c r="AE7" s="115"/>
      <c r="AF7" s="111"/>
      <c r="AG7" s="116"/>
      <c r="AH7" s="116" t="s">
        <v>54</v>
      </c>
      <c r="AI7" s="116" t="s">
        <v>16</v>
      </c>
      <c r="AJ7" s="112"/>
    </row>
    <row r="8" spans="1:36" ht="15.75" x14ac:dyDescent="0.25">
      <c r="A8" s="256"/>
      <c r="B8" s="252"/>
      <c r="C8" s="258" t="s">
        <v>55</v>
      </c>
      <c r="D8" s="258" t="s">
        <v>56</v>
      </c>
      <c r="E8" s="258" t="s">
        <v>57</v>
      </c>
      <c r="F8" s="253"/>
      <c r="G8" s="206"/>
      <c r="H8" s="202"/>
      <c r="I8" s="208" t="s">
        <v>55</v>
      </c>
      <c r="J8" s="208" t="s">
        <v>56</v>
      </c>
      <c r="K8" s="208" t="s">
        <v>57</v>
      </c>
      <c r="L8" s="203"/>
      <c r="M8" s="206"/>
      <c r="N8" s="202"/>
      <c r="O8" s="208" t="s">
        <v>55</v>
      </c>
      <c r="P8" s="208" t="s">
        <v>56</v>
      </c>
      <c r="Q8" s="208" t="s">
        <v>57</v>
      </c>
      <c r="R8" s="203"/>
      <c r="S8" s="146"/>
      <c r="T8" s="142"/>
      <c r="U8" s="148" t="s">
        <v>55</v>
      </c>
      <c r="V8" s="148" t="s">
        <v>56</v>
      </c>
      <c r="W8" s="148" t="s">
        <v>57</v>
      </c>
      <c r="X8" s="143"/>
      <c r="Y8" s="176"/>
      <c r="Z8" s="172"/>
      <c r="AA8" s="178" t="s">
        <v>55</v>
      </c>
      <c r="AB8" s="178" t="s">
        <v>56</v>
      </c>
      <c r="AC8" s="178" t="s">
        <v>57</v>
      </c>
      <c r="AD8" s="173"/>
      <c r="AE8" s="115"/>
      <c r="AF8" s="111"/>
      <c r="AG8" s="117" t="s">
        <v>55</v>
      </c>
      <c r="AH8" s="117" t="s">
        <v>56</v>
      </c>
      <c r="AI8" s="117" t="s">
        <v>57</v>
      </c>
      <c r="AJ8" s="112"/>
    </row>
    <row r="9" spans="1:36" ht="15.75" x14ac:dyDescent="0.25">
      <c r="A9" s="259" t="s">
        <v>115</v>
      </c>
      <c r="B9" s="250"/>
      <c r="C9" s="260"/>
      <c r="D9" s="260"/>
      <c r="E9" s="260"/>
      <c r="F9" s="253"/>
      <c r="G9" s="209" t="s">
        <v>109</v>
      </c>
      <c r="H9" s="200"/>
      <c r="I9" s="210"/>
      <c r="J9" s="210"/>
      <c r="K9" s="210"/>
      <c r="L9" s="203"/>
      <c r="M9" s="209" t="s">
        <v>99</v>
      </c>
      <c r="N9" s="200"/>
      <c r="O9" s="210"/>
      <c r="P9" s="210"/>
      <c r="Q9" s="210"/>
      <c r="R9" s="203"/>
      <c r="S9" s="149" t="s">
        <v>87</v>
      </c>
      <c r="T9" s="140"/>
      <c r="U9" s="150"/>
      <c r="V9" s="150"/>
      <c r="W9" s="150"/>
      <c r="X9" s="143"/>
      <c r="Y9" s="179" t="s">
        <v>81</v>
      </c>
      <c r="Z9" s="170"/>
      <c r="AA9" s="180"/>
      <c r="AB9" s="180"/>
      <c r="AC9" s="180"/>
      <c r="AD9" s="173"/>
      <c r="AE9" s="118" t="s">
        <v>90</v>
      </c>
      <c r="AF9" s="109"/>
      <c r="AG9" s="119"/>
      <c r="AH9" s="119"/>
      <c r="AI9" s="119"/>
      <c r="AJ9" s="112"/>
    </row>
    <row r="10" spans="1:36" ht="15.75" x14ac:dyDescent="0.25">
      <c r="A10" s="256" t="s">
        <v>58</v>
      </c>
      <c r="B10" s="252"/>
      <c r="C10" s="261">
        <f>+Customers!C20+Customers!D20</f>
        <v>24268</v>
      </c>
      <c r="D10" s="262">
        <f>+J11</f>
        <v>0.6</v>
      </c>
      <c r="E10" s="261">
        <f>C10*D10</f>
        <v>14560.8</v>
      </c>
      <c r="F10" s="253"/>
      <c r="G10" s="206" t="s">
        <v>58</v>
      </c>
      <c r="H10" s="202"/>
      <c r="I10" s="211">
        <v>22959</v>
      </c>
      <c r="J10" s="212">
        <v>1.25</v>
      </c>
      <c r="K10" s="211">
        <f>I10*J10</f>
        <v>28698.75</v>
      </c>
      <c r="L10" s="203"/>
      <c r="M10" s="206" t="s">
        <v>58</v>
      </c>
      <c r="N10" s="202"/>
      <c r="O10" s="211">
        <v>21720</v>
      </c>
      <c r="P10" s="212">
        <f>+V11</f>
        <v>2.04</v>
      </c>
      <c r="Q10" s="211">
        <f>O10*P10</f>
        <v>44308.800000000003</v>
      </c>
      <c r="R10" s="203"/>
      <c r="S10" s="146" t="s">
        <v>58</v>
      </c>
      <c r="T10" s="142"/>
      <c r="U10" s="151">
        <v>20086</v>
      </c>
      <c r="V10" s="152">
        <f>+AB11</f>
        <v>1.71</v>
      </c>
      <c r="W10" s="151">
        <f>U10*V10</f>
        <v>34347.06</v>
      </c>
      <c r="X10" s="143"/>
      <c r="Y10" s="176" t="s">
        <v>58</v>
      </c>
      <c r="Z10" s="172"/>
      <c r="AA10" s="181">
        <v>18118</v>
      </c>
      <c r="AB10" s="182">
        <f>+AH11</f>
        <v>2.3199999999999998</v>
      </c>
      <c r="AC10" s="181">
        <f>AA10*AB10</f>
        <v>42033.759999999995</v>
      </c>
      <c r="AD10" s="173"/>
      <c r="AE10" s="115" t="s">
        <v>58</v>
      </c>
      <c r="AF10" s="111"/>
      <c r="AG10" s="120">
        <v>17149</v>
      </c>
      <c r="AH10" s="121">
        <v>2.37</v>
      </c>
      <c r="AI10" s="120">
        <f>AG10*AH10</f>
        <v>40643.130000000005</v>
      </c>
      <c r="AJ10" s="112"/>
    </row>
    <row r="11" spans="1:36" ht="17.25" x14ac:dyDescent="0.35">
      <c r="A11" s="263" t="s">
        <v>59</v>
      </c>
      <c r="B11" s="264"/>
      <c r="C11" s="265">
        <f>SUM(Customers!E20:N20)</f>
        <v>124641</v>
      </c>
      <c r="D11" s="262">
        <f>+L25</f>
        <v>0.23</v>
      </c>
      <c r="E11" s="265">
        <f>C11*D11</f>
        <v>28667.43</v>
      </c>
      <c r="F11" s="253"/>
      <c r="G11" s="213" t="s">
        <v>59</v>
      </c>
      <c r="H11" s="214"/>
      <c r="I11" s="215">
        <v>116746</v>
      </c>
      <c r="J11" s="212">
        <v>0.6</v>
      </c>
      <c r="K11" s="215">
        <f>I11*J11</f>
        <v>70047.599999999991</v>
      </c>
      <c r="L11" s="203"/>
      <c r="M11" s="213" t="s">
        <v>59</v>
      </c>
      <c r="N11" s="214"/>
      <c r="O11" s="215">
        <v>111104</v>
      </c>
      <c r="P11" s="212">
        <f>+X25</f>
        <v>1.25</v>
      </c>
      <c r="Q11" s="215">
        <f>O11*P11</f>
        <v>138880</v>
      </c>
      <c r="R11" s="203"/>
      <c r="S11" s="153" t="s">
        <v>59</v>
      </c>
      <c r="T11" s="154"/>
      <c r="U11" s="155">
        <v>104400</v>
      </c>
      <c r="V11" s="152">
        <f>+AD25</f>
        <v>2.04</v>
      </c>
      <c r="W11" s="155">
        <f>U11*V11</f>
        <v>212976</v>
      </c>
      <c r="X11" s="143"/>
      <c r="Y11" s="183" t="s">
        <v>59</v>
      </c>
      <c r="Z11" s="184"/>
      <c r="AA11" s="185">
        <v>93257</v>
      </c>
      <c r="AB11" s="182">
        <f>+AJ25</f>
        <v>1.71</v>
      </c>
      <c r="AC11" s="185">
        <f>AA11*AB11</f>
        <v>159469.47</v>
      </c>
      <c r="AD11" s="173"/>
      <c r="AE11" s="122" t="s">
        <v>59</v>
      </c>
      <c r="AF11" s="123"/>
      <c r="AG11" s="125">
        <v>87893</v>
      </c>
      <c r="AH11" s="121">
        <v>2.3199999999999998</v>
      </c>
      <c r="AI11" s="124">
        <f>AG11*AH11</f>
        <v>203911.75999999998</v>
      </c>
      <c r="AJ11" s="112"/>
    </row>
    <row r="12" spans="1:36" ht="15.75" x14ac:dyDescent="0.25">
      <c r="A12" s="256" t="s">
        <v>16</v>
      </c>
      <c r="B12" s="252"/>
      <c r="C12" s="261">
        <f>SUM(C10:C11)</f>
        <v>148909</v>
      </c>
      <c r="D12" s="252"/>
      <c r="E12" s="261">
        <f>SUM(E10:E11)</f>
        <v>43228.229999999996</v>
      </c>
      <c r="F12" s="253"/>
      <c r="G12" s="206" t="s">
        <v>16</v>
      </c>
      <c r="H12" s="202"/>
      <c r="I12" s="211">
        <f>SUM(I10:I11)</f>
        <v>139705</v>
      </c>
      <c r="J12" s="202"/>
      <c r="K12" s="211">
        <f>SUM(K10:K11)</f>
        <v>98746.349999999991</v>
      </c>
      <c r="L12" s="203"/>
      <c r="M12" s="206" t="s">
        <v>16</v>
      </c>
      <c r="N12" s="202"/>
      <c r="O12" s="211">
        <f>SUM(O10:O11)</f>
        <v>132824</v>
      </c>
      <c r="P12" s="202"/>
      <c r="Q12" s="211">
        <f>SUM(Q10:Q11)</f>
        <v>183188.8</v>
      </c>
      <c r="R12" s="203"/>
      <c r="S12" s="146" t="s">
        <v>16</v>
      </c>
      <c r="T12" s="142"/>
      <c r="U12" s="151">
        <f>SUM(U10:U11)</f>
        <v>124486</v>
      </c>
      <c r="V12" s="142"/>
      <c r="W12" s="151">
        <f>SUM(W10:W11)</f>
        <v>247323.06</v>
      </c>
      <c r="X12" s="143"/>
      <c r="Y12" s="176" t="s">
        <v>16</v>
      </c>
      <c r="Z12" s="172"/>
      <c r="AA12" s="181">
        <f>SUM(AA10:AA11)</f>
        <v>111375</v>
      </c>
      <c r="AB12" s="172"/>
      <c r="AC12" s="181">
        <f>SUM(AC10:AC11)</f>
        <v>201503.22999999998</v>
      </c>
      <c r="AD12" s="173"/>
      <c r="AE12" s="115" t="s">
        <v>16</v>
      </c>
      <c r="AF12" s="111"/>
      <c r="AG12" s="120">
        <f>SUM(AG10:AG11)</f>
        <v>105042</v>
      </c>
      <c r="AH12" s="111"/>
      <c r="AI12" s="120">
        <f>SUM(AI10:AI11)</f>
        <v>244554.88999999998</v>
      </c>
      <c r="AJ12" s="112"/>
    </row>
    <row r="13" spans="1:36" ht="15.75" x14ac:dyDescent="0.25">
      <c r="A13" s="256"/>
      <c r="B13" s="252"/>
      <c r="C13" s="252"/>
      <c r="D13" s="252"/>
      <c r="E13" s="252"/>
      <c r="F13" s="253"/>
      <c r="G13" s="206"/>
      <c r="H13" s="202"/>
      <c r="I13" s="202"/>
      <c r="J13" s="202"/>
      <c r="K13" s="202"/>
      <c r="L13" s="203"/>
      <c r="M13" s="206"/>
      <c r="N13" s="202"/>
      <c r="O13" s="202"/>
      <c r="P13" s="202"/>
      <c r="Q13" s="202"/>
      <c r="R13" s="203"/>
      <c r="S13" s="146"/>
      <c r="T13" s="142"/>
      <c r="U13" s="142"/>
      <c r="V13" s="142"/>
      <c r="W13" s="142"/>
      <c r="X13" s="143"/>
      <c r="Y13" s="176"/>
      <c r="Z13" s="172"/>
      <c r="AA13" s="172"/>
      <c r="AB13" s="172"/>
      <c r="AC13" s="172"/>
      <c r="AD13" s="173"/>
      <c r="AE13" s="115"/>
      <c r="AF13" s="111"/>
      <c r="AG13" s="111"/>
      <c r="AH13" s="111"/>
      <c r="AI13" s="111"/>
      <c r="AJ13" s="112"/>
    </row>
    <row r="14" spans="1:36" ht="15.75" x14ac:dyDescent="0.25">
      <c r="A14" s="249" t="s">
        <v>93</v>
      </c>
      <c r="B14" s="252"/>
      <c r="C14" s="252"/>
      <c r="D14" s="252"/>
      <c r="E14" s="261">
        <f>+'Commodity Revenue'!Y40</f>
        <v>123903.138016938</v>
      </c>
      <c r="F14" s="253"/>
      <c r="G14" s="199" t="s">
        <v>93</v>
      </c>
      <c r="H14" s="202"/>
      <c r="I14" s="202"/>
      <c r="J14" s="202"/>
      <c r="K14" s="211">
        <v>36118</v>
      </c>
      <c r="L14" s="203"/>
      <c r="M14" s="199" t="s">
        <v>93</v>
      </c>
      <c r="N14" s="202"/>
      <c r="O14" s="202"/>
      <c r="P14" s="202"/>
      <c r="Q14" s="211">
        <v>99599.598432167913</v>
      </c>
      <c r="R14" s="203"/>
      <c r="S14" s="139" t="s">
        <v>93</v>
      </c>
      <c r="T14" s="142"/>
      <c r="U14" s="142"/>
      <c r="V14" s="142"/>
      <c r="W14" s="151">
        <v>205192</v>
      </c>
      <c r="X14" s="143"/>
      <c r="Y14" s="169" t="s">
        <v>93</v>
      </c>
      <c r="Z14" s="172"/>
      <c r="AA14" s="172"/>
      <c r="AB14" s="172"/>
      <c r="AC14" s="181">
        <v>231469</v>
      </c>
      <c r="AD14" s="173"/>
      <c r="AE14" s="108" t="s">
        <v>60</v>
      </c>
      <c r="AF14" s="111"/>
      <c r="AG14" s="111"/>
      <c r="AH14" s="111"/>
      <c r="AI14" s="120">
        <v>183627</v>
      </c>
      <c r="AJ14" s="112"/>
    </row>
    <row r="15" spans="1:36" ht="15.75" x14ac:dyDescent="0.25">
      <c r="A15" s="256"/>
      <c r="B15" s="252"/>
      <c r="C15" s="252"/>
      <c r="D15" s="252"/>
      <c r="E15" s="252"/>
      <c r="F15" s="253"/>
      <c r="G15" s="206"/>
      <c r="H15" s="202"/>
      <c r="I15" s="202"/>
      <c r="J15" s="202"/>
      <c r="K15" s="202"/>
      <c r="L15" s="203"/>
      <c r="M15" s="206"/>
      <c r="N15" s="202"/>
      <c r="O15" s="202"/>
      <c r="P15" s="202"/>
      <c r="Q15" s="202"/>
      <c r="R15" s="203"/>
      <c r="S15" s="146"/>
      <c r="T15" s="142"/>
      <c r="U15" s="142"/>
      <c r="V15" s="142"/>
      <c r="W15" s="142"/>
      <c r="X15" s="143"/>
      <c r="Y15" s="176"/>
      <c r="Z15" s="172"/>
      <c r="AA15" s="172"/>
      <c r="AB15" s="172"/>
      <c r="AC15" s="172"/>
      <c r="AD15" s="173"/>
      <c r="AE15" s="115"/>
      <c r="AF15" s="111"/>
      <c r="AG15" s="111"/>
      <c r="AH15" s="111"/>
      <c r="AI15" s="111"/>
      <c r="AJ15" s="112"/>
    </row>
    <row r="16" spans="1:36" ht="15.75" x14ac:dyDescent="0.25">
      <c r="A16" s="256" t="s">
        <v>61</v>
      </c>
      <c r="B16" s="252"/>
      <c r="C16" s="252"/>
      <c r="D16" s="252"/>
      <c r="E16" s="261">
        <f>E14-E12</f>
        <v>80674.908016938003</v>
      </c>
      <c r="F16" s="253"/>
      <c r="G16" s="206" t="s">
        <v>61</v>
      </c>
      <c r="H16" s="202"/>
      <c r="I16" s="202"/>
      <c r="J16" s="202"/>
      <c r="K16" s="211">
        <f>K14-K12</f>
        <v>-62628.349999999991</v>
      </c>
      <c r="L16" s="203"/>
      <c r="M16" s="206" t="s">
        <v>61</v>
      </c>
      <c r="N16" s="202"/>
      <c r="O16" s="202"/>
      <c r="P16" s="202"/>
      <c r="Q16" s="211">
        <f>Q14-Q12</f>
        <v>-83589.201567832075</v>
      </c>
      <c r="R16" s="203"/>
      <c r="S16" s="146" t="s">
        <v>61</v>
      </c>
      <c r="T16" s="142"/>
      <c r="U16" s="142"/>
      <c r="V16" s="142"/>
      <c r="W16" s="151">
        <f>W14-W12</f>
        <v>-42131.06</v>
      </c>
      <c r="X16" s="143"/>
      <c r="Y16" s="176" t="s">
        <v>61</v>
      </c>
      <c r="Z16" s="172"/>
      <c r="AA16" s="172"/>
      <c r="AB16" s="172"/>
      <c r="AC16" s="181">
        <f>AC14-AC12</f>
        <v>29965.770000000019</v>
      </c>
      <c r="AD16" s="173"/>
      <c r="AE16" s="115" t="s">
        <v>61</v>
      </c>
      <c r="AF16" s="111"/>
      <c r="AG16" s="111"/>
      <c r="AH16" s="111"/>
      <c r="AI16" s="120">
        <f>AI14-AI12</f>
        <v>-60927.889999999985</v>
      </c>
      <c r="AJ16" s="112"/>
    </row>
    <row r="17" spans="1:36" ht="15.75" x14ac:dyDescent="0.25">
      <c r="A17" s="256"/>
      <c r="B17" s="252"/>
      <c r="C17" s="252"/>
      <c r="D17" s="252"/>
      <c r="E17" s="252"/>
      <c r="F17" s="253"/>
      <c r="G17" s="206"/>
      <c r="H17" s="202"/>
      <c r="I17" s="202"/>
      <c r="J17" s="202"/>
      <c r="K17" s="202"/>
      <c r="L17" s="203"/>
      <c r="M17" s="206"/>
      <c r="N17" s="202"/>
      <c r="O17" s="202"/>
      <c r="P17" s="202"/>
      <c r="Q17" s="202"/>
      <c r="R17" s="203"/>
      <c r="S17" s="146"/>
      <c r="T17" s="142"/>
      <c r="U17" s="142"/>
      <c r="V17" s="142"/>
      <c r="W17" s="142"/>
      <c r="X17" s="143"/>
      <c r="Y17" s="176"/>
      <c r="Z17" s="172"/>
      <c r="AA17" s="172"/>
      <c r="AB17" s="172"/>
      <c r="AC17" s="172"/>
      <c r="AD17" s="173"/>
      <c r="AE17" s="115"/>
      <c r="AF17" s="111"/>
      <c r="AG17" s="111"/>
      <c r="AH17" s="111"/>
      <c r="AI17" s="111"/>
      <c r="AJ17" s="112"/>
    </row>
    <row r="18" spans="1:36" ht="15.75" x14ac:dyDescent="0.25">
      <c r="A18" s="256" t="s">
        <v>92</v>
      </c>
      <c r="B18" s="252"/>
      <c r="C18" s="252"/>
      <c r="D18" s="252"/>
      <c r="E18" s="261">
        <f>+C12</f>
        <v>148909</v>
      </c>
      <c r="F18" s="253"/>
      <c r="G18" s="206" t="s">
        <v>92</v>
      </c>
      <c r="H18" s="202"/>
      <c r="I18" s="202"/>
      <c r="J18" s="202"/>
      <c r="K18" s="211">
        <f>+I12</f>
        <v>139705</v>
      </c>
      <c r="L18" s="203"/>
      <c r="M18" s="206" t="s">
        <v>92</v>
      </c>
      <c r="N18" s="202"/>
      <c r="O18" s="202"/>
      <c r="P18" s="202"/>
      <c r="Q18" s="211">
        <f>+O12</f>
        <v>132824</v>
      </c>
      <c r="R18" s="203"/>
      <c r="S18" s="146" t="s">
        <v>92</v>
      </c>
      <c r="T18" s="142"/>
      <c r="U18" s="142"/>
      <c r="V18" s="142"/>
      <c r="W18" s="151">
        <f>+U12</f>
        <v>124486</v>
      </c>
      <c r="X18" s="143"/>
      <c r="Y18" s="176" t="s">
        <v>92</v>
      </c>
      <c r="Z18" s="172"/>
      <c r="AA18" s="172"/>
      <c r="AB18" s="172"/>
      <c r="AC18" s="181">
        <f>+AA12</f>
        <v>111375</v>
      </c>
      <c r="AD18" s="173"/>
      <c r="AE18" s="115" t="s">
        <v>62</v>
      </c>
      <c r="AF18" s="111"/>
      <c r="AG18" s="111"/>
      <c r="AH18" s="111"/>
      <c r="AI18" s="120">
        <f>+AG12</f>
        <v>105042</v>
      </c>
      <c r="AJ18" s="112"/>
    </row>
    <row r="19" spans="1:36" ht="15.75" x14ac:dyDescent="0.25">
      <c r="A19" s="256"/>
      <c r="B19" s="252"/>
      <c r="C19" s="252"/>
      <c r="D19" s="252"/>
      <c r="E19" s="252"/>
      <c r="F19" s="253"/>
      <c r="G19" s="206"/>
      <c r="H19" s="202"/>
      <c r="I19" s="202"/>
      <c r="J19" s="202"/>
      <c r="K19" s="202"/>
      <c r="L19" s="203"/>
      <c r="M19" s="206"/>
      <c r="N19" s="202"/>
      <c r="O19" s="202"/>
      <c r="P19" s="202"/>
      <c r="Q19" s="202"/>
      <c r="R19" s="203"/>
      <c r="S19" s="146"/>
      <c r="T19" s="142"/>
      <c r="U19" s="142"/>
      <c r="V19" s="142"/>
      <c r="W19" s="142"/>
      <c r="X19" s="143"/>
      <c r="Y19" s="176"/>
      <c r="Z19" s="172"/>
      <c r="AA19" s="172"/>
      <c r="AB19" s="172"/>
      <c r="AC19" s="172"/>
      <c r="AD19" s="173"/>
      <c r="AE19" s="115"/>
      <c r="AF19" s="111"/>
      <c r="AG19" s="111"/>
      <c r="AH19" s="111"/>
      <c r="AI19" s="111"/>
      <c r="AJ19" s="112"/>
    </row>
    <row r="20" spans="1:36" ht="15.75" x14ac:dyDescent="0.25">
      <c r="A20" s="256" t="s">
        <v>120</v>
      </c>
      <c r="B20" s="252"/>
      <c r="C20" s="252"/>
      <c r="D20" s="252"/>
      <c r="E20" s="252"/>
      <c r="F20" s="266">
        <f>ROUND(+E16/E18,2)</f>
        <v>0.54</v>
      </c>
      <c r="G20" s="206" t="s">
        <v>110</v>
      </c>
      <c r="H20" s="202"/>
      <c r="I20" s="202"/>
      <c r="J20" s="202"/>
      <c r="K20" s="202"/>
      <c r="L20" s="216">
        <f>ROUND(+K16/K18,2)</f>
        <v>-0.45</v>
      </c>
      <c r="M20" s="206" t="s">
        <v>102</v>
      </c>
      <c r="N20" s="202"/>
      <c r="O20" s="202"/>
      <c r="P20" s="202"/>
      <c r="Q20" s="202"/>
      <c r="R20" s="216">
        <f>+Q16/Q18</f>
        <v>-0.6293230257169794</v>
      </c>
      <c r="S20" s="146" t="s">
        <v>95</v>
      </c>
      <c r="T20" s="142"/>
      <c r="U20" s="142"/>
      <c r="V20" s="142"/>
      <c r="W20" s="142"/>
      <c r="X20" s="156">
        <f>+W16/W18</f>
        <v>-0.33844014587985793</v>
      </c>
      <c r="Y20" s="176" t="s">
        <v>88</v>
      </c>
      <c r="Z20" s="172"/>
      <c r="AA20" s="172"/>
      <c r="AB20" s="172"/>
      <c r="AC20" s="172"/>
      <c r="AD20" s="186">
        <f>+AC16/AC18</f>
        <v>0.26905292929292945</v>
      </c>
      <c r="AE20" s="115" t="s">
        <v>91</v>
      </c>
      <c r="AF20" s="111"/>
      <c r="AG20" s="111"/>
      <c r="AH20" s="111"/>
      <c r="AI20" s="111"/>
      <c r="AJ20" s="126">
        <v>-0.65</v>
      </c>
    </row>
    <row r="21" spans="1:36" ht="15.75" x14ac:dyDescent="0.25">
      <c r="A21" s="256"/>
      <c r="B21" s="252"/>
      <c r="C21" s="252"/>
      <c r="D21" s="252"/>
      <c r="E21" s="252"/>
      <c r="F21" s="267"/>
      <c r="G21" s="206"/>
      <c r="H21" s="202"/>
      <c r="I21" s="202"/>
      <c r="J21" s="202"/>
      <c r="K21" s="202"/>
      <c r="L21" s="217"/>
      <c r="M21" s="206"/>
      <c r="N21" s="202"/>
      <c r="O21" s="202"/>
      <c r="P21" s="202"/>
      <c r="Q21" s="202"/>
      <c r="R21" s="217"/>
      <c r="S21" s="146"/>
      <c r="T21" s="142"/>
      <c r="U21" s="142"/>
      <c r="V21" s="142"/>
      <c r="W21" s="142"/>
      <c r="X21" s="157"/>
      <c r="Y21" s="176"/>
      <c r="Z21" s="172"/>
      <c r="AA21" s="172"/>
      <c r="AB21" s="172"/>
      <c r="AC21" s="172"/>
      <c r="AD21" s="187"/>
      <c r="AE21" s="115"/>
      <c r="AF21" s="111"/>
      <c r="AG21" s="111"/>
      <c r="AH21" s="111"/>
      <c r="AI21" s="111"/>
      <c r="AJ21" s="127"/>
    </row>
    <row r="22" spans="1:36" ht="15.75" x14ac:dyDescent="0.25">
      <c r="A22" s="256"/>
      <c r="B22" s="252"/>
      <c r="C22" s="252"/>
      <c r="D22" s="252"/>
      <c r="E22" s="252"/>
      <c r="F22" s="267"/>
      <c r="G22" s="206"/>
      <c r="H22" s="202"/>
      <c r="I22" s="202"/>
      <c r="J22" s="202"/>
      <c r="K22" s="202"/>
      <c r="L22" s="217"/>
      <c r="M22" s="206"/>
      <c r="N22" s="202"/>
      <c r="O22" s="202"/>
      <c r="P22" s="202"/>
      <c r="Q22" s="202"/>
      <c r="R22" s="217"/>
      <c r="S22" s="146"/>
      <c r="T22" s="142"/>
      <c r="U22" s="142"/>
      <c r="V22" s="142"/>
      <c r="W22" s="142"/>
      <c r="X22" s="157"/>
      <c r="Y22" s="176"/>
      <c r="Z22" s="172"/>
      <c r="AA22" s="172"/>
      <c r="AB22" s="172"/>
      <c r="AC22" s="172"/>
      <c r="AD22" s="187"/>
      <c r="AE22" s="115"/>
      <c r="AF22" s="111"/>
      <c r="AG22" s="111"/>
      <c r="AH22" s="111"/>
      <c r="AI22" s="111"/>
      <c r="AJ22" s="127"/>
    </row>
    <row r="23" spans="1:36" ht="15.75" x14ac:dyDescent="0.25">
      <c r="A23" s="259" t="s">
        <v>118</v>
      </c>
      <c r="B23" s="250"/>
      <c r="C23" s="252"/>
      <c r="D23" s="252"/>
      <c r="E23" s="268">
        <f>+'Commodity Revenue'!Y40</f>
        <v>123903.138016938</v>
      </c>
      <c r="F23" s="267"/>
      <c r="G23" s="209" t="s">
        <v>111</v>
      </c>
      <c r="H23" s="200"/>
      <c r="I23" s="202"/>
      <c r="J23" s="202"/>
      <c r="K23" s="218">
        <v>15860</v>
      </c>
      <c r="L23" s="217"/>
      <c r="M23" s="209" t="s">
        <v>103</v>
      </c>
      <c r="N23" s="200"/>
      <c r="O23" s="202"/>
      <c r="P23" s="202"/>
      <c r="Q23" s="218">
        <v>39969.884180818815</v>
      </c>
      <c r="R23" s="217"/>
      <c r="S23" s="149" t="s">
        <v>101</v>
      </c>
      <c r="T23" s="140"/>
      <c r="U23" s="142"/>
      <c r="V23" s="142"/>
      <c r="W23" s="158">
        <v>78930</v>
      </c>
      <c r="X23" s="157"/>
      <c r="Y23" s="179" t="s">
        <v>87</v>
      </c>
      <c r="Z23" s="170"/>
      <c r="AA23" s="172"/>
      <c r="AB23" s="172"/>
      <c r="AC23" s="188">
        <f>+AC14</f>
        <v>231469</v>
      </c>
      <c r="AD23" s="187"/>
      <c r="AE23" s="118" t="s">
        <v>81</v>
      </c>
      <c r="AF23" s="109"/>
      <c r="AG23" s="111"/>
      <c r="AH23" s="111"/>
      <c r="AI23" s="128">
        <f>+AI14</f>
        <v>183627</v>
      </c>
      <c r="AJ23" s="127"/>
    </row>
    <row r="24" spans="1:36" ht="17.25" x14ac:dyDescent="0.35">
      <c r="A24" s="256" t="s">
        <v>119</v>
      </c>
      <c r="B24" s="252"/>
      <c r="C24" s="252"/>
      <c r="D24" s="252"/>
      <c r="E24" s="278">
        <f>+C12</f>
        <v>148909</v>
      </c>
      <c r="F24" s="267"/>
      <c r="G24" s="206" t="s">
        <v>100</v>
      </c>
      <c r="H24" s="202"/>
      <c r="I24" s="202"/>
      <c r="J24" s="202"/>
      <c r="K24" s="211">
        <v>70108</v>
      </c>
      <c r="L24" s="217"/>
      <c r="M24" s="206" t="s">
        <v>97</v>
      </c>
      <c r="N24" s="202"/>
      <c r="O24" s="202"/>
      <c r="P24" s="202"/>
      <c r="Q24" s="211">
        <v>66822</v>
      </c>
      <c r="R24" s="217"/>
      <c r="S24" s="146" t="s">
        <v>100</v>
      </c>
      <c r="T24" s="142"/>
      <c r="U24" s="142"/>
      <c r="V24" s="142"/>
      <c r="W24" s="151">
        <v>63172</v>
      </c>
      <c r="X24" s="157"/>
      <c r="Y24" s="176" t="s">
        <v>62</v>
      </c>
      <c r="Z24" s="172"/>
      <c r="AA24" s="172"/>
      <c r="AB24" s="172"/>
      <c r="AC24" s="181">
        <v>113724</v>
      </c>
      <c r="AD24" s="187"/>
      <c r="AE24" s="115" t="s">
        <v>62</v>
      </c>
      <c r="AF24" s="111"/>
      <c r="AG24" s="111"/>
      <c r="AH24" s="111"/>
      <c r="AI24" s="120">
        <v>107280</v>
      </c>
      <c r="AJ24" s="127"/>
    </row>
    <row r="25" spans="1:36" ht="17.25" x14ac:dyDescent="0.35">
      <c r="A25" s="256" t="s">
        <v>63</v>
      </c>
      <c r="B25" s="252"/>
      <c r="C25" s="252"/>
      <c r="D25" s="252"/>
      <c r="E25" s="252"/>
      <c r="F25" s="269">
        <f>ROUND(+E23/E24,2)</f>
        <v>0.83</v>
      </c>
      <c r="G25" s="206" t="s">
        <v>63</v>
      </c>
      <c r="H25" s="202"/>
      <c r="I25" s="202"/>
      <c r="J25" s="202"/>
      <c r="K25" s="202"/>
      <c r="L25" s="219">
        <f>ROUND(+K23/K24,2)</f>
        <v>0.23</v>
      </c>
      <c r="M25" s="206" t="s">
        <v>63</v>
      </c>
      <c r="N25" s="202"/>
      <c r="O25" s="202"/>
      <c r="P25" s="202"/>
      <c r="Q25" s="202"/>
      <c r="R25" s="219">
        <f>ROUND(+Q23/Q24,2)</f>
        <v>0.6</v>
      </c>
      <c r="S25" s="146" t="s">
        <v>63</v>
      </c>
      <c r="T25" s="142"/>
      <c r="U25" s="142"/>
      <c r="V25" s="142"/>
      <c r="W25" s="142"/>
      <c r="X25" s="159">
        <f>ROUND(+W23/W24,2)</f>
        <v>1.25</v>
      </c>
      <c r="Y25" s="176" t="s">
        <v>63</v>
      </c>
      <c r="Z25" s="172"/>
      <c r="AA25" s="172"/>
      <c r="AB25" s="172"/>
      <c r="AC25" s="172"/>
      <c r="AD25" s="189">
        <v>2.04</v>
      </c>
      <c r="AE25" s="115" t="s">
        <v>63</v>
      </c>
      <c r="AF25" s="111"/>
      <c r="AG25" s="111"/>
      <c r="AH25" s="111"/>
      <c r="AI25" s="111"/>
      <c r="AJ25" s="129">
        <f>ROUND(+AI23/AI24,2)</f>
        <v>1.71</v>
      </c>
    </row>
    <row r="26" spans="1:36" ht="15.75" x14ac:dyDescent="0.25">
      <c r="A26" s="256"/>
      <c r="B26" s="252"/>
      <c r="C26" s="252"/>
      <c r="D26" s="252"/>
      <c r="E26" s="252"/>
      <c r="F26" s="267"/>
      <c r="G26" s="206"/>
      <c r="H26" s="202"/>
      <c r="I26" s="202"/>
      <c r="J26" s="202"/>
      <c r="K26" s="202"/>
      <c r="L26" s="217"/>
      <c r="M26" s="206"/>
      <c r="N26" s="202"/>
      <c r="O26" s="202"/>
      <c r="P26" s="202"/>
      <c r="Q26" s="202"/>
      <c r="R26" s="217"/>
      <c r="S26" s="146"/>
      <c r="T26" s="142"/>
      <c r="U26" s="142"/>
      <c r="V26" s="142"/>
      <c r="W26" s="142"/>
      <c r="X26" s="157"/>
      <c r="Y26" s="176"/>
      <c r="Z26" s="172"/>
      <c r="AA26" s="172"/>
      <c r="AB26" s="172"/>
      <c r="AC26" s="172"/>
      <c r="AD26" s="187"/>
      <c r="AE26" s="115"/>
      <c r="AF26" s="111"/>
      <c r="AG26" s="111"/>
      <c r="AH26" s="111"/>
      <c r="AI26" s="111"/>
      <c r="AJ26" s="127"/>
    </row>
    <row r="27" spans="1:36" ht="18.75" thickBot="1" x14ac:dyDescent="0.45">
      <c r="A27" s="249" t="s">
        <v>104</v>
      </c>
      <c r="B27" s="250"/>
      <c r="C27" s="252"/>
      <c r="D27" s="252"/>
      <c r="E27" s="252"/>
      <c r="F27" s="279">
        <f>SUM(F20:F25)</f>
        <v>1.37</v>
      </c>
      <c r="G27" s="199" t="s">
        <v>104</v>
      </c>
      <c r="H27" s="200"/>
      <c r="I27" s="202"/>
      <c r="J27" s="202"/>
      <c r="K27" s="202"/>
      <c r="L27" s="232">
        <f>SUM(L20:L25)</f>
        <v>-0.22</v>
      </c>
      <c r="M27" s="200" t="s">
        <v>104</v>
      </c>
      <c r="N27" s="200"/>
      <c r="O27" s="202"/>
      <c r="P27" s="202"/>
      <c r="Q27" s="202"/>
      <c r="R27" s="220">
        <f>SUM(R20:R25)</f>
        <v>-2.9323025716979423E-2</v>
      </c>
      <c r="S27" s="139" t="s">
        <v>64</v>
      </c>
      <c r="T27" s="140"/>
      <c r="U27" s="142"/>
      <c r="V27" s="142"/>
      <c r="W27" s="142"/>
      <c r="X27" s="160">
        <f>SUM(X20:X25)</f>
        <v>0.91155985412014207</v>
      </c>
      <c r="Y27" s="169" t="s">
        <v>64</v>
      </c>
      <c r="Z27" s="170"/>
      <c r="AA27" s="172"/>
      <c r="AB27" s="172"/>
      <c r="AC27" s="172"/>
      <c r="AD27" s="190">
        <f>SUM(AD20:AD25)</f>
        <v>2.3090529292929296</v>
      </c>
      <c r="AE27" s="108" t="s">
        <v>64</v>
      </c>
      <c r="AF27" s="109"/>
      <c r="AG27" s="111"/>
      <c r="AH27" s="111"/>
      <c r="AI27" s="111"/>
      <c r="AJ27" s="130">
        <f>SUM(AJ20:AJ25)</f>
        <v>1.06</v>
      </c>
    </row>
    <row r="28" spans="1:36" s="20" customFormat="1" ht="16.5" thickTop="1" x14ac:dyDescent="0.25">
      <c r="A28" s="249"/>
      <c r="B28" s="250"/>
      <c r="C28" s="252"/>
      <c r="D28" s="252"/>
      <c r="E28" s="252"/>
      <c r="F28" s="270"/>
      <c r="G28" s="199"/>
      <c r="H28" s="200"/>
      <c r="I28" s="202"/>
      <c r="J28" s="202"/>
      <c r="K28" s="202"/>
      <c r="L28" s="221"/>
      <c r="M28" s="199"/>
      <c r="N28" s="200"/>
      <c r="O28" s="202"/>
      <c r="P28" s="202"/>
      <c r="Q28" s="202"/>
      <c r="R28" s="221"/>
      <c r="S28" s="139"/>
      <c r="T28" s="140"/>
      <c r="U28" s="142"/>
      <c r="V28" s="142"/>
      <c r="W28" s="142"/>
      <c r="X28" s="161"/>
      <c r="Y28" s="169"/>
      <c r="Z28" s="170"/>
      <c r="AA28" s="172"/>
      <c r="AB28" s="172"/>
      <c r="AC28" s="172"/>
      <c r="AD28" s="191"/>
      <c r="AE28" s="108"/>
      <c r="AF28" s="109"/>
      <c r="AG28" s="111"/>
      <c r="AH28" s="111"/>
      <c r="AI28" s="111"/>
      <c r="AJ28" s="131"/>
    </row>
    <row r="29" spans="1:36" s="20" customFormat="1" ht="21" thickBot="1" x14ac:dyDescent="0.6">
      <c r="A29" s="249"/>
      <c r="B29" s="250"/>
      <c r="C29" s="252"/>
      <c r="D29" s="271"/>
      <c r="E29" s="252"/>
      <c r="F29" s="272"/>
      <c r="G29" s="199" t="s">
        <v>112</v>
      </c>
      <c r="H29" s="200"/>
      <c r="I29" s="202"/>
      <c r="J29" s="230">
        <v>8313.5</v>
      </c>
      <c r="K29" s="202"/>
      <c r="L29" s="231">
        <f>ROUND(-J29/12400/12,2)</f>
        <v>-0.06</v>
      </c>
      <c r="M29" s="199" t="s">
        <v>105</v>
      </c>
      <c r="N29" s="200"/>
      <c r="O29" s="202"/>
      <c r="P29" s="202"/>
      <c r="Q29" s="202"/>
      <c r="R29" s="225">
        <v>0</v>
      </c>
      <c r="S29" s="139"/>
      <c r="T29" s="140"/>
      <c r="U29" s="142"/>
      <c r="V29" s="142"/>
      <c r="W29" s="142"/>
      <c r="X29" s="161"/>
      <c r="Y29" s="169"/>
      <c r="Z29" s="170"/>
      <c r="AA29" s="172"/>
      <c r="AB29" s="172"/>
      <c r="AC29" s="172"/>
      <c r="AD29" s="191"/>
      <c r="AE29" s="108"/>
      <c r="AF29" s="109"/>
      <c r="AG29" s="111"/>
      <c r="AH29" s="111"/>
      <c r="AI29" s="111"/>
      <c r="AJ29" s="131"/>
    </row>
    <row r="30" spans="1:36" s="20" customFormat="1" ht="16.5" thickTop="1" x14ac:dyDescent="0.25">
      <c r="A30" s="249"/>
      <c r="B30" s="250"/>
      <c r="C30" s="252"/>
      <c r="D30" s="273"/>
      <c r="E30" s="252"/>
      <c r="F30" s="270"/>
      <c r="G30" s="199"/>
      <c r="H30" s="200"/>
      <c r="I30" s="202"/>
      <c r="J30" s="227"/>
      <c r="K30" s="202"/>
      <c r="L30" s="221"/>
      <c r="M30" s="199"/>
      <c r="N30" s="200"/>
      <c r="O30" s="202"/>
      <c r="P30" s="202"/>
      <c r="Q30" s="202"/>
      <c r="R30" s="228"/>
      <c r="S30" s="139"/>
      <c r="T30" s="140"/>
      <c r="U30" s="142"/>
      <c r="V30" s="142"/>
      <c r="W30" s="142"/>
      <c r="X30" s="161"/>
      <c r="Y30" s="169"/>
      <c r="Z30" s="170"/>
      <c r="AA30" s="172"/>
      <c r="AB30" s="172"/>
      <c r="AC30" s="172"/>
      <c r="AD30" s="191"/>
      <c r="AE30" s="108"/>
      <c r="AF30" s="109"/>
      <c r="AG30" s="111"/>
      <c r="AH30" s="111"/>
      <c r="AI30" s="111"/>
      <c r="AJ30" s="131"/>
    </row>
    <row r="31" spans="1:36" s="20" customFormat="1" ht="18" x14ac:dyDescent="0.4">
      <c r="A31" s="249"/>
      <c r="B31" s="250"/>
      <c r="C31" s="252"/>
      <c r="D31" s="252"/>
      <c r="E31" s="252"/>
      <c r="F31" s="274"/>
      <c r="G31" s="199" t="s">
        <v>113</v>
      </c>
      <c r="H31" s="200"/>
      <c r="I31" s="202"/>
      <c r="J31" s="202"/>
      <c r="K31" s="202"/>
      <c r="L31" s="229">
        <f>+L27+L29</f>
        <v>-0.28000000000000003</v>
      </c>
      <c r="M31" s="199"/>
      <c r="N31" s="200"/>
      <c r="O31" s="202"/>
      <c r="P31" s="202"/>
      <c r="Q31" s="202"/>
      <c r="R31" s="221"/>
      <c r="S31" s="139"/>
      <c r="T31" s="140"/>
      <c r="U31" s="142"/>
      <c r="V31" s="142"/>
      <c r="W31" s="142"/>
      <c r="X31" s="161"/>
      <c r="Y31" s="169"/>
      <c r="Z31" s="170"/>
      <c r="AA31" s="172"/>
      <c r="AB31" s="172"/>
      <c r="AC31" s="172"/>
      <c r="AD31" s="191"/>
      <c r="AE31" s="108"/>
      <c r="AF31" s="109"/>
      <c r="AG31" s="111"/>
      <c r="AH31" s="111"/>
      <c r="AI31" s="111"/>
      <c r="AJ31" s="131"/>
    </row>
    <row r="32" spans="1:36" ht="15.75" thickBot="1" x14ac:dyDescent="0.3">
      <c r="A32" s="275"/>
      <c r="B32" s="276"/>
      <c r="C32" s="276"/>
      <c r="D32" s="276"/>
      <c r="E32" s="276"/>
      <c r="F32" s="277"/>
      <c r="G32" s="222"/>
      <c r="H32" s="223"/>
      <c r="I32" s="223"/>
      <c r="J32" s="223"/>
      <c r="K32" s="223"/>
      <c r="L32" s="224"/>
      <c r="M32" s="222"/>
      <c r="N32" s="223"/>
      <c r="O32" s="223"/>
      <c r="P32" s="223"/>
      <c r="Q32" s="223"/>
      <c r="R32" s="224"/>
      <c r="S32" s="162"/>
      <c r="T32" s="163"/>
      <c r="U32" s="163"/>
      <c r="V32" s="163"/>
      <c r="W32" s="163"/>
      <c r="X32" s="164"/>
      <c r="Y32" s="192"/>
      <c r="Z32" s="193"/>
      <c r="AA32" s="193"/>
      <c r="AB32" s="193"/>
      <c r="AC32" s="193"/>
      <c r="AD32" s="194"/>
      <c r="AE32" s="132"/>
      <c r="AF32" s="133"/>
      <c r="AG32" s="133"/>
      <c r="AH32" s="133"/>
      <c r="AI32" s="133"/>
      <c r="AJ32" s="134"/>
    </row>
    <row r="34" spans="29:29" x14ac:dyDescent="0.25">
      <c r="AC34" s="28"/>
    </row>
  </sheetData>
  <mergeCells count="6">
    <mergeCell ref="A5:F5"/>
    <mergeCell ref="Y5:AD5"/>
    <mergeCell ref="AE5:AJ5"/>
    <mergeCell ref="S5:X5"/>
    <mergeCell ref="M5:R5"/>
    <mergeCell ref="G5:L5"/>
  </mergeCells>
  <pageMargins left="0.7" right="0" top="0.5" bottom="0.5" header="0.3" footer="0"/>
  <pageSetup scale="86" orientation="portrait" r:id="rId1"/>
  <headerFoot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68"/>
  <sheetViews>
    <sheetView topLeftCell="A24" workbookViewId="0">
      <selection activeCell="B39" sqref="B39"/>
    </sheetView>
  </sheetViews>
  <sheetFormatPr defaultRowHeight="15" x14ac:dyDescent="0.25"/>
  <cols>
    <col min="1" max="1" width="10.140625" style="20" customWidth="1"/>
    <col min="2" max="2" width="7.7109375" style="20" bestFit="1" customWidth="1"/>
    <col min="3" max="5" width="9.5703125" style="20" bestFit="1" customWidth="1"/>
    <col min="6" max="6" width="7.7109375" style="20" bestFit="1" customWidth="1"/>
    <col min="7" max="7" width="8" style="20" bestFit="1" customWidth="1"/>
    <col min="8" max="9" width="9.5703125" style="20" bestFit="1" customWidth="1"/>
    <col min="10" max="10" width="7.5703125" style="20" bestFit="1" customWidth="1"/>
    <col min="11" max="11" width="8.140625" style="20" bestFit="1" customWidth="1"/>
    <col min="12" max="12" width="7.85546875" style="20" bestFit="1" customWidth="1"/>
    <col min="13" max="13" width="9.5703125" style="20" bestFit="1" customWidth="1"/>
    <col min="14" max="14" width="2" style="20" customWidth="1"/>
    <col min="15" max="16" width="10" style="27" bestFit="1" customWidth="1"/>
    <col min="17" max="17" width="10" style="20" bestFit="1" customWidth="1"/>
    <col min="18" max="19" width="9" style="20" bestFit="1" customWidth="1"/>
    <col min="20" max="20" width="10.7109375" style="20" bestFit="1" customWidth="1"/>
    <col min="21" max="22" width="9" style="20" bestFit="1" customWidth="1"/>
    <col min="23" max="23" width="9.28515625" style="20" bestFit="1" customWidth="1"/>
    <col min="24" max="24" width="9" style="20" bestFit="1" customWidth="1"/>
    <col min="25" max="25" width="10" style="20" bestFit="1" customWidth="1"/>
    <col min="26" max="26" width="2.5703125" style="20" customWidth="1"/>
    <col min="27" max="27" width="11.85546875" style="20" bestFit="1" customWidth="1"/>
    <col min="28" max="29" width="9.5703125" style="20" bestFit="1" customWidth="1"/>
    <col min="30" max="30" width="10.5703125" style="20" bestFit="1" customWidth="1"/>
    <col min="31" max="31" width="9" style="20" bestFit="1" customWidth="1"/>
    <col min="32" max="32" width="8.7109375" style="20" bestFit="1" customWidth="1"/>
    <col min="33" max="33" width="9" style="20" bestFit="1" customWidth="1"/>
    <col min="34" max="34" width="10.5703125" style="20" bestFit="1" customWidth="1"/>
    <col min="35" max="35" width="9" style="20" bestFit="1" customWidth="1"/>
    <col min="36" max="36" width="9.7109375" style="20" bestFit="1" customWidth="1"/>
    <col min="37" max="16384" width="9.140625" style="20"/>
  </cols>
  <sheetData>
    <row r="1" spans="1:36" ht="26.25" x14ac:dyDescent="0.4">
      <c r="A1" s="34" t="s">
        <v>72</v>
      </c>
      <c r="O1" s="20"/>
      <c r="P1" s="20"/>
    </row>
    <row r="2" spans="1:36" ht="21" x14ac:dyDescent="0.35">
      <c r="A2" s="47" t="s">
        <v>65</v>
      </c>
      <c r="O2" s="20"/>
      <c r="P2" s="20"/>
    </row>
    <row r="3" spans="1:36" x14ac:dyDescent="0.25">
      <c r="O3" s="20"/>
      <c r="P3" s="20"/>
    </row>
    <row r="4" spans="1:36" ht="15.75" x14ac:dyDescent="0.25">
      <c r="C4" s="297" t="s">
        <v>66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O4" s="297" t="s">
        <v>67</v>
      </c>
      <c r="P4" s="297"/>
      <c r="Q4" s="297"/>
      <c r="R4" s="297"/>
      <c r="S4" s="297"/>
      <c r="T4" s="297"/>
      <c r="U4" s="297"/>
      <c r="V4" s="297"/>
      <c r="W4" s="297"/>
      <c r="X4" s="297"/>
      <c r="AA4" s="297" t="s">
        <v>75</v>
      </c>
      <c r="AB4" s="297"/>
      <c r="AC4" s="297"/>
      <c r="AD4" s="297"/>
      <c r="AE4" s="297"/>
      <c r="AF4" s="297"/>
      <c r="AG4" s="297"/>
      <c r="AH4" s="297"/>
      <c r="AI4" s="297"/>
      <c r="AJ4" s="297"/>
    </row>
    <row r="5" spans="1:36" x14ac:dyDescent="0.25">
      <c r="C5" s="35"/>
      <c r="D5" s="38" t="s">
        <v>3</v>
      </c>
      <c r="E5" s="36"/>
      <c r="F5" s="35"/>
      <c r="G5" s="37"/>
      <c r="H5" s="35"/>
      <c r="I5" s="38"/>
      <c r="J5" s="38" t="s">
        <v>1</v>
      </c>
      <c r="K5" s="38" t="s">
        <v>2</v>
      </c>
      <c r="L5" s="38" t="s">
        <v>3</v>
      </c>
      <c r="O5" s="35"/>
      <c r="P5" s="38" t="s">
        <v>3</v>
      </c>
      <c r="Q5" s="36"/>
      <c r="R5" s="35"/>
      <c r="S5" s="37"/>
      <c r="T5" s="35"/>
      <c r="U5" s="38"/>
      <c r="V5" s="38" t="s">
        <v>1</v>
      </c>
      <c r="W5" s="38" t="s">
        <v>2</v>
      </c>
      <c r="X5" s="38" t="s">
        <v>3</v>
      </c>
      <c r="AA5" s="35"/>
      <c r="AB5" s="38" t="s">
        <v>3</v>
      </c>
      <c r="AC5" s="36"/>
      <c r="AD5" s="35"/>
      <c r="AE5" s="37"/>
      <c r="AF5" s="35"/>
      <c r="AG5" s="38"/>
      <c r="AH5" s="38" t="s">
        <v>1</v>
      </c>
      <c r="AI5" s="38" t="s">
        <v>2</v>
      </c>
      <c r="AJ5" s="38" t="s">
        <v>3</v>
      </c>
    </row>
    <row r="6" spans="1:36" x14ac:dyDescent="0.25">
      <c r="C6" s="39" t="s">
        <v>5</v>
      </c>
      <c r="D6" s="39" t="s">
        <v>76</v>
      </c>
      <c r="E6" s="39" t="s">
        <v>7</v>
      </c>
      <c r="F6" s="39" t="s">
        <v>8</v>
      </c>
      <c r="G6" s="39" t="s">
        <v>9</v>
      </c>
      <c r="H6" s="39" t="s">
        <v>10</v>
      </c>
      <c r="I6" s="39" t="s">
        <v>11</v>
      </c>
      <c r="J6" s="39" t="s">
        <v>12</v>
      </c>
      <c r="K6" s="39" t="s">
        <v>12</v>
      </c>
      <c r="L6" s="39" t="s">
        <v>77</v>
      </c>
      <c r="M6" s="39" t="s">
        <v>16</v>
      </c>
      <c r="O6" s="39" t="s">
        <v>5</v>
      </c>
      <c r="P6" s="39" t="s">
        <v>76</v>
      </c>
      <c r="Q6" s="39" t="s">
        <v>7</v>
      </c>
      <c r="R6" s="39" t="s">
        <v>8</v>
      </c>
      <c r="S6" s="39" t="s">
        <v>9</v>
      </c>
      <c r="T6" s="39" t="s">
        <v>10</v>
      </c>
      <c r="U6" s="39" t="s">
        <v>11</v>
      </c>
      <c r="V6" s="39" t="s">
        <v>12</v>
      </c>
      <c r="W6" s="39" t="s">
        <v>12</v>
      </c>
      <c r="X6" s="39" t="s">
        <v>77</v>
      </c>
      <c r="Y6" s="26" t="s">
        <v>16</v>
      </c>
      <c r="AA6" s="39" t="s">
        <v>5</v>
      </c>
      <c r="AB6" s="39" t="s">
        <v>76</v>
      </c>
      <c r="AC6" s="39" t="s">
        <v>7</v>
      </c>
      <c r="AD6" s="39" t="s">
        <v>8</v>
      </c>
      <c r="AE6" s="39" t="s">
        <v>9</v>
      </c>
      <c r="AF6" s="39" t="s">
        <v>10</v>
      </c>
      <c r="AG6" s="39" t="s">
        <v>11</v>
      </c>
      <c r="AH6" s="39" t="s">
        <v>12</v>
      </c>
      <c r="AI6" s="39" t="s">
        <v>12</v>
      </c>
      <c r="AJ6" s="39" t="s">
        <v>77</v>
      </c>
    </row>
    <row r="7" spans="1:36" x14ac:dyDescent="0.25">
      <c r="C7" s="40">
        <f>+'CRC Composition'!$AC8</f>
        <v>0</v>
      </c>
      <c r="D7" s="40">
        <f>+'CRC Composition'!$AC9</f>
        <v>0.43275503571080892</v>
      </c>
      <c r="E7" s="40">
        <f>+'CRC Composition'!$AC10</f>
        <v>0.27189355039807339</v>
      </c>
      <c r="F7" s="40">
        <f>+'CRC Composition'!$AC11</f>
        <v>1.0719366815991714E-2</v>
      </c>
      <c r="G7" s="40">
        <f>+'CRC Composition'!AC12</f>
        <v>1.2830741275007563E-2</v>
      </c>
      <c r="H7" s="40">
        <f>+'CRC Composition'!AC13</f>
        <v>0.24742041375133786</v>
      </c>
      <c r="I7" s="40">
        <f>+'CRC Composition'!AC14</f>
        <v>1.1376517517229307E-2</v>
      </c>
      <c r="J7" s="40">
        <f>+'CRC Composition'!$AC15</f>
        <v>4.3701276077026292E-3</v>
      </c>
      <c r="K7" s="40">
        <f>+'CRC Composition'!$AC16</f>
        <v>4.8885356833432078E-3</v>
      </c>
      <c r="L7" s="40">
        <f>+'CRC Composition'!$AC17</f>
        <v>3.745711240505619E-3</v>
      </c>
      <c r="M7" s="40">
        <f>+M20/$M$20</f>
        <v>1</v>
      </c>
      <c r="O7" s="20"/>
      <c r="P7" s="20"/>
      <c r="Y7" s="22"/>
      <c r="AA7" s="27"/>
    </row>
    <row r="8" spans="1:36" x14ac:dyDescent="0.25">
      <c r="A8" s="20" t="s">
        <v>116</v>
      </c>
      <c r="C8" s="41">
        <f>+'Tonnages Collected'!$E10*C$7</f>
        <v>0</v>
      </c>
      <c r="D8" s="41">
        <f>+'Tonnages Collected'!$E10*D$7</f>
        <v>277.48744778244566</v>
      </c>
      <c r="E8" s="41">
        <f>+'Tonnages Collected'!$E10*E$7</f>
        <v>174.34123497730266</v>
      </c>
      <c r="F8" s="41">
        <f>+'Tonnages Collected'!$E10*F$7</f>
        <v>6.8733798434666902</v>
      </c>
      <c r="G8" s="41">
        <f>+'Tonnages Collected'!$E10*G$7</f>
        <v>8.2272171454013279</v>
      </c>
      <c r="H8" s="41">
        <f>+'Tonnages Collected'!$E10*H$7</f>
        <v>158.64878158694674</v>
      </c>
      <c r="I8" s="41">
        <f>+'Tonnages Collected'!$E10*I$7</f>
        <v>7.2947523425650509</v>
      </c>
      <c r="J8" s="41">
        <f>+'Tonnages Collected'!$E10*J$7</f>
        <v>2.8021754948574915</v>
      </c>
      <c r="K8" s="41">
        <f>+'Tonnages Collected'!$E10*K$7</f>
        <v>3.134584645413149</v>
      </c>
      <c r="L8" s="41">
        <f>+'Tonnages Collected'!$E10*L$7</f>
        <v>2.4017926228188355</v>
      </c>
      <c r="M8" s="28">
        <f t="shared" ref="M8:M19" si="0">SUM(C8:L8)</f>
        <v>641.21136644121748</v>
      </c>
      <c r="O8" s="60">
        <f>+C8*'CRC Prices'!B8</f>
        <v>0</v>
      </c>
      <c r="P8" s="60">
        <f>+D8*'CRC Prices'!C8</f>
        <v>-1229.2693936762341</v>
      </c>
      <c r="Q8" s="60">
        <f>+E8*'CRC Prices'!D8</f>
        <v>21102.263081652716</v>
      </c>
      <c r="R8" s="60">
        <f>+F8*'CRC Prices'!E8</f>
        <v>4776.1741856281333</v>
      </c>
      <c r="S8" s="60">
        <f>+G8*'CRC Prices'!F8</f>
        <v>633.16663151008618</v>
      </c>
      <c r="T8" s="60">
        <f>+H8*'CRC Prices'!G8</f>
        <v>-10074.197630771117</v>
      </c>
      <c r="U8" s="60">
        <f>+I8*'CRC Prices'!H8</f>
        <v>948.31780453345664</v>
      </c>
      <c r="V8" s="60">
        <f>+J8*'CRC Prices'!I8</f>
        <v>1793.3923167087946</v>
      </c>
      <c r="W8" s="60">
        <f>+K8*'CRC Prices'!J8</f>
        <v>188.07507872478894</v>
      </c>
      <c r="X8" s="60">
        <f>+L8*'CRC Prices'!K8</f>
        <v>-402.30026432215493</v>
      </c>
      <c r="Y8" s="60">
        <f>SUM(O8:X8)</f>
        <v>17735.621809988468</v>
      </c>
      <c r="AA8" s="63"/>
      <c r="AB8" s="63">
        <f t="shared" ref="AB8:AI19" si="1">+P8/D8</f>
        <v>-4.43</v>
      </c>
      <c r="AC8" s="63">
        <f t="shared" si="1"/>
        <v>121.04</v>
      </c>
      <c r="AD8" s="63">
        <f t="shared" si="1"/>
        <v>694.88</v>
      </c>
      <c r="AE8" s="63">
        <f t="shared" si="1"/>
        <v>76.959999999999994</v>
      </c>
      <c r="AF8" s="63">
        <f t="shared" si="1"/>
        <v>-63.5</v>
      </c>
      <c r="AG8" s="63">
        <f t="shared" si="1"/>
        <v>130</v>
      </c>
      <c r="AH8" s="63">
        <f t="shared" si="1"/>
        <v>640</v>
      </c>
      <c r="AI8" s="63">
        <f t="shared" si="1"/>
        <v>60</v>
      </c>
      <c r="AJ8" s="63">
        <f>+X8/L8</f>
        <v>-167.5</v>
      </c>
    </row>
    <row r="9" spans="1:36" x14ac:dyDescent="0.25">
      <c r="A9" s="20" t="s">
        <v>36</v>
      </c>
      <c r="C9" s="41">
        <f>+'Tonnages Collected'!$E11*C$7</f>
        <v>0</v>
      </c>
      <c r="D9" s="41">
        <f>+'Tonnages Collected'!$E11*D$7</f>
        <v>267.30003233469688</v>
      </c>
      <c r="E9" s="41">
        <f>+'Tonnages Collected'!$E11*E$7</f>
        <v>167.9406334200753</v>
      </c>
      <c r="F9" s="41">
        <f>+'Tonnages Collected'!$E11*F$7</f>
        <v>6.6210369841584171</v>
      </c>
      <c r="G9" s="41">
        <f>+'Tonnages Collected'!$E11*G$7</f>
        <v>7.9251707656142454</v>
      </c>
      <c r="H9" s="41">
        <f>+'Tonnages Collected'!$E11*H$7</f>
        <v>152.82429813293291</v>
      </c>
      <c r="I9" s="41">
        <f>+'Tonnages Collected'!$E11*I$7</f>
        <v>7.026939606183503</v>
      </c>
      <c r="J9" s="41">
        <f>+'Tonnages Collected'!$E11*J$7</f>
        <v>2.6992990362942364</v>
      </c>
      <c r="K9" s="41">
        <f>+'Tonnages Collected'!$E11*K$7</f>
        <v>3.0195044272117326</v>
      </c>
      <c r="L9" s="41">
        <f>+'Tonnages Collected'!$E11*L$7</f>
        <v>2.313615447730264</v>
      </c>
      <c r="M9" s="28">
        <f t="shared" si="0"/>
        <v>617.67053015489762</v>
      </c>
      <c r="O9" s="60">
        <f>+C9*'CRC Prices'!B9</f>
        <v>0</v>
      </c>
      <c r="P9" s="60">
        <f>+D9*'CRC Prices'!C9</f>
        <v>-189.78302295763478</v>
      </c>
      <c r="Q9" s="60">
        <f>+E9*'CRC Prices'!D9</f>
        <v>16174.362404687452</v>
      </c>
      <c r="R9" s="60">
        <f>+F9*'CRC Prices'!E9</f>
        <v>4835.6081510102586</v>
      </c>
      <c r="S9" s="60">
        <f>+G9*'CRC Prices'!F9</f>
        <v>644.39563495209427</v>
      </c>
      <c r="T9" s="60">
        <f>+H9*'CRC Prices'!G9</f>
        <v>-9704.3429314412406</v>
      </c>
      <c r="U9" s="60">
        <f>+I9*'CRC Prices'!H9</f>
        <v>351.06590272492781</v>
      </c>
      <c r="V9" s="60">
        <f>+J9*'CRC Prices'!I9</f>
        <v>1889.5093254059655</v>
      </c>
      <c r="W9" s="60">
        <f>+K9*'CRC Prices'!J9</f>
        <v>181.17026563270394</v>
      </c>
      <c r="X9" s="60">
        <f>+L9*'CRC Prices'!K9</f>
        <v>-387.5305874948192</v>
      </c>
      <c r="Y9" s="60">
        <f t="shared" ref="Y9:Y19" si="2">SUM(O9:X9)</f>
        <v>13794.45514251971</v>
      </c>
      <c r="AA9" s="63"/>
      <c r="AB9" s="63">
        <f t="shared" si="1"/>
        <v>-0.71</v>
      </c>
      <c r="AC9" s="63">
        <f t="shared" si="1"/>
        <v>96.31</v>
      </c>
      <c r="AD9" s="63">
        <f t="shared" si="1"/>
        <v>730.34</v>
      </c>
      <c r="AE9" s="63">
        <f t="shared" si="1"/>
        <v>81.31</v>
      </c>
      <c r="AF9" s="63">
        <f t="shared" si="1"/>
        <v>-63.500000000000007</v>
      </c>
      <c r="AG9" s="63">
        <f t="shared" si="1"/>
        <v>49.96</v>
      </c>
      <c r="AH9" s="63">
        <f t="shared" si="1"/>
        <v>700</v>
      </c>
      <c r="AI9" s="63">
        <f t="shared" si="1"/>
        <v>59.999999999999993</v>
      </c>
      <c r="AJ9" s="63">
        <f t="shared" ref="AJ9:AJ20" si="3">+X9/L9</f>
        <v>-167.5</v>
      </c>
    </row>
    <row r="10" spans="1:36" x14ac:dyDescent="0.25">
      <c r="A10" s="20" t="s">
        <v>37</v>
      </c>
      <c r="C10" s="41">
        <f>+'Tonnages Collected'!$E12*C$7</f>
        <v>0</v>
      </c>
      <c r="D10" s="41">
        <f>+'Tonnages Collected'!$E12*D$7</f>
        <v>286.15266887089803</v>
      </c>
      <c r="E10" s="41">
        <f>+'Tonnages Collected'!$E12*E$7</f>
        <v>179.78546446582558</v>
      </c>
      <c r="F10" s="41">
        <f>+'Tonnages Collected'!$E12*F$7</f>
        <v>7.0880178620312142</v>
      </c>
      <c r="G10" s="41">
        <f>+'Tonnages Collected'!$E12*G$7</f>
        <v>8.4841320295783653</v>
      </c>
      <c r="H10" s="41">
        <f>+'Tonnages Collected'!$E12*H$7</f>
        <v>163.60297601574229</v>
      </c>
      <c r="I10" s="41">
        <f>+'Tonnages Collected'!$E12*I$7</f>
        <v>7.5225487432274338</v>
      </c>
      <c r="J10" s="41">
        <f>+'Tonnages Collected'!$E12*J$7</f>
        <v>2.8896802464620421</v>
      </c>
      <c r="K10" s="41">
        <f>+'Tonnages Collected'!$E12*K$7</f>
        <v>3.232469681979806</v>
      </c>
      <c r="L10" s="41">
        <f>+'Tonnages Collected'!$E12*L$7</f>
        <v>2.4767944445288257</v>
      </c>
      <c r="M10" s="28">
        <f t="shared" si="0"/>
        <v>661.23475236027343</v>
      </c>
      <c r="O10" s="60">
        <f>+C10*'CRC Prices'!B10</f>
        <v>0</v>
      </c>
      <c r="P10" s="60">
        <f>+D10*'CRC Prices'!C10</f>
        <v>386.30610297571235</v>
      </c>
      <c r="Q10" s="60">
        <f>+E10*'CRC Prices'!D10</f>
        <v>15506.496310177457</v>
      </c>
      <c r="R10" s="60">
        <f>+F10*'CRC Prices'!E10</f>
        <v>5660.4201844395075</v>
      </c>
      <c r="S10" s="60">
        <f>+G10*'CRC Prices'!F10</f>
        <v>657.35054965173174</v>
      </c>
      <c r="T10" s="60">
        <f>+H10*'CRC Prices'!G10</f>
        <v>-10388.788976999635</v>
      </c>
      <c r="U10" s="60">
        <f>+I10*'CRC Prices'!H10</f>
        <v>354.83862421803809</v>
      </c>
      <c r="V10" s="60">
        <f>+J10*'CRC Prices'!I10</f>
        <v>2104.1495682638006</v>
      </c>
      <c r="W10" s="60">
        <f>+K10*'CRC Prices'!J10</f>
        <v>193.94818091878835</v>
      </c>
      <c r="X10" s="60">
        <f>+L10*'CRC Prices'!K10</f>
        <v>-414.86306945857831</v>
      </c>
      <c r="Y10" s="60">
        <f t="shared" si="2"/>
        <v>14059.857474186823</v>
      </c>
      <c r="AA10" s="63"/>
      <c r="AB10" s="63">
        <f t="shared" si="1"/>
        <v>1.35</v>
      </c>
      <c r="AC10" s="63">
        <f t="shared" si="1"/>
        <v>86.25</v>
      </c>
      <c r="AD10" s="63">
        <f t="shared" si="1"/>
        <v>798.59</v>
      </c>
      <c r="AE10" s="63">
        <f t="shared" si="1"/>
        <v>77.48</v>
      </c>
      <c r="AF10" s="63">
        <f t="shared" si="1"/>
        <v>-63.499999999999993</v>
      </c>
      <c r="AG10" s="63">
        <f t="shared" si="1"/>
        <v>47.17</v>
      </c>
      <c r="AH10" s="63">
        <f t="shared" si="1"/>
        <v>728.16</v>
      </c>
      <c r="AI10" s="63">
        <f t="shared" si="1"/>
        <v>60</v>
      </c>
      <c r="AJ10" s="63">
        <f t="shared" si="3"/>
        <v>-167.5</v>
      </c>
    </row>
    <row r="11" spans="1:36" x14ac:dyDescent="0.25">
      <c r="A11" s="20" t="s">
        <v>38</v>
      </c>
      <c r="C11" s="41">
        <f>+'Tonnages Collected'!$E13*C$7</f>
        <v>0</v>
      </c>
      <c r="D11" s="41">
        <f>+'Tonnages Collected'!$E13*D$7</f>
        <v>274.41955875759913</v>
      </c>
      <c r="E11" s="41">
        <f>+'Tonnages Collected'!$E13*E$7</f>
        <v>172.4137259471126</v>
      </c>
      <c r="F11" s="41">
        <f>+'Tonnages Collected'!$E13*F$7</f>
        <v>6.7973880580584174</v>
      </c>
      <c r="G11" s="41">
        <f>+'Tonnages Collected'!$E13*G$7</f>
        <v>8.1362573942950558</v>
      </c>
      <c r="H11" s="41">
        <f>+'Tonnages Collected'!$E13*H$7</f>
        <v>156.89476763162915</v>
      </c>
      <c r="I11" s="41">
        <f>+'Tonnages Collected'!$E13*I$7</f>
        <v>7.2141018813295048</v>
      </c>
      <c r="J11" s="41">
        <f>+'Tonnages Collected'!$E13*J$7</f>
        <v>2.7711947657648115</v>
      </c>
      <c r="K11" s="41">
        <f>+'Tonnages Collected'!$E13*K$7</f>
        <v>3.0999288153640183</v>
      </c>
      <c r="L11" s="41">
        <f>+'Tonnages Collected'!$E13*L$7</f>
        <v>2.3752385091593227</v>
      </c>
      <c r="M11" s="28">
        <f t="shared" si="0"/>
        <v>634.122161760312</v>
      </c>
      <c r="O11" s="60">
        <f>+C11*'CRC Prices'!B11</f>
        <v>0</v>
      </c>
      <c r="P11" s="60">
        <f>+D11*'CRC Prices'!C11</f>
        <v>2749.6839787511431</v>
      </c>
      <c r="Q11" s="60">
        <f>+E11*'CRC Prices'!D11</f>
        <v>16063.786846492481</v>
      </c>
      <c r="R11" s="60">
        <f>+F11*'CRC Prices'!E11</f>
        <v>5966.611289602517</v>
      </c>
      <c r="S11" s="60">
        <f>+G11*'CRC Prices'!F11</f>
        <v>697.92815928262985</v>
      </c>
      <c r="T11" s="60">
        <f>+H11*'CRC Prices'!G11</f>
        <v>-9962.8177446084519</v>
      </c>
      <c r="U11" s="60">
        <f>+I11*'CRC Prices'!H11</f>
        <v>303.8579712415987</v>
      </c>
      <c r="V11" s="60">
        <f>+J11*'CRC Prices'!I11</f>
        <v>2161.5319172965528</v>
      </c>
      <c r="W11" s="60">
        <f>+K11*'CRC Prices'!J11</f>
        <v>185.99572892184111</v>
      </c>
      <c r="X11" s="60">
        <f>+L11*'CRC Prices'!K11</f>
        <v>-397.85245028418655</v>
      </c>
      <c r="Y11" s="60">
        <f t="shared" si="2"/>
        <v>17768.725696696125</v>
      </c>
      <c r="AA11" s="63"/>
      <c r="AB11" s="63">
        <f t="shared" si="1"/>
        <v>10.02</v>
      </c>
      <c r="AC11" s="63">
        <f t="shared" si="1"/>
        <v>93.17</v>
      </c>
      <c r="AD11" s="63">
        <f t="shared" si="1"/>
        <v>877.77999999999986</v>
      </c>
      <c r="AE11" s="63">
        <f t="shared" si="1"/>
        <v>85.78</v>
      </c>
      <c r="AF11" s="63">
        <f t="shared" si="1"/>
        <v>-63.500000000000007</v>
      </c>
      <c r="AG11" s="63">
        <f t="shared" si="1"/>
        <v>42.12</v>
      </c>
      <c r="AH11" s="63">
        <f t="shared" si="1"/>
        <v>780</v>
      </c>
      <c r="AI11" s="63">
        <f t="shared" si="1"/>
        <v>60</v>
      </c>
      <c r="AJ11" s="63">
        <f t="shared" si="3"/>
        <v>-167.5</v>
      </c>
    </row>
    <row r="12" spans="1:36" x14ac:dyDescent="0.25">
      <c r="A12" s="20" t="s">
        <v>39</v>
      </c>
      <c r="C12" s="41">
        <f>+'Tonnages Collected'!$E14*C$7</f>
        <v>0</v>
      </c>
      <c r="D12" s="41">
        <f>+'Tonnages Collected'!$E14*D$7</f>
        <v>278.71763969011505</v>
      </c>
      <c r="E12" s="41">
        <f>+'Tonnages Collected'!$E14*E$7</f>
        <v>175.11414625006884</v>
      </c>
      <c r="F12" s="41">
        <f>+'Tonnages Collected'!$E14*F$7</f>
        <v>6.903851766897259</v>
      </c>
      <c r="G12" s="41">
        <f>+'Tonnages Collected'!$E14*G$7</f>
        <v>8.2636910689455991</v>
      </c>
      <c r="H12" s="41">
        <f>+'Tonnages Collected'!$E14*H$7</f>
        <v>159.35212312123801</v>
      </c>
      <c r="I12" s="41">
        <f>+'Tonnages Collected'!$E14*I$7</f>
        <v>7.3270923470300877</v>
      </c>
      <c r="J12" s="41">
        <f>+'Tonnages Collected'!$E14*J$7</f>
        <v>2.8145984482025592</v>
      </c>
      <c r="K12" s="41">
        <f>+'Tonnages Collected'!$E14*K$7</f>
        <v>3.1484812763977525</v>
      </c>
      <c r="L12" s="41">
        <f>+'Tonnages Collected'!$E14*L$7</f>
        <v>2.4124405489578526</v>
      </c>
      <c r="M12" s="28">
        <f t="shared" si="0"/>
        <v>644.05406451785302</v>
      </c>
      <c r="O12" s="60">
        <f>+C12*'CRC Prices'!B12</f>
        <v>0</v>
      </c>
      <c r="P12" s="60">
        <f>+D12*'CRC Prices'!C12</f>
        <v>5083.8097479476983</v>
      </c>
      <c r="Q12" s="60">
        <f>+E12*'CRC Prices'!D12</f>
        <v>17539.432888406896</v>
      </c>
      <c r="R12" s="60">
        <f>+F12*'CRC Prices'!E12</f>
        <v>5930.1325136940695</v>
      </c>
      <c r="S12" s="60">
        <f>+G12*'CRC Prices'!F12</f>
        <v>880.33100957477473</v>
      </c>
      <c r="T12" s="60">
        <f>+H12*'CRC Prices'!G12</f>
        <v>-10118.859818198614</v>
      </c>
      <c r="U12" s="60">
        <f>+I12*'CRC Prices'!H12</f>
        <v>146.54184694060174</v>
      </c>
      <c r="V12" s="60">
        <f>+J12*'CRC Prices'!I12</f>
        <v>2702.0145102744568</v>
      </c>
      <c r="W12" s="60">
        <f>+K12*'CRC Prices'!J12</f>
        <v>314.84812763977527</v>
      </c>
      <c r="X12" s="60">
        <f>+L12*'CRC Prices'!K12</f>
        <v>-404.08379195044034</v>
      </c>
      <c r="Y12" s="60">
        <f t="shared" si="2"/>
        <v>22074.167034329221</v>
      </c>
      <c r="AA12" s="63"/>
      <c r="AB12" s="63">
        <f t="shared" si="1"/>
        <v>18.239999999999998</v>
      </c>
      <c r="AC12" s="63">
        <f t="shared" si="1"/>
        <v>100.16000000000001</v>
      </c>
      <c r="AD12" s="63">
        <f t="shared" si="1"/>
        <v>858.96</v>
      </c>
      <c r="AE12" s="63">
        <f t="shared" si="1"/>
        <v>106.53</v>
      </c>
      <c r="AF12" s="63">
        <f t="shared" si="1"/>
        <v>-63.500000000000007</v>
      </c>
      <c r="AG12" s="63">
        <f t="shared" si="1"/>
        <v>20</v>
      </c>
      <c r="AH12" s="63">
        <f t="shared" si="1"/>
        <v>960</v>
      </c>
      <c r="AI12" s="63">
        <f t="shared" si="1"/>
        <v>100</v>
      </c>
      <c r="AJ12" s="63">
        <f t="shared" si="3"/>
        <v>-167.5</v>
      </c>
    </row>
    <row r="13" spans="1:36" x14ac:dyDescent="0.25">
      <c r="A13" s="20" t="s">
        <v>40</v>
      </c>
      <c r="C13" s="41">
        <f>+'Tonnages Collected'!$E15*C$7</f>
        <v>0</v>
      </c>
      <c r="D13" s="41">
        <f>+'Tonnages Collected'!$E15*D$7</f>
        <v>310.40568841606182</v>
      </c>
      <c r="E13" s="41">
        <f>+'Tonnages Collected'!$E15*E$7</f>
        <v>195.02327580908883</v>
      </c>
      <c r="F13" s="41">
        <f>+'Tonnages Collected'!$E15*F$7</f>
        <v>7.6887665337896136</v>
      </c>
      <c r="G13" s="41">
        <f>+'Tonnages Collected'!$E15*G$7</f>
        <v>9.2032090899078227</v>
      </c>
      <c r="H13" s="41">
        <f>+'Tonnages Collected'!$E15*H$7</f>
        <v>177.46923206225472</v>
      </c>
      <c r="I13" s="41">
        <f>+'Tonnages Collected'!$E15*I$7</f>
        <v>8.1601263077451165</v>
      </c>
      <c r="J13" s="41">
        <f>+'Tonnages Collected'!$E15*J$7</f>
        <v>3.1345966114683628</v>
      </c>
      <c r="K13" s="41">
        <f>+'Tonnages Collected'!$E15*K$7</f>
        <v>3.5064393453960006</v>
      </c>
      <c r="L13" s="41">
        <f>+'Tonnages Collected'!$E15*L$7</f>
        <v>2.6867164568222424</v>
      </c>
      <c r="M13" s="28">
        <f t="shared" si="0"/>
        <v>717.27805063253459</v>
      </c>
      <c r="O13" s="60">
        <f>+C13*'CRC Prices'!B13</f>
        <v>0</v>
      </c>
      <c r="P13" s="60">
        <f>+D13*'CRC Prices'!C13</f>
        <v>7772.558437938188</v>
      </c>
      <c r="Q13" s="60">
        <f>+E13*'CRC Prices'!D13</f>
        <v>20814.834227104053</v>
      </c>
      <c r="R13" s="60">
        <f>+F13*'CRC Prices'!E13</f>
        <v>6989.5501052067857</v>
      </c>
      <c r="S13" s="60">
        <f>+G13*'CRC Prices'!F13</f>
        <v>936.70262117081825</v>
      </c>
      <c r="T13" s="60">
        <f>+H13*'CRC Prices'!G13</f>
        <v>-11269.296235953174</v>
      </c>
      <c r="U13" s="60">
        <f>+I13*'CRC Prices'!H13</f>
        <v>163.20252615490233</v>
      </c>
      <c r="V13" s="60">
        <f>+J13*'CRC Prices'!I13</f>
        <v>3447.3666613606761</v>
      </c>
      <c r="W13" s="60">
        <f>+K13*'CRC Prices'!J13</f>
        <v>771.17120523294238</v>
      </c>
      <c r="X13" s="60">
        <f>+L13*'CRC Prices'!K13</f>
        <v>-450.02500651772561</v>
      </c>
      <c r="Y13" s="60">
        <f t="shared" si="2"/>
        <v>29176.064541697473</v>
      </c>
      <c r="AA13" s="63"/>
      <c r="AB13" s="63">
        <f t="shared" si="1"/>
        <v>25.04</v>
      </c>
      <c r="AC13" s="63">
        <f t="shared" si="1"/>
        <v>106.73</v>
      </c>
      <c r="AD13" s="63">
        <f t="shared" si="1"/>
        <v>909.06</v>
      </c>
      <c r="AE13" s="63">
        <f t="shared" si="1"/>
        <v>101.78</v>
      </c>
      <c r="AF13" s="63">
        <f t="shared" si="1"/>
        <v>-63.499999999999993</v>
      </c>
      <c r="AG13" s="63">
        <f t="shared" si="1"/>
        <v>20</v>
      </c>
      <c r="AH13" s="63">
        <f t="shared" si="1"/>
        <v>1099.78</v>
      </c>
      <c r="AI13" s="63">
        <f t="shared" si="1"/>
        <v>219.93</v>
      </c>
      <c r="AJ13" s="63">
        <f t="shared" si="3"/>
        <v>-167.5</v>
      </c>
    </row>
    <row r="14" spans="1:36" x14ac:dyDescent="0.25">
      <c r="A14" s="20" t="s">
        <v>41</v>
      </c>
      <c r="C14" s="41">
        <f>+'Tonnages Collected'!$E16*C$7</f>
        <v>0</v>
      </c>
      <c r="D14" s="41">
        <f>+'Tonnages Collected'!$E16*D$7</f>
        <v>284.43958588652788</v>
      </c>
      <c r="E14" s="41">
        <f>+'Tonnages Collected'!$E16*E$7</f>
        <v>178.70915991403248</v>
      </c>
      <c r="F14" s="41">
        <f>+'Tonnages Collected'!$E16*F$7</f>
        <v>7.0455846992014957</v>
      </c>
      <c r="G14" s="41">
        <f>+'Tonnages Collected'!$E16*G$7</f>
        <v>8.4333408827602394</v>
      </c>
      <c r="H14" s="41">
        <f>+'Tonnages Collected'!$E16*H$7</f>
        <v>162.62354962943334</v>
      </c>
      <c r="I14" s="41">
        <f>+'Tonnages Collected'!$E16*I$7</f>
        <v>7.4775142156727323</v>
      </c>
      <c r="J14" s="41">
        <f>+'Tonnages Collected'!$E16*J$7</f>
        <v>2.8723808723900919</v>
      </c>
      <c r="K14" s="41">
        <f>+'Tonnages Collected'!$E16*K$7</f>
        <v>3.2131181629758361</v>
      </c>
      <c r="L14" s="41">
        <f>+'Tonnages Collected'!$E16*L$7</f>
        <v>2.4619668546431654</v>
      </c>
      <c r="M14" s="28">
        <f t="shared" si="0"/>
        <v>657.27620111763736</v>
      </c>
      <c r="O14" s="60">
        <f>+C14*'CRC Prices'!B14</f>
        <v>0</v>
      </c>
      <c r="P14" s="60">
        <f>+D14*'CRC Prices'!C14</f>
        <v>8513.2768055837787</v>
      </c>
      <c r="Q14" s="60">
        <f>+E14*'CRC Prices'!D14</f>
        <v>20281.702558643545</v>
      </c>
      <c r="R14" s="60">
        <f>+F14*'CRC Prices'!E14</f>
        <v>6948.1442628115383</v>
      </c>
      <c r="S14" s="60">
        <f>+G14*'CRC Prices'!F14</f>
        <v>909.87314784100226</v>
      </c>
      <c r="T14" s="60">
        <f>+H14*'CRC Prices'!G14</f>
        <v>-10326.595401469018</v>
      </c>
      <c r="U14" s="60">
        <f>+I14*'CRC Prices'!H14</f>
        <v>149.55028431345465</v>
      </c>
      <c r="V14" s="60">
        <f>+J14*'CRC Prices'!I14</f>
        <v>3446.85704686811</v>
      </c>
      <c r="W14" s="60">
        <f>+K14*'CRC Prices'!J14</f>
        <v>899.67308563323411</v>
      </c>
      <c r="X14" s="60">
        <f>+L14*'CRC Prices'!K14</f>
        <v>-412.37944815273022</v>
      </c>
      <c r="Y14" s="60">
        <f t="shared" si="2"/>
        <v>30410.102342072918</v>
      </c>
      <c r="AA14" s="63"/>
      <c r="AB14" s="63">
        <f t="shared" si="1"/>
        <v>29.929999999999996</v>
      </c>
      <c r="AC14" s="63">
        <f t="shared" si="1"/>
        <v>113.49</v>
      </c>
      <c r="AD14" s="63">
        <f t="shared" si="1"/>
        <v>986.16999999999985</v>
      </c>
      <c r="AE14" s="63">
        <f t="shared" si="1"/>
        <v>107.89</v>
      </c>
      <c r="AF14" s="63">
        <f t="shared" si="1"/>
        <v>-63.500000000000007</v>
      </c>
      <c r="AG14" s="63">
        <f t="shared" si="1"/>
        <v>20</v>
      </c>
      <c r="AH14" s="63">
        <f t="shared" si="1"/>
        <v>1200</v>
      </c>
      <c r="AI14" s="63">
        <f t="shared" si="1"/>
        <v>280</v>
      </c>
      <c r="AJ14" s="63">
        <f t="shared" si="3"/>
        <v>-167.5</v>
      </c>
    </row>
    <row r="15" spans="1:36" x14ac:dyDescent="0.25">
      <c r="A15" s="20" t="s">
        <v>42</v>
      </c>
      <c r="C15" s="41">
        <f>+'Tonnages Collected'!$E17*C$7</f>
        <v>0</v>
      </c>
      <c r="D15" s="41">
        <f>+'Tonnages Collected'!$E17*D$7</f>
        <v>287.14490133215128</v>
      </c>
      <c r="E15" s="41">
        <f>+'Tonnages Collected'!$E17*E$7</f>
        <v>180.40886935877444</v>
      </c>
      <c r="F15" s="41">
        <f>+'Tonnages Collected'!$E17*F$7</f>
        <v>7.1125955164574375</v>
      </c>
      <c r="G15" s="41">
        <f>+'Tonnages Collected'!$E17*G$7</f>
        <v>8.5135507005225257</v>
      </c>
      <c r="H15" s="41">
        <f>+'Tonnages Collected'!$E17*H$7</f>
        <v>164.1702682384603</v>
      </c>
      <c r="I15" s="41">
        <f>+'Tonnages Collected'!$E17*I$7</f>
        <v>7.5486331305715817</v>
      </c>
      <c r="J15" s="41">
        <f>+'Tonnages Collected'!$E17*J$7</f>
        <v>2.8997001933473729</v>
      </c>
      <c r="K15" s="41">
        <f>+'Tonnages Collected'!$E17*K$7</f>
        <v>3.2436782489351068</v>
      </c>
      <c r="L15" s="41">
        <f>+'Tonnages Collected'!$E17*L$7</f>
        <v>2.4853827126634904</v>
      </c>
      <c r="M15" s="28">
        <f t="shared" si="0"/>
        <v>663.52757943188351</v>
      </c>
      <c r="O15" s="60">
        <f>+C15*'CRC Prices'!B15</f>
        <v>0</v>
      </c>
      <c r="P15" s="60">
        <f>+D15*'CRC Prices'!C15</f>
        <v>11353.709398673262</v>
      </c>
      <c r="Q15" s="60">
        <f>+E15*'CRC Prices'!D15</f>
        <v>22345.442558777802</v>
      </c>
      <c r="R15" s="60">
        <f>+F15*'CRC Prices'!E15</f>
        <v>7927.912340508954</v>
      </c>
      <c r="S15" s="60">
        <f>+G15*'CRC Prices'!F15</f>
        <v>1246.8946355985292</v>
      </c>
      <c r="T15" s="60">
        <f>+H15*'CRC Prices'!G15</f>
        <v>-10424.812033142229</v>
      </c>
      <c r="U15" s="60">
        <f>+I15*'CRC Prices'!H15</f>
        <v>152.10495758101737</v>
      </c>
      <c r="V15" s="60">
        <f>+J15*'CRC Prices'!I15</f>
        <v>3479.6402320168477</v>
      </c>
      <c r="W15" s="60">
        <f>+K15*'CRC Prices'!J15</f>
        <v>908.22990970182991</v>
      </c>
      <c r="X15" s="60">
        <f>+L15*'CRC Prices'!K15</f>
        <v>-416.30160437113466</v>
      </c>
      <c r="Y15" s="60">
        <f t="shared" si="2"/>
        <v>36572.820395344883</v>
      </c>
      <c r="AA15" s="63"/>
      <c r="AB15" s="63">
        <f t="shared" si="1"/>
        <v>39.54</v>
      </c>
      <c r="AC15" s="63">
        <f t="shared" si="1"/>
        <v>123.86</v>
      </c>
      <c r="AD15" s="63">
        <f t="shared" si="1"/>
        <v>1114.6300000000001</v>
      </c>
      <c r="AE15" s="63">
        <f t="shared" si="1"/>
        <v>146.46</v>
      </c>
      <c r="AF15" s="63">
        <f t="shared" si="1"/>
        <v>-63.5</v>
      </c>
      <c r="AG15" s="63">
        <f t="shared" si="1"/>
        <v>20.149999999999999</v>
      </c>
      <c r="AH15" s="63">
        <f t="shared" si="1"/>
        <v>1200</v>
      </c>
      <c r="AI15" s="63">
        <f t="shared" si="1"/>
        <v>280</v>
      </c>
      <c r="AJ15" s="63">
        <f t="shared" si="3"/>
        <v>-167.5</v>
      </c>
    </row>
    <row r="16" spans="1:36" x14ac:dyDescent="0.25">
      <c r="A16" s="20" t="s">
        <v>117</v>
      </c>
      <c r="C16" s="41">
        <f>+'Tonnages Collected'!$E18*C$7</f>
        <v>0</v>
      </c>
      <c r="D16" s="41">
        <f>+'Tonnages Collected'!$E18*D$7</f>
        <v>286.79777061499072</v>
      </c>
      <c r="E16" s="41">
        <f>+'Tonnages Collected'!$E18*E$7</f>
        <v>180.19077229380096</v>
      </c>
      <c r="F16" s="41">
        <f>+'Tonnages Collected'!$E18*F$7</f>
        <v>7.103997068875584</v>
      </c>
      <c r="G16" s="41">
        <f>+'Tonnages Collected'!$E18*G$7</f>
        <v>8.503258632139822</v>
      </c>
      <c r="H16" s="41">
        <f>+'Tonnages Collected'!$E18*H$7</f>
        <v>163.97180208884151</v>
      </c>
      <c r="I16" s="41">
        <f>+'Tonnages Collected'!$E18*I$7</f>
        <v>7.5395075552260309</v>
      </c>
      <c r="J16" s="41">
        <f>+'Tonnages Collected'!$E18*J$7</f>
        <v>2.8961947332016504</v>
      </c>
      <c r="K16" s="41">
        <f>+'Tonnages Collected'!$E18*K$7</f>
        <v>3.2397569522254415</v>
      </c>
      <c r="L16" s="41">
        <f>+'Tonnages Collected'!$E18*L$7</f>
        <v>2.4823781227179169</v>
      </c>
      <c r="M16" s="28">
        <f t="shared" si="0"/>
        <v>662.72543806201975</v>
      </c>
      <c r="O16" s="60">
        <f>+C16*'CRC Prices'!B16</f>
        <v>0</v>
      </c>
      <c r="P16" s="60">
        <f>+D16*'CRC Prices'!C16</f>
        <v>11443.231047538129</v>
      </c>
      <c r="Q16" s="60">
        <f>+E16*'CRC Prices'!D16</f>
        <v>22808.547956949325</v>
      </c>
      <c r="R16" s="60">
        <f>+F16*'CRC Prices'!E16</f>
        <v>7710.0390588213595</v>
      </c>
      <c r="S16" s="60">
        <f>+G16*'CRC Prices'!F16</f>
        <v>1763.3207425468349</v>
      </c>
      <c r="T16" s="60">
        <f>+H16*'CRC Prices'!G16</f>
        <v>-10412.209432641435</v>
      </c>
      <c r="U16" s="60">
        <f>+I16*'CRC Prices'!H16</f>
        <v>376.97537776130156</v>
      </c>
      <c r="V16" s="60">
        <f>+J16*'CRC Prices'!I16</f>
        <v>3591.2814691700464</v>
      </c>
      <c r="W16" s="60">
        <f>+K16*'CRC Prices'!J16</f>
        <v>907.13194662312367</v>
      </c>
      <c r="X16" s="60">
        <f>+L16*'CRC Prices'!K16</f>
        <v>-465.44589800960944</v>
      </c>
      <c r="Y16" s="60">
        <f t="shared" si="2"/>
        <v>37722.872268759078</v>
      </c>
      <c r="AA16" s="63"/>
      <c r="AB16" s="63">
        <f t="shared" si="1"/>
        <v>39.9</v>
      </c>
      <c r="AC16" s="63">
        <f t="shared" si="1"/>
        <v>126.58</v>
      </c>
      <c r="AD16" s="63">
        <f t="shared" si="1"/>
        <v>1085.31</v>
      </c>
      <c r="AE16" s="63">
        <f t="shared" si="1"/>
        <v>207.37</v>
      </c>
      <c r="AF16" s="63">
        <f t="shared" si="1"/>
        <v>-63.499999999999993</v>
      </c>
      <c r="AG16" s="63">
        <f t="shared" si="1"/>
        <v>50</v>
      </c>
      <c r="AH16" s="63">
        <f t="shared" si="1"/>
        <v>1240</v>
      </c>
      <c r="AI16" s="63">
        <f t="shared" si="1"/>
        <v>280</v>
      </c>
      <c r="AJ16" s="63">
        <f t="shared" si="3"/>
        <v>-187.5</v>
      </c>
    </row>
    <row r="17" spans="1:36" x14ac:dyDescent="0.25">
      <c r="A17" s="20" t="s">
        <v>43</v>
      </c>
      <c r="C17" s="41">
        <f>+'Tonnages Collected'!$E19*C$7</f>
        <v>0</v>
      </c>
      <c r="D17" s="41">
        <f>+'Tonnages Collected'!$E19*D$7</f>
        <v>250.47937054557943</v>
      </c>
      <c r="E17" s="41">
        <f>+'Tonnages Collected'!$E19*E$7</f>
        <v>157.3724618761523</v>
      </c>
      <c r="F17" s="41">
        <f>+'Tonnages Collected'!$E19*F$7</f>
        <v>6.2043882361915026</v>
      </c>
      <c r="G17" s="41">
        <f>+'Tonnages Collected'!$E19*G$7</f>
        <v>7.4264554609244211</v>
      </c>
      <c r="H17" s="41">
        <f>+'Tonnages Collected'!$E19*H$7</f>
        <v>143.20736763875863</v>
      </c>
      <c r="I17" s="41">
        <f>+'Tonnages Collected'!$E19*I$7</f>
        <v>6.5847482098870493</v>
      </c>
      <c r="J17" s="41">
        <f>+'Tonnages Collected'!$E19*J$7</f>
        <v>2.5294374924679195</v>
      </c>
      <c r="K17" s="41">
        <f>+'Tonnages Collected'!$E19*K$7</f>
        <v>2.8294929921316383</v>
      </c>
      <c r="L17" s="41">
        <f>+'Tonnages Collected'!$E19*L$7</f>
        <v>2.1680242084908334</v>
      </c>
      <c r="M17" s="28">
        <f t="shared" si="0"/>
        <v>578.80174666058372</v>
      </c>
      <c r="O17" s="60">
        <f>+C17*'CRC Prices'!B17</f>
        <v>0</v>
      </c>
      <c r="P17" s="60">
        <f>+D17*'CRC Prices'!C17</f>
        <v>9911.4686924885773</v>
      </c>
      <c r="Q17" s="60">
        <f>+E17*'CRC Prices'!D17</f>
        <v>18204.846389833299</v>
      </c>
      <c r="R17" s="60">
        <f>+F17*'CRC Prices'!E17</f>
        <v>7171.5903183313967</v>
      </c>
      <c r="S17" s="60">
        <f>+G17*'CRC Prices'!F17</f>
        <v>1245.7136390154624</v>
      </c>
      <c r="T17" s="60">
        <f>+H17*'CRC Prices'!G17</f>
        <v>-9093.6678450611726</v>
      </c>
      <c r="U17" s="60">
        <f>+I17*'CRC Prices'!H17</f>
        <v>460.93237469209345</v>
      </c>
      <c r="V17" s="60">
        <f>+J17*'CRC Prices'!I17</f>
        <v>3237.6799903589372</v>
      </c>
      <c r="W17" s="60">
        <f>+K17*'CRC Prices'!J17</f>
        <v>792.25803779685873</v>
      </c>
      <c r="X17" s="60">
        <f>+L17*'CRC Prices'!K17</f>
        <v>-406.50453909203128</v>
      </c>
      <c r="Y17" s="60">
        <f t="shared" si="2"/>
        <v>31524.317058363416</v>
      </c>
      <c r="AA17" s="63"/>
      <c r="AB17" s="63">
        <f t="shared" si="1"/>
        <v>39.57</v>
      </c>
      <c r="AC17" s="63">
        <f t="shared" si="1"/>
        <v>115.68</v>
      </c>
      <c r="AD17" s="63">
        <f t="shared" si="1"/>
        <v>1155.8900000000001</v>
      </c>
      <c r="AE17" s="63">
        <f t="shared" si="1"/>
        <v>167.74</v>
      </c>
      <c r="AF17" s="63">
        <f t="shared" si="1"/>
        <v>-63.5</v>
      </c>
      <c r="AG17" s="63">
        <f t="shared" si="1"/>
        <v>70</v>
      </c>
      <c r="AH17" s="63">
        <f t="shared" si="1"/>
        <v>1280</v>
      </c>
      <c r="AI17" s="63">
        <f t="shared" si="1"/>
        <v>280</v>
      </c>
      <c r="AJ17" s="63">
        <f t="shared" si="3"/>
        <v>-187.5</v>
      </c>
    </row>
    <row r="18" spans="1:36" x14ac:dyDescent="0.25">
      <c r="A18" s="20" t="s">
        <v>44</v>
      </c>
      <c r="C18" s="41">
        <f>+'Tonnages Collected'!$E20*C$7</f>
        <v>0</v>
      </c>
      <c r="D18" s="41">
        <f>+'Tonnages Collected'!$E20*D$7</f>
        <v>309.12629712253056</v>
      </c>
      <c r="E18" s="41">
        <f>+'Tonnages Collected'!$E20*E$7</f>
        <v>194.2194532941752</v>
      </c>
      <c r="F18" s="41">
        <f>+'Tonnages Collected'!$E20*F$7</f>
        <v>7.6570759387766136</v>
      </c>
      <c r="G18" s="41">
        <f>+'Tonnages Collected'!$E20*G$7</f>
        <v>9.1652764552249391</v>
      </c>
      <c r="H18" s="41">
        <f>+'Tonnages Collected'!$E20*H$7</f>
        <v>176.73776160651425</v>
      </c>
      <c r="I18" s="41">
        <f>+'Tonnages Collected'!$E20*I$7</f>
        <v>8.1264929210455445</v>
      </c>
      <c r="J18" s="41">
        <f>+'Tonnages Collected'!$E20*J$7</f>
        <v>3.1216768237096097</v>
      </c>
      <c r="K18" s="41">
        <f>+'Tonnages Collected'!$E20*K$7</f>
        <v>3.4919869428234613</v>
      </c>
      <c r="L18" s="41">
        <f>+'Tonnages Collected'!$E20*L$7</f>
        <v>2.6756426853956117</v>
      </c>
      <c r="M18" s="28">
        <f t="shared" si="0"/>
        <v>714.32166379019577</v>
      </c>
      <c r="O18" s="60">
        <f>+C18*'CRC Prices'!B18</f>
        <v>0</v>
      </c>
      <c r="P18" s="60">
        <f>+D18*'CRC Prices'!C18</f>
        <v>12164.119791771578</v>
      </c>
      <c r="Q18" s="60">
        <f>+E18*'CRC Prices'!D18</f>
        <v>22721.733840885554</v>
      </c>
      <c r="R18" s="60">
        <f>+F18*'CRC Prices'!E18</f>
        <v>9069.4235956839602</v>
      </c>
      <c r="S18" s="60">
        <f>+G18*'CRC Prices'!F18</f>
        <v>1861.467648056185</v>
      </c>
      <c r="T18" s="60">
        <f>+H18*'CRC Prices'!G18</f>
        <v>-11222.847862013656</v>
      </c>
      <c r="U18" s="60">
        <f>+I18*'CRC Prices'!H18</f>
        <v>568.85450447318817</v>
      </c>
      <c r="V18" s="60">
        <f>+J18*'CRC Prices'!I18</f>
        <v>4401.5643214305501</v>
      </c>
      <c r="W18" s="60">
        <f>+K18*'CRC Prices'!J18</f>
        <v>1117.4358217035076</v>
      </c>
      <c r="X18" s="60">
        <f>+L18*'CRC Prices'!K18</f>
        <v>-501.68300351167721</v>
      </c>
      <c r="Y18" s="60">
        <f t="shared" si="2"/>
        <v>40180.068658479184</v>
      </c>
      <c r="AA18" s="63"/>
      <c r="AB18" s="63">
        <f t="shared" si="1"/>
        <v>39.35</v>
      </c>
      <c r="AC18" s="63">
        <f t="shared" si="1"/>
        <v>116.99</v>
      </c>
      <c r="AD18" s="63">
        <f t="shared" si="1"/>
        <v>1184.45</v>
      </c>
      <c r="AE18" s="63">
        <f t="shared" si="1"/>
        <v>203.1</v>
      </c>
      <c r="AF18" s="63">
        <f t="shared" si="1"/>
        <v>-63.5</v>
      </c>
      <c r="AG18" s="63">
        <f t="shared" si="1"/>
        <v>70</v>
      </c>
      <c r="AH18" s="63">
        <f t="shared" si="1"/>
        <v>1410</v>
      </c>
      <c r="AI18" s="63">
        <f t="shared" si="1"/>
        <v>320</v>
      </c>
      <c r="AJ18" s="63">
        <f t="shared" si="3"/>
        <v>-187.5</v>
      </c>
    </row>
    <row r="19" spans="1:36" ht="17.25" x14ac:dyDescent="0.4">
      <c r="A19" s="20" t="s">
        <v>45</v>
      </c>
      <c r="C19" s="43">
        <f>+'Tonnages Collected'!$E21*C$7</f>
        <v>0</v>
      </c>
      <c r="D19" s="43">
        <f>+'Tonnages Collected'!$E21*D$7</f>
        <v>309.23241284503871</v>
      </c>
      <c r="E19" s="43">
        <f>+'Tonnages Collected'!$E21*E$7</f>
        <v>194.286124223835</v>
      </c>
      <c r="F19" s="43">
        <f>+'Tonnages Collected'!$E21*F$7</f>
        <v>7.6597044312507458</v>
      </c>
      <c r="G19" s="43">
        <f>+'Tonnages Collected'!$E21*G$7</f>
        <v>9.1684226771481026</v>
      </c>
      <c r="H19" s="43">
        <f>+'Tonnages Collected'!$E21*H$7</f>
        <v>176.79843148624278</v>
      </c>
      <c r="I19" s="43">
        <f>+'Tonnages Collected'!$E21*I$7</f>
        <v>8.1292825532308388</v>
      </c>
      <c r="J19" s="43">
        <f>+'Tonnages Collected'!$E21*J$7</f>
        <v>3.1227484212885552</v>
      </c>
      <c r="K19" s="43">
        <f>+'Tonnages Collected'!$E21*K$7</f>
        <v>3.4931856590791663</v>
      </c>
      <c r="L19" s="43">
        <f>+'Tonnages Collected'!$E21*L$7</f>
        <v>2.6765611700388701</v>
      </c>
      <c r="M19" s="44">
        <f t="shared" si="0"/>
        <v>714.56687346715273</v>
      </c>
      <c r="O19" s="61">
        <f>+C19*'CRC Prices'!B19</f>
        <v>0</v>
      </c>
      <c r="P19" s="61">
        <f>+D19*'CRC Prices'!C19</f>
        <v>17258.260960881613</v>
      </c>
      <c r="Q19" s="61">
        <f>+E19*'CRC Prices'!D19</f>
        <v>26094.569344503281</v>
      </c>
      <c r="R19" s="61">
        <f>+F19*'CRC Prices'!E19</f>
        <v>9784.9660227455788</v>
      </c>
      <c r="S19" s="61">
        <f>+G19*'CRC Prices'!F19</f>
        <v>1692.7658788818542</v>
      </c>
      <c r="T19" s="61">
        <f>+H19*'CRC Prices'!G19</f>
        <v>-11226.700399376416</v>
      </c>
      <c r="U19" s="61">
        <f>+I19*'CRC Prices'!H19</f>
        <v>934.86749362154649</v>
      </c>
      <c r="V19" s="61">
        <f>+J19*'CRC Prices'!I19</f>
        <v>4746.5776003586043</v>
      </c>
      <c r="W19" s="61">
        <f>+K19*'CRC Prices'!J19</f>
        <v>1397.2742636316666</v>
      </c>
      <c r="X19" s="61">
        <f>+L19*'CRC Prices'!K19</f>
        <v>-501.85521938228811</v>
      </c>
      <c r="Y19" s="61">
        <f t="shared" si="2"/>
        <v>50180.725945865437</v>
      </c>
      <c r="AA19" s="64"/>
      <c r="AB19" s="64">
        <f t="shared" si="1"/>
        <v>55.810000000000009</v>
      </c>
      <c r="AC19" s="64">
        <f t="shared" si="1"/>
        <v>134.31</v>
      </c>
      <c r="AD19" s="64">
        <f t="shared" si="1"/>
        <v>1277.46</v>
      </c>
      <c r="AE19" s="64">
        <f t="shared" si="1"/>
        <v>184.63</v>
      </c>
      <c r="AF19" s="64">
        <f t="shared" si="1"/>
        <v>-63.499999999999993</v>
      </c>
      <c r="AG19" s="64">
        <f t="shared" si="1"/>
        <v>115</v>
      </c>
      <c r="AH19" s="64">
        <f t="shared" si="1"/>
        <v>1520</v>
      </c>
      <c r="AI19" s="64">
        <f t="shared" si="1"/>
        <v>400</v>
      </c>
      <c r="AJ19" s="64">
        <f t="shared" si="3"/>
        <v>-187.5</v>
      </c>
    </row>
    <row r="20" spans="1:36" ht="17.25" x14ac:dyDescent="0.4">
      <c r="C20" s="32">
        <f>SUM(C8:C19)</f>
        <v>0</v>
      </c>
      <c r="D20" s="32">
        <f t="shared" ref="D20:M20" si="4">SUM(D8:D19)</f>
        <v>3421.7033741986352</v>
      </c>
      <c r="E20" s="32">
        <f t="shared" si="4"/>
        <v>2149.8053218302443</v>
      </c>
      <c r="F20" s="32">
        <f t="shared" si="4"/>
        <v>84.755786939154987</v>
      </c>
      <c r="G20" s="32">
        <f t="shared" si="4"/>
        <v>101.44998230246246</v>
      </c>
      <c r="H20" s="32">
        <f t="shared" si="4"/>
        <v>1956.3013592389948</v>
      </c>
      <c r="I20" s="32">
        <f t="shared" si="4"/>
        <v>89.951739813714482</v>
      </c>
      <c r="J20" s="32">
        <f t="shared" si="4"/>
        <v>34.553683139454705</v>
      </c>
      <c r="K20" s="32">
        <f t="shared" si="4"/>
        <v>38.65262714993311</v>
      </c>
      <c r="L20" s="32">
        <f t="shared" si="4"/>
        <v>29.616553783967234</v>
      </c>
      <c r="M20" s="32">
        <f t="shared" si="4"/>
        <v>7906.7904283965599</v>
      </c>
      <c r="O20" s="62">
        <f>SUM(O8:O19)</f>
        <v>0</v>
      </c>
      <c r="P20" s="62">
        <f t="shared" ref="P20:X20" si="5">SUM(P8:P19)</f>
        <v>85217.372547915817</v>
      </c>
      <c r="Q20" s="62">
        <f t="shared" si="5"/>
        <v>239658.01840811383</v>
      </c>
      <c r="R20" s="62">
        <f t="shared" si="5"/>
        <v>82770.57202848405</v>
      </c>
      <c r="S20" s="62">
        <f t="shared" si="5"/>
        <v>13169.910298082003</v>
      </c>
      <c r="T20" s="62">
        <f t="shared" si="5"/>
        <v>-124225.13631167615</v>
      </c>
      <c r="U20" s="62">
        <f t="shared" si="5"/>
        <v>4911.1096682561274</v>
      </c>
      <c r="V20" s="62">
        <f t="shared" si="5"/>
        <v>37001.564959513344</v>
      </c>
      <c r="W20" s="62">
        <f t="shared" si="5"/>
        <v>7857.2116521610606</v>
      </c>
      <c r="X20" s="62">
        <f t="shared" si="5"/>
        <v>-5160.8248825473756</v>
      </c>
      <c r="Y20" s="62">
        <f t="shared" ref="Y20" si="6">SUM(Y8:Y19)</f>
        <v>341199.7983683027</v>
      </c>
      <c r="AA20" s="65" t="e">
        <f t="shared" ref="AA20" si="7">+O20/C20</f>
        <v>#DIV/0!</v>
      </c>
      <c r="AB20" s="65">
        <f t="shared" ref="AB20" si="8">+P20/D20</f>
        <v>24.90495616612991</v>
      </c>
      <c r="AC20" s="65">
        <f t="shared" ref="AC20" si="9">+Q20/E20</f>
        <v>111.47893996470347</v>
      </c>
      <c r="AD20" s="65">
        <f t="shared" ref="AD20" si="10">+R20/F20</f>
        <v>976.57723463654349</v>
      </c>
      <c r="AE20" s="65">
        <f t="shared" ref="AE20" si="11">+S20/G20</f>
        <v>129.81678260738676</v>
      </c>
      <c r="AF20" s="65">
        <f t="shared" ref="AF20" si="12">+T20/H20</f>
        <v>-63.499999999999993</v>
      </c>
      <c r="AG20" s="65">
        <f t="shared" ref="AG20" si="13">+U20/I20</f>
        <v>54.597161527134304</v>
      </c>
      <c r="AH20" s="65">
        <f t="shared" ref="AH20" si="14">+V20/J20</f>
        <v>1070.8428623999146</v>
      </c>
      <c r="AI20" s="65">
        <f t="shared" ref="AI20" si="15">+W20/K20</f>
        <v>203.2775578664556</v>
      </c>
      <c r="AJ20" s="65">
        <f t="shared" si="3"/>
        <v>-174.2547401089306</v>
      </c>
    </row>
    <row r="21" spans="1:36" x14ac:dyDescent="0.25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x14ac:dyDescent="0.25"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42"/>
      <c r="AA22" s="27"/>
    </row>
    <row r="23" spans="1:36" ht="15.75" x14ac:dyDescent="0.25">
      <c r="C23" s="297" t="s">
        <v>66</v>
      </c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O23" s="298" t="s">
        <v>67</v>
      </c>
      <c r="P23" s="298"/>
      <c r="Q23" s="298"/>
      <c r="R23" s="298"/>
      <c r="S23" s="298"/>
      <c r="T23" s="298"/>
      <c r="U23" s="298"/>
      <c r="V23" s="298"/>
      <c r="W23" s="298"/>
      <c r="X23" s="298"/>
      <c r="Y23" s="298"/>
    </row>
    <row r="24" spans="1:36" x14ac:dyDescent="0.25">
      <c r="B24" s="45" t="s">
        <v>82</v>
      </c>
      <c r="C24" s="35"/>
      <c r="D24" s="38" t="s">
        <v>3</v>
      </c>
      <c r="E24" s="36"/>
      <c r="F24" s="35"/>
      <c r="G24" s="37"/>
      <c r="H24" s="35"/>
      <c r="I24" s="38"/>
      <c r="J24" s="38" t="s">
        <v>1</v>
      </c>
      <c r="K24" s="38" t="s">
        <v>2</v>
      </c>
      <c r="L24" s="38" t="s">
        <v>3</v>
      </c>
      <c r="O24" s="66"/>
      <c r="P24" s="67" t="s">
        <v>3</v>
      </c>
      <c r="Q24" s="66"/>
      <c r="R24" s="66"/>
      <c r="S24" s="66"/>
      <c r="T24" s="66"/>
      <c r="U24" s="67"/>
      <c r="V24" s="67" t="s">
        <v>1</v>
      </c>
      <c r="W24" s="67" t="s">
        <v>2</v>
      </c>
      <c r="X24" s="67" t="s">
        <v>3</v>
      </c>
      <c r="Y24" s="60"/>
      <c r="AB24" s="45" t="s">
        <v>78</v>
      </c>
      <c r="AC24" s="45" t="s">
        <v>121</v>
      </c>
    </row>
    <row r="25" spans="1:36" ht="17.25" x14ac:dyDescent="0.4">
      <c r="B25" s="26" t="s">
        <v>83</v>
      </c>
      <c r="C25" s="39" t="str">
        <f>+C6</f>
        <v>ONP 6</v>
      </c>
      <c r="D25" s="39" t="s">
        <v>76</v>
      </c>
      <c r="E25" s="39" t="str">
        <f t="shared" ref="E25:L25" si="16">+E6</f>
        <v>OCC</v>
      </c>
      <c r="F25" s="39" t="str">
        <f t="shared" si="16"/>
        <v>Alum.</v>
      </c>
      <c r="G25" s="39" t="str">
        <f t="shared" si="16"/>
        <v>Tin</v>
      </c>
      <c r="H25" s="39" t="str">
        <f t="shared" si="16"/>
        <v>Glass</v>
      </c>
      <c r="I25" s="39" t="str">
        <f t="shared" si="16"/>
        <v>PET</v>
      </c>
      <c r="J25" s="39" t="str">
        <f t="shared" si="16"/>
        <v>HDPE</v>
      </c>
      <c r="K25" s="39" t="str">
        <f t="shared" si="16"/>
        <v>HDPE</v>
      </c>
      <c r="L25" s="39" t="str">
        <f t="shared" si="16"/>
        <v>Plastics</v>
      </c>
      <c r="M25" s="39" t="s">
        <v>16</v>
      </c>
      <c r="O25" s="68" t="str">
        <f>+O6</f>
        <v>ONP 6</v>
      </c>
      <c r="P25" s="68" t="s">
        <v>76</v>
      </c>
      <c r="Q25" s="68" t="str">
        <f t="shared" ref="Q25:X25" si="17">+Q6</f>
        <v>OCC</v>
      </c>
      <c r="R25" s="68" t="str">
        <f t="shared" si="17"/>
        <v>Alum.</v>
      </c>
      <c r="S25" s="68" t="str">
        <f t="shared" si="17"/>
        <v>Tin</v>
      </c>
      <c r="T25" s="68" t="str">
        <f t="shared" si="17"/>
        <v>Glass</v>
      </c>
      <c r="U25" s="68" t="str">
        <f t="shared" si="17"/>
        <v>PET</v>
      </c>
      <c r="V25" s="68" t="str">
        <f t="shared" si="17"/>
        <v>HDPE</v>
      </c>
      <c r="W25" s="68" t="str">
        <f t="shared" si="17"/>
        <v>HDPE</v>
      </c>
      <c r="X25" s="68" t="str">
        <f t="shared" si="17"/>
        <v>Plastics</v>
      </c>
      <c r="Y25" s="69" t="s">
        <v>16</v>
      </c>
      <c r="AA25" s="70" t="s">
        <v>55</v>
      </c>
      <c r="AB25" s="26" t="s">
        <v>79</v>
      </c>
      <c r="AC25" s="26" t="s">
        <v>122</v>
      </c>
    </row>
    <row r="26" spans="1:36" x14ac:dyDescent="0.25"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AA26" s="27"/>
    </row>
    <row r="27" spans="1:36" x14ac:dyDescent="0.25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AA27" s="27"/>
    </row>
    <row r="28" spans="1:36" x14ac:dyDescent="0.25">
      <c r="A28" s="20" t="str">
        <f>+A8</f>
        <v>May, 20</v>
      </c>
      <c r="B28" s="78">
        <f>+Customers!C$21</f>
        <v>0.35824306276895684</v>
      </c>
      <c r="C28" s="28">
        <f>+C8*$B28</f>
        <v>0</v>
      </c>
      <c r="D28" s="28">
        <f>+D8*$B28</f>
        <v>99.407953173524319</v>
      </c>
      <c r="E28" s="28">
        <f t="shared" ref="E28:L28" si="18">+E8*$B28</f>
        <v>62.456537985191289</v>
      </c>
      <c r="F28" s="28">
        <f t="shared" si="18"/>
        <v>2.4623406466979203</v>
      </c>
      <c r="G28" s="28">
        <f t="shared" si="18"/>
        <v>2.947343468233846</v>
      </c>
      <c r="H28" s="28">
        <f t="shared" si="18"/>
        <v>56.834825420271088</v>
      </c>
      <c r="I28" s="28">
        <f t="shared" si="18"/>
        <v>2.6132944213415263</v>
      </c>
      <c r="J28" s="28">
        <f t="shared" si="18"/>
        <v>1.003859931693865</v>
      </c>
      <c r="K28" s="28">
        <f t="shared" si="18"/>
        <v>1.1229432038813512</v>
      </c>
      <c r="L28" s="28">
        <f t="shared" si="18"/>
        <v>0.86042554533450555</v>
      </c>
      <c r="M28" s="28">
        <f>SUM(C28:L28)</f>
        <v>229.70952379616969</v>
      </c>
      <c r="O28" s="60">
        <f t="shared" ref="O28:X28" si="19">+O8*$B$40</f>
        <v>0</v>
      </c>
      <c r="P28" s="60">
        <f t="shared" si="19"/>
        <v>-446.39632283796112</v>
      </c>
      <c r="Q28" s="60">
        <f t="shared" si="19"/>
        <v>7663.0661201429648</v>
      </c>
      <c r="R28" s="60">
        <f t="shared" si="19"/>
        <v>1734.417699379846</v>
      </c>
      <c r="S28" s="60">
        <f t="shared" si="19"/>
        <v>229.92783966135545</v>
      </c>
      <c r="T28" s="60">
        <f t="shared" si="19"/>
        <v>-3658.3394990989032</v>
      </c>
      <c r="U28" s="60">
        <f t="shared" si="19"/>
        <v>344.37169183844435</v>
      </c>
      <c r="V28" s="60">
        <f t="shared" si="19"/>
        <v>651.25166192457175</v>
      </c>
      <c r="W28" s="60">
        <f t="shared" si="19"/>
        <v>68.29749767797297</v>
      </c>
      <c r="X28" s="60">
        <f t="shared" si="19"/>
        <v>-146.09113315111878</v>
      </c>
      <c r="Y28" s="60">
        <f>SUM(O28:X28)</f>
        <v>6440.5055555371719</v>
      </c>
      <c r="AA28" s="22">
        <f>+Customers!C$20</f>
        <v>12071</v>
      </c>
      <c r="AB28" s="28">
        <f t="shared" ref="AB28:AB40" si="20">+M28*2000/AA28</f>
        <v>38.0597338739408</v>
      </c>
      <c r="AC28" s="42">
        <f t="shared" ref="AC28:AC40" si="21">+Y28/M28</f>
        <v>28.037607884521524</v>
      </c>
    </row>
    <row r="29" spans="1:36" x14ac:dyDescent="0.25">
      <c r="A29" s="20" t="str">
        <f t="shared" ref="A29:A39" si="22">+A9</f>
        <v>Jun</v>
      </c>
      <c r="B29" s="78">
        <f>+Customers!D$21</f>
        <v>0.36032496307237816</v>
      </c>
      <c r="C29" s="28">
        <f t="shared" ref="C29:D36" si="23">+C9*$B29</f>
        <v>0</v>
      </c>
      <c r="D29" s="28">
        <f t="shared" si="23"/>
        <v>96.314874280245135</v>
      </c>
      <c r="E29" s="28">
        <f t="shared" ref="E29:L29" si="24">+E9*$B29</f>
        <v>60.513202535440428</v>
      </c>
      <c r="F29" s="28">
        <f t="shared" si="24"/>
        <v>2.3857249068177317</v>
      </c>
      <c r="G29" s="28">
        <f t="shared" si="24"/>
        <v>2.855636863462244</v>
      </c>
      <c r="H29" s="28">
        <f t="shared" si="24"/>
        <v>55.066409581311163</v>
      </c>
      <c r="I29" s="28">
        <f t="shared" si="24"/>
        <v>2.5319817541099021</v>
      </c>
      <c r="J29" s="28">
        <f t="shared" si="24"/>
        <v>0.97262482557402663</v>
      </c>
      <c r="K29" s="28">
        <f t="shared" si="24"/>
        <v>1.0880028212319499</v>
      </c>
      <c r="L29" s="28">
        <f t="shared" si="24"/>
        <v>0.83365340076709105</v>
      </c>
      <c r="M29" s="28">
        <f t="shared" ref="M29:M36" si="25">SUM(C29:L29)</f>
        <v>222.5621109689597</v>
      </c>
      <c r="O29" s="60">
        <f t="shared" ref="O29:X29" si="26">+O9*$B$40</f>
        <v>0</v>
      </c>
      <c r="P29" s="60">
        <f t="shared" si="26"/>
        <v>-68.917719761982241</v>
      </c>
      <c r="Q29" s="60">
        <f t="shared" si="26"/>
        <v>5873.5505324089245</v>
      </c>
      <c r="R29" s="60">
        <f t="shared" si="26"/>
        <v>1756.0005222620753</v>
      </c>
      <c r="S29" s="60">
        <f t="shared" si="26"/>
        <v>234.00553481217725</v>
      </c>
      <c r="T29" s="60">
        <f t="shared" si="26"/>
        <v>-3524.030633512129</v>
      </c>
      <c r="U29" s="60">
        <f t="shared" si="26"/>
        <v>127.4859106200709</v>
      </c>
      <c r="V29" s="60">
        <f t="shared" si="26"/>
        <v>686.15554830238727</v>
      </c>
      <c r="W29" s="60">
        <f t="shared" si="26"/>
        <v>65.790087024094788</v>
      </c>
      <c r="X29" s="60">
        <f t="shared" si="26"/>
        <v>-140.72767949389365</v>
      </c>
      <c r="Y29" s="60">
        <f t="shared" ref="Y29:Y36" si="27">SUM(O29:X29)</f>
        <v>5009.3121026617255</v>
      </c>
      <c r="AA29" s="22">
        <f>+Customers!D$20</f>
        <v>12197</v>
      </c>
      <c r="AB29" s="28">
        <f t="shared" si="20"/>
        <v>36.494566035739886</v>
      </c>
      <c r="AC29" s="42">
        <f t="shared" si="21"/>
        <v>22.507479286806209</v>
      </c>
    </row>
    <row r="30" spans="1:36" x14ac:dyDescent="0.25">
      <c r="A30" s="20" t="str">
        <f t="shared" si="22"/>
        <v>Jul</v>
      </c>
      <c r="B30" s="78">
        <f>+Customers!E$21</f>
        <v>0.36166397177715714</v>
      </c>
      <c r="C30" s="28">
        <f t="shared" si="23"/>
        <v>0</v>
      </c>
      <c r="D30" s="28">
        <f t="shared" si="23"/>
        <v>103.49111075848266</v>
      </c>
      <c r="E30" s="28">
        <f t="shared" ref="E30:L30" si="28">+E10*$B30</f>
        <v>65.021925146511435</v>
      </c>
      <c r="F30" s="28">
        <f t="shared" si="28"/>
        <v>2.5634806920096427</v>
      </c>
      <c r="G30" s="28">
        <f t="shared" si="28"/>
        <v>3.068404886899105</v>
      </c>
      <c r="H30" s="28">
        <f t="shared" si="28"/>
        <v>59.169302100416338</v>
      </c>
      <c r="I30" s="28">
        <f t="shared" si="28"/>
        <v>2.7206348563628957</v>
      </c>
      <c r="J30" s="28">
        <f t="shared" si="28"/>
        <v>1.0450932351014566</v>
      </c>
      <c r="K30" s="28">
        <f t="shared" si="28"/>
        <v>1.1690678238340606</v>
      </c>
      <c r="L30" s="28">
        <f t="shared" si="28"/>
        <v>0.89576731608389282</v>
      </c>
      <c r="M30" s="28">
        <f t="shared" si="25"/>
        <v>239.14478681570151</v>
      </c>
      <c r="O30" s="60">
        <f t="shared" ref="O30:X30" si="29">+O10*$B$40</f>
        <v>0</v>
      </c>
      <c r="P30" s="60">
        <f t="shared" si="29"/>
        <v>140.28302074820843</v>
      </c>
      <c r="Q30" s="60">
        <f t="shared" si="29"/>
        <v>5631.0219456962759</v>
      </c>
      <c r="R30" s="60">
        <f t="shared" si="29"/>
        <v>2055.5223851258415</v>
      </c>
      <c r="S30" s="60">
        <f t="shared" si="29"/>
        <v>238.70997658413336</v>
      </c>
      <c r="T30" s="60">
        <f t="shared" si="29"/>
        <v>-3772.580056030919</v>
      </c>
      <c r="U30" s="60">
        <f t="shared" si="29"/>
        <v>128.85593496972109</v>
      </c>
      <c r="V30" s="60">
        <f t="shared" si="29"/>
        <v>764.09990747840379</v>
      </c>
      <c r="W30" s="60">
        <f t="shared" si="29"/>
        <v>70.43025331033472</v>
      </c>
      <c r="X30" s="60">
        <f t="shared" si="29"/>
        <v>-150.65318443644207</v>
      </c>
      <c r="Y30" s="60">
        <f t="shared" si="27"/>
        <v>5105.6901834455575</v>
      </c>
      <c r="AA30" s="22">
        <f>+Customers!E$20</f>
        <v>12302</v>
      </c>
      <c r="AB30" s="28">
        <f t="shared" si="20"/>
        <v>38.879009399398718</v>
      </c>
      <c r="AC30" s="42">
        <f t="shared" si="21"/>
        <v>21.349786677057239</v>
      </c>
    </row>
    <row r="31" spans="1:36" x14ac:dyDescent="0.25">
      <c r="A31" s="20" t="str">
        <f t="shared" si="22"/>
        <v>Aug</v>
      </c>
      <c r="B31" s="78">
        <f>+Customers!F$21</f>
        <v>0.36283730333128239</v>
      </c>
      <c r="C31" s="28">
        <f t="shared" si="23"/>
        <v>0</v>
      </c>
      <c r="D31" s="28">
        <f t="shared" si="23"/>
        <v>99.569652680967664</v>
      </c>
      <c r="E31" s="28">
        <f t="shared" ref="E31:L31" si="30">+E11*$B31</f>
        <v>62.558131379949089</v>
      </c>
      <c r="F31" s="28">
        <f t="shared" si="30"/>
        <v>2.4663459526821785</v>
      </c>
      <c r="G31" s="28">
        <f t="shared" si="30"/>
        <v>2.9521376921552243</v>
      </c>
      <c r="H31" s="28">
        <f t="shared" si="30"/>
        <v>56.927274394248492</v>
      </c>
      <c r="I31" s="28">
        <f t="shared" si="30"/>
        <v>2.6175452725787287</v>
      </c>
      <c r="J31" s="28">
        <f t="shared" si="30"/>
        <v>1.005492835815869</v>
      </c>
      <c r="K31" s="28">
        <f t="shared" si="30"/>
        <v>1.1247698118856171</v>
      </c>
      <c r="L31" s="28">
        <f t="shared" si="30"/>
        <v>0.86182513543198414</v>
      </c>
      <c r="M31" s="28">
        <f t="shared" si="25"/>
        <v>230.08317515571483</v>
      </c>
      <c r="O31" s="60">
        <f t="shared" ref="O31:X31" si="31">+O11*$B$40</f>
        <v>0</v>
      </c>
      <c r="P31" s="60">
        <f t="shared" si="31"/>
        <v>998.51897671524648</v>
      </c>
      <c r="Q31" s="60">
        <f t="shared" si="31"/>
        <v>5833.3961750093858</v>
      </c>
      <c r="R31" s="60">
        <f t="shared" si="31"/>
        <v>2166.7124823767772</v>
      </c>
      <c r="S31" s="60">
        <f t="shared" si="31"/>
        <v>253.44531110231949</v>
      </c>
      <c r="T31" s="60">
        <f t="shared" si="31"/>
        <v>-3617.8930584107202</v>
      </c>
      <c r="U31" s="60">
        <f t="shared" si="31"/>
        <v>110.34284407066093</v>
      </c>
      <c r="V31" s="60">
        <f t="shared" si="31"/>
        <v>784.93770734212649</v>
      </c>
      <c r="W31" s="60">
        <f t="shared" si="31"/>
        <v>67.542403545877278</v>
      </c>
      <c r="X31" s="60">
        <f t="shared" si="31"/>
        <v>-144.47595600489669</v>
      </c>
      <c r="Y31" s="60">
        <f t="shared" si="27"/>
        <v>6452.5268857467763</v>
      </c>
      <c r="AA31" s="22">
        <f>+Customers!F$20</f>
        <v>12384</v>
      </c>
      <c r="AB31" s="28">
        <f t="shared" si="20"/>
        <v>37.158135522563761</v>
      </c>
      <c r="AC31" s="42">
        <f t="shared" si="21"/>
        <v>28.04432302092432</v>
      </c>
    </row>
    <row r="32" spans="1:36" x14ac:dyDescent="0.25">
      <c r="A32" s="20" t="str">
        <f t="shared" si="22"/>
        <v>Sep</v>
      </c>
      <c r="B32" s="78">
        <f>+Customers!G$21</f>
        <v>0.36273302849103062</v>
      </c>
      <c r="C32" s="28">
        <f t="shared" si="23"/>
        <v>0</v>
      </c>
      <c r="D32" s="28">
        <f t="shared" si="23"/>
        <v>101.10009353866731</v>
      </c>
      <c r="E32" s="28">
        <f t="shared" ref="E32:L32" si="32">+E12*$B32</f>
        <v>63.519684600908725</v>
      </c>
      <c r="F32" s="28">
        <f t="shared" si="32"/>
        <v>2.5042550596597954</v>
      </c>
      <c r="G32" s="28">
        <f t="shared" si="32"/>
        <v>2.9975136879529192</v>
      </c>
      <c r="H32" s="28">
        <f t="shared" si="32"/>
        <v>57.802278216242243</v>
      </c>
      <c r="I32" s="28">
        <f t="shared" si="32"/>
        <v>2.6577783970716773</v>
      </c>
      <c r="J32" s="28">
        <f t="shared" si="32"/>
        <v>1.0209478191026695</v>
      </c>
      <c r="K32" s="28">
        <f t="shared" si="32"/>
        <v>1.1420581485350625</v>
      </c>
      <c r="L32" s="28">
        <f t="shared" si="32"/>
        <v>0.87507186637804635</v>
      </c>
      <c r="M32" s="28">
        <f t="shared" si="25"/>
        <v>233.61968133451845</v>
      </c>
      <c r="O32" s="60">
        <f t="shared" ref="O32:X32" si="33">+O12*$B$40</f>
        <v>0</v>
      </c>
      <c r="P32" s="60">
        <f t="shared" si="33"/>
        <v>1846.1323361389645</v>
      </c>
      <c r="Q32" s="60">
        <f t="shared" si="33"/>
        <v>6369.2616006920507</v>
      </c>
      <c r="R32" s="60">
        <f t="shared" si="33"/>
        <v>2153.4655964533731</v>
      </c>
      <c r="S32" s="60">
        <f t="shared" si="33"/>
        <v>319.68299835333886</v>
      </c>
      <c r="T32" s="60">
        <f t="shared" si="33"/>
        <v>-3674.5581053215078</v>
      </c>
      <c r="U32" s="60">
        <f t="shared" si="33"/>
        <v>53.215138970097215</v>
      </c>
      <c r="V32" s="60">
        <f t="shared" si="33"/>
        <v>981.20830783411964</v>
      </c>
      <c r="W32" s="60">
        <f t="shared" si="33"/>
        <v>114.33380441572281</v>
      </c>
      <c r="X32" s="60">
        <f t="shared" si="33"/>
        <v>-146.73880255462157</v>
      </c>
      <c r="Y32" s="60">
        <f t="shared" si="27"/>
        <v>8016.0028749815356</v>
      </c>
      <c r="AA32" s="22">
        <f>+Customers!G$20</f>
        <v>12375</v>
      </c>
      <c r="AB32" s="28">
        <f t="shared" si="20"/>
        <v>37.756716175275706</v>
      </c>
      <c r="AC32" s="42">
        <f t="shared" si="21"/>
        <v>34.312189919921494</v>
      </c>
    </row>
    <row r="33" spans="1:36" x14ac:dyDescent="0.25">
      <c r="A33" s="20" t="str">
        <f t="shared" si="22"/>
        <v>Oct</v>
      </c>
      <c r="B33" s="78">
        <f>+Customers!H$21</f>
        <v>0.3633834982725303</v>
      </c>
      <c r="C33" s="28">
        <f t="shared" si="23"/>
        <v>0</v>
      </c>
      <c r="D33" s="28">
        <f t="shared" si="23"/>
        <v>112.79630494032158</v>
      </c>
      <c r="E33" s="28">
        <f t="shared" ref="E33:L33" si="34">+E13*$B33</f>
        <v>70.868240208075235</v>
      </c>
      <c r="F33" s="28">
        <f t="shared" si="34"/>
        <v>2.7939708804492267</v>
      </c>
      <c r="G33" s="28">
        <f t="shared" si="34"/>
        <v>3.3442943144242543</v>
      </c>
      <c r="H33" s="28">
        <f t="shared" si="34"/>
        <v>64.48939038252162</v>
      </c>
      <c r="I33" s="28">
        <f t="shared" si="34"/>
        <v>2.9652552440541267</v>
      </c>
      <c r="J33" s="28">
        <f t="shared" si="34"/>
        <v>1.1390606823485931</v>
      </c>
      <c r="K33" s="28">
        <f t="shared" si="34"/>
        <v>1.2741821958104398</v>
      </c>
      <c r="L33" s="28">
        <f t="shared" si="34"/>
        <v>0.9763084249464441</v>
      </c>
      <c r="M33" s="28">
        <f t="shared" si="25"/>
        <v>260.64700727295156</v>
      </c>
      <c r="O33" s="60">
        <f t="shared" ref="O33:X33" si="35">+O13*$B$40</f>
        <v>0</v>
      </c>
      <c r="P33" s="60">
        <f t="shared" si="35"/>
        <v>2822.5233000900785</v>
      </c>
      <c r="Q33" s="60">
        <f t="shared" si="35"/>
        <v>7558.6893379599014</v>
      </c>
      <c r="R33" s="60">
        <f t="shared" si="35"/>
        <v>2538.1820138912285</v>
      </c>
      <c r="S33" s="60">
        <f t="shared" si="35"/>
        <v>340.1537594886733</v>
      </c>
      <c r="T33" s="60">
        <f t="shared" si="35"/>
        <v>-4092.3270575026854</v>
      </c>
      <c r="U33" s="60">
        <f t="shared" si="35"/>
        <v>59.265290365313248</v>
      </c>
      <c r="V33" s="60">
        <f t="shared" si="35"/>
        <v>1251.8751455312806</v>
      </c>
      <c r="W33" s="60">
        <f t="shared" si="35"/>
        <v>280.04275715756773</v>
      </c>
      <c r="X33" s="60">
        <f t="shared" si="35"/>
        <v>-163.42187410512608</v>
      </c>
      <c r="Y33" s="60">
        <f t="shared" si="27"/>
        <v>10594.982672876231</v>
      </c>
      <c r="AA33" s="22">
        <f>+Customers!H$20</f>
        <v>12411</v>
      </c>
      <c r="AB33" s="28">
        <f t="shared" si="20"/>
        <v>42.00257952992532</v>
      </c>
      <c r="AC33" s="42">
        <f t="shared" si="21"/>
        <v>40.64877929628819</v>
      </c>
    </row>
    <row r="34" spans="1:36" x14ac:dyDescent="0.25">
      <c r="A34" s="20" t="str">
        <f t="shared" si="22"/>
        <v>Nov</v>
      </c>
      <c r="B34" s="78">
        <f>+Customers!I$21</f>
        <v>0.36346339607177358</v>
      </c>
      <c r="C34" s="28">
        <f t="shared" si="23"/>
        <v>0</v>
      </c>
      <c r="D34" s="28">
        <f t="shared" si="23"/>
        <v>103.38337786356634</v>
      </c>
      <c r="E34" s="28">
        <f t="shared" ref="E34:L34" si="36">+E14*$B34</f>
        <v>64.954238171487916</v>
      </c>
      <c r="F34" s="28">
        <f t="shared" si="36"/>
        <v>2.5608121420831012</v>
      </c>
      <c r="G34" s="28">
        <f t="shared" si="36"/>
        <v>3.0652107174789656</v>
      </c>
      <c r="H34" s="28">
        <f t="shared" si="36"/>
        <v>59.107707629560458</v>
      </c>
      <c r="I34" s="28">
        <f t="shared" si="36"/>
        <v>2.7178027110033756</v>
      </c>
      <c r="J34" s="28">
        <f t="shared" si="36"/>
        <v>1.0440053066905064</v>
      </c>
      <c r="K34" s="28">
        <f t="shared" si="36"/>
        <v>1.1678508394950959</v>
      </c>
      <c r="L34" s="28">
        <f t="shared" si="36"/>
        <v>0.8948348340047475</v>
      </c>
      <c r="M34" s="28">
        <f t="shared" si="25"/>
        <v>238.8958402153705</v>
      </c>
      <c r="O34" s="60">
        <f t="shared" ref="O34:X34" si="37">+O14*$B$40</f>
        <v>0</v>
      </c>
      <c r="P34" s="60">
        <f t="shared" si="37"/>
        <v>3091.5074277975782</v>
      </c>
      <c r="Q34" s="60">
        <f t="shared" si="37"/>
        <v>7365.0881488198111</v>
      </c>
      <c r="R34" s="60">
        <f t="shared" si="37"/>
        <v>2523.1459153075243</v>
      </c>
      <c r="S34" s="60">
        <f t="shared" si="37"/>
        <v>330.41091687035021</v>
      </c>
      <c r="T34" s="60">
        <f t="shared" si="37"/>
        <v>-3749.9951095872552</v>
      </c>
      <c r="U34" s="60">
        <f t="shared" si="37"/>
        <v>54.307621535463639</v>
      </c>
      <c r="V34" s="60">
        <f t="shared" si="37"/>
        <v>1251.69008435859</v>
      </c>
      <c r="W34" s="60">
        <f t="shared" si="37"/>
        <v>326.70687096658844</v>
      </c>
      <c r="X34" s="60">
        <f t="shared" si="37"/>
        <v>-149.7512833365237</v>
      </c>
      <c r="Y34" s="60">
        <f t="shared" si="27"/>
        <v>11043.11059273213</v>
      </c>
      <c r="AA34" s="22">
        <f>+Customers!I$20</f>
        <v>12417</v>
      </c>
      <c r="AB34" s="28">
        <f t="shared" si="20"/>
        <v>38.47883389149883</v>
      </c>
      <c r="AC34" s="42">
        <f t="shared" si="21"/>
        <v>46.225629474236527</v>
      </c>
    </row>
    <row r="35" spans="1:36" x14ac:dyDescent="0.25">
      <c r="A35" s="20" t="str">
        <f t="shared" si="22"/>
        <v>Dec</v>
      </c>
      <c r="B35" s="78">
        <f>+Customers!J$21</f>
        <v>0.36291170287316049</v>
      </c>
      <c r="C35" s="28">
        <f t="shared" si="23"/>
        <v>0</v>
      </c>
      <c r="D35" s="28">
        <f t="shared" si="23"/>
        <v>104.20824511379666</v>
      </c>
      <c r="E35" s="28">
        <f t="shared" ref="E35:L35" si="38">+E15*$B35</f>
        <v>65.472489992414381</v>
      </c>
      <c r="F35" s="28">
        <f t="shared" si="38"/>
        <v>2.581244150725575</v>
      </c>
      <c r="G35" s="28">
        <f t="shared" si="38"/>
        <v>3.0896671822236184</v>
      </c>
      <c r="H35" s="28">
        <f t="shared" si="38"/>
        <v>59.579311607563163</v>
      </c>
      <c r="I35" s="28">
        <f t="shared" si="38"/>
        <v>2.7394873037804892</v>
      </c>
      <c r="J35" s="28">
        <f t="shared" si="38"/>
        <v>1.0523351349893277</v>
      </c>
      <c r="K35" s="28">
        <f t="shared" si="38"/>
        <v>1.177168796893671</v>
      </c>
      <c r="L35" s="28">
        <f t="shared" si="38"/>
        <v>0.90197447254422225</v>
      </c>
      <c r="M35" s="28">
        <f t="shared" si="25"/>
        <v>240.80192375493115</v>
      </c>
      <c r="O35" s="60">
        <f t="shared" ref="O35:X35" si="39">+O15*$B$40</f>
        <v>0</v>
      </c>
      <c r="P35" s="60">
        <f t="shared" si="39"/>
        <v>4122.9808146296555</v>
      </c>
      <c r="Q35" s="60">
        <f t="shared" si="39"/>
        <v>8114.5137442936248</v>
      </c>
      <c r="R35" s="60">
        <f t="shared" si="39"/>
        <v>2878.9384448930591</v>
      </c>
      <c r="S35" s="60">
        <f t="shared" si="39"/>
        <v>452.79674509179483</v>
      </c>
      <c r="T35" s="60">
        <f t="shared" si="39"/>
        <v>-3785.6614520879289</v>
      </c>
      <c r="U35" s="60">
        <f t="shared" si="39"/>
        <v>55.235324412114608</v>
      </c>
      <c r="V35" s="60">
        <f t="shared" si="39"/>
        <v>1263.5949551514334</v>
      </c>
      <c r="W35" s="60">
        <f t="shared" si="39"/>
        <v>329.81419212746863</v>
      </c>
      <c r="X35" s="60">
        <f t="shared" si="39"/>
        <v>-151.17557334366018</v>
      </c>
      <c r="Y35" s="60">
        <f t="shared" si="27"/>
        <v>13281.037195167564</v>
      </c>
      <c r="AA35" s="22">
        <f>+Customers!J$20</f>
        <v>12429</v>
      </c>
      <c r="AB35" s="28">
        <f t="shared" si="20"/>
        <v>38.748398705435861</v>
      </c>
      <c r="AC35" s="42">
        <f t="shared" si="21"/>
        <v>55.153368328917239</v>
      </c>
    </row>
    <row r="36" spans="1:36" x14ac:dyDescent="0.25">
      <c r="A36" s="20" t="str">
        <f t="shared" si="22"/>
        <v>Jan., '21</v>
      </c>
      <c r="B36" s="78">
        <f>+Customers!K$21</f>
        <v>0.3639120545868082</v>
      </c>
      <c r="C36" s="28">
        <f t="shared" si="23"/>
        <v>0</v>
      </c>
      <c r="D36" s="28">
        <f t="shared" si="23"/>
        <v>104.3691659554174</v>
      </c>
      <c r="E36" s="28">
        <f t="shared" ref="E36:L36" si="40">+E16*$B36</f>
        <v>65.573594163020815</v>
      </c>
      <c r="F36" s="28">
        <f t="shared" si="40"/>
        <v>2.5852301691131769</v>
      </c>
      <c r="G36" s="28">
        <f t="shared" si="40"/>
        <v>3.0944383195050151</v>
      </c>
      <c r="H36" s="28">
        <f t="shared" si="40"/>
        <v>59.671315392451802</v>
      </c>
      <c r="I36" s="28">
        <f t="shared" si="40"/>
        <v>2.743717684995068</v>
      </c>
      <c r="J36" s="28">
        <f t="shared" si="40"/>
        <v>1.0539601758429054</v>
      </c>
      <c r="K36" s="28">
        <f t="shared" si="40"/>
        <v>1.1789866088462562</v>
      </c>
      <c r="L36" s="28">
        <f t="shared" si="40"/>
        <v>0.90336732289962107</v>
      </c>
      <c r="M36" s="28">
        <f t="shared" si="25"/>
        <v>241.17377579209204</v>
      </c>
      <c r="O36" s="60">
        <f t="shared" ref="O36:X36" si="41">+O16*$B$40</f>
        <v>0</v>
      </c>
      <c r="P36" s="60">
        <f t="shared" si="41"/>
        <v>4155.489665068174</v>
      </c>
      <c r="Q36" s="60">
        <f t="shared" si="41"/>
        <v>8282.6856258141906</v>
      </c>
      <c r="R36" s="60">
        <f t="shared" si="41"/>
        <v>2799.820041481807</v>
      </c>
      <c r="S36" s="60">
        <f t="shared" si="41"/>
        <v>640.33148429963092</v>
      </c>
      <c r="T36" s="60">
        <f t="shared" si="41"/>
        <v>-3781.0849495322718</v>
      </c>
      <c r="U36" s="60">
        <f t="shared" si="41"/>
        <v>136.89466548080196</v>
      </c>
      <c r="V36" s="60">
        <f t="shared" si="41"/>
        <v>1304.1363027182422</v>
      </c>
      <c r="W36" s="60">
        <f t="shared" si="41"/>
        <v>329.41547831952084</v>
      </c>
      <c r="X36" s="60">
        <f t="shared" si="41"/>
        <v>-169.02180955643792</v>
      </c>
      <c r="Y36" s="60">
        <f t="shared" si="27"/>
        <v>13698.666504093659</v>
      </c>
      <c r="AA36" s="22">
        <f>+Customers!K$20</f>
        <v>12480</v>
      </c>
      <c r="AB36" s="28">
        <f t="shared" si="20"/>
        <v>38.649643556425012</v>
      </c>
      <c r="AC36" s="42">
        <f t="shared" si="21"/>
        <v>56.799983576584324</v>
      </c>
    </row>
    <row r="37" spans="1:36" x14ac:dyDescent="0.25">
      <c r="A37" s="20" t="str">
        <f t="shared" si="22"/>
        <v>Feb</v>
      </c>
      <c r="B37" s="78">
        <f>+Customers!L$21</f>
        <v>0.36410749119282615</v>
      </c>
      <c r="C37" s="28">
        <f t="shared" ref="C37:L37" si="42">+C17*$B37</f>
        <v>0</v>
      </c>
      <c r="D37" s="28">
        <f t="shared" si="42"/>
        <v>91.201415204909196</v>
      </c>
      <c r="E37" s="28">
        <f t="shared" si="42"/>
        <v>57.300492276564491</v>
      </c>
      <c r="F37" s="28">
        <f t="shared" si="42"/>
        <v>2.2590642350659715</v>
      </c>
      <c r="G37" s="28">
        <f t="shared" si="42"/>
        <v>2.7040280663324543</v>
      </c>
      <c r="H37" s="28">
        <f t="shared" si="42"/>
        <v>52.142875351277119</v>
      </c>
      <c r="I37" s="28">
        <f t="shared" si="42"/>
        <v>2.3975561508384264</v>
      </c>
      <c r="J37" s="28">
        <f t="shared" si="42"/>
        <v>0.9209871395115673</v>
      </c>
      <c r="K37" s="28">
        <f t="shared" si="42"/>
        <v>1.0302395947127339</v>
      </c>
      <c r="L37" s="28">
        <f t="shared" si="42"/>
        <v>0.78939385539891005</v>
      </c>
      <c r="M37" s="28">
        <f t="shared" ref="M37:M39" si="43">SUM(C37:L37)</f>
        <v>210.74605187461088</v>
      </c>
      <c r="O37" s="60">
        <f t="shared" ref="O37:X37" si="44">+O17*$B$40</f>
        <v>0</v>
      </c>
      <c r="P37" s="60">
        <f t="shared" si="44"/>
        <v>3599.246187215972</v>
      </c>
      <c r="Q37" s="60">
        <f t="shared" si="44"/>
        <v>6610.899553879156</v>
      </c>
      <c r="R37" s="60">
        <f t="shared" si="44"/>
        <v>2604.2880132478417</v>
      </c>
      <c r="S37" s="60">
        <f t="shared" si="44"/>
        <v>452.36787853522287</v>
      </c>
      <c r="T37" s="60">
        <f t="shared" si="44"/>
        <v>-3302.2703632156613</v>
      </c>
      <c r="U37" s="60">
        <f t="shared" si="44"/>
        <v>167.38277077263069</v>
      </c>
      <c r="V37" s="60">
        <f t="shared" si="44"/>
        <v>1175.7296241631932</v>
      </c>
      <c r="W37" s="60">
        <f t="shared" si="44"/>
        <v>287.70021984658939</v>
      </c>
      <c r="X37" s="60">
        <f t="shared" si="44"/>
        <v>-147.61787155941883</v>
      </c>
      <c r="Y37" s="60">
        <f t="shared" ref="Y37:Y39" si="45">SUM(O37:X37)</f>
        <v>11447.726012885525</v>
      </c>
      <c r="AA37" s="22">
        <f>+Customers!L$20</f>
        <v>12506</v>
      </c>
      <c r="AB37" s="28">
        <f t="shared" ref="AB37:AB39" si="46">+M37*2000/AA37</f>
        <v>33.703190768368927</v>
      </c>
      <c r="AC37" s="42">
        <f t="shared" si="21"/>
        <v>54.320002254166369</v>
      </c>
    </row>
    <row r="38" spans="1:36" x14ac:dyDescent="0.25">
      <c r="A38" s="20" t="str">
        <f t="shared" si="22"/>
        <v>Mar</v>
      </c>
      <c r="B38" s="78">
        <f>+Customers!M21</f>
        <v>0.36583316431489582</v>
      </c>
      <c r="C38" s="28">
        <f t="shared" ref="C38:L38" si="47">+C18*$B38</f>
        <v>0</v>
      </c>
      <c r="D38" s="28">
        <f t="shared" si="47"/>
        <v>113.08865144928203</v>
      </c>
      <c r="E38" s="28">
        <f t="shared" si="47"/>
        <v>71.051917170117235</v>
      </c>
      <c r="F38" s="28">
        <f t="shared" si="47"/>
        <v>2.8012123200821</v>
      </c>
      <c r="G38" s="28">
        <f t="shared" si="47"/>
        <v>3.3529620874357509</v>
      </c>
      <c r="H38" s="28">
        <f t="shared" si="47"/>
        <v>64.656534582442816</v>
      </c>
      <c r="I38" s="28">
        <f t="shared" si="47"/>
        <v>2.9729406200886923</v>
      </c>
      <c r="J38" s="28">
        <f t="shared" si="47"/>
        <v>1.1420129103861598</v>
      </c>
      <c r="K38" s="28">
        <f t="shared" si="47"/>
        <v>1.2774846330394061</v>
      </c>
      <c r="L38" s="28">
        <f t="shared" si="47"/>
        <v>0.97883883017428186</v>
      </c>
      <c r="M38" s="28">
        <f t="shared" si="43"/>
        <v>261.32255460304845</v>
      </c>
      <c r="O38" s="60">
        <f t="shared" ref="O38:X38" si="48">+O18*$B$40</f>
        <v>0</v>
      </c>
      <c r="P38" s="60">
        <f t="shared" si="48"/>
        <v>4417.2728724404087</v>
      </c>
      <c r="Q38" s="60">
        <f t="shared" si="48"/>
        <v>8251.1599875931006</v>
      </c>
      <c r="R38" s="60">
        <f t="shared" si="48"/>
        <v>3293.4663176357185</v>
      </c>
      <c r="S38" s="60">
        <f t="shared" si="48"/>
        <v>675.97250647319527</v>
      </c>
      <c r="T38" s="60">
        <f t="shared" si="48"/>
        <v>-4075.4598163307601</v>
      </c>
      <c r="U38" s="60">
        <f t="shared" si="48"/>
        <v>206.5735633970589</v>
      </c>
      <c r="V38" s="60">
        <f t="shared" si="48"/>
        <v>1598.3820454077495</v>
      </c>
      <c r="W38" s="60">
        <f t="shared" si="48"/>
        <v>405.78513089315612</v>
      </c>
      <c r="X38" s="60">
        <f t="shared" si="48"/>
        <v>-182.18093539950334</v>
      </c>
      <c r="Y38" s="60">
        <f t="shared" si="45"/>
        <v>14590.971672110127</v>
      </c>
      <c r="AA38" s="22">
        <f>+Customers!M$20</f>
        <v>12626</v>
      </c>
      <c r="AB38" s="28">
        <f t="shared" si="46"/>
        <v>41.394353651678827</v>
      </c>
      <c r="AC38" s="42">
        <f t="shared" si="21"/>
        <v>55.835102692432947</v>
      </c>
    </row>
    <row r="39" spans="1:36" ht="17.25" x14ac:dyDescent="0.4">
      <c r="A39" s="20" t="str">
        <f t="shared" si="22"/>
        <v>Apr</v>
      </c>
      <c r="B39" s="79">
        <f>+Customers!N21</f>
        <v>0.36807204494121737</v>
      </c>
      <c r="C39" s="31">
        <f t="shared" ref="C39:L39" si="49">+C19*$B39</f>
        <v>0</v>
      </c>
      <c r="D39" s="31">
        <f t="shared" si="49"/>
        <v>113.81980655798017</v>
      </c>
      <c r="E39" s="31">
        <f t="shared" si="49"/>
        <v>71.511291046770339</v>
      </c>
      <c r="F39" s="31">
        <f t="shared" si="49"/>
        <v>2.8193230736557662</v>
      </c>
      <c r="G39" s="31">
        <f t="shared" si="49"/>
        <v>3.374640083663333</v>
      </c>
      <c r="H39" s="31">
        <f t="shared" si="49"/>
        <v>65.074560219541098</v>
      </c>
      <c r="I39" s="31">
        <f t="shared" si="49"/>
        <v>2.9921616532726354</v>
      </c>
      <c r="J39" s="31">
        <f t="shared" si="49"/>
        <v>1.1493963972606367</v>
      </c>
      <c r="K39" s="31">
        <f t="shared" si="49"/>
        <v>1.2857439888966029</v>
      </c>
      <c r="L39" s="31">
        <f t="shared" si="49"/>
        <v>0.98516734326646438</v>
      </c>
      <c r="M39" s="31">
        <f t="shared" si="43"/>
        <v>263.01209036430714</v>
      </c>
      <c r="N39" s="241"/>
      <c r="O39" s="61">
        <f t="shared" ref="O39:X39" si="50">+O19*$B$40</f>
        <v>0</v>
      </c>
      <c r="P39" s="61">
        <f t="shared" si="50"/>
        <v>6267.1569561135448</v>
      </c>
      <c r="Q39" s="61">
        <f t="shared" si="50"/>
        <v>9475.9699227445708</v>
      </c>
      <c r="R39" s="61">
        <f t="shared" si="50"/>
        <v>3553.3080658465137</v>
      </c>
      <c r="S39" s="61">
        <f t="shared" si="50"/>
        <v>614.71022352440627</v>
      </c>
      <c r="T39" s="61">
        <f t="shared" si="50"/>
        <v>-4076.8588249786435</v>
      </c>
      <c r="U39" s="61">
        <f t="shared" si="50"/>
        <v>339.48735211357086</v>
      </c>
      <c r="V39" s="61">
        <f t="shared" si="50"/>
        <v>1723.6700090030713</v>
      </c>
      <c r="W39" s="61">
        <f t="shared" si="50"/>
        <v>507.40553412458627</v>
      </c>
      <c r="X39" s="61">
        <f t="shared" si="50"/>
        <v>-182.24347379163328</v>
      </c>
      <c r="Y39" s="61">
        <f t="shared" si="45"/>
        <v>18222.605764699987</v>
      </c>
      <c r="AA39" s="23">
        <f>+Customers!N$20</f>
        <v>12711</v>
      </c>
      <c r="AB39" s="31">
        <f t="shared" si="46"/>
        <v>41.383382954025201</v>
      </c>
      <c r="AC39" s="243">
        <f t="shared" si="21"/>
        <v>69.284289324719737</v>
      </c>
    </row>
    <row r="40" spans="1:36" ht="17.25" x14ac:dyDescent="0.4">
      <c r="A40" s="5"/>
      <c r="B40" s="52">
        <f>+Customers!O21</f>
        <v>0.36313954055504072</v>
      </c>
      <c r="C40" s="32">
        <f>SUM(C28:C39)</f>
        <v>0</v>
      </c>
      <c r="D40" s="32">
        <f t="shared" ref="D40:M40" si="51">SUM(D28:D39)</f>
        <v>1242.7506515171606</v>
      </c>
      <c r="E40" s="32">
        <f t="shared" si="51"/>
        <v>780.80174467645134</v>
      </c>
      <c r="F40" s="32">
        <f t="shared" si="51"/>
        <v>30.783004229042188</v>
      </c>
      <c r="G40" s="32">
        <f t="shared" si="51"/>
        <v>36.846277369766732</v>
      </c>
      <c r="H40" s="32">
        <f t="shared" si="51"/>
        <v>710.52178487784749</v>
      </c>
      <c r="I40" s="32">
        <f t="shared" si="51"/>
        <v>32.670156069497544</v>
      </c>
      <c r="J40" s="32">
        <f t="shared" si="51"/>
        <v>12.549776394317583</v>
      </c>
      <c r="K40" s="32">
        <f t="shared" si="51"/>
        <v>14.038498467062244</v>
      </c>
      <c r="L40" s="32">
        <f t="shared" si="51"/>
        <v>10.756628347230212</v>
      </c>
      <c r="M40" s="32">
        <f t="shared" si="51"/>
        <v>2871.7185219483754</v>
      </c>
      <c r="O40" s="62">
        <f>SUM(O28:O39)</f>
        <v>0</v>
      </c>
      <c r="P40" s="62">
        <f t="shared" ref="P40:X40" si="52">SUM(P28:P39)</f>
        <v>30945.797514357884</v>
      </c>
      <c r="Q40" s="62">
        <f t="shared" si="52"/>
        <v>87029.30269505395</v>
      </c>
      <c r="R40" s="62">
        <f t="shared" si="52"/>
        <v>30057.267497901605</v>
      </c>
      <c r="S40" s="62">
        <f t="shared" si="52"/>
        <v>4782.5151747965992</v>
      </c>
      <c r="T40" s="62">
        <f t="shared" si="52"/>
        <v>-45111.058925609388</v>
      </c>
      <c r="U40" s="62">
        <f t="shared" si="52"/>
        <v>1783.4181085459486</v>
      </c>
      <c r="V40" s="62">
        <f t="shared" si="52"/>
        <v>13436.731299215171</v>
      </c>
      <c r="W40" s="62">
        <f t="shared" si="52"/>
        <v>2853.2642294094799</v>
      </c>
      <c r="X40" s="62">
        <f t="shared" si="52"/>
        <v>-1874.0995767332759</v>
      </c>
      <c r="Y40" s="62">
        <f>SUM(Y28:Y39)</f>
        <v>123903.138016938</v>
      </c>
      <c r="AA40" s="24">
        <f>SUM(AA28:AA39)</f>
        <v>148909</v>
      </c>
      <c r="AB40" s="32">
        <f t="shared" si="20"/>
        <v>38.570113585456561</v>
      </c>
      <c r="AC40" s="244">
        <f t="shared" si="21"/>
        <v>43.145989786239014</v>
      </c>
    </row>
    <row r="41" spans="1:36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x14ac:dyDescent="0.25"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AA42" s="27"/>
    </row>
    <row r="43" spans="1:36" x14ac:dyDescent="0.25">
      <c r="O43" s="20"/>
      <c r="P43" s="20"/>
      <c r="AA43" s="27"/>
    </row>
    <row r="44" spans="1:36" x14ac:dyDescent="0.25">
      <c r="O44" s="20"/>
      <c r="P44" s="20"/>
      <c r="AA44" s="27"/>
    </row>
    <row r="45" spans="1:36" x14ac:dyDescent="0.25">
      <c r="O45" s="20"/>
      <c r="P45" s="20"/>
      <c r="AA45" s="27"/>
    </row>
    <row r="46" spans="1:36" x14ac:dyDescent="0.25">
      <c r="O46" s="20"/>
      <c r="P46" s="20"/>
      <c r="AA46" s="27"/>
    </row>
    <row r="47" spans="1:36" x14ac:dyDescent="0.25">
      <c r="O47" s="20"/>
      <c r="P47" s="20"/>
      <c r="AA47" s="27"/>
    </row>
    <row r="48" spans="1:36" x14ac:dyDescent="0.25">
      <c r="O48" s="20"/>
      <c r="P48" s="20"/>
      <c r="AA48" s="27"/>
    </row>
    <row r="49" spans="15:27" x14ac:dyDescent="0.25">
      <c r="O49" s="20"/>
      <c r="P49" s="20"/>
      <c r="AA49" s="27"/>
    </row>
    <row r="50" spans="15:27" x14ac:dyDescent="0.25">
      <c r="O50" s="20"/>
      <c r="P50" s="20"/>
      <c r="AA50" s="27"/>
    </row>
    <row r="51" spans="15:27" x14ac:dyDescent="0.25">
      <c r="O51" s="20"/>
      <c r="P51" s="20"/>
      <c r="AA51" s="27"/>
    </row>
    <row r="52" spans="15:27" x14ac:dyDescent="0.25">
      <c r="O52" s="20"/>
      <c r="P52" s="20"/>
      <c r="AA52" s="27"/>
    </row>
    <row r="53" spans="15:27" x14ac:dyDescent="0.25">
      <c r="O53" s="20"/>
      <c r="P53" s="20"/>
      <c r="AA53" s="27"/>
    </row>
    <row r="54" spans="15:27" x14ac:dyDescent="0.25">
      <c r="O54" s="20"/>
      <c r="P54" s="20"/>
      <c r="AA54" s="27"/>
    </row>
    <row r="55" spans="15:27" x14ac:dyDescent="0.25">
      <c r="O55" s="20"/>
      <c r="P55" s="20"/>
      <c r="AA55" s="27"/>
    </row>
    <row r="56" spans="15:27" x14ac:dyDescent="0.25">
      <c r="O56" s="20"/>
      <c r="P56" s="20"/>
      <c r="AA56" s="27"/>
    </row>
    <row r="57" spans="15:27" x14ac:dyDescent="0.25">
      <c r="O57" s="20"/>
      <c r="P57" s="20"/>
      <c r="AA57" s="27"/>
    </row>
    <row r="58" spans="15:27" x14ac:dyDescent="0.25">
      <c r="O58" s="20"/>
      <c r="P58" s="20"/>
      <c r="AA58" s="27"/>
    </row>
    <row r="59" spans="15:27" x14ac:dyDescent="0.25">
      <c r="O59" s="20"/>
      <c r="P59" s="20"/>
      <c r="AA59" s="27"/>
    </row>
    <row r="60" spans="15:27" x14ac:dyDescent="0.25">
      <c r="O60" s="20"/>
      <c r="P60" s="20"/>
      <c r="AA60" s="27"/>
    </row>
    <row r="61" spans="15:27" x14ac:dyDescent="0.25">
      <c r="O61" s="20"/>
      <c r="P61" s="20"/>
      <c r="AA61" s="27"/>
    </row>
    <row r="62" spans="15:27" x14ac:dyDescent="0.25">
      <c r="O62" s="20"/>
      <c r="P62" s="20"/>
      <c r="AA62" s="27"/>
    </row>
    <row r="63" spans="15:27" x14ac:dyDescent="0.25">
      <c r="O63" s="20"/>
      <c r="P63" s="20"/>
      <c r="AA63" s="27"/>
    </row>
    <row r="64" spans="15:27" x14ac:dyDescent="0.25">
      <c r="O64" s="20"/>
      <c r="P64" s="20"/>
      <c r="AA64" s="27"/>
    </row>
    <row r="65" spans="15:27" x14ac:dyDescent="0.25">
      <c r="O65" s="20"/>
      <c r="P65" s="20"/>
      <c r="AA65" s="27"/>
    </row>
    <row r="66" spans="15:27" x14ac:dyDescent="0.25">
      <c r="O66" s="20"/>
      <c r="P66" s="20"/>
      <c r="AA66" s="27"/>
    </row>
    <row r="67" spans="15:27" x14ac:dyDescent="0.25">
      <c r="O67" s="20"/>
      <c r="P67" s="20"/>
      <c r="AA67" s="27"/>
    </row>
    <row r="68" spans="15:27" x14ac:dyDescent="0.25">
      <c r="O68" s="20"/>
      <c r="P68" s="20"/>
      <c r="AA68" s="27"/>
    </row>
  </sheetData>
  <mergeCells count="5">
    <mergeCell ref="AA4:AJ4"/>
    <mergeCell ref="O23:Y23"/>
    <mergeCell ref="O4:X4"/>
    <mergeCell ref="C4:M4"/>
    <mergeCell ref="C23:M23"/>
  </mergeCells>
  <pageMargins left="0.2" right="0.2" top="0.75" bottom="0.75" header="0.3" footer="0.3"/>
  <pageSetup scale="41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topLeftCell="A8" workbookViewId="0">
      <selection activeCell="C26" sqref="C26"/>
    </sheetView>
  </sheetViews>
  <sheetFormatPr defaultRowHeight="15" x14ac:dyDescent="0.25"/>
  <cols>
    <col min="1" max="1" width="9.140625" style="15"/>
    <col min="2" max="2" width="9.85546875" style="15" customWidth="1"/>
    <col min="3" max="6" width="9.85546875" style="20" customWidth="1"/>
    <col min="7" max="7" width="10.5703125" style="15" bestFit="1" customWidth="1"/>
    <col min="8" max="8" width="8.5703125" style="15" bestFit="1" customWidth="1"/>
    <col min="9" max="9" width="10.5703125" style="15" bestFit="1" customWidth="1"/>
    <col min="10" max="10" width="4.85546875" style="15" customWidth="1"/>
    <col min="11" max="11" width="9.5703125" style="15" bestFit="1" customWidth="1"/>
    <col min="12" max="12" width="8.5703125" style="29" bestFit="1" customWidth="1"/>
    <col min="13" max="13" width="9.5703125" style="15" bestFit="1" customWidth="1"/>
    <col min="14" max="252" width="9.140625" style="15"/>
    <col min="253" max="254" width="9.5703125" style="15" customWidth="1"/>
    <col min="255" max="255" width="9.5703125" style="15" bestFit="1" customWidth="1"/>
    <col min="256" max="256" width="10.5703125" style="15" bestFit="1" customWidth="1"/>
    <col min="257" max="257" width="3.140625" style="15" customWidth="1"/>
    <col min="258" max="258" width="10.5703125" style="15" bestFit="1" customWidth="1"/>
    <col min="259" max="259" width="2.5703125" style="15" customWidth="1"/>
    <col min="260" max="260" width="9.140625" style="15"/>
    <col min="261" max="261" width="7.85546875" style="15" bestFit="1" customWidth="1"/>
    <col min="262" max="508" width="9.140625" style="15"/>
    <col min="509" max="510" width="9.5703125" style="15" customWidth="1"/>
    <col min="511" max="511" width="9.5703125" style="15" bestFit="1" customWidth="1"/>
    <col min="512" max="512" width="10.5703125" style="15" bestFit="1" customWidth="1"/>
    <col min="513" max="513" width="3.140625" style="15" customWidth="1"/>
    <col min="514" max="514" width="10.5703125" style="15" bestFit="1" customWidth="1"/>
    <col min="515" max="515" width="2.5703125" style="15" customWidth="1"/>
    <col min="516" max="516" width="9.140625" style="15"/>
    <col min="517" max="517" width="7.85546875" style="15" bestFit="1" customWidth="1"/>
    <col min="518" max="764" width="9.140625" style="15"/>
    <col min="765" max="766" width="9.5703125" style="15" customWidth="1"/>
    <col min="767" max="767" width="9.5703125" style="15" bestFit="1" customWidth="1"/>
    <col min="768" max="768" width="10.5703125" style="15" bestFit="1" customWidth="1"/>
    <col min="769" max="769" width="3.140625" style="15" customWidth="1"/>
    <col min="770" max="770" width="10.5703125" style="15" bestFit="1" customWidth="1"/>
    <col min="771" max="771" width="2.5703125" style="15" customWidth="1"/>
    <col min="772" max="772" width="9.140625" style="15"/>
    <col min="773" max="773" width="7.85546875" style="15" bestFit="1" customWidth="1"/>
    <col min="774" max="1020" width="9.140625" style="15"/>
    <col min="1021" max="1022" width="9.5703125" style="15" customWidth="1"/>
    <col min="1023" max="1023" width="9.5703125" style="15" bestFit="1" customWidth="1"/>
    <col min="1024" max="1024" width="10.5703125" style="15" bestFit="1" customWidth="1"/>
    <col min="1025" max="1025" width="3.140625" style="15" customWidth="1"/>
    <col min="1026" max="1026" width="10.5703125" style="15" bestFit="1" customWidth="1"/>
    <col min="1027" max="1027" width="2.5703125" style="15" customWidth="1"/>
    <col min="1028" max="1028" width="9.140625" style="15"/>
    <col min="1029" max="1029" width="7.85546875" style="15" bestFit="1" customWidth="1"/>
    <col min="1030" max="1276" width="9.140625" style="15"/>
    <col min="1277" max="1278" width="9.5703125" style="15" customWidth="1"/>
    <col min="1279" max="1279" width="9.5703125" style="15" bestFit="1" customWidth="1"/>
    <col min="1280" max="1280" width="10.5703125" style="15" bestFit="1" customWidth="1"/>
    <col min="1281" max="1281" width="3.140625" style="15" customWidth="1"/>
    <col min="1282" max="1282" width="10.5703125" style="15" bestFit="1" customWidth="1"/>
    <col min="1283" max="1283" width="2.5703125" style="15" customWidth="1"/>
    <col min="1284" max="1284" width="9.140625" style="15"/>
    <col min="1285" max="1285" width="7.85546875" style="15" bestFit="1" customWidth="1"/>
    <col min="1286" max="1532" width="9.140625" style="15"/>
    <col min="1533" max="1534" width="9.5703125" style="15" customWidth="1"/>
    <col min="1535" max="1535" width="9.5703125" style="15" bestFit="1" customWidth="1"/>
    <col min="1536" max="1536" width="10.5703125" style="15" bestFit="1" customWidth="1"/>
    <col min="1537" max="1537" width="3.140625" style="15" customWidth="1"/>
    <col min="1538" max="1538" width="10.5703125" style="15" bestFit="1" customWidth="1"/>
    <col min="1539" max="1539" width="2.5703125" style="15" customWidth="1"/>
    <col min="1540" max="1540" width="9.140625" style="15"/>
    <col min="1541" max="1541" width="7.85546875" style="15" bestFit="1" customWidth="1"/>
    <col min="1542" max="1788" width="9.140625" style="15"/>
    <col min="1789" max="1790" width="9.5703125" style="15" customWidth="1"/>
    <col min="1791" max="1791" width="9.5703125" style="15" bestFit="1" customWidth="1"/>
    <col min="1792" max="1792" width="10.5703125" style="15" bestFit="1" customWidth="1"/>
    <col min="1793" max="1793" width="3.140625" style="15" customWidth="1"/>
    <col min="1794" max="1794" width="10.5703125" style="15" bestFit="1" customWidth="1"/>
    <col min="1795" max="1795" width="2.5703125" style="15" customWidth="1"/>
    <col min="1796" max="1796" width="9.140625" style="15"/>
    <col min="1797" max="1797" width="7.85546875" style="15" bestFit="1" customWidth="1"/>
    <col min="1798" max="2044" width="9.140625" style="15"/>
    <col min="2045" max="2046" width="9.5703125" style="15" customWidth="1"/>
    <col min="2047" max="2047" width="9.5703125" style="15" bestFit="1" customWidth="1"/>
    <col min="2048" max="2048" width="10.5703125" style="15" bestFit="1" customWidth="1"/>
    <col min="2049" max="2049" width="3.140625" style="15" customWidth="1"/>
    <col min="2050" max="2050" width="10.5703125" style="15" bestFit="1" customWidth="1"/>
    <col min="2051" max="2051" width="2.5703125" style="15" customWidth="1"/>
    <col min="2052" max="2052" width="9.140625" style="15"/>
    <col min="2053" max="2053" width="7.85546875" style="15" bestFit="1" customWidth="1"/>
    <col min="2054" max="2300" width="9.140625" style="15"/>
    <col min="2301" max="2302" width="9.5703125" style="15" customWidth="1"/>
    <col min="2303" max="2303" width="9.5703125" style="15" bestFit="1" customWidth="1"/>
    <col min="2304" max="2304" width="10.5703125" style="15" bestFit="1" customWidth="1"/>
    <col min="2305" max="2305" width="3.140625" style="15" customWidth="1"/>
    <col min="2306" max="2306" width="10.5703125" style="15" bestFit="1" customWidth="1"/>
    <col min="2307" max="2307" width="2.5703125" style="15" customWidth="1"/>
    <col min="2308" max="2308" width="9.140625" style="15"/>
    <col min="2309" max="2309" width="7.85546875" style="15" bestFit="1" customWidth="1"/>
    <col min="2310" max="2556" width="9.140625" style="15"/>
    <col min="2557" max="2558" width="9.5703125" style="15" customWidth="1"/>
    <col min="2559" max="2559" width="9.5703125" style="15" bestFit="1" customWidth="1"/>
    <col min="2560" max="2560" width="10.5703125" style="15" bestFit="1" customWidth="1"/>
    <col min="2561" max="2561" width="3.140625" style="15" customWidth="1"/>
    <col min="2562" max="2562" width="10.5703125" style="15" bestFit="1" customWidth="1"/>
    <col min="2563" max="2563" width="2.5703125" style="15" customWidth="1"/>
    <col min="2564" max="2564" width="9.140625" style="15"/>
    <col min="2565" max="2565" width="7.85546875" style="15" bestFit="1" customWidth="1"/>
    <col min="2566" max="2812" width="9.140625" style="15"/>
    <col min="2813" max="2814" width="9.5703125" style="15" customWidth="1"/>
    <col min="2815" max="2815" width="9.5703125" style="15" bestFit="1" customWidth="1"/>
    <col min="2816" max="2816" width="10.5703125" style="15" bestFit="1" customWidth="1"/>
    <col min="2817" max="2817" width="3.140625" style="15" customWidth="1"/>
    <col min="2818" max="2818" width="10.5703125" style="15" bestFit="1" customWidth="1"/>
    <col min="2819" max="2819" width="2.5703125" style="15" customWidth="1"/>
    <col min="2820" max="2820" width="9.140625" style="15"/>
    <col min="2821" max="2821" width="7.85546875" style="15" bestFit="1" customWidth="1"/>
    <col min="2822" max="3068" width="9.140625" style="15"/>
    <col min="3069" max="3070" width="9.5703125" style="15" customWidth="1"/>
    <col min="3071" max="3071" width="9.5703125" style="15" bestFit="1" customWidth="1"/>
    <col min="3072" max="3072" width="10.5703125" style="15" bestFit="1" customWidth="1"/>
    <col min="3073" max="3073" width="3.140625" style="15" customWidth="1"/>
    <col min="3074" max="3074" width="10.5703125" style="15" bestFit="1" customWidth="1"/>
    <col min="3075" max="3075" width="2.5703125" style="15" customWidth="1"/>
    <col min="3076" max="3076" width="9.140625" style="15"/>
    <col min="3077" max="3077" width="7.85546875" style="15" bestFit="1" customWidth="1"/>
    <col min="3078" max="3324" width="9.140625" style="15"/>
    <col min="3325" max="3326" width="9.5703125" style="15" customWidth="1"/>
    <col min="3327" max="3327" width="9.5703125" style="15" bestFit="1" customWidth="1"/>
    <col min="3328" max="3328" width="10.5703125" style="15" bestFit="1" customWidth="1"/>
    <col min="3329" max="3329" width="3.140625" style="15" customWidth="1"/>
    <col min="3330" max="3330" width="10.5703125" style="15" bestFit="1" customWidth="1"/>
    <col min="3331" max="3331" width="2.5703125" style="15" customWidth="1"/>
    <col min="3332" max="3332" width="9.140625" style="15"/>
    <col min="3333" max="3333" width="7.85546875" style="15" bestFit="1" customWidth="1"/>
    <col min="3334" max="3580" width="9.140625" style="15"/>
    <col min="3581" max="3582" width="9.5703125" style="15" customWidth="1"/>
    <col min="3583" max="3583" width="9.5703125" style="15" bestFit="1" customWidth="1"/>
    <col min="3584" max="3584" width="10.5703125" style="15" bestFit="1" customWidth="1"/>
    <col min="3585" max="3585" width="3.140625" style="15" customWidth="1"/>
    <col min="3586" max="3586" width="10.5703125" style="15" bestFit="1" customWidth="1"/>
    <col min="3587" max="3587" width="2.5703125" style="15" customWidth="1"/>
    <col min="3588" max="3588" width="9.140625" style="15"/>
    <col min="3589" max="3589" width="7.85546875" style="15" bestFit="1" customWidth="1"/>
    <col min="3590" max="3836" width="9.140625" style="15"/>
    <col min="3837" max="3838" width="9.5703125" style="15" customWidth="1"/>
    <col min="3839" max="3839" width="9.5703125" style="15" bestFit="1" customWidth="1"/>
    <col min="3840" max="3840" width="10.5703125" style="15" bestFit="1" customWidth="1"/>
    <col min="3841" max="3841" width="3.140625" style="15" customWidth="1"/>
    <col min="3842" max="3842" width="10.5703125" style="15" bestFit="1" customWidth="1"/>
    <col min="3843" max="3843" width="2.5703125" style="15" customWidth="1"/>
    <col min="3844" max="3844" width="9.140625" style="15"/>
    <col min="3845" max="3845" width="7.85546875" style="15" bestFit="1" customWidth="1"/>
    <col min="3846" max="4092" width="9.140625" style="15"/>
    <col min="4093" max="4094" width="9.5703125" style="15" customWidth="1"/>
    <col min="4095" max="4095" width="9.5703125" style="15" bestFit="1" customWidth="1"/>
    <col min="4096" max="4096" width="10.5703125" style="15" bestFit="1" customWidth="1"/>
    <col min="4097" max="4097" width="3.140625" style="15" customWidth="1"/>
    <col min="4098" max="4098" width="10.5703125" style="15" bestFit="1" customWidth="1"/>
    <col min="4099" max="4099" width="2.5703125" style="15" customWidth="1"/>
    <col min="4100" max="4100" width="9.140625" style="15"/>
    <col min="4101" max="4101" width="7.85546875" style="15" bestFit="1" customWidth="1"/>
    <col min="4102" max="4348" width="9.140625" style="15"/>
    <col min="4349" max="4350" width="9.5703125" style="15" customWidth="1"/>
    <col min="4351" max="4351" width="9.5703125" style="15" bestFit="1" customWidth="1"/>
    <col min="4352" max="4352" width="10.5703125" style="15" bestFit="1" customWidth="1"/>
    <col min="4353" max="4353" width="3.140625" style="15" customWidth="1"/>
    <col min="4354" max="4354" width="10.5703125" style="15" bestFit="1" customWidth="1"/>
    <col min="4355" max="4355" width="2.5703125" style="15" customWidth="1"/>
    <col min="4356" max="4356" width="9.140625" style="15"/>
    <col min="4357" max="4357" width="7.85546875" style="15" bestFit="1" customWidth="1"/>
    <col min="4358" max="4604" width="9.140625" style="15"/>
    <col min="4605" max="4606" width="9.5703125" style="15" customWidth="1"/>
    <col min="4607" max="4607" width="9.5703125" style="15" bestFit="1" customWidth="1"/>
    <col min="4608" max="4608" width="10.5703125" style="15" bestFit="1" customWidth="1"/>
    <col min="4609" max="4609" width="3.140625" style="15" customWidth="1"/>
    <col min="4610" max="4610" width="10.5703125" style="15" bestFit="1" customWidth="1"/>
    <col min="4611" max="4611" width="2.5703125" style="15" customWidth="1"/>
    <col min="4612" max="4612" width="9.140625" style="15"/>
    <col min="4613" max="4613" width="7.85546875" style="15" bestFit="1" customWidth="1"/>
    <col min="4614" max="4860" width="9.140625" style="15"/>
    <col min="4861" max="4862" width="9.5703125" style="15" customWidth="1"/>
    <col min="4863" max="4863" width="9.5703125" style="15" bestFit="1" customWidth="1"/>
    <col min="4864" max="4864" width="10.5703125" style="15" bestFit="1" customWidth="1"/>
    <col min="4865" max="4865" width="3.140625" style="15" customWidth="1"/>
    <col min="4866" max="4866" width="10.5703125" style="15" bestFit="1" customWidth="1"/>
    <col min="4867" max="4867" width="2.5703125" style="15" customWidth="1"/>
    <col min="4868" max="4868" width="9.140625" style="15"/>
    <col min="4869" max="4869" width="7.85546875" style="15" bestFit="1" customWidth="1"/>
    <col min="4870" max="5116" width="9.140625" style="15"/>
    <col min="5117" max="5118" width="9.5703125" style="15" customWidth="1"/>
    <col min="5119" max="5119" width="9.5703125" style="15" bestFit="1" customWidth="1"/>
    <col min="5120" max="5120" width="10.5703125" style="15" bestFit="1" customWidth="1"/>
    <col min="5121" max="5121" width="3.140625" style="15" customWidth="1"/>
    <col min="5122" max="5122" width="10.5703125" style="15" bestFit="1" customWidth="1"/>
    <col min="5123" max="5123" width="2.5703125" style="15" customWidth="1"/>
    <col min="5124" max="5124" width="9.140625" style="15"/>
    <col min="5125" max="5125" width="7.85546875" style="15" bestFit="1" customWidth="1"/>
    <col min="5126" max="5372" width="9.140625" style="15"/>
    <col min="5373" max="5374" width="9.5703125" style="15" customWidth="1"/>
    <col min="5375" max="5375" width="9.5703125" style="15" bestFit="1" customWidth="1"/>
    <col min="5376" max="5376" width="10.5703125" style="15" bestFit="1" customWidth="1"/>
    <col min="5377" max="5377" width="3.140625" style="15" customWidth="1"/>
    <col min="5378" max="5378" width="10.5703125" style="15" bestFit="1" customWidth="1"/>
    <col min="5379" max="5379" width="2.5703125" style="15" customWidth="1"/>
    <col min="5380" max="5380" width="9.140625" style="15"/>
    <col min="5381" max="5381" width="7.85546875" style="15" bestFit="1" customWidth="1"/>
    <col min="5382" max="5628" width="9.140625" style="15"/>
    <col min="5629" max="5630" width="9.5703125" style="15" customWidth="1"/>
    <col min="5631" max="5631" width="9.5703125" style="15" bestFit="1" customWidth="1"/>
    <col min="5632" max="5632" width="10.5703125" style="15" bestFit="1" customWidth="1"/>
    <col min="5633" max="5633" width="3.140625" style="15" customWidth="1"/>
    <col min="5634" max="5634" width="10.5703125" style="15" bestFit="1" customWidth="1"/>
    <col min="5635" max="5635" width="2.5703125" style="15" customWidth="1"/>
    <col min="5636" max="5636" width="9.140625" style="15"/>
    <col min="5637" max="5637" width="7.85546875" style="15" bestFit="1" customWidth="1"/>
    <col min="5638" max="5884" width="9.140625" style="15"/>
    <col min="5885" max="5886" width="9.5703125" style="15" customWidth="1"/>
    <col min="5887" max="5887" width="9.5703125" style="15" bestFit="1" customWidth="1"/>
    <col min="5888" max="5888" width="10.5703125" style="15" bestFit="1" customWidth="1"/>
    <col min="5889" max="5889" width="3.140625" style="15" customWidth="1"/>
    <col min="5890" max="5890" width="10.5703125" style="15" bestFit="1" customWidth="1"/>
    <col min="5891" max="5891" width="2.5703125" style="15" customWidth="1"/>
    <col min="5892" max="5892" width="9.140625" style="15"/>
    <col min="5893" max="5893" width="7.85546875" style="15" bestFit="1" customWidth="1"/>
    <col min="5894" max="6140" width="9.140625" style="15"/>
    <col min="6141" max="6142" width="9.5703125" style="15" customWidth="1"/>
    <col min="6143" max="6143" width="9.5703125" style="15" bestFit="1" customWidth="1"/>
    <col min="6144" max="6144" width="10.5703125" style="15" bestFit="1" customWidth="1"/>
    <col min="6145" max="6145" width="3.140625" style="15" customWidth="1"/>
    <col min="6146" max="6146" width="10.5703125" style="15" bestFit="1" customWidth="1"/>
    <col min="6147" max="6147" width="2.5703125" style="15" customWidth="1"/>
    <col min="6148" max="6148" width="9.140625" style="15"/>
    <col min="6149" max="6149" width="7.85546875" style="15" bestFit="1" customWidth="1"/>
    <col min="6150" max="6396" width="9.140625" style="15"/>
    <col min="6397" max="6398" width="9.5703125" style="15" customWidth="1"/>
    <col min="6399" max="6399" width="9.5703125" style="15" bestFit="1" customWidth="1"/>
    <col min="6400" max="6400" width="10.5703125" style="15" bestFit="1" customWidth="1"/>
    <col min="6401" max="6401" width="3.140625" style="15" customWidth="1"/>
    <col min="6402" max="6402" width="10.5703125" style="15" bestFit="1" customWidth="1"/>
    <col min="6403" max="6403" width="2.5703125" style="15" customWidth="1"/>
    <col min="6404" max="6404" width="9.140625" style="15"/>
    <col min="6405" max="6405" width="7.85546875" style="15" bestFit="1" customWidth="1"/>
    <col min="6406" max="6652" width="9.140625" style="15"/>
    <col min="6653" max="6654" width="9.5703125" style="15" customWidth="1"/>
    <col min="6655" max="6655" width="9.5703125" style="15" bestFit="1" customWidth="1"/>
    <col min="6656" max="6656" width="10.5703125" style="15" bestFit="1" customWidth="1"/>
    <col min="6657" max="6657" width="3.140625" style="15" customWidth="1"/>
    <col min="6658" max="6658" width="10.5703125" style="15" bestFit="1" customWidth="1"/>
    <col min="6659" max="6659" width="2.5703125" style="15" customWidth="1"/>
    <col min="6660" max="6660" width="9.140625" style="15"/>
    <col min="6661" max="6661" width="7.85546875" style="15" bestFit="1" customWidth="1"/>
    <col min="6662" max="6908" width="9.140625" style="15"/>
    <col min="6909" max="6910" width="9.5703125" style="15" customWidth="1"/>
    <col min="6911" max="6911" width="9.5703125" style="15" bestFit="1" customWidth="1"/>
    <col min="6912" max="6912" width="10.5703125" style="15" bestFit="1" customWidth="1"/>
    <col min="6913" max="6913" width="3.140625" style="15" customWidth="1"/>
    <col min="6914" max="6914" width="10.5703125" style="15" bestFit="1" customWidth="1"/>
    <col min="6915" max="6915" width="2.5703125" style="15" customWidth="1"/>
    <col min="6916" max="6916" width="9.140625" style="15"/>
    <col min="6917" max="6917" width="7.85546875" style="15" bestFit="1" customWidth="1"/>
    <col min="6918" max="7164" width="9.140625" style="15"/>
    <col min="7165" max="7166" width="9.5703125" style="15" customWidth="1"/>
    <col min="7167" max="7167" width="9.5703125" style="15" bestFit="1" customWidth="1"/>
    <col min="7168" max="7168" width="10.5703125" style="15" bestFit="1" customWidth="1"/>
    <col min="7169" max="7169" width="3.140625" style="15" customWidth="1"/>
    <col min="7170" max="7170" width="10.5703125" style="15" bestFit="1" customWidth="1"/>
    <col min="7171" max="7171" width="2.5703125" style="15" customWidth="1"/>
    <col min="7172" max="7172" width="9.140625" style="15"/>
    <col min="7173" max="7173" width="7.85546875" style="15" bestFit="1" customWidth="1"/>
    <col min="7174" max="7420" width="9.140625" style="15"/>
    <col min="7421" max="7422" width="9.5703125" style="15" customWidth="1"/>
    <col min="7423" max="7423" width="9.5703125" style="15" bestFit="1" customWidth="1"/>
    <col min="7424" max="7424" width="10.5703125" style="15" bestFit="1" customWidth="1"/>
    <col min="7425" max="7425" width="3.140625" style="15" customWidth="1"/>
    <col min="7426" max="7426" width="10.5703125" style="15" bestFit="1" customWidth="1"/>
    <col min="7427" max="7427" width="2.5703125" style="15" customWidth="1"/>
    <col min="7428" max="7428" width="9.140625" style="15"/>
    <col min="7429" max="7429" width="7.85546875" style="15" bestFit="1" customWidth="1"/>
    <col min="7430" max="7676" width="9.140625" style="15"/>
    <col min="7677" max="7678" width="9.5703125" style="15" customWidth="1"/>
    <col min="7679" max="7679" width="9.5703125" style="15" bestFit="1" customWidth="1"/>
    <col min="7680" max="7680" width="10.5703125" style="15" bestFit="1" customWidth="1"/>
    <col min="7681" max="7681" width="3.140625" style="15" customWidth="1"/>
    <col min="7682" max="7682" width="10.5703125" style="15" bestFit="1" customWidth="1"/>
    <col min="7683" max="7683" width="2.5703125" style="15" customWidth="1"/>
    <col min="7684" max="7684" width="9.140625" style="15"/>
    <col min="7685" max="7685" width="7.85546875" style="15" bestFit="1" customWidth="1"/>
    <col min="7686" max="7932" width="9.140625" style="15"/>
    <col min="7933" max="7934" width="9.5703125" style="15" customWidth="1"/>
    <col min="7935" max="7935" width="9.5703125" style="15" bestFit="1" customWidth="1"/>
    <col min="7936" max="7936" width="10.5703125" style="15" bestFit="1" customWidth="1"/>
    <col min="7937" max="7937" width="3.140625" style="15" customWidth="1"/>
    <col min="7938" max="7938" width="10.5703125" style="15" bestFit="1" customWidth="1"/>
    <col min="7939" max="7939" width="2.5703125" style="15" customWidth="1"/>
    <col min="7940" max="7940" width="9.140625" style="15"/>
    <col min="7941" max="7941" width="7.85546875" style="15" bestFit="1" customWidth="1"/>
    <col min="7942" max="8188" width="9.140625" style="15"/>
    <col min="8189" max="8190" width="9.5703125" style="15" customWidth="1"/>
    <col min="8191" max="8191" width="9.5703125" style="15" bestFit="1" customWidth="1"/>
    <col min="8192" max="8192" width="10.5703125" style="15" bestFit="1" customWidth="1"/>
    <col min="8193" max="8193" width="3.140625" style="15" customWidth="1"/>
    <col min="8194" max="8194" width="10.5703125" style="15" bestFit="1" customWidth="1"/>
    <col min="8195" max="8195" width="2.5703125" style="15" customWidth="1"/>
    <col min="8196" max="8196" width="9.140625" style="15"/>
    <col min="8197" max="8197" width="7.85546875" style="15" bestFit="1" customWidth="1"/>
    <col min="8198" max="8444" width="9.140625" style="15"/>
    <col min="8445" max="8446" width="9.5703125" style="15" customWidth="1"/>
    <col min="8447" max="8447" width="9.5703125" style="15" bestFit="1" customWidth="1"/>
    <col min="8448" max="8448" width="10.5703125" style="15" bestFit="1" customWidth="1"/>
    <col min="8449" max="8449" width="3.140625" style="15" customWidth="1"/>
    <col min="8450" max="8450" width="10.5703125" style="15" bestFit="1" customWidth="1"/>
    <col min="8451" max="8451" width="2.5703125" style="15" customWidth="1"/>
    <col min="8452" max="8452" width="9.140625" style="15"/>
    <col min="8453" max="8453" width="7.85546875" style="15" bestFit="1" customWidth="1"/>
    <col min="8454" max="8700" width="9.140625" style="15"/>
    <col min="8701" max="8702" width="9.5703125" style="15" customWidth="1"/>
    <col min="8703" max="8703" width="9.5703125" style="15" bestFit="1" customWidth="1"/>
    <col min="8704" max="8704" width="10.5703125" style="15" bestFit="1" customWidth="1"/>
    <col min="8705" max="8705" width="3.140625" style="15" customWidth="1"/>
    <col min="8706" max="8706" width="10.5703125" style="15" bestFit="1" customWidth="1"/>
    <col min="8707" max="8707" width="2.5703125" style="15" customWidth="1"/>
    <col min="8708" max="8708" width="9.140625" style="15"/>
    <col min="8709" max="8709" width="7.85546875" style="15" bestFit="1" customWidth="1"/>
    <col min="8710" max="8956" width="9.140625" style="15"/>
    <col min="8957" max="8958" width="9.5703125" style="15" customWidth="1"/>
    <col min="8959" max="8959" width="9.5703125" style="15" bestFit="1" customWidth="1"/>
    <col min="8960" max="8960" width="10.5703125" style="15" bestFit="1" customWidth="1"/>
    <col min="8961" max="8961" width="3.140625" style="15" customWidth="1"/>
    <col min="8962" max="8962" width="10.5703125" style="15" bestFit="1" customWidth="1"/>
    <col min="8963" max="8963" width="2.5703125" style="15" customWidth="1"/>
    <col min="8964" max="8964" width="9.140625" style="15"/>
    <col min="8965" max="8965" width="7.85546875" style="15" bestFit="1" customWidth="1"/>
    <col min="8966" max="9212" width="9.140625" style="15"/>
    <col min="9213" max="9214" width="9.5703125" style="15" customWidth="1"/>
    <col min="9215" max="9215" width="9.5703125" style="15" bestFit="1" customWidth="1"/>
    <col min="9216" max="9216" width="10.5703125" style="15" bestFit="1" customWidth="1"/>
    <col min="9217" max="9217" width="3.140625" style="15" customWidth="1"/>
    <col min="9218" max="9218" width="10.5703125" style="15" bestFit="1" customWidth="1"/>
    <col min="9219" max="9219" width="2.5703125" style="15" customWidth="1"/>
    <col min="9220" max="9220" width="9.140625" style="15"/>
    <col min="9221" max="9221" width="7.85546875" style="15" bestFit="1" customWidth="1"/>
    <col min="9222" max="9468" width="9.140625" style="15"/>
    <col min="9469" max="9470" width="9.5703125" style="15" customWidth="1"/>
    <col min="9471" max="9471" width="9.5703125" style="15" bestFit="1" customWidth="1"/>
    <col min="9472" max="9472" width="10.5703125" style="15" bestFit="1" customWidth="1"/>
    <col min="9473" max="9473" width="3.140625" style="15" customWidth="1"/>
    <col min="9474" max="9474" width="10.5703125" style="15" bestFit="1" customWidth="1"/>
    <col min="9475" max="9475" width="2.5703125" style="15" customWidth="1"/>
    <col min="9476" max="9476" width="9.140625" style="15"/>
    <col min="9477" max="9477" width="7.85546875" style="15" bestFit="1" customWidth="1"/>
    <col min="9478" max="9724" width="9.140625" style="15"/>
    <col min="9725" max="9726" width="9.5703125" style="15" customWidth="1"/>
    <col min="9727" max="9727" width="9.5703125" style="15" bestFit="1" customWidth="1"/>
    <col min="9728" max="9728" width="10.5703125" style="15" bestFit="1" customWidth="1"/>
    <col min="9729" max="9729" width="3.140625" style="15" customWidth="1"/>
    <col min="9730" max="9730" width="10.5703125" style="15" bestFit="1" customWidth="1"/>
    <col min="9731" max="9731" width="2.5703125" style="15" customWidth="1"/>
    <col min="9732" max="9732" width="9.140625" style="15"/>
    <col min="9733" max="9733" width="7.85546875" style="15" bestFit="1" customWidth="1"/>
    <col min="9734" max="9980" width="9.140625" style="15"/>
    <col min="9981" max="9982" width="9.5703125" style="15" customWidth="1"/>
    <col min="9983" max="9983" width="9.5703125" style="15" bestFit="1" customWidth="1"/>
    <col min="9984" max="9984" width="10.5703125" style="15" bestFit="1" customWidth="1"/>
    <col min="9985" max="9985" width="3.140625" style="15" customWidth="1"/>
    <col min="9986" max="9986" width="10.5703125" style="15" bestFit="1" customWidth="1"/>
    <col min="9987" max="9987" width="2.5703125" style="15" customWidth="1"/>
    <col min="9988" max="9988" width="9.140625" style="15"/>
    <col min="9989" max="9989" width="7.85546875" style="15" bestFit="1" customWidth="1"/>
    <col min="9990" max="10236" width="9.140625" style="15"/>
    <col min="10237" max="10238" width="9.5703125" style="15" customWidth="1"/>
    <col min="10239" max="10239" width="9.5703125" style="15" bestFit="1" customWidth="1"/>
    <col min="10240" max="10240" width="10.5703125" style="15" bestFit="1" customWidth="1"/>
    <col min="10241" max="10241" width="3.140625" style="15" customWidth="1"/>
    <col min="10242" max="10242" width="10.5703125" style="15" bestFit="1" customWidth="1"/>
    <col min="10243" max="10243" width="2.5703125" style="15" customWidth="1"/>
    <col min="10244" max="10244" width="9.140625" style="15"/>
    <col min="10245" max="10245" width="7.85546875" style="15" bestFit="1" customWidth="1"/>
    <col min="10246" max="10492" width="9.140625" style="15"/>
    <col min="10493" max="10494" width="9.5703125" style="15" customWidth="1"/>
    <col min="10495" max="10495" width="9.5703125" style="15" bestFit="1" customWidth="1"/>
    <col min="10496" max="10496" width="10.5703125" style="15" bestFit="1" customWidth="1"/>
    <col min="10497" max="10497" width="3.140625" style="15" customWidth="1"/>
    <col min="10498" max="10498" width="10.5703125" style="15" bestFit="1" customWidth="1"/>
    <col min="10499" max="10499" width="2.5703125" style="15" customWidth="1"/>
    <col min="10500" max="10500" width="9.140625" style="15"/>
    <col min="10501" max="10501" width="7.85546875" style="15" bestFit="1" customWidth="1"/>
    <col min="10502" max="10748" width="9.140625" style="15"/>
    <col min="10749" max="10750" width="9.5703125" style="15" customWidth="1"/>
    <col min="10751" max="10751" width="9.5703125" style="15" bestFit="1" customWidth="1"/>
    <col min="10752" max="10752" width="10.5703125" style="15" bestFit="1" customWidth="1"/>
    <col min="10753" max="10753" width="3.140625" style="15" customWidth="1"/>
    <col min="10754" max="10754" width="10.5703125" style="15" bestFit="1" customWidth="1"/>
    <col min="10755" max="10755" width="2.5703125" style="15" customWidth="1"/>
    <col min="10756" max="10756" width="9.140625" style="15"/>
    <col min="10757" max="10757" width="7.85546875" style="15" bestFit="1" customWidth="1"/>
    <col min="10758" max="11004" width="9.140625" style="15"/>
    <col min="11005" max="11006" width="9.5703125" style="15" customWidth="1"/>
    <col min="11007" max="11007" width="9.5703125" style="15" bestFit="1" customWidth="1"/>
    <col min="11008" max="11008" width="10.5703125" style="15" bestFit="1" customWidth="1"/>
    <col min="11009" max="11009" width="3.140625" style="15" customWidth="1"/>
    <col min="11010" max="11010" width="10.5703125" style="15" bestFit="1" customWidth="1"/>
    <col min="11011" max="11011" width="2.5703125" style="15" customWidth="1"/>
    <col min="11012" max="11012" width="9.140625" style="15"/>
    <col min="11013" max="11013" width="7.85546875" style="15" bestFit="1" customWidth="1"/>
    <col min="11014" max="11260" width="9.140625" style="15"/>
    <col min="11261" max="11262" width="9.5703125" style="15" customWidth="1"/>
    <col min="11263" max="11263" width="9.5703125" style="15" bestFit="1" customWidth="1"/>
    <col min="11264" max="11264" width="10.5703125" style="15" bestFit="1" customWidth="1"/>
    <col min="11265" max="11265" width="3.140625" style="15" customWidth="1"/>
    <col min="11266" max="11266" width="10.5703125" style="15" bestFit="1" customWidth="1"/>
    <col min="11267" max="11267" width="2.5703125" style="15" customWidth="1"/>
    <col min="11268" max="11268" width="9.140625" style="15"/>
    <col min="11269" max="11269" width="7.85546875" style="15" bestFit="1" customWidth="1"/>
    <col min="11270" max="11516" width="9.140625" style="15"/>
    <col min="11517" max="11518" width="9.5703125" style="15" customWidth="1"/>
    <col min="11519" max="11519" width="9.5703125" style="15" bestFit="1" customWidth="1"/>
    <col min="11520" max="11520" width="10.5703125" style="15" bestFit="1" customWidth="1"/>
    <col min="11521" max="11521" width="3.140625" style="15" customWidth="1"/>
    <col min="11522" max="11522" width="10.5703125" style="15" bestFit="1" customWidth="1"/>
    <col min="11523" max="11523" width="2.5703125" style="15" customWidth="1"/>
    <col min="11524" max="11524" width="9.140625" style="15"/>
    <col min="11525" max="11525" width="7.85546875" style="15" bestFit="1" customWidth="1"/>
    <col min="11526" max="11772" width="9.140625" style="15"/>
    <col min="11773" max="11774" width="9.5703125" style="15" customWidth="1"/>
    <col min="11775" max="11775" width="9.5703125" style="15" bestFit="1" customWidth="1"/>
    <col min="11776" max="11776" width="10.5703125" style="15" bestFit="1" customWidth="1"/>
    <col min="11777" max="11777" width="3.140625" style="15" customWidth="1"/>
    <col min="11778" max="11778" width="10.5703125" style="15" bestFit="1" customWidth="1"/>
    <col min="11779" max="11779" width="2.5703125" style="15" customWidth="1"/>
    <col min="11780" max="11780" width="9.140625" style="15"/>
    <col min="11781" max="11781" width="7.85546875" style="15" bestFit="1" customWidth="1"/>
    <col min="11782" max="12028" width="9.140625" style="15"/>
    <col min="12029" max="12030" width="9.5703125" style="15" customWidth="1"/>
    <col min="12031" max="12031" width="9.5703125" style="15" bestFit="1" customWidth="1"/>
    <col min="12032" max="12032" width="10.5703125" style="15" bestFit="1" customWidth="1"/>
    <col min="12033" max="12033" width="3.140625" style="15" customWidth="1"/>
    <col min="12034" max="12034" width="10.5703125" style="15" bestFit="1" customWidth="1"/>
    <col min="12035" max="12035" width="2.5703125" style="15" customWidth="1"/>
    <col min="12036" max="12036" width="9.140625" style="15"/>
    <col min="12037" max="12037" width="7.85546875" style="15" bestFit="1" customWidth="1"/>
    <col min="12038" max="12284" width="9.140625" style="15"/>
    <col min="12285" max="12286" width="9.5703125" style="15" customWidth="1"/>
    <col min="12287" max="12287" width="9.5703125" style="15" bestFit="1" customWidth="1"/>
    <col min="12288" max="12288" width="10.5703125" style="15" bestFit="1" customWidth="1"/>
    <col min="12289" max="12289" width="3.140625" style="15" customWidth="1"/>
    <col min="12290" max="12290" width="10.5703125" style="15" bestFit="1" customWidth="1"/>
    <col min="12291" max="12291" width="2.5703125" style="15" customWidth="1"/>
    <col min="12292" max="12292" width="9.140625" style="15"/>
    <col min="12293" max="12293" width="7.85546875" style="15" bestFit="1" customWidth="1"/>
    <col min="12294" max="12540" width="9.140625" style="15"/>
    <col min="12541" max="12542" width="9.5703125" style="15" customWidth="1"/>
    <col min="12543" max="12543" width="9.5703125" style="15" bestFit="1" customWidth="1"/>
    <col min="12544" max="12544" width="10.5703125" style="15" bestFit="1" customWidth="1"/>
    <col min="12545" max="12545" width="3.140625" style="15" customWidth="1"/>
    <col min="12546" max="12546" width="10.5703125" style="15" bestFit="1" customWidth="1"/>
    <col min="12547" max="12547" width="2.5703125" style="15" customWidth="1"/>
    <col min="12548" max="12548" width="9.140625" style="15"/>
    <col min="12549" max="12549" width="7.85546875" style="15" bestFit="1" customWidth="1"/>
    <col min="12550" max="12796" width="9.140625" style="15"/>
    <col min="12797" max="12798" width="9.5703125" style="15" customWidth="1"/>
    <col min="12799" max="12799" width="9.5703125" style="15" bestFit="1" customWidth="1"/>
    <col min="12800" max="12800" width="10.5703125" style="15" bestFit="1" customWidth="1"/>
    <col min="12801" max="12801" width="3.140625" style="15" customWidth="1"/>
    <col min="12802" max="12802" width="10.5703125" style="15" bestFit="1" customWidth="1"/>
    <col min="12803" max="12803" width="2.5703125" style="15" customWidth="1"/>
    <col min="12804" max="12804" width="9.140625" style="15"/>
    <col min="12805" max="12805" width="7.85546875" style="15" bestFit="1" customWidth="1"/>
    <col min="12806" max="13052" width="9.140625" style="15"/>
    <col min="13053" max="13054" width="9.5703125" style="15" customWidth="1"/>
    <col min="13055" max="13055" width="9.5703125" style="15" bestFit="1" customWidth="1"/>
    <col min="13056" max="13056" width="10.5703125" style="15" bestFit="1" customWidth="1"/>
    <col min="13057" max="13057" width="3.140625" style="15" customWidth="1"/>
    <col min="13058" max="13058" width="10.5703125" style="15" bestFit="1" customWidth="1"/>
    <col min="13059" max="13059" width="2.5703125" style="15" customWidth="1"/>
    <col min="13060" max="13060" width="9.140625" style="15"/>
    <col min="13061" max="13061" width="7.85546875" style="15" bestFit="1" customWidth="1"/>
    <col min="13062" max="13308" width="9.140625" style="15"/>
    <col min="13309" max="13310" width="9.5703125" style="15" customWidth="1"/>
    <col min="13311" max="13311" width="9.5703125" style="15" bestFit="1" customWidth="1"/>
    <col min="13312" max="13312" width="10.5703125" style="15" bestFit="1" customWidth="1"/>
    <col min="13313" max="13313" width="3.140625" style="15" customWidth="1"/>
    <col min="13314" max="13314" width="10.5703125" style="15" bestFit="1" customWidth="1"/>
    <col min="13315" max="13315" width="2.5703125" style="15" customWidth="1"/>
    <col min="13316" max="13316" width="9.140625" style="15"/>
    <col min="13317" max="13317" width="7.85546875" style="15" bestFit="1" customWidth="1"/>
    <col min="13318" max="13564" width="9.140625" style="15"/>
    <col min="13565" max="13566" width="9.5703125" style="15" customWidth="1"/>
    <col min="13567" max="13567" width="9.5703125" style="15" bestFit="1" customWidth="1"/>
    <col min="13568" max="13568" width="10.5703125" style="15" bestFit="1" customWidth="1"/>
    <col min="13569" max="13569" width="3.140625" style="15" customWidth="1"/>
    <col min="13570" max="13570" width="10.5703125" style="15" bestFit="1" customWidth="1"/>
    <col min="13571" max="13571" width="2.5703125" style="15" customWidth="1"/>
    <col min="13572" max="13572" width="9.140625" style="15"/>
    <col min="13573" max="13573" width="7.85546875" style="15" bestFit="1" customWidth="1"/>
    <col min="13574" max="13820" width="9.140625" style="15"/>
    <col min="13821" max="13822" width="9.5703125" style="15" customWidth="1"/>
    <col min="13823" max="13823" width="9.5703125" style="15" bestFit="1" customWidth="1"/>
    <col min="13824" max="13824" width="10.5703125" style="15" bestFit="1" customWidth="1"/>
    <col min="13825" max="13825" width="3.140625" style="15" customWidth="1"/>
    <col min="13826" max="13826" width="10.5703125" style="15" bestFit="1" customWidth="1"/>
    <col min="13827" max="13827" width="2.5703125" style="15" customWidth="1"/>
    <col min="13828" max="13828" width="9.140625" style="15"/>
    <col min="13829" max="13829" width="7.85546875" style="15" bestFit="1" customWidth="1"/>
    <col min="13830" max="14076" width="9.140625" style="15"/>
    <col min="14077" max="14078" width="9.5703125" style="15" customWidth="1"/>
    <col min="14079" max="14079" width="9.5703125" style="15" bestFit="1" customWidth="1"/>
    <col min="14080" max="14080" width="10.5703125" style="15" bestFit="1" customWidth="1"/>
    <col min="14081" max="14081" width="3.140625" style="15" customWidth="1"/>
    <col min="14082" max="14082" width="10.5703125" style="15" bestFit="1" customWidth="1"/>
    <col min="14083" max="14083" width="2.5703125" style="15" customWidth="1"/>
    <col min="14084" max="14084" width="9.140625" style="15"/>
    <col min="14085" max="14085" width="7.85546875" style="15" bestFit="1" customWidth="1"/>
    <col min="14086" max="14332" width="9.140625" style="15"/>
    <col min="14333" max="14334" width="9.5703125" style="15" customWidth="1"/>
    <col min="14335" max="14335" width="9.5703125" style="15" bestFit="1" customWidth="1"/>
    <col min="14336" max="14336" width="10.5703125" style="15" bestFit="1" customWidth="1"/>
    <col min="14337" max="14337" width="3.140625" style="15" customWidth="1"/>
    <col min="14338" max="14338" width="10.5703125" style="15" bestFit="1" customWidth="1"/>
    <col min="14339" max="14339" width="2.5703125" style="15" customWidth="1"/>
    <col min="14340" max="14340" width="9.140625" style="15"/>
    <col min="14341" max="14341" width="7.85546875" style="15" bestFit="1" customWidth="1"/>
    <col min="14342" max="14588" width="9.140625" style="15"/>
    <col min="14589" max="14590" width="9.5703125" style="15" customWidth="1"/>
    <col min="14591" max="14591" width="9.5703125" style="15" bestFit="1" customWidth="1"/>
    <col min="14592" max="14592" width="10.5703125" style="15" bestFit="1" customWidth="1"/>
    <col min="14593" max="14593" width="3.140625" style="15" customWidth="1"/>
    <col min="14594" max="14594" width="10.5703125" style="15" bestFit="1" customWidth="1"/>
    <col min="14595" max="14595" width="2.5703125" style="15" customWidth="1"/>
    <col min="14596" max="14596" width="9.140625" style="15"/>
    <col min="14597" max="14597" width="7.85546875" style="15" bestFit="1" customWidth="1"/>
    <col min="14598" max="14844" width="9.140625" style="15"/>
    <col min="14845" max="14846" width="9.5703125" style="15" customWidth="1"/>
    <col min="14847" max="14847" width="9.5703125" style="15" bestFit="1" customWidth="1"/>
    <col min="14848" max="14848" width="10.5703125" style="15" bestFit="1" customWidth="1"/>
    <col min="14849" max="14849" width="3.140625" style="15" customWidth="1"/>
    <col min="14850" max="14850" width="10.5703125" style="15" bestFit="1" customWidth="1"/>
    <col min="14851" max="14851" width="2.5703125" style="15" customWidth="1"/>
    <col min="14852" max="14852" width="9.140625" style="15"/>
    <col min="14853" max="14853" width="7.85546875" style="15" bestFit="1" customWidth="1"/>
    <col min="14854" max="15100" width="9.140625" style="15"/>
    <col min="15101" max="15102" width="9.5703125" style="15" customWidth="1"/>
    <col min="15103" max="15103" width="9.5703125" style="15" bestFit="1" customWidth="1"/>
    <col min="15104" max="15104" width="10.5703125" style="15" bestFit="1" customWidth="1"/>
    <col min="15105" max="15105" width="3.140625" style="15" customWidth="1"/>
    <col min="15106" max="15106" width="10.5703125" style="15" bestFit="1" customWidth="1"/>
    <col min="15107" max="15107" width="2.5703125" style="15" customWidth="1"/>
    <col min="15108" max="15108" width="9.140625" style="15"/>
    <col min="15109" max="15109" width="7.85546875" style="15" bestFit="1" customWidth="1"/>
    <col min="15110" max="15356" width="9.140625" style="15"/>
    <col min="15357" max="15358" width="9.5703125" style="15" customWidth="1"/>
    <col min="15359" max="15359" width="9.5703125" style="15" bestFit="1" customWidth="1"/>
    <col min="15360" max="15360" width="10.5703125" style="15" bestFit="1" customWidth="1"/>
    <col min="15361" max="15361" width="3.140625" style="15" customWidth="1"/>
    <col min="15362" max="15362" width="10.5703125" style="15" bestFit="1" customWidth="1"/>
    <col min="15363" max="15363" width="2.5703125" style="15" customWidth="1"/>
    <col min="15364" max="15364" width="9.140625" style="15"/>
    <col min="15365" max="15365" width="7.85546875" style="15" bestFit="1" customWidth="1"/>
    <col min="15366" max="15612" width="9.140625" style="15"/>
    <col min="15613" max="15614" width="9.5703125" style="15" customWidth="1"/>
    <col min="15615" max="15615" width="9.5703125" style="15" bestFit="1" customWidth="1"/>
    <col min="15616" max="15616" width="10.5703125" style="15" bestFit="1" customWidth="1"/>
    <col min="15617" max="15617" width="3.140625" style="15" customWidth="1"/>
    <col min="15618" max="15618" width="10.5703125" style="15" bestFit="1" customWidth="1"/>
    <col min="15619" max="15619" width="2.5703125" style="15" customWidth="1"/>
    <col min="15620" max="15620" width="9.140625" style="15"/>
    <col min="15621" max="15621" width="7.85546875" style="15" bestFit="1" customWidth="1"/>
    <col min="15622" max="15868" width="9.140625" style="15"/>
    <col min="15869" max="15870" width="9.5703125" style="15" customWidth="1"/>
    <col min="15871" max="15871" width="9.5703125" style="15" bestFit="1" customWidth="1"/>
    <col min="15872" max="15872" width="10.5703125" style="15" bestFit="1" customWidth="1"/>
    <col min="15873" max="15873" width="3.140625" style="15" customWidth="1"/>
    <col min="15874" max="15874" width="10.5703125" style="15" bestFit="1" customWidth="1"/>
    <col min="15875" max="15875" width="2.5703125" style="15" customWidth="1"/>
    <col min="15876" max="15876" width="9.140625" style="15"/>
    <col min="15877" max="15877" width="7.85546875" style="15" bestFit="1" customWidth="1"/>
    <col min="15878" max="16124" width="9.140625" style="15"/>
    <col min="16125" max="16126" width="9.5703125" style="15" customWidth="1"/>
    <col min="16127" max="16127" width="9.5703125" style="15" bestFit="1" customWidth="1"/>
    <col min="16128" max="16128" width="10.5703125" style="15" bestFit="1" customWidth="1"/>
    <col min="16129" max="16129" width="3.140625" style="15" customWidth="1"/>
    <col min="16130" max="16130" width="10.5703125" style="15" bestFit="1" customWidth="1"/>
    <col min="16131" max="16131" width="2.5703125" style="15" customWidth="1"/>
    <col min="16132" max="16132" width="9.140625" style="15"/>
    <col min="16133" max="16133" width="7.85546875" style="15" bestFit="1" customWidth="1"/>
    <col min="16134" max="16384" width="9.140625" style="15"/>
  </cols>
  <sheetData>
    <row r="1" spans="1:13" s="47" customFormat="1" ht="21" x14ac:dyDescent="0.35">
      <c r="A1" s="47" t="s">
        <v>68</v>
      </c>
      <c r="L1" s="76"/>
    </row>
    <row r="2" spans="1:13" s="47" customFormat="1" ht="21" x14ac:dyDescent="0.35">
      <c r="A2" s="46" t="s">
        <v>123</v>
      </c>
      <c r="L2" s="76"/>
    </row>
    <row r="4" spans="1:13" x14ac:dyDescent="0.25">
      <c r="A4" s="5"/>
    </row>
    <row r="5" spans="1:13" x14ac:dyDescent="0.25">
      <c r="A5" s="20"/>
      <c r="B5" s="20"/>
      <c r="D5" s="45" t="s">
        <v>46</v>
      </c>
      <c r="G5" s="45" t="s">
        <v>107</v>
      </c>
      <c r="I5" s="20"/>
      <c r="K5" s="45"/>
      <c r="L5" s="45"/>
      <c r="M5" s="20"/>
    </row>
    <row r="6" spans="1:13" x14ac:dyDescent="0.25">
      <c r="A6" s="20"/>
      <c r="B6" s="20"/>
      <c r="C6" s="45" t="s">
        <v>16</v>
      </c>
      <c r="D6" s="45" t="s">
        <v>47</v>
      </c>
      <c r="E6" s="45"/>
      <c r="G6" s="45" t="s">
        <v>48</v>
      </c>
      <c r="I6" s="20"/>
      <c r="K6" s="45"/>
      <c r="L6" s="45"/>
      <c r="M6" s="20"/>
    </row>
    <row r="7" spans="1:13" x14ac:dyDescent="0.25">
      <c r="A7" s="20"/>
      <c r="B7" s="20"/>
      <c r="C7" s="45" t="s">
        <v>17</v>
      </c>
      <c r="D7" s="45" t="s">
        <v>50</v>
      </c>
      <c r="E7" s="45" t="s">
        <v>51</v>
      </c>
      <c r="F7" s="45" t="s">
        <v>82</v>
      </c>
      <c r="G7" s="45" t="s">
        <v>49</v>
      </c>
      <c r="I7" s="20"/>
      <c r="K7" s="26"/>
      <c r="L7" s="45"/>
      <c r="M7" s="45"/>
    </row>
    <row r="8" spans="1:13" x14ac:dyDescent="0.25">
      <c r="A8" s="21" t="s">
        <v>4</v>
      </c>
      <c r="B8" s="20"/>
      <c r="C8" s="26" t="s">
        <v>49</v>
      </c>
      <c r="D8" s="26" t="s">
        <v>52</v>
      </c>
      <c r="E8" s="26" t="s">
        <v>17</v>
      </c>
      <c r="F8" s="26" t="s">
        <v>83</v>
      </c>
      <c r="G8" s="26" t="s">
        <v>17</v>
      </c>
      <c r="I8" s="20"/>
      <c r="K8" s="226"/>
      <c r="L8" s="26"/>
      <c r="M8" s="26"/>
    </row>
    <row r="9" spans="1:13" x14ac:dyDescent="0.25">
      <c r="A9" s="20"/>
      <c r="B9" s="20"/>
      <c r="G9" s="20"/>
      <c r="I9" s="20"/>
      <c r="K9" s="226"/>
      <c r="L9" s="26"/>
    </row>
    <row r="10" spans="1:13" x14ac:dyDescent="0.25">
      <c r="A10" s="20" t="s">
        <v>116</v>
      </c>
      <c r="B10" s="27"/>
      <c r="C10" s="27">
        <v>792.58</v>
      </c>
      <c r="D10" s="29">
        <f>+'CRC Composition'!C18</f>
        <v>0.19098215140273855</v>
      </c>
      <c r="E10" s="27">
        <f>+C10-C10*D10</f>
        <v>641.21136644121748</v>
      </c>
      <c r="F10" s="78">
        <f>+Customers!C$21</f>
        <v>0.35824306276895684</v>
      </c>
      <c r="G10" s="27">
        <f>+F10*E10</f>
        <v>229.70952379616966</v>
      </c>
      <c r="I10" s="20"/>
      <c r="K10" s="226"/>
      <c r="L10" s="26"/>
      <c r="M10" s="27"/>
    </row>
    <row r="11" spans="1:13" x14ac:dyDescent="0.25">
      <c r="A11" s="20" t="s">
        <v>36</v>
      </c>
      <c r="B11" s="20"/>
      <c r="C11" s="27">
        <v>768.59</v>
      </c>
      <c r="D11" s="29">
        <f>+'CRC Composition'!E18</f>
        <v>0.19635887774379399</v>
      </c>
      <c r="E11" s="27">
        <f t="shared" ref="E11:E21" si="0">+C11-C11*D11</f>
        <v>617.67053015489739</v>
      </c>
      <c r="F11" s="78">
        <f>+Customers!D$21</f>
        <v>0.36032496307237816</v>
      </c>
      <c r="G11" s="27">
        <f t="shared" ref="G11:G21" si="1">+F11*E11</f>
        <v>222.56211096895964</v>
      </c>
      <c r="I11" s="20"/>
      <c r="K11" s="226"/>
      <c r="L11" s="26"/>
      <c r="M11" s="27"/>
    </row>
    <row r="12" spans="1:13" x14ac:dyDescent="0.25">
      <c r="A12" s="20" t="s">
        <v>37</v>
      </c>
      <c r="B12" s="20"/>
      <c r="C12" s="27">
        <v>793.47</v>
      </c>
      <c r="D12" s="29">
        <f>+'CRC Composition'!G18</f>
        <v>0.16665437589288384</v>
      </c>
      <c r="E12" s="27">
        <f t="shared" si="0"/>
        <v>661.23475236027343</v>
      </c>
      <c r="F12" s="78">
        <f>+Customers!E$21</f>
        <v>0.36166397177715714</v>
      </c>
      <c r="G12" s="27">
        <f t="shared" si="1"/>
        <v>239.14478681570142</v>
      </c>
      <c r="I12" s="20"/>
      <c r="K12" s="226"/>
      <c r="L12" s="26"/>
      <c r="M12" s="27"/>
    </row>
    <row r="13" spans="1:13" x14ac:dyDescent="0.25">
      <c r="A13" s="20" t="s">
        <v>38</v>
      </c>
      <c r="B13" s="20"/>
      <c r="C13" s="27">
        <v>785.71</v>
      </c>
      <c r="D13" s="29">
        <f>+'CRC Composition'!I18</f>
        <v>0.19293102829248471</v>
      </c>
      <c r="E13" s="27">
        <f t="shared" si="0"/>
        <v>634.12216176031188</v>
      </c>
      <c r="F13" s="78">
        <f>+Customers!F$21</f>
        <v>0.36283730333128239</v>
      </c>
      <c r="G13" s="27">
        <f t="shared" si="1"/>
        <v>230.0831751557148</v>
      </c>
      <c r="I13" s="20"/>
      <c r="K13" s="226"/>
      <c r="L13" s="26"/>
      <c r="M13" s="27"/>
    </row>
    <row r="14" spans="1:13" x14ac:dyDescent="0.25">
      <c r="A14" s="20" t="s">
        <v>39</v>
      </c>
      <c r="B14" s="20"/>
      <c r="C14" s="27">
        <v>771.19</v>
      </c>
      <c r="D14" s="29">
        <f>+'CRC Composition'!K18</f>
        <v>0.16485682579150035</v>
      </c>
      <c r="E14" s="27">
        <f t="shared" si="0"/>
        <v>644.05406451785291</v>
      </c>
      <c r="F14" s="78">
        <f>+Customers!G$21</f>
        <v>0.36273302849103062</v>
      </c>
      <c r="G14" s="27">
        <f t="shared" si="1"/>
        <v>233.61968133451842</v>
      </c>
      <c r="I14" s="20"/>
      <c r="K14" s="226"/>
      <c r="L14" s="26"/>
      <c r="M14" s="27"/>
    </row>
    <row r="15" spans="1:13" x14ac:dyDescent="0.25">
      <c r="A15" s="20" t="s">
        <v>40</v>
      </c>
      <c r="B15" s="20"/>
      <c r="C15" s="27">
        <v>859.8</v>
      </c>
      <c r="D15" s="29">
        <f>+'CRC Composition'!M18</f>
        <v>0.16576174618221162</v>
      </c>
      <c r="E15" s="27">
        <f t="shared" si="0"/>
        <v>717.27805063253436</v>
      </c>
      <c r="F15" s="78">
        <f>+Customers!H$21</f>
        <v>0.3633834982725303</v>
      </c>
      <c r="G15" s="27">
        <f t="shared" si="1"/>
        <v>260.64700727295144</v>
      </c>
      <c r="I15" s="20"/>
      <c r="K15" s="226"/>
      <c r="L15" s="26"/>
      <c r="M15" s="27"/>
    </row>
    <row r="16" spans="1:13" x14ac:dyDescent="0.25">
      <c r="A16" s="20" t="s">
        <v>41</v>
      </c>
      <c r="B16" s="20"/>
      <c r="C16" s="27">
        <v>794.09</v>
      </c>
      <c r="D16" s="29">
        <f>+'CRC Composition'!O18</f>
        <v>0.17229004128293129</v>
      </c>
      <c r="E16" s="27">
        <f t="shared" si="0"/>
        <v>657.27620111763713</v>
      </c>
      <c r="F16" s="78">
        <f>+Customers!I$21</f>
        <v>0.36346339607177358</v>
      </c>
      <c r="G16" s="27">
        <f t="shared" si="1"/>
        <v>238.89584021537044</v>
      </c>
      <c r="I16" s="20"/>
      <c r="K16" s="226"/>
      <c r="L16" s="26"/>
      <c r="M16" s="27"/>
    </row>
    <row r="17" spans="1:13" x14ac:dyDescent="0.25">
      <c r="A17" s="20" t="s">
        <v>42</v>
      </c>
      <c r="B17" s="20"/>
      <c r="C17" s="27">
        <v>791.55</v>
      </c>
      <c r="D17" s="29">
        <f>+'CRC Composition'!Q18</f>
        <v>0.1617363660768322</v>
      </c>
      <c r="E17" s="27">
        <f t="shared" si="0"/>
        <v>663.5275794318834</v>
      </c>
      <c r="F17" s="78">
        <f>+Customers!I$21</f>
        <v>0.36346339607177358</v>
      </c>
      <c r="G17" s="27">
        <f t="shared" si="1"/>
        <v>241.16798740759583</v>
      </c>
      <c r="I17" s="20"/>
      <c r="K17" s="226"/>
      <c r="L17" s="26"/>
      <c r="M17" s="27"/>
    </row>
    <row r="18" spans="1:13" x14ac:dyDescent="0.25">
      <c r="A18" s="20" t="s">
        <v>117</v>
      </c>
      <c r="B18" s="20"/>
      <c r="C18" s="27">
        <v>801.26</v>
      </c>
      <c r="D18" s="29">
        <f>+'CRC Composition'!S18</f>
        <v>0.17289589139353076</v>
      </c>
      <c r="E18" s="27">
        <f t="shared" si="0"/>
        <v>662.72543806201952</v>
      </c>
      <c r="F18" s="78">
        <f>+Customers!K$21</f>
        <v>0.3639120545868082</v>
      </c>
      <c r="G18" s="27">
        <f t="shared" si="1"/>
        <v>241.17377579209202</v>
      </c>
      <c r="I18" s="20"/>
      <c r="K18" s="226"/>
      <c r="L18" s="26"/>
      <c r="M18" s="27"/>
    </row>
    <row r="19" spans="1:13" x14ac:dyDescent="0.25">
      <c r="A19" s="20" t="s">
        <v>43</v>
      </c>
      <c r="B19" s="20"/>
      <c r="C19" s="41">
        <v>719.96</v>
      </c>
      <c r="D19" s="29">
        <f>+'CRC Composition'!U18</f>
        <v>0.1960640220837496</v>
      </c>
      <c r="E19" s="27">
        <f t="shared" si="0"/>
        <v>578.8017466605836</v>
      </c>
      <c r="F19" s="78">
        <f>+Customers!L$21</f>
        <v>0.36410749119282615</v>
      </c>
      <c r="G19" s="27">
        <f t="shared" si="1"/>
        <v>210.74605187461083</v>
      </c>
      <c r="I19" s="20"/>
      <c r="K19" s="27"/>
      <c r="M19" s="27"/>
    </row>
    <row r="20" spans="1:13" x14ac:dyDescent="0.25">
      <c r="A20" s="20" t="s">
        <v>44</v>
      </c>
      <c r="B20" s="20"/>
      <c r="C20" s="41">
        <v>842.53</v>
      </c>
      <c r="D20" s="93">
        <f>+'CRC Composition'!W18</f>
        <v>0.15217064817846762</v>
      </c>
      <c r="E20" s="27">
        <f t="shared" si="0"/>
        <v>714.32166379019566</v>
      </c>
      <c r="F20" s="78">
        <f>+Customers!M$21</f>
        <v>0.36583316431489582</v>
      </c>
      <c r="G20" s="27">
        <f t="shared" si="1"/>
        <v>261.32255460304839</v>
      </c>
      <c r="I20" s="20"/>
      <c r="K20" s="28"/>
      <c r="M20" s="27"/>
    </row>
    <row r="21" spans="1:13" ht="17.25" x14ac:dyDescent="0.4">
      <c r="A21" s="20" t="s">
        <v>45</v>
      </c>
      <c r="B21" s="20"/>
      <c r="C21" s="43">
        <v>841.94</v>
      </c>
      <c r="D21" s="99">
        <f>+'CRC Composition'!Y18</f>
        <v>0.15128527749346443</v>
      </c>
      <c r="E21" s="30">
        <f t="shared" si="0"/>
        <v>714.56687346715262</v>
      </c>
      <c r="F21" s="79">
        <f>+Customers!N$21</f>
        <v>0.36807204494121737</v>
      </c>
      <c r="G21" s="30">
        <f t="shared" si="1"/>
        <v>263.01209036430697</v>
      </c>
      <c r="I21" s="20"/>
      <c r="K21" s="28"/>
      <c r="M21" s="30"/>
    </row>
    <row r="22" spans="1:13" ht="17.25" x14ac:dyDescent="0.4">
      <c r="A22" s="20"/>
      <c r="B22" s="20"/>
      <c r="C22" s="32">
        <f>SUM(C10:C21)</f>
        <v>9562.6700000000019</v>
      </c>
      <c r="D22" s="33">
        <f>(+G22-I22)/G22</f>
        <v>1</v>
      </c>
      <c r="E22" s="32">
        <f t="shared" ref="E22" si="2">SUM(E10:E21)</f>
        <v>7906.7904283965599</v>
      </c>
      <c r="F22" s="102">
        <f>+G22/E22</f>
        <v>0.3632427862620709</v>
      </c>
      <c r="G22" s="32">
        <f>SUM(G10:G21)</f>
        <v>2872.0845856010396</v>
      </c>
      <c r="I22" s="20"/>
      <c r="K22" s="32"/>
      <c r="L22" s="33"/>
      <c r="M22" s="32"/>
    </row>
    <row r="23" spans="1:13" x14ac:dyDescent="0.25">
      <c r="I23" s="20"/>
    </row>
    <row r="24" spans="1:13" x14ac:dyDescent="0.25">
      <c r="G24" s="28"/>
      <c r="H24" s="29"/>
      <c r="I24" s="28"/>
    </row>
    <row r="26" spans="1:13" x14ac:dyDescent="0.25">
      <c r="G26" s="27"/>
    </row>
    <row r="29" spans="1:13" x14ac:dyDescent="0.25">
      <c r="G29" s="42"/>
    </row>
    <row r="32" spans="1:13" x14ac:dyDescent="0.25">
      <c r="G32" s="42"/>
    </row>
  </sheetData>
  <pageMargins left="0.7" right="0.7" top="0.75" bottom="0.75" header="0.3" footer="0.3"/>
  <pageSetup orientation="portrait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topLeftCell="A8" workbookViewId="0">
      <selection activeCell="H22" sqref="H22:L24"/>
    </sheetView>
  </sheetViews>
  <sheetFormatPr defaultRowHeight="15" x14ac:dyDescent="0.25"/>
  <cols>
    <col min="1" max="1" width="14.28515625" customWidth="1"/>
    <col min="2" max="2" width="10.42578125" customWidth="1"/>
    <col min="3" max="3" width="12.7109375" bestFit="1" customWidth="1"/>
    <col min="4" max="8" width="10.42578125" customWidth="1"/>
    <col min="9" max="9" width="10.28515625" bestFit="1" customWidth="1"/>
    <col min="10" max="11" width="10.42578125" customWidth="1"/>
    <col min="13" max="13" width="11.5703125" bestFit="1" customWidth="1"/>
  </cols>
  <sheetData>
    <row r="1" spans="1:11" ht="21" x14ac:dyDescent="0.35">
      <c r="A1" s="47" t="s">
        <v>69</v>
      </c>
    </row>
    <row r="2" spans="1:11" ht="15.75" x14ac:dyDescent="0.25">
      <c r="A2" s="46" t="s">
        <v>70</v>
      </c>
    </row>
    <row r="5" spans="1:11" x14ac:dyDescent="0.25">
      <c r="A5" s="7"/>
      <c r="B5" s="299" t="s">
        <v>0</v>
      </c>
      <c r="C5" s="300"/>
      <c r="D5" s="300"/>
      <c r="E5" s="300"/>
      <c r="F5" s="300"/>
      <c r="G5" s="300"/>
      <c r="H5" s="300"/>
      <c r="I5" s="300"/>
      <c r="J5" s="300"/>
      <c r="K5" s="301"/>
    </row>
    <row r="6" spans="1:11" x14ac:dyDescent="0.25">
      <c r="A6" s="6"/>
      <c r="B6" s="1"/>
      <c r="C6" s="2"/>
      <c r="D6" s="2"/>
      <c r="E6" s="3"/>
      <c r="F6" s="2"/>
      <c r="G6" s="2"/>
      <c r="H6" s="2"/>
      <c r="I6" s="3" t="s">
        <v>1</v>
      </c>
      <c r="J6" s="3" t="s">
        <v>2</v>
      </c>
      <c r="K6" s="3" t="s">
        <v>3</v>
      </c>
    </row>
    <row r="7" spans="1:11" x14ac:dyDescent="0.25">
      <c r="A7" s="6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12</v>
      </c>
      <c r="K7" s="3" t="s">
        <v>13</v>
      </c>
    </row>
    <row r="8" spans="1:11" x14ac:dyDescent="0.25">
      <c r="A8" s="8">
        <v>43961</v>
      </c>
      <c r="B8" s="74">
        <v>0</v>
      </c>
      <c r="C8" s="235">
        <v>-4.43</v>
      </c>
      <c r="D8" s="235">
        <v>121.04</v>
      </c>
      <c r="E8" s="235">
        <v>694.88</v>
      </c>
      <c r="F8" s="235">
        <v>76.959999999999994</v>
      </c>
      <c r="G8" s="235">
        <v>-63.5</v>
      </c>
      <c r="H8" s="235">
        <v>130</v>
      </c>
      <c r="I8" s="235">
        <v>640</v>
      </c>
      <c r="J8" s="235">
        <v>60</v>
      </c>
      <c r="K8" s="235">
        <v>-167.5</v>
      </c>
    </row>
    <row r="9" spans="1:11" x14ac:dyDescent="0.25">
      <c r="A9" s="8">
        <v>43992</v>
      </c>
      <c r="B9" s="74">
        <v>0</v>
      </c>
      <c r="C9" s="92">
        <v>-0.71</v>
      </c>
      <c r="D9" s="92">
        <v>96.31</v>
      </c>
      <c r="E9" s="92">
        <v>730.34</v>
      </c>
      <c r="F9" s="92">
        <v>81.31</v>
      </c>
      <c r="G9" s="235">
        <v>-63.5</v>
      </c>
      <c r="H9" s="92">
        <v>49.96</v>
      </c>
      <c r="I9" s="92">
        <v>700</v>
      </c>
      <c r="J9" s="92">
        <v>60</v>
      </c>
      <c r="K9" s="92">
        <v>-167.5</v>
      </c>
    </row>
    <row r="10" spans="1:11" x14ac:dyDescent="0.25">
      <c r="A10" s="8">
        <v>44022</v>
      </c>
      <c r="B10" s="74">
        <v>0</v>
      </c>
      <c r="C10" s="92">
        <v>1.35</v>
      </c>
      <c r="D10" s="92">
        <v>86.25</v>
      </c>
      <c r="E10" s="92">
        <v>798.59</v>
      </c>
      <c r="F10" s="92">
        <v>77.48</v>
      </c>
      <c r="G10" s="235">
        <v>-63.5</v>
      </c>
      <c r="H10" s="92">
        <v>47.17</v>
      </c>
      <c r="I10" s="92">
        <v>728.16</v>
      </c>
      <c r="J10" s="92">
        <v>60</v>
      </c>
      <c r="K10" s="92">
        <v>-167.5</v>
      </c>
    </row>
    <row r="11" spans="1:11" x14ac:dyDescent="0.25">
      <c r="A11" s="8">
        <v>44053</v>
      </c>
      <c r="B11" s="74">
        <v>0</v>
      </c>
      <c r="C11" s="92">
        <v>10.02</v>
      </c>
      <c r="D11" s="92">
        <v>93.17</v>
      </c>
      <c r="E11" s="92">
        <v>877.78</v>
      </c>
      <c r="F11" s="92">
        <v>85.78</v>
      </c>
      <c r="G11" s="235">
        <v>-63.5</v>
      </c>
      <c r="H11" s="92">
        <v>42.12</v>
      </c>
      <c r="I11" s="92">
        <v>780</v>
      </c>
      <c r="J11" s="92">
        <v>60</v>
      </c>
      <c r="K11" s="92">
        <v>-167.5</v>
      </c>
    </row>
    <row r="12" spans="1:11" x14ac:dyDescent="0.25">
      <c r="A12" s="8">
        <v>44084</v>
      </c>
      <c r="B12" s="74">
        <v>0</v>
      </c>
      <c r="C12" s="92">
        <v>18.239999999999998</v>
      </c>
      <c r="D12" s="92">
        <v>100.16</v>
      </c>
      <c r="E12" s="92">
        <v>858.96</v>
      </c>
      <c r="F12" s="92">
        <v>106.53</v>
      </c>
      <c r="G12" s="235">
        <v>-63.5</v>
      </c>
      <c r="H12" s="92">
        <v>20</v>
      </c>
      <c r="I12" s="92">
        <v>960</v>
      </c>
      <c r="J12" s="92">
        <v>100</v>
      </c>
      <c r="K12" s="92">
        <v>-167.5</v>
      </c>
    </row>
    <row r="13" spans="1:11" x14ac:dyDescent="0.25">
      <c r="A13" s="8">
        <v>44114</v>
      </c>
      <c r="B13" s="91">
        <v>0</v>
      </c>
      <c r="C13" s="92">
        <v>25.04</v>
      </c>
      <c r="D13" s="92">
        <v>106.73</v>
      </c>
      <c r="E13" s="92">
        <v>909.06</v>
      </c>
      <c r="F13" s="92">
        <v>101.78</v>
      </c>
      <c r="G13" s="235">
        <v>-63.5</v>
      </c>
      <c r="H13" s="92">
        <v>20</v>
      </c>
      <c r="I13" s="92">
        <v>1099.78</v>
      </c>
      <c r="J13" s="92">
        <v>219.93</v>
      </c>
      <c r="K13" s="92">
        <v>-167.5</v>
      </c>
    </row>
    <row r="14" spans="1:11" x14ac:dyDescent="0.25">
      <c r="A14" s="8">
        <v>44145</v>
      </c>
      <c r="B14" s="92">
        <v>0</v>
      </c>
      <c r="C14" s="92">
        <v>29.93</v>
      </c>
      <c r="D14" s="92">
        <v>113.49</v>
      </c>
      <c r="E14" s="92">
        <v>986.17</v>
      </c>
      <c r="F14" s="92">
        <v>107.89</v>
      </c>
      <c r="G14" s="235">
        <v>-63.5</v>
      </c>
      <c r="H14" s="92">
        <v>20</v>
      </c>
      <c r="I14" s="92">
        <v>1200</v>
      </c>
      <c r="J14" s="92">
        <v>280</v>
      </c>
      <c r="K14" s="92">
        <v>-167.5</v>
      </c>
    </row>
    <row r="15" spans="1:11" x14ac:dyDescent="0.25">
      <c r="A15" s="8">
        <v>44175</v>
      </c>
      <c r="B15" s="92">
        <v>0</v>
      </c>
      <c r="C15" s="92">
        <v>39.54</v>
      </c>
      <c r="D15" s="92">
        <v>123.86</v>
      </c>
      <c r="E15" s="92">
        <v>1114.6300000000001</v>
      </c>
      <c r="F15" s="92">
        <v>146.46</v>
      </c>
      <c r="G15" s="235">
        <v>-63.5</v>
      </c>
      <c r="H15" s="92">
        <v>20.149999999999999</v>
      </c>
      <c r="I15" s="92">
        <v>1200</v>
      </c>
      <c r="J15" s="92">
        <v>280</v>
      </c>
      <c r="K15" s="92">
        <v>-167.5</v>
      </c>
    </row>
    <row r="16" spans="1:11" x14ac:dyDescent="0.25">
      <c r="A16" s="8">
        <v>44206</v>
      </c>
      <c r="B16" s="92">
        <v>0</v>
      </c>
      <c r="C16" s="92">
        <v>39.9</v>
      </c>
      <c r="D16" s="92">
        <v>126.58</v>
      </c>
      <c r="E16" s="92">
        <v>1085.31</v>
      </c>
      <c r="F16" s="92">
        <v>207.37</v>
      </c>
      <c r="G16" s="235">
        <v>-63.5</v>
      </c>
      <c r="H16" s="92">
        <v>50</v>
      </c>
      <c r="I16" s="92">
        <v>1240</v>
      </c>
      <c r="J16" s="92">
        <v>280</v>
      </c>
      <c r="K16" s="92">
        <v>-187.5</v>
      </c>
    </row>
    <row r="17" spans="1:12" x14ac:dyDescent="0.25">
      <c r="A17" s="8">
        <v>44237</v>
      </c>
      <c r="B17" s="92">
        <v>0</v>
      </c>
      <c r="C17" s="92">
        <v>39.57</v>
      </c>
      <c r="D17" s="92">
        <v>115.68</v>
      </c>
      <c r="E17" s="92">
        <v>1155.8900000000001</v>
      </c>
      <c r="F17" s="92">
        <v>167.74</v>
      </c>
      <c r="G17" s="235">
        <v>-63.5</v>
      </c>
      <c r="H17" s="92">
        <v>70</v>
      </c>
      <c r="I17" s="92">
        <v>1280</v>
      </c>
      <c r="J17" s="92">
        <v>280</v>
      </c>
      <c r="K17" s="92">
        <v>-187.5</v>
      </c>
      <c r="L17" s="280"/>
    </row>
    <row r="18" spans="1:12" x14ac:dyDescent="0.25">
      <c r="A18" s="8">
        <v>44265</v>
      </c>
      <c r="B18" s="92">
        <f t="shared" ref="B18:B19" si="0">+B17</f>
        <v>0</v>
      </c>
      <c r="C18" s="92">
        <v>39.35</v>
      </c>
      <c r="D18" s="92">
        <v>116.99</v>
      </c>
      <c r="E18" s="92">
        <v>1184.45</v>
      </c>
      <c r="F18" s="92">
        <v>203.1</v>
      </c>
      <c r="G18" s="92">
        <f t="shared" ref="G18:K19" si="1">+G17</f>
        <v>-63.5</v>
      </c>
      <c r="H18" s="92">
        <f t="shared" si="1"/>
        <v>70</v>
      </c>
      <c r="I18" s="92">
        <v>1410</v>
      </c>
      <c r="J18" s="92">
        <v>320</v>
      </c>
      <c r="K18" s="92">
        <f t="shared" si="1"/>
        <v>-187.5</v>
      </c>
    </row>
    <row r="19" spans="1:12" s="75" customFormat="1" x14ac:dyDescent="0.25">
      <c r="A19" s="8">
        <v>44296</v>
      </c>
      <c r="B19" s="92">
        <f t="shared" si="0"/>
        <v>0</v>
      </c>
      <c r="C19" s="92">
        <v>55.81</v>
      </c>
      <c r="D19" s="92">
        <v>134.31</v>
      </c>
      <c r="E19" s="92">
        <v>1277.46</v>
      </c>
      <c r="F19" s="92">
        <v>184.63</v>
      </c>
      <c r="G19" s="92">
        <f t="shared" si="1"/>
        <v>-63.5</v>
      </c>
      <c r="H19" s="92">
        <v>115</v>
      </c>
      <c r="I19" s="92">
        <v>1520</v>
      </c>
      <c r="J19" s="92">
        <v>400</v>
      </c>
      <c r="K19" s="92">
        <f t="shared" si="1"/>
        <v>-187.5</v>
      </c>
    </row>
    <row r="20" spans="1:12" ht="16.5" x14ac:dyDescent="0.35">
      <c r="A20" s="97" t="s">
        <v>14</v>
      </c>
      <c r="B20" s="98" t="e">
        <f>+'Commodity Revenue'!AA20</f>
        <v>#DIV/0!</v>
      </c>
      <c r="C20" s="98">
        <f>+'Commodity Revenue'!AB20</f>
        <v>24.90495616612991</v>
      </c>
      <c r="D20" s="98">
        <f>+'Commodity Revenue'!AC20</f>
        <v>111.47893996470347</v>
      </c>
      <c r="E20" s="98">
        <f>+'Commodity Revenue'!AD20</f>
        <v>976.57723463654349</v>
      </c>
      <c r="F20" s="98">
        <f>+'Commodity Revenue'!AE20</f>
        <v>129.81678260738676</v>
      </c>
      <c r="G20" s="98">
        <f>+'Commodity Revenue'!AF20</f>
        <v>-63.499999999999993</v>
      </c>
      <c r="H20" s="98">
        <f>+'Commodity Revenue'!AG20</f>
        <v>54.597161527134304</v>
      </c>
      <c r="I20" s="98">
        <f>+'Commodity Revenue'!AH20</f>
        <v>1070.8428623999146</v>
      </c>
      <c r="J20" s="98">
        <f>+'Commodity Revenue'!AI20</f>
        <v>203.2775578664556</v>
      </c>
      <c r="K20" s="98">
        <f>+'Commodity Revenue'!AJ20</f>
        <v>-174.2547401089306</v>
      </c>
    </row>
    <row r="22" spans="1:12" x14ac:dyDescent="0.25">
      <c r="B22" s="87"/>
      <c r="C22" s="87"/>
      <c r="D22" s="87"/>
      <c r="E22" s="87"/>
      <c r="F22" s="87"/>
      <c r="G22" s="87"/>
      <c r="H22" s="29"/>
      <c r="I22" s="29"/>
      <c r="J22" s="29"/>
      <c r="K22" s="29"/>
      <c r="L22" s="234"/>
    </row>
    <row r="23" spans="1:12" x14ac:dyDescent="0.25">
      <c r="B23" s="87"/>
      <c r="C23" s="87"/>
      <c r="D23" s="87"/>
      <c r="E23" s="87"/>
      <c r="F23" s="87"/>
      <c r="G23" s="87"/>
      <c r="H23" s="233"/>
      <c r="I23" s="233"/>
      <c r="J23" s="233"/>
      <c r="K23" s="233"/>
      <c r="L23" s="233"/>
    </row>
    <row r="24" spans="1:12" x14ac:dyDescent="0.25">
      <c r="H24" s="42"/>
      <c r="I24" s="42"/>
      <c r="J24" s="42"/>
      <c r="K24" s="42"/>
      <c r="L24" s="87"/>
    </row>
  </sheetData>
  <mergeCells count="1">
    <mergeCell ref="B5:K5"/>
  </mergeCells>
  <pageMargins left="0.7" right="0.7" top="0.75" bottom="0.75" header="0.3" footer="0.3"/>
  <pageSetup orientation="landscape" r:id="rId1"/>
  <headerFoot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1"/>
  <sheetViews>
    <sheetView workbookViewId="0">
      <pane xSplit="1" ySplit="3" topLeftCell="L4" activePane="bottomRight" state="frozen"/>
      <selection pane="topRight" activeCell="B1" sqref="B1"/>
      <selection pane="bottomLeft" activeCell="A10" sqref="A10"/>
      <selection pane="bottomRight" activeCell="X11" sqref="X11"/>
    </sheetView>
  </sheetViews>
  <sheetFormatPr defaultRowHeight="15" x14ac:dyDescent="0.25"/>
  <cols>
    <col min="1" max="1" width="12.7109375" customWidth="1"/>
    <col min="2" max="2" width="10.7109375" style="13" bestFit="1" customWidth="1"/>
    <col min="3" max="3" width="8.28515625" style="13" bestFit="1" customWidth="1"/>
    <col min="4" max="4" width="10.42578125" style="13" bestFit="1" customWidth="1"/>
    <col min="5" max="5" width="8.28515625" style="13" bestFit="1" customWidth="1"/>
    <col min="6" max="6" width="10.42578125" style="13" bestFit="1" customWidth="1"/>
    <col min="7" max="7" width="8.28515625" style="13" bestFit="1" customWidth="1"/>
    <col min="8" max="8" width="10.42578125" style="13" bestFit="1" customWidth="1"/>
    <col min="9" max="9" width="8.28515625" style="13" bestFit="1" customWidth="1"/>
    <col min="10" max="10" width="10.42578125" style="13" bestFit="1" customWidth="1"/>
    <col min="11" max="11" width="8.28515625" style="13" bestFit="1" customWidth="1"/>
    <col min="12" max="12" width="10.42578125" bestFit="1" customWidth="1"/>
    <col min="13" max="13" width="8.28515625" bestFit="1" customWidth="1"/>
    <col min="14" max="14" width="9.42578125" bestFit="1" customWidth="1"/>
    <col min="15" max="15" width="9.140625" bestFit="1" customWidth="1"/>
    <col min="16" max="16" width="10.42578125" bestFit="1" customWidth="1"/>
    <col min="17" max="17" width="8.28515625" bestFit="1" customWidth="1"/>
    <col min="18" max="18" width="10.42578125" bestFit="1" customWidth="1"/>
    <col min="19" max="19" width="8.28515625" bestFit="1" customWidth="1"/>
    <col min="20" max="20" width="10.42578125" bestFit="1" customWidth="1"/>
    <col min="21" max="21" width="8.28515625" bestFit="1" customWidth="1"/>
    <col min="22" max="22" width="10.140625" bestFit="1" customWidth="1"/>
    <col min="23" max="23" width="8.28515625" bestFit="1" customWidth="1"/>
    <col min="24" max="24" width="11" style="15" bestFit="1" customWidth="1"/>
    <col min="25" max="25" width="9.140625" style="15" bestFit="1" customWidth="1"/>
    <col min="26" max="26" width="11.42578125" bestFit="1" customWidth="1"/>
    <col min="27" max="27" width="7.28515625" bestFit="1" customWidth="1"/>
    <col min="28" max="28" width="9.28515625" bestFit="1" customWidth="1"/>
    <col min="29" max="29" width="9.42578125" bestFit="1" customWidth="1"/>
    <col min="30" max="30" width="9.28515625" bestFit="1" customWidth="1"/>
    <col min="31" max="31" width="7.28515625" bestFit="1" customWidth="1"/>
    <col min="32" max="32" width="9.5703125" bestFit="1" customWidth="1"/>
    <col min="33" max="33" width="7.28515625" bestFit="1" customWidth="1"/>
    <col min="34" max="34" width="9.5703125" bestFit="1" customWidth="1"/>
    <col min="35" max="35" width="7.28515625" bestFit="1" customWidth="1"/>
    <col min="36" max="36" width="11.28515625" bestFit="1" customWidth="1"/>
    <col min="37" max="37" width="7.28515625" bestFit="1" customWidth="1"/>
  </cols>
  <sheetData>
    <row r="1" spans="1:29" ht="21" x14ac:dyDescent="0.35">
      <c r="A1" s="47" t="s">
        <v>69</v>
      </c>
    </row>
    <row r="2" spans="1:29" x14ac:dyDescent="0.25">
      <c r="A2" s="5" t="s">
        <v>71</v>
      </c>
    </row>
    <row r="4" spans="1:29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8"/>
      <c r="AA4" s="20"/>
      <c r="AB4" s="20"/>
      <c r="AC4" s="20"/>
    </row>
    <row r="5" spans="1:29" x14ac:dyDescent="0.25">
      <c r="A5" s="14" t="s">
        <v>15</v>
      </c>
      <c r="B5" s="20"/>
      <c r="C5" s="20"/>
      <c r="D5" s="20"/>
      <c r="E5" s="20"/>
      <c r="F5" s="20"/>
      <c r="G5" s="20"/>
      <c r="H5" s="20"/>
      <c r="I5" s="20"/>
      <c r="J5" s="20"/>
      <c r="T5" s="73"/>
      <c r="U5" s="73"/>
      <c r="AC5" s="45" t="s">
        <v>73</v>
      </c>
    </row>
    <row r="6" spans="1:29" x14ac:dyDescent="0.25">
      <c r="A6" s="9"/>
      <c r="B6" s="16">
        <v>43956</v>
      </c>
      <c r="C6" s="17"/>
      <c r="D6" s="16">
        <v>43987</v>
      </c>
      <c r="E6" s="17"/>
      <c r="F6" s="16">
        <v>44017</v>
      </c>
      <c r="G6" s="17"/>
      <c r="H6" s="16">
        <v>44048</v>
      </c>
      <c r="I6" s="17"/>
      <c r="J6" s="16">
        <v>44079</v>
      </c>
      <c r="K6" s="17"/>
      <c r="L6" s="16">
        <v>44109</v>
      </c>
      <c r="M6" s="17"/>
      <c r="N6" s="16">
        <v>44140</v>
      </c>
      <c r="O6" s="17"/>
      <c r="P6" s="16">
        <v>44170</v>
      </c>
      <c r="Q6" s="17"/>
      <c r="R6" s="16">
        <v>44201</v>
      </c>
      <c r="S6" s="17"/>
      <c r="T6" s="16">
        <v>44232</v>
      </c>
      <c r="U6" s="17"/>
      <c r="V6" s="16">
        <v>44266</v>
      </c>
      <c r="W6" s="17"/>
      <c r="X6" s="16">
        <v>44297</v>
      </c>
      <c r="Y6" s="17"/>
      <c r="Z6" s="16" t="s">
        <v>96</v>
      </c>
      <c r="AA6" s="17"/>
      <c r="AC6" s="45" t="s">
        <v>74</v>
      </c>
    </row>
    <row r="7" spans="1:29" x14ac:dyDescent="0.25">
      <c r="A7" s="10"/>
      <c r="B7" s="18" t="s">
        <v>17</v>
      </c>
      <c r="C7" s="19"/>
      <c r="D7" s="18" t="s">
        <v>17</v>
      </c>
      <c r="E7" s="19"/>
      <c r="F7" s="18" t="s">
        <v>17</v>
      </c>
      <c r="G7" s="19"/>
      <c r="H7" s="18" t="s">
        <v>17</v>
      </c>
      <c r="I7" s="19"/>
      <c r="J7" s="18" t="s">
        <v>17</v>
      </c>
      <c r="K7" s="19"/>
      <c r="L7" s="18" t="s">
        <v>17</v>
      </c>
      <c r="M7" s="19"/>
      <c r="N7" s="18" t="s">
        <v>17</v>
      </c>
      <c r="O7" s="19"/>
      <c r="P7" s="18" t="s">
        <v>17</v>
      </c>
      <c r="Q7" s="19"/>
      <c r="R7" s="18" t="s">
        <v>17</v>
      </c>
      <c r="S7" s="19"/>
      <c r="T7" s="18" t="s">
        <v>17</v>
      </c>
      <c r="U7" s="19"/>
      <c r="V7" s="18" t="s">
        <v>17</v>
      </c>
      <c r="W7" s="19"/>
      <c r="X7" s="18" t="s">
        <v>17</v>
      </c>
      <c r="Y7" s="19"/>
      <c r="Z7" s="18" t="s">
        <v>17</v>
      </c>
      <c r="AA7" s="19"/>
      <c r="AC7" s="26" t="s">
        <v>24</v>
      </c>
    </row>
    <row r="8" spans="1:29" s="83" customFormat="1" x14ac:dyDescent="0.25">
      <c r="A8" s="81" t="s">
        <v>18</v>
      </c>
      <c r="B8" s="89">
        <v>0</v>
      </c>
      <c r="C8" s="103">
        <f>+B8/B$19</f>
        <v>0</v>
      </c>
      <c r="D8" s="89">
        <v>0</v>
      </c>
      <c r="E8" s="103">
        <f>+D8/D$19</f>
        <v>0</v>
      </c>
      <c r="F8" s="89">
        <v>0</v>
      </c>
      <c r="G8" s="103">
        <f>+F8/F$19</f>
        <v>0</v>
      </c>
      <c r="H8" s="89">
        <v>0</v>
      </c>
      <c r="I8" s="103">
        <f>+H8/H$19</f>
        <v>0</v>
      </c>
      <c r="J8" s="236">
        <v>0</v>
      </c>
      <c r="K8" s="103">
        <f>+J8/J$19</f>
        <v>0</v>
      </c>
      <c r="L8" s="89">
        <v>0</v>
      </c>
      <c r="M8" s="103">
        <f>+L8/L$19</f>
        <v>0</v>
      </c>
      <c r="N8" s="89">
        <v>0</v>
      </c>
      <c r="O8" s="103">
        <f>+N8/N$19</f>
        <v>0</v>
      </c>
      <c r="P8" s="89">
        <v>0</v>
      </c>
      <c r="Q8" s="103">
        <f>+P8/P$19</f>
        <v>0</v>
      </c>
      <c r="R8" s="236">
        <v>0</v>
      </c>
      <c r="S8" s="103">
        <f>+R8/R$19</f>
        <v>0</v>
      </c>
      <c r="T8" s="41">
        <v>0</v>
      </c>
      <c r="U8" s="103">
        <f>+T8/T$19</f>
        <v>0</v>
      </c>
      <c r="V8" s="89">
        <f>+T8</f>
        <v>0</v>
      </c>
      <c r="W8" s="82">
        <f>V8/V$19</f>
        <v>0</v>
      </c>
      <c r="X8" s="242">
        <f>+V8</f>
        <v>0</v>
      </c>
      <c r="Y8" s="82">
        <f>X8/X$19</f>
        <v>0</v>
      </c>
      <c r="Z8" s="11">
        <f>+P8+N8+L8+J8+H8+F8+D8+B8+R8+T8+V8+X8</f>
        <v>0</v>
      </c>
      <c r="AA8" s="49">
        <f>+Z8/$Z$19</f>
        <v>0</v>
      </c>
      <c r="AC8" s="84">
        <f>+Z8/($Z$19-$Z$18)</f>
        <v>0</v>
      </c>
    </row>
    <row r="9" spans="1:29" s="83" customFormat="1" x14ac:dyDescent="0.25">
      <c r="A9" s="81" t="s">
        <v>19</v>
      </c>
      <c r="B9" s="89">
        <v>3126.4165442946241</v>
      </c>
      <c r="C9" s="103">
        <f t="shared" ref="C9:E18" si="0">+B9/B$19</f>
        <v>0.39530224015660886</v>
      </c>
      <c r="D9" s="89">
        <v>3008.1110416052693</v>
      </c>
      <c r="E9" s="103">
        <f t="shared" si="0"/>
        <v>0.35664075714142701</v>
      </c>
      <c r="F9" s="89">
        <v>3313.5397184971939</v>
      </c>
      <c r="G9" s="103">
        <f t="shared" ref="G9" si="1">+F9/F$19</f>
        <v>0.391684864853033</v>
      </c>
      <c r="H9" s="89">
        <v>2784.5690147767409</v>
      </c>
      <c r="I9" s="103">
        <f t="shared" ref="I9" si="2">+H9/H$19</f>
        <v>0.36237249448545233</v>
      </c>
      <c r="J9" s="236">
        <v>3142.7366195696177</v>
      </c>
      <c r="K9" s="103">
        <f t="shared" ref="K9" si="3">+J9/J$19</f>
        <v>0.39016409123636003</v>
      </c>
      <c r="L9" s="89">
        <v>2923.3</v>
      </c>
      <c r="M9" s="103">
        <f t="shared" ref="M9" si="4">+L9/L$19</f>
        <v>0.36270850807232091</v>
      </c>
      <c r="N9" s="89">
        <v>2665.3930001846816</v>
      </c>
      <c r="O9" s="103">
        <f t="shared" ref="O9" si="5">+N9/N$19</f>
        <v>0.34391761926714504</v>
      </c>
      <c r="P9" s="89">
        <v>3126.3653582746601</v>
      </c>
      <c r="Q9" s="103">
        <f t="shared" ref="Q9" si="6">+P9/P$19</f>
        <v>0.3488501810135764</v>
      </c>
      <c r="R9" s="236">
        <v>3106.3342727907766</v>
      </c>
      <c r="S9" s="103">
        <f t="shared" ref="S9" si="7">+R9/R$19</f>
        <v>0.366613807136631</v>
      </c>
      <c r="T9" s="41">
        <v>2016.51</v>
      </c>
      <c r="U9" s="103">
        <f t="shared" ref="U9" si="8">+T9/T$19</f>
        <v>0.29113560369371499</v>
      </c>
      <c r="V9" s="89">
        <v>2757.5</v>
      </c>
      <c r="W9" s="82">
        <f t="shared" ref="W9:Y9" si="9">V9/V$19</f>
        <v>0.33945229695028428</v>
      </c>
      <c r="X9" s="89">
        <v>2554.12</v>
      </c>
      <c r="Y9" s="82">
        <f t="shared" si="9"/>
        <v>0.33302084216153494</v>
      </c>
      <c r="Z9" s="11">
        <f t="shared" ref="Z9:Z18" si="10">+P9+N9+L9+J9+H9+F9+D9+B9+R9+T9+V9+X9</f>
        <v>34524.895569993561</v>
      </c>
      <c r="AA9" s="49">
        <f t="shared" ref="AA9:AA18" si="11">+Z9/$Z$19</f>
        <v>0.35774734388250656</v>
      </c>
      <c r="AC9" s="84">
        <f t="shared" ref="AC9:AC17" si="12">+Z9/($Z$19-$Z$18)</f>
        <v>0.43275503571080892</v>
      </c>
    </row>
    <row r="10" spans="1:29" s="83" customFormat="1" x14ac:dyDescent="0.25">
      <c r="A10" s="81" t="s">
        <v>7</v>
      </c>
      <c r="B10" s="89">
        <v>1195.6077769896681</v>
      </c>
      <c r="C10" s="103">
        <f t="shared" si="0"/>
        <v>0.15117193307308066</v>
      </c>
      <c r="D10" s="89">
        <v>1487.1396017808277</v>
      </c>
      <c r="E10" s="103">
        <f t="shared" si="0"/>
        <v>0.17631483220482508</v>
      </c>
      <c r="F10" s="89">
        <v>1480.7610692418434</v>
      </c>
      <c r="G10" s="103">
        <f t="shared" ref="G10" si="13">+F10/F$19</f>
        <v>0.17503689364214733</v>
      </c>
      <c r="H10" s="89">
        <v>1620.1072560682878</v>
      </c>
      <c r="I10" s="103">
        <f t="shared" ref="I10" si="14">+H10/H$19</f>
        <v>0.21083417383444439</v>
      </c>
      <c r="J10" s="236">
        <v>1756.6196008974903</v>
      </c>
      <c r="K10" s="103">
        <f t="shared" ref="K10" si="15">+J10/J$19</f>
        <v>0.21808060082553299</v>
      </c>
      <c r="L10" s="89">
        <v>1962.39</v>
      </c>
      <c r="M10" s="103">
        <f t="shared" ref="M10" si="16">+L10/L$19</f>
        <v>0.24348357991175787</v>
      </c>
      <c r="N10" s="89">
        <v>1953.0069863291267</v>
      </c>
      <c r="O10" s="103">
        <f t="shared" ref="O10" si="17">+N10/N$19</f>
        <v>0.25199792792427816</v>
      </c>
      <c r="P10" s="89">
        <v>2234.105405947937</v>
      </c>
      <c r="Q10" s="103">
        <f t="shared" ref="Q10" si="18">+P10/P$19</f>
        <v>0.24928886612870335</v>
      </c>
      <c r="R10" s="236">
        <v>2028.7805272090791</v>
      </c>
      <c r="S10" s="103">
        <f t="shared" ref="S10" si="19">+R10/R$19</f>
        <v>0.23943944456967919</v>
      </c>
      <c r="T10" s="41">
        <v>1727.41</v>
      </c>
      <c r="U10" s="103">
        <f t="shared" ref="U10" si="20">+T10/T$19</f>
        <v>0.24939650841134448</v>
      </c>
      <c r="V10" s="89">
        <v>2198</v>
      </c>
      <c r="W10" s="82">
        <f t="shared" ref="W10:Y10" si="21">V10/V$19</f>
        <v>0.27057702581930182</v>
      </c>
      <c r="X10" s="89">
        <v>2047.55</v>
      </c>
      <c r="Y10" s="82">
        <f t="shared" si="21"/>
        <v>0.26697133469369133</v>
      </c>
      <c r="Z10" s="11">
        <f t="shared" si="10"/>
        <v>21691.478224464259</v>
      </c>
      <c r="AA10" s="49">
        <f t="shared" si="11"/>
        <v>0.22476733358845508</v>
      </c>
      <c r="AC10" s="84">
        <f t="shared" si="12"/>
        <v>0.27189355039807339</v>
      </c>
    </row>
    <row r="11" spans="1:29" s="83" customFormat="1" x14ac:dyDescent="0.25">
      <c r="A11" s="81" t="s">
        <v>20</v>
      </c>
      <c r="B11" s="89">
        <v>100.71036356868134</v>
      </c>
      <c r="C11" s="103">
        <f t="shared" si="0"/>
        <v>1.2733758205808224E-2</v>
      </c>
      <c r="D11" s="89">
        <v>88.58479984330009</v>
      </c>
      <c r="E11" s="103">
        <f t="shared" si="0"/>
        <v>1.0502587720457562E-2</v>
      </c>
      <c r="F11" s="89">
        <v>76.919414783428124</v>
      </c>
      <c r="G11" s="103">
        <f t="shared" ref="G11" si="22">+F11/F$19</f>
        <v>9.0924428688259739E-3</v>
      </c>
      <c r="H11" s="89">
        <v>64.290027187082615</v>
      </c>
      <c r="I11" s="103">
        <f t="shared" ref="I11" si="23">+H11/H$19</f>
        <v>8.366442849393179E-3</v>
      </c>
      <c r="J11" s="236">
        <v>66.466224254235087</v>
      </c>
      <c r="K11" s="103">
        <f t="shared" ref="K11" si="24">+J11/J$19</f>
        <v>8.2516408860304376E-3</v>
      </c>
      <c r="L11" s="237">
        <v>56.68</v>
      </c>
      <c r="M11" s="103">
        <f t="shared" ref="M11" si="25">+L11/L$19</f>
        <v>7.0325721744395539E-3</v>
      </c>
      <c r="N11" s="89">
        <v>62.040150015233898</v>
      </c>
      <c r="O11" s="103">
        <f t="shared" ref="O11" si="26">+N11/N$19</f>
        <v>8.0050861883172123E-3</v>
      </c>
      <c r="P11" s="237">
        <v>73.584837808492665</v>
      </c>
      <c r="Q11" s="103">
        <f t="shared" ref="Q11" si="27">+P11/P$19</f>
        <v>8.2108394405680778E-3</v>
      </c>
      <c r="R11" s="236">
        <v>61.577806898061553</v>
      </c>
      <c r="S11" s="103">
        <f t="shared" ref="S11" si="28">+R11/R$19</f>
        <v>7.2674967468136275E-3</v>
      </c>
      <c r="T11" s="41">
        <v>67.150000000000006</v>
      </c>
      <c r="U11" s="103">
        <f t="shared" ref="U11" si="29">+T11/T$19</f>
        <v>9.6948469325879687E-3</v>
      </c>
      <c r="V11" s="89">
        <v>71.569999999999993</v>
      </c>
      <c r="W11" s="82">
        <f t="shared" ref="W11:Y11" si="30">V11/V$19</f>
        <v>8.8103720372554283E-3</v>
      </c>
      <c r="X11" s="89">
        <v>65.61</v>
      </c>
      <c r="Y11" s="82">
        <f t="shared" si="30"/>
        <v>8.5546088101648727E-3</v>
      </c>
      <c r="Z11" s="11">
        <f t="shared" si="10"/>
        <v>855.18362435851543</v>
      </c>
      <c r="AA11" s="49">
        <f t="shared" si="11"/>
        <v>8.8614220288032921E-3</v>
      </c>
      <c r="AC11" s="84">
        <f t="shared" si="12"/>
        <v>1.0719366815991714E-2</v>
      </c>
    </row>
    <row r="12" spans="1:29" s="83" customFormat="1" x14ac:dyDescent="0.25">
      <c r="A12" s="81" t="s">
        <v>85</v>
      </c>
      <c r="B12" s="89">
        <v>95.097772597330646</v>
      </c>
      <c r="C12" s="103">
        <f t="shared" si="0"/>
        <v>1.2024105556321539E-2</v>
      </c>
      <c r="D12" s="89">
        <v>84.860400001531929</v>
      </c>
      <c r="E12" s="103">
        <f t="shared" si="0"/>
        <v>1.0061023974607017E-2</v>
      </c>
      <c r="F12" s="89">
        <v>60.264720929343454</v>
      </c>
      <c r="G12" s="103">
        <f t="shared" ref="G12" si="31">+F12/F$19</f>
        <v>7.123735062189396E-3</v>
      </c>
      <c r="H12" s="89">
        <v>67.11697523154433</v>
      </c>
      <c r="I12" s="103">
        <f t="shared" ref="I12" si="32">+H12/H$19</f>
        <v>8.7343303785641872E-3</v>
      </c>
      <c r="J12" s="236">
        <v>67.431594832948349</v>
      </c>
      <c r="K12" s="103">
        <f t="shared" ref="K12" si="33">+J12/J$19</f>
        <v>8.3714895975656595E-3</v>
      </c>
      <c r="L12" s="237">
        <v>68.790000000000006</v>
      </c>
      <c r="M12" s="103">
        <f t="shared" ref="M12" si="34">+L12/L$19</f>
        <v>8.5351206753651546E-3</v>
      </c>
      <c r="N12" s="89">
        <v>91.398007612257189</v>
      </c>
      <c r="O12" s="103">
        <f t="shared" ref="O12" si="35">+N12/N$19</f>
        <v>1.1793152147390615E-2</v>
      </c>
      <c r="P12" s="237">
        <v>113.5485003637372</v>
      </c>
      <c r="Q12" s="103">
        <f t="shared" ref="Q12" si="36">+P12/P$19</f>
        <v>1.2670117010114943E-2</v>
      </c>
      <c r="R12" s="236">
        <v>95.009637703694708</v>
      </c>
      <c r="S12" s="103">
        <f t="shared" ref="S12" si="37">+R12/R$19</f>
        <v>1.1213167011137559E-2</v>
      </c>
      <c r="T12" s="41">
        <v>104.19</v>
      </c>
      <c r="U12" s="103">
        <f t="shared" ref="U12" si="38">+T12/T$19</f>
        <v>1.5042533163162179E-2</v>
      </c>
      <c r="V12" s="89">
        <v>88.68</v>
      </c>
      <c r="W12" s="82">
        <f t="shared" ref="W12:Y12" si="39">V12/V$19</f>
        <v>1.0916638148160004E-2</v>
      </c>
      <c r="X12" s="89">
        <v>87.24</v>
      </c>
      <c r="Y12" s="82">
        <f t="shared" si="39"/>
        <v>1.1374852501124577E-2</v>
      </c>
      <c r="Z12" s="11">
        <f t="shared" si="10"/>
        <v>1023.6276092723879</v>
      </c>
      <c r="AA12" s="49">
        <f t="shared" si="11"/>
        <v>1.0606840434885211E-2</v>
      </c>
      <c r="AC12" s="84">
        <f t="shared" si="12"/>
        <v>1.2830741275007563E-2</v>
      </c>
    </row>
    <row r="13" spans="1:29" s="83" customFormat="1" x14ac:dyDescent="0.25">
      <c r="A13" s="81" t="s">
        <v>10</v>
      </c>
      <c r="B13" s="89">
        <v>1769.6733335831202</v>
      </c>
      <c r="C13" s="103">
        <f t="shared" si="0"/>
        <v>0.22375643910515883</v>
      </c>
      <c r="D13" s="89">
        <v>2001.3847407470928</v>
      </c>
      <c r="E13" s="103">
        <f t="shared" si="0"/>
        <v>0.23728358408286609</v>
      </c>
      <c r="F13" s="89">
        <v>2012.5636535838159</v>
      </c>
      <c r="G13" s="103">
        <f t="shared" ref="G13" si="40">+F13/F$19</f>
        <v>0.237899886415009</v>
      </c>
      <c r="H13" s="89">
        <v>1537.2985091394974</v>
      </c>
      <c r="I13" s="103">
        <f t="shared" ref="I13" si="41">+H13/H$19</f>
        <v>0.20005778006199329</v>
      </c>
      <c r="J13" s="236">
        <v>1566.7616089805465</v>
      </c>
      <c r="K13" s="103">
        <f t="shared" ref="K13" si="42">+J13/J$19</f>
        <v>0.19451013347584498</v>
      </c>
      <c r="L13" s="237">
        <v>1562.51</v>
      </c>
      <c r="M13" s="103">
        <f t="shared" ref="M13" si="43">+L13/L$19</f>
        <v>0.19386846062603294</v>
      </c>
      <c r="N13" s="89">
        <v>1449.8711917586763</v>
      </c>
      <c r="O13" s="103">
        <f t="shared" ref="O13" si="44">+N13/N$19</f>
        <v>0.18707794628376093</v>
      </c>
      <c r="P13" s="237">
        <v>1791.0706373089938</v>
      </c>
      <c r="Q13" s="103">
        <f t="shared" ref="Q13" si="45">+P13/P$19</f>
        <v>0.19985358217318513</v>
      </c>
      <c r="R13" s="236">
        <v>1529.4147399434135</v>
      </c>
      <c r="S13" s="103">
        <f t="shared" ref="S13" si="46">+R13/R$19</f>
        <v>0.18050361334673423</v>
      </c>
      <c r="T13" s="41">
        <v>1461.5</v>
      </c>
      <c r="U13" s="103">
        <f t="shared" ref="U13" si="47">+T13/T$19</f>
        <v>0.2110054920622087</v>
      </c>
      <c r="V13" s="89">
        <v>1535.11</v>
      </c>
      <c r="W13" s="82">
        <f t="shared" ref="W13:Y13" si="48">V13/V$19</f>
        <v>0.18897429395153251</v>
      </c>
      <c r="X13" s="89">
        <v>1521.87</v>
      </c>
      <c r="Y13" s="82">
        <f t="shared" si="48"/>
        <v>0.19843015561538813</v>
      </c>
      <c r="Z13" s="11">
        <f t="shared" si="10"/>
        <v>19739.028415045155</v>
      </c>
      <c r="AA13" s="49">
        <f t="shared" si="11"/>
        <v>0.20453602740050356</v>
      </c>
      <c r="AC13" s="84">
        <f t="shared" si="12"/>
        <v>0.24742041375133786</v>
      </c>
    </row>
    <row r="14" spans="1:29" s="83" customFormat="1" x14ac:dyDescent="0.25">
      <c r="A14" s="81" t="s">
        <v>11</v>
      </c>
      <c r="B14" s="89">
        <v>25.927860512504214</v>
      </c>
      <c r="C14" s="103">
        <f t="shared" si="0"/>
        <v>3.2783031940401379E-3</v>
      </c>
      <c r="D14" s="89">
        <v>18.648232757613346</v>
      </c>
      <c r="E14" s="103">
        <f t="shared" si="0"/>
        <v>2.2109289710514307E-3</v>
      </c>
      <c r="F14" s="89">
        <v>8.2913356036318966</v>
      </c>
      <c r="G14" s="103">
        <f t="shared" ref="G14" si="49">+F14/F$19</f>
        <v>9.8009709895150918E-4</v>
      </c>
      <c r="H14" s="89">
        <v>41.326943836601352</v>
      </c>
      <c r="I14" s="103">
        <f t="shared" ref="I14" si="50">+H14/H$19</f>
        <v>5.3781205091553942E-3</v>
      </c>
      <c r="J14" s="236">
        <v>41.497666191062876</v>
      </c>
      <c r="K14" s="103">
        <f t="shared" ref="K14" si="51">+J14/J$19</f>
        <v>5.1518473158221993E-3</v>
      </c>
      <c r="L14" s="237">
        <v>56.48</v>
      </c>
      <c r="M14" s="103">
        <f t="shared" ref="M14" si="52">+L14/L$19</f>
        <v>7.0077571702954478E-3</v>
      </c>
      <c r="N14" s="89">
        <v>109.5618033851471</v>
      </c>
      <c r="O14" s="103">
        <f t="shared" ref="O14" si="53">+N14/N$19</f>
        <v>1.4136840075825219E-2</v>
      </c>
      <c r="P14" s="237">
        <v>88.409173741205223</v>
      </c>
      <c r="Q14" s="103">
        <f t="shared" ref="Q14" si="54">+P14/P$19</f>
        <v>9.8649878464302787E-3</v>
      </c>
      <c r="R14" s="236">
        <v>110.43763392667425</v>
      </c>
      <c r="S14" s="103">
        <f t="shared" ref="S14" si="55">+R14/R$19</f>
        <v>1.3034000165296E-2</v>
      </c>
      <c r="T14" s="41">
        <v>123.92</v>
      </c>
      <c r="U14" s="103">
        <f t="shared" ref="U14" si="56">+T14/T$19</f>
        <v>1.7891071212007462E-2</v>
      </c>
      <c r="V14" s="89">
        <v>147.19</v>
      </c>
      <c r="W14" s="82">
        <f t="shared" ref="W14:Y14" si="57">V14/V$19</f>
        <v>1.8119305018354431E-2</v>
      </c>
      <c r="X14" s="89">
        <v>135.91999999999999</v>
      </c>
      <c r="Y14" s="82">
        <f t="shared" si="57"/>
        <v>1.7722030627611789E-2</v>
      </c>
      <c r="Z14" s="11">
        <f t="shared" si="10"/>
        <v>907.61064995444019</v>
      </c>
      <c r="AA14" s="49">
        <f t="shared" si="11"/>
        <v>9.4046714389739404E-3</v>
      </c>
      <c r="AC14" s="84">
        <f t="shared" si="12"/>
        <v>1.1376517517229307E-2</v>
      </c>
    </row>
    <row r="15" spans="1:29" s="83" customFormat="1" x14ac:dyDescent="0.25">
      <c r="A15" s="81" t="s">
        <v>21</v>
      </c>
      <c r="B15" s="89">
        <v>23.152944366909381</v>
      </c>
      <c r="C15" s="103">
        <f t="shared" si="0"/>
        <v>2.9274444543107305E-3</v>
      </c>
      <c r="D15" s="89">
        <v>24.839372503200384</v>
      </c>
      <c r="E15" s="103">
        <f t="shared" si="0"/>
        <v>2.9449486717524538E-3</v>
      </c>
      <c r="F15" s="89">
        <v>29.416511720534515</v>
      </c>
      <c r="G15" s="103">
        <f t="shared" ref="G15" si="58">+F15/F$19</f>
        <v>3.4772489230733756E-3</v>
      </c>
      <c r="H15" s="89">
        <v>6.6984753521066445</v>
      </c>
      <c r="I15" s="103">
        <f t="shared" ref="I15" si="59">+H15/H$19</f>
        <v>8.7171235825405497E-4</v>
      </c>
      <c r="J15" s="236">
        <v>9.3173991872673803</v>
      </c>
      <c r="K15" s="103">
        <f t="shared" ref="K15" si="60">+J15/J$19</f>
        <v>1.1567353636794467E-3</v>
      </c>
      <c r="L15" s="237">
        <v>34.19</v>
      </c>
      <c r="M15" s="103">
        <f t="shared" ref="M15" si="61">+L15/L$19</f>
        <v>4.2421249584348678E-3</v>
      </c>
      <c r="N15" s="89">
        <v>32.013335209823431</v>
      </c>
      <c r="O15" s="103">
        <f t="shared" ref="O15" si="62">+N15/N$19</f>
        <v>4.1307041886133409E-3</v>
      </c>
      <c r="P15" s="237">
        <v>44.643614450800875</v>
      </c>
      <c r="Q15" s="103">
        <f t="shared" ref="Q15" si="63">+P15/P$19</f>
        <v>4.9814820718385106E-3</v>
      </c>
      <c r="R15" s="236">
        <v>22.174086329778177</v>
      </c>
      <c r="S15" s="103">
        <f t="shared" ref="S15" si="64">+R15/R$19</f>
        <v>2.617015908539938E-3</v>
      </c>
      <c r="T15" s="41">
        <v>48.62</v>
      </c>
      <c r="U15" s="103">
        <f t="shared" ref="U15" si="65">+T15/T$19</f>
        <v>7.0195600575193888E-3</v>
      </c>
      <c r="V15" s="89">
        <v>33.869999999999997</v>
      </c>
      <c r="W15" s="82">
        <f t="shared" ref="W15:Y15" si="66">V15/V$19</f>
        <v>4.1694467081436542E-3</v>
      </c>
      <c r="X15" s="89">
        <v>39.71</v>
      </c>
      <c r="Y15" s="82">
        <f t="shared" si="66"/>
        <v>5.1776179828021207E-3</v>
      </c>
      <c r="Z15" s="11">
        <f t="shared" si="10"/>
        <v>348.64573912042079</v>
      </c>
      <c r="AA15" s="49">
        <f t="shared" si="11"/>
        <v>3.6126709456201001E-3</v>
      </c>
      <c r="AC15" s="84">
        <f t="shared" si="12"/>
        <v>4.3701276077026292E-3</v>
      </c>
    </row>
    <row r="16" spans="1:29" s="83" customFormat="1" x14ac:dyDescent="0.25">
      <c r="A16" s="81" t="s">
        <v>22</v>
      </c>
      <c r="B16" s="89">
        <v>33.259188621604089</v>
      </c>
      <c r="C16" s="103">
        <f t="shared" si="0"/>
        <v>4.2052719404597413E-3</v>
      </c>
      <c r="D16" s="89">
        <v>29.380307216258764</v>
      </c>
      <c r="E16" s="103">
        <f t="shared" si="0"/>
        <v>3.4833205509137689E-3</v>
      </c>
      <c r="F16" s="89">
        <v>33.084760353496705</v>
      </c>
      <c r="G16" s="103">
        <f t="shared" ref="G16" si="67">+F16/F$19</f>
        <v>3.9108630011025223E-3</v>
      </c>
      <c r="H16" s="89">
        <v>35.929299807174282</v>
      </c>
      <c r="I16" s="103">
        <f t="shared" ref="I16" si="68">+H16/H$19</f>
        <v>4.6756930523718107E-3</v>
      </c>
      <c r="J16" s="236">
        <v>34.978046405905566</v>
      </c>
      <c r="K16" s="103">
        <f t="shared" ref="K16" si="69">+J16/J$19</f>
        <v>4.34245033586438E-3</v>
      </c>
      <c r="L16" s="237">
        <v>39.479999999999997</v>
      </c>
      <c r="M16" s="103">
        <f t="shared" ref="M16" si="70">+L16/L$19</f>
        <v>4.8984818180464636E-3</v>
      </c>
      <c r="N16" s="89">
        <v>32.01262287999667</v>
      </c>
      <c r="O16" s="103">
        <f t="shared" ref="O16" si="71">+N16/N$19</f>
        <v>4.1306122761718602E-3</v>
      </c>
      <c r="P16" s="237">
        <v>34.686971887482585</v>
      </c>
      <c r="Q16" s="103">
        <f t="shared" ref="Q16" si="72">+P16/P$19</f>
        <v>3.8704869825064341E-3</v>
      </c>
      <c r="R16" s="236">
        <v>32.982777433236606</v>
      </c>
      <c r="S16" s="103">
        <f t="shared" ref="S16" si="73">+R16/R$19</f>
        <v>3.8926723729173713E-3</v>
      </c>
      <c r="T16" s="41">
        <v>16.010000000000002</v>
      </c>
      <c r="U16" s="103">
        <f t="shared" ref="U16" si="74">+T16/T$19</f>
        <v>2.3114594101375039E-3</v>
      </c>
      <c r="V16" s="89">
        <v>33.04</v>
      </c>
      <c r="W16" s="82">
        <f t="shared" ref="W16:Y16" si="75">V16/V$19</f>
        <v>4.067272490022626E-3</v>
      </c>
      <c r="X16" s="89">
        <v>35.159999999999997</v>
      </c>
      <c r="Y16" s="82">
        <f t="shared" si="75"/>
        <v>4.5843628374546098E-3</v>
      </c>
      <c r="Z16" s="11">
        <f t="shared" si="10"/>
        <v>390.00397460515524</v>
      </c>
      <c r="AA16" s="49">
        <f t="shared" si="11"/>
        <v>4.0412254321162263E-3</v>
      </c>
      <c r="AC16" s="84">
        <f t="shared" si="12"/>
        <v>4.8885356833432078E-3</v>
      </c>
    </row>
    <row r="17" spans="1:29" s="83" customFormat="1" x14ac:dyDescent="0.25">
      <c r="A17" s="81" t="s">
        <v>23</v>
      </c>
      <c r="B17" s="89">
        <v>28.617288890249075</v>
      </c>
      <c r="C17" s="103">
        <f t="shared" si="0"/>
        <v>3.6183529114725155E-3</v>
      </c>
      <c r="D17" s="89">
        <v>35.417926730517053</v>
      </c>
      <c r="E17" s="103">
        <f t="shared" si="0"/>
        <v>4.1991389383054288E-3</v>
      </c>
      <c r="F17" s="89">
        <v>35.019743027331444</v>
      </c>
      <c r="G17" s="103">
        <f t="shared" ref="G17" si="76">+F17/F$19</f>
        <v>4.1395922427841809E-3</v>
      </c>
      <c r="H17" s="89">
        <v>44.401449478176964</v>
      </c>
      <c r="I17" s="103">
        <f t="shared" ref="I17" si="77">+H17/H$19</f>
        <v>5.7782241778865781E-3</v>
      </c>
      <c r="J17" s="236">
        <v>41.194301012539157</v>
      </c>
      <c r="K17" s="103">
        <f t="shared" ref="K17" si="78">+J17/J$19</f>
        <v>5.1141851717995575E-3</v>
      </c>
      <c r="L17" s="237">
        <v>19.84</v>
      </c>
      <c r="M17" s="103">
        <f t="shared" ref="M17" si="79">+L17/L$19</f>
        <v>2.4616484110952849E-3</v>
      </c>
      <c r="N17" s="89">
        <v>19.530775790629662</v>
      </c>
      <c r="O17" s="103">
        <f t="shared" ref="O17" si="80">+N17/N$19</f>
        <v>2.5200703655664791E-3</v>
      </c>
      <c r="P17" s="237">
        <v>6.0321860242904553</v>
      </c>
      <c r="Q17" s="103">
        <f t="shared" ref="Q17" si="81">+P17/P$19</f>
        <v>6.7309125624479232E-4</v>
      </c>
      <c r="R17" s="236">
        <v>21.376564958822009</v>
      </c>
      <c r="S17" s="103">
        <f t="shared" ref="S17" si="82">+R17/R$19</f>
        <v>2.5228913487203067E-3</v>
      </c>
      <c r="T17" s="41">
        <v>3.04</v>
      </c>
      <c r="U17" s="103">
        <f t="shared" ref="U17" si="83">+T17/T$19</f>
        <v>4.389029735676459E-4</v>
      </c>
      <c r="V17" s="89">
        <v>22.28</v>
      </c>
      <c r="W17" s="82">
        <f t="shared" ref="W17:Y17" si="84">V17/V$19</f>
        <v>2.7427006984777277E-3</v>
      </c>
      <c r="X17" s="89">
        <v>22.08</v>
      </c>
      <c r="Y17" s="82">
        <f t="shared" si="84"/>
        <v>2.8789172767633045E-3</v>
      </c>
      <c r="Z17" s="11">
        <f t="shared" si="10"/>
        <v>298.83023591255579</v>
      </c>
      <c r="AA17" s="49">
        <f t="shared" si="11"/>
        <v>3.0964821588747703E-3</v>
      </c>
      <c r="AC17" s="84">
        <f t="shared" si="12"/>
        <v>3.745711240505619E-3</v>
      </c>
    </row>
    <row r="18" spans="1:29" s="83" customFormat="1" ht="17.25" x14ac:dyDescent="0.4">
      <c r="A18" s="81" t="s">
        <v>24</v>
      </c>
      <c r="B18" s="90">
        <v>1510.4638859975864</v>
      </c>
      <c r="C18" s="238">
        <f t="shared" si="0"/>
        <v>0.19098215140273855</v>
      </c>
      <c r="D18" s="90">
        <v>1656.2024850796681</v>
      </c>
      <c r="E18" s="238">
        <f t="shared" si="0"/>
        <v>0.19635887774379399</v>
      </c>
      <c r="F18" s="90">
        <v>1409.8474139143284</v>
      </c>
      <c r="G18" s="238">
        <f t="shared" ref="G18" si="85">+F18/F$19</f>
        <v>0.16665437589288384</v>
      </c>
      <c r="H18" s="90">
        <v>1482.5346060966974</v>
      </c>
      <c r="I18" s="238">
        <f t="shared" ref="I18" si="86">+H18/H$19</f>
        <v>0.19293102829248471</v>
      </c>
      <c r="J18" s="239">
        <v>1327.9068859442862</v>
      </c>
      <c r="K18" s="238">
        <f t="shared" ref="K18" si="87">+J18/J$19</f>
        <v>0.16485682579150035</v>
      </c>
      <c r="L18" s="240">
        <v>1335.98</v>
      </c>
      <c r="M18" s="238">
        <f t="shared" ref="M18" si="88">+L18/L$19</f>
        <v>0.16576174618221162</v>
      </c>
      <c r="N18" s="90">
        <v>1335.2635756656186</v>
      </c>
      <c r="O18" s="238">
        <f t="shared" ref="O18" si="89">+N18/N$19</f>
        <v>0.17229004128293129</v>
      </c>
      <c r="P18" s="240">
        <v>1449.4674206752341</v>
      </c>
      <c r="Q18" s="238">
        <f t="shared" ref="Q18" si="90">+P18/P$19</f>
        <v>0.1617363660768322</v>
      </c>
      <c r="R18" s="239">
        <v>1464.9541905012823</v>
      </c>
      <c r="S18" s="238">
        <f t="shared" ref="S18" si="91">+R18/R$19</f>
        <v>0.17289589139353076</v>
      </c>
      <c r="T18" s="43">
        <f>1357.8+0.21</f>
        <v>1358.01</v>
      </c>
      <c r="U18" s="238">
        <f t="shared" ref="U18" si="92">+T18/T$19</f>
        <v>0.1960640220837496</v>
      </c>
      <c r="V18" s="90">
        <f>0.22+1235.92</f>
        <v>1236.1400000000001</v>
      </c>
      <c r="W18" s="86">
        <f t="shared" ref="W18:Y18" si="93">V18/V$19</f>
        <v>0.15217064817846762</v>
      </c>
      <c r="X18" s="90">
        <f>1160.05+0.24</f>
        <v>1160.29</v>
      </c>
      <c r="Y18" s="85">
        <f t="shared" si="93"/>
        <v>0.15128527749346443</v>
      </c>
      <c r="Z18" s="77">
        <f t="shared" si="10"/>
        <v>16727.060463874703</v>
      </c>
      <c r="AA18" s="100">
        <f t="shared" si="11"/>
        <v>0.17332598268926144</v>
      </c>
      <c r="AC18" s="84"/>
    </row>
    <row r="19" spans="1:29" x14ac:dyDescent="0.25">
      <c r="A19" s="12"/>
      <c r="B19" s="71">
        <f t="shared" ref="B19:P19" si="94">SUM(B8:B18)</f>
        <v>7908.9269594222797</v>
      </c>
      <c r="C19" s="72">
        <f t="shared" si="94"/>
        <v>0.99999999999999967</v>
      </c>
      <c r="D19" s="71">
        <f t="shared" si="94"/>
        <v>8434.5689082652807</v>
      </c>
      <c r="E19" s="72">
        <f t="shared" ref="E19" si="95">SUM(E8:E18)</f>
        <v>0.99999999999999989</v>
      </c>
      <c r="F19" s="71">
        <f t="shared" si="94"/>
        <v>8459.7083416549467</v>
      </c>
      <c r="G19" s="72">
        <f t="shared" ref="G19" si="96">SUM(G8:G18)</f>
        <v>1.0000000000000002</v>
      </c>
      <c r="H19" s="71">
        <f t="shared" si="94"/>
        <v>7684.2725569739105</v>
      </c>
      <c r="I19" s="72">
        <f t="shared" ref="I19" si="97">SUM(I8:I18)</f>
        <v>0.99999999999999978</v>
      </c>
      <c r="J19" s="71">
        <f t="shared" si="94"/>
        <v>8054.909947275899</v>
      </c>
      <c r="K19" s="72">
        <f t="shared" ref="K19" si="98">SUM(K8:K18)</f>
        <v>1</v>
      </c>
      <c r="L19" s="71">
        <f t="shared" si="94"/>
        <v>8059.6399999999994</v>
      </c>
      <c r="M19" s="72">
        <f t="shared" ref="M19" si="99">SUM(M8:M18)</f>
        <v>1</v>
      </c>
      <c r="N19" s="71">
        <f t="shared" si="94"/>
        <v>7750.0914488311901</v>
      </c>
      <c r="O19" s="72">
        <f t="shared" ref="O19" si="100">SUM(O8:O18)</f>
        <v>1.0000000000000002</v>
      </c>
      <c r="P19" s="71">
        <f t="shared" si="94"/>
        <v>8961.9141064828327</v>
      </c>
      <c r="Q19" s="72">
        <f t="shared" ref="Q19" si="101">SUM(Q8:Q18)</f>
        <v>1.0000000000000002</v>
      </c>
      <c r="R19" s="71">
        <f>SUM(R8:R18)</f>
        <v>8473.0422376948191</v>
      </c>
      <c r="S19" s="72">
        <f t="shared" ref="S19" si="102">SUM(S8:S18)</f>
        <v>0.99999999999999989</v>
      </c>
      <c r="T19" s="71">
        <f>SUM(T8:T18)</f>
        <v>6926.3600000000006</v>
      </c>
      <c r="U19" s="72">
        <f t="shared" ref="U19" si="103">SUM(U8:U18)</f>
        <v>1</v>
      </c>
      <c r="V19" s="80">
        <f>SUM(V8:V18)</f>
        <v>8123.3799999999992</v>
      </c>
      <c r="W19" s="51">
        <f t="shared" ref="W19" si="104">SUM(W8:W18)</f>
        <v>1.0000000000000002</v>
      </c>
      <c r="X19" s="80">
        <f>SUM(X8:X18)</f>
        <v>7669.5499999999993</v>
      </c>
      <c r="Y19" s="51">
        <f t="shared" ref="Y19" si="105">SUM(Y8:Y18)</f>
        <v>1</v>
      </c>
      <c r="Z19" s="50">
        <f t="shared" ref="Z19:AA19" si="106">SUM(Z8:Z18)</f>
        <v>96506.364506601138</v>
      </c>
      <c r="AA19" s="51">
        <f t="shared" si="106"/>
        <v>1.0000000000000002</v>
      </c>
      <c r="AC19" s="52">
        <f>SUM(AC8:AC18)</f>
        <v>1.0000000000000002</v>
      </c>
    </row>
    <row r="20" spans="1:29" x14ac:dyDescent="0.25">
      <c r="V20" s="20"/>
      <c r="W20" s="20"/>
      <c r="X20" s="20"/>
    </row>
    <row r="21" spans="1:29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</sheetData>
  <pageMargins left="0.2" right="0" top="0.75" bottom="0.5" header="0.3" footer="0.3"/>
  <pageSetup scale="48" orientation="landscape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workbookViewId="0">
      <selection activeCell="E20" sqref="E20"/>
    </sheetView>
  </sheetViews>
  <sheetFormatPr defaultRowHeight="15" x14ac:dyDescent="0.25"/>
  <cols>
    <col min="1" max="1" width="4.140625" style="15" customWidth="1"/>
    <col min="2" max="2" width="21.140625" style="15" bestFit="1" customWidth="1"/>
    <col min="3" max="3" width="8" style="22" bestFit="1" customWidth="1"/>
    <col min="4" max="4" width="8" style="15" bestFit="1" customWidth="1"/>
    <col min="5" max="10" width="9.7109375" style="15" bestFit="1" customWidth="1"/>
    <col min="11" max="11" width="9.85546875" style="15" bestFit="1" customWidth="1"/>
    <col min="12" max="13" width="9.7109375" style="15" bestFit="1" customWidth="1"/>
    <col min="14" max="14" width="9.5703125" style="15" bestFit="1" customWidth="1"/>
    <col min="15" max="15" width="9.5703125" style="20" bestFit="1" customWidth="1"/>
    <col min="16" max="16" width="7" style="15" bestFit="1" customWidth="1"/>
    <col min="17" max="17" width="9.5703125" style="15" bestFit="1" customWidth="1"/>
    <col min="18" max="18" width="10.5703125" style="15" bestFit="1" customWidth="1"/>
    <col min="19" max="19" width="9.140625" style="15"/>
    <col min="20" max="20" width="12.7109375" style="15" customWidth="1"/>
    <col min="21" max="16384" width="9.140625" style="15"/>
  </cols>
  <sheetData>
    <row r="1" spans="1:18" s="47" customFormat="1" ht="21" x14ac:dyDescent="0.35">
      <c r="A1" s="47" t="s">
        <v>72</v>
      </c>
      <c r="C1" s="48"/>
    </row>
    <row r="2" spans="1:18" s="47" customFormat="1" ht="21" x14ac:dyDescent="0.35">
      <c r="A2" s="46" t="s">
        <v>108</v>
      </c>
      <c r="C2" s="48"/>
    </row>
    <row r="3" spans="1:18" s="47" customFormat="1" ht="21" x14ac:dyDescent="0.35">
      <c r="C3" s="48"/>
    </row>
    <row r="4" spans="1:18" x14ac:dyDescent="0.25">
      <c r="A4" s="20"/>
      <c r="B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P4" s="20"/>
      <c r="Q4" s="20"/>
    </row>
    <row r="5" spans="1:18" x14ac:dyDescent="0.25">
      <c r="A5" s="20"/>
      <c r="B5" s="20"/>
      <c r="C5" s="53">
        <v>43952</v>
      </c>
      <c r="D5" s="53">
        <v>43983</v>
      </c>
      <c r="E5" s="53">
        <v>44013</v>
      </c>
      <c r="F5" s="53">
        <v>44044</v>
      </c>
      <c r="G5" s="53">
        <v>44075</v>
      </c>
      <c r="H5" s="53">
        <v>44105</v>
      </c>
      <c r="I5" s="53">
        <v>44136</v>
      </c>
      <c r="J5" s="53">
        <v>44166</v>
      </c>
      <c r="K5" s="53">
        <v>44197</v>
      </c>
      <c r="L5" s="53">
        <v>44228</v>
      </c>
      <c r="M5" s="53">
        <v>44256</v>
      </c>
      <c r="N5" s="53">
        <v>44287</v>
      </c>
      <c r="O5" s="53" t="s">
        <v>16</v>
      </c>
      <c r="P5" s="26" t="s">
        <v>82</v>
      </c>
      <c r="Q5" s="20"/>
    </row>
    <row r="6" spans="1:18" x14ac:dyDescent="0.25">
      <c r="A6" s="21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20"/>
      <c r="Q6" s="20"/>
    </row>
    <row r="7" spans="1:18" s="20" customFormat="1" x14ac:dyDescent="0.25">
      <c r="A7" s="21"/>
      <c r="B7" s="20" t="s">
        <v>80</v>
      </c>
      <c r="C7" s="22">
        <v>6729</v>
      </c>
      <c r="D7" s="22">
        <v>6730</v>
      </c>
      <c r="E7" s="22">
        <v>6732</v>
      </c>
      <c r="F7" s="22">
        <v>6741</v>
      </c>
      <c r="G7" s="22">
        <v>6738</v>
      </c>
      <c r="H7" s="22">
        <v>6741</v>
      </c>
      <c r="I7" s="22">
        <v>6744</v>
      </c>
      <c r="J7" s="22">
        <v>6745</v>
      </c>
      <c r="K7" s="22">
        <v>6747</v>
      </c>
      <c r="L7" s="94">
        <v>6755</v>
      </c>
      <c r="M7" s="94">
        <v>6758</v>
      </c>
      <c r="N7" s="94">
        <f>+M7</f>
        <v>6758</v>
      </c>
      <c r="O7" s="25">
        <f t="shared" ref="O7:O12" si="0">SUM(C7:N7)</f>
        <v>80918</v>
      </c>
      <c r="P7" s="78">
        <f t="shared" ref="P7:P13" si="1">+O7/$O$23</f>
        <v>0.19733209774179389</v>
      </c>
    </row>
    <row r="8" spans="1:18" x14ac:dyDescent="0.25">
      <c r="A8" s="20"/>
      <c r="B8" s="20" t="s">
        <v>27</v>
      </c>
      <c r="C8" s="22">
        <v>2290</v>
      </c>
      <c r="D8" s="22">
        <v>2295</v>
      </c>
      <c r="E8" s="22">
        <v>2305</v>
      </c>
      <c r="F8" s="22">
        <v>2310</v>
      </c>
      <c r="G8" s="22">
        <v>2303</v>
      </c>
      <c r="H8" s="22">
        <v>2290</v>
      </c>
      <c r="I8" s="22">
        <v>2296</v>
      </c>
      <c r="J8" s="22">
        <v>2298</v>
      </c>
      <c r="K8" s="22">
        <v>2297</v>
      </c>
      <c r="L8" s="94">
        <v>2293</v>
      </c>
      <c r="M8" s="94">
        <v>2297</v>
      </c>
      <c r="N8" s="94">
        <v>2308</v>
      </c>
      <c r="O8" s="25">
        <f t="shared" si="0"/>
        <v>27582</v>
      </c>
      <c r="P8" s="78">
        <f t="shared" si="1"/>
        <v>6.7263327317953467E-2</v>
      </c>
      <c r="Q8" s="20"/>
    </row>
    <row r="9" spans="1:18" x14ac:dyDescent="0.25">
      <c r="A9" s="20"/>
      <c r="B9" s="20" t="s">
        <v>28</v>
      </c>
      <c r="C9" s="22">
        <v>494</v>
      </c>
      <c r="D9" s="22">
        <v>498</v>
      </c>
      <c r="E9" s="22">
        <v>502</v>
      </c>
      <c r="F9" s="22">
        <v>498</v>
      </c>
      <c r="G9" s="22">
        <v>503</v>
      </c>
      <c r="H9" s="22">
        <v>503</v>
      </c>
      <c r="I9" s="22">
        <v>507</v>
      </c>
      <c r="J9" s="22">
        <v>507</v>
      </c>
      <c r="K9" s="22">
        <v>508</v>
      </c>
      <c r="L9" s="94">
        <v>499</v>
      </c>
      <c r="M9" s="94">
        <v>500</v>
      </c>
      <c r="N9" s="94">
        <v>498</v>
      </c>
      <c r="O9" s="25">
        <f t="shared" si="0"/>
        <v>6017</v>
      </c>
      <c r="P9" s="78">
        <f t="shared" si="1"/>
        <v>1.467346242013364E-2</v>
      </c>
      <c r="Q9" s="20"/>
    </row>
    <row r="10" spans="1:18" x14ac:dyDescent="0.25">
      <c r="A10" s="20"/>
      <c r="B10" s="20" t="s">
        <v>29</v>
      </c>
      <c r="C10" s="22">
        <v>9618</v>
      </c>
      <c r="D10" s="22">
        <v>9622</v>
      </c>
      <c r="E10" s="22">
        <v>9640</v>
      </c>
      <c r="F10" s="22">
        <v>9654</v>
      </c>
      <c r="G10" s="22">
        <v>9666</v>
      </c>
      <c r="H10" s="22">
        <v>9675</v>
      </c>
      <c r="I10" s="22">
        <v>9664</v>
      </c>
      <c r="J10" s="22">
        <v>9670</v>
      </c>
      <c r="K10" s="22">
        <v>9659</v>
      </c>
      <c r="L10" s="94">
        <v>9677</v>
      </c>
      <c r="M10" s="94">
        <v>9695</v>
      </c>
      <c r="N10" s="94">
        <v>9604</v>
      </c>
      <c r="O10" s="25">
        <f t="shared" si="0"/>
        <v>115844</v>
      </c>
      <c r="P10" s="78">
        <f t="shared" si="1"/>
        <v>0.28250499926839973</v>
      </c>
      <c r="Q10" s="20"/>
    </row>
    <row r="11" spans="1:18" x14ac:dyDescent="0.25">
      <c r="A11" s="20"/>
      <c r="B11" s="20" t="s">
        <v>30</v>
      </c>
      <c r="C11" s="22">
        <v>1922</v>
      </c>
      <c r="D11" s="22">
        <v>1931</v>
      </c>
      <c r="E11" s="22">
        <v>1948</v>
      </c>
      <c r="F11" s="22">
        <v>1957</v>
      </c>
      <c r="G11" s="22">
        <v>1950</v>
      </c>
      <c r="H11" s="22">
        <v>1949</v>
      </c>
      <c r="I11" s="22">
        <v>1953</v>
      </c>
      <c r="J11" s="22">
        <v>2013</v>
      </c>
      <c r="K11" s="22">
        <v>2021</v>
      </c>
      <c r="L11" s="94">
        <v>2031</v>
      </c>
      <c r="M11" s="94">
        <v>2047</v>
      </c>
      <c r="N11" s="94">
        <v>2052</v>
      </c>
      <c r="O11" s="25">
        <f t="shared" si="0"/>
        <v>23774</v>
      </c>
      <c r="P11" s="78">
        <f t="shared" si="1"/>
        <v>5.7976881431985566E-2</v>
      </c>
      <c r="Q11" s="20"/>
    </row>
    <row r="12" spans="1:18" ht="17.25" x14ac:dyDescent="0.4">
      <c r="A12" s="20"/>
      <c r="B12" s="20" t="s">
        <v>31</v>
      </c>
      <c r="C12" s="23">
        <v>571</v>
      </c>
      <c r="D12" s="23">
        <v>577</v>
      </c>
      <c r="E12" s="23">
        <v>586</v>
      </c>
      <c r="F12" s="23">
        <v>587</v>
      </c>
      <c r="G12" s="23">
        <v>581</v>
      </c>
      <c r="H12" s="23">
        <v>585</v>
      </c>
      <c r="I12" s="23">
        <v>582</v>
      </c>
      <c r="J12" s="23">
        <v>586</v>
      </c>
      <c r="K12" s="23">
        <f>582</f>
        <v>582</v>
      </c>
      <c r="L12" s="281">
        <v>586</v>
      </c>
      <c r="M12" s="281">
        <v>590</v>
      </c>
      <c r="N12" s="281">
        <v>603</v>
      </c>
      <c r="O12" s="56">
        <f t="shared" si="0"/>
        <v>7016</v>
      </c>
      <c r="P12" s="79">
        <f t="shared" si="1"/>
        <v>1.7109691264692972E-2</v>
      </c>
      <c r="Q12" s="20"/>
    </row>
    <row r="13" spans="1:18" x14ac:dyDescent="0.25">
      <c r="A13" s="20"/>
      <c r="B13" s="5" t="s">
        <v>16</v>
      </c>
      <c r="C13" s="54">
        <f t="shared" ref="C13:O13" si="2">SUM(C7:C12)</f>
        <v>21624</v>
      </c>
      <c r="D13" s="54">
        <f t="shared" si="2"/>
        <v>21653</v>
      </c>
      <c r="E13" s="54">
        <f t="shared" si="2"/>
        <v>21713</v>
      </c>
      <c r="F13" s="54">
        <f t="shared" si="2"/>
        <v>21747</v>
      </c>
      <c r="G13" s="54">
        <f t="shared" si="2"/>
        <v>21741</v>
      </c>
      <c r="H13" s="54">
        <f t="shared" si="2"/>
        <v>21743</v>
      </c>
      <c r="I13" s="54">
        <f t="shared" si="2"/>
        <v>21746</v>
      </c>
      <c r="J13" s="54">
        <f t="shared" si="2"/>
        <v>21819</v>
      </c>
      <c r="K13" s="54">
        <f t="shared" si="2"/>
        <v>21814</v>
      </c>
      <c r="L13" s="54">
        <f t="shared" si="2"/>
        <v>21841</v>
      </c>
      <c r="M13" s="95">
        <f t="shared" si="2"/>
        <v>21887</v>
      </c>
      <c r="N13" s="54">
        <f t="shared" si="2"/>
        <v>21823</v>
      </c>
      <c r="O13" s="54">
        <f t="shared" si="2"/>
        <v>261151</v>
      </c>
      <c r="P13" s="102">
        <f t="shared" si="1"/>
        <v>0.63686045944495928</v>
      </c>
      <c r="Q13" s="20"/>
    </row>
    <row r="14" spans="1:18" x14ac:dyDescent="0.25">
      <c r="A14" s="20"/>
      <c r="B14" s="20"/>
      <c r="C14" s="55">
        <f t="shared" ref="C14:O14" si="3">+C13/C23</f>
        <v>0.64175693723104321</v>
      </c>
      <c r="D14" s="55">
        <f t="shared" si="3"/>
        <v>0.63967503692762184</v>
      </c>
      <c r="E14" s="55">
        <f t="shared" si="3"/>
        <v>0.63833602822284286</v>
      </c>
      <c r="F14" s="55">
        <f t="shared" si="3"/>
        <v>0.63716269666871761</v>
      </c>
      <c r="G14" s="55">
        <f t="shared" si="3"/>
        <v>0.63726697150896938</v>
      </c>
      <c r="H14" s="55">
        <f t="shared" si="3"/>
        <v>0.63661650172746964</v>
      </c>
      <c r="I14" s="55">
        <f t="shared" si="3"/>
        <v>0.63653660392822642</v>
      </c>
      <c r="J14" s="55">
        <f t="shared" si="3"/>
        <v>0.63708829712683956</v>
      </c>
      <c r="K14" s="55">
        <f t="shared" si="3"/>
        <v>0.6360879454131918</v>
      </c>
      <c r="L14" s="55">
        <f t="shared" si="3"/>
        <v>0.63589250880717385</v>
      </c>
      <c r="M14" s="96">
        <f t="shared" si="3"/>
        <v>0.63416683568510412</v>
      </c>
      <c r="N14" s="55">
        <f t="shared" si="3"/>
        <v>0.63192795505878263</v>
      </c>
      <c r="O14" s="55">
        <f t="shared" si="3"/>
        <v>0.63686045944495928</v>
      </c>
      <c r="P14" s="78"/>
      <c r="Q14" s="20"/>
    </row>
    <row r="15" spans="1:18" x14ac:dyDescent="0.25">
      <c r="A15" s="20"/>
      <c r="B15" s="20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96"/>
      <c r="N15" s="57"/>
      <c r="O15" s="55"/>
      <c r="P15" s="78"/>
      <c r="Q15" s="20"/>
      <c r="R15" s="20"/>
    </row>
    <row r="16" spans="1:18" x14ac:dyDescent="0.25">
      <c r="A16" s="21" t="s">
        <v>32</v>
      </c>
      <c r="B16" s="20"/>
      <c r="D16" s="22"/>
      <c r="E16" s="22"/>
      <c r="F16" s="22"/>
      <c r="G16" s="22"/>
      <c r="H16" s="22"/>
      <c r="I16" s="22"/>
      <c r="J16" s="22"/>
      <c r="K16" s="22"/>
      <c r="L16" s="22"/>
      <c r="M16" s="94"/>
      <c r="N16" s="88"/>
      <c r="P16" s="78"/>
      <c r="Q16" s="20"/>
      <c r="R16" s="20"/>
    </row>
    <row r="17" spans="1:19" x14ac:dyDescent="0.25">
      <c r="A17" s="20"/>
      <c r="B17" s="20" t="s">
        <v>33</v>
      </c>
      <c r="C17" s="22">
        <f>5940+175+2</f>
        <v>6117</v>
      </c>
      <c r="D17" s="22">
        <f>6000+178+2</f>
        <v>6180</v>
      </c>
      <c r="E17" s="22">
        <f>6051+178+3</f>
        <v>6232</v>
      </c>
      <c r="F17" s="22">
        <f>6094+182+3</f>
        <v>6279</v>
      </c>
      <c r="G17" s="22">
        <f>6086+178+5</f>
        <v>6269</v>
      </c>
      <c r="H17" s="22">
        <f>4+177+6104</f>
        <v>6285</v>
      </c>
      <c r="I17" s="22">
        <f>4+181+6123</f>
        <v>6308</v>
      </c>
      <c r="J17" s="22">
        <f>3+183+6153</f>
        <v>6339</v>
      </c>
      <c r="K17" s="22">
        <f>6168+2+182</f>
        <v>6352</v>
      </c>
      <c r="L17" s="94">
        <f>2+182+6177</f>
        <v>6361</v>
      </c>
      <c r="M17" s="94">
        <f>6247+184+2</f>
        <v>6433</v>
      </c>
      <c r="N17" s="94">
        <f>6290+2+188</f>
        <v>6480</v>
      </c>
      <c r="O17" s="25">
        <f>SUM(C17:N17)</f>
        <v>75635</v>
      </c>
      <c r="P17" s="78">
        <f>+O17/$O$23</f>
        <v>0.18444861727552064</v>
      </c>
      <c r="Q17" s="20"/>
      <c r="R17" s="20"/>
    </row>
    <row r="18" spans="1:19" x14ac:dyDescent="0.25">
      <c r="A18" s="20"/>
      <c r="B18" s="20" t="s">
        <v>34</v>
      </c>
      <c r="C18" s="22">
        <v>2815</v>
      </c>
      <c r="D18" s="22">
        <v>2870</v>
      </c>
      <c r="E18" s="22">
        <v>2913</v>
      </c>
      <c r="F18" s="22">
        <v>2939</v>
      </c>
      <c r="G18" s="22">
        <v>2940</v>
      </c>
      <c r="H18" s="22">
        <v>2938</v>
      </c>
      <c r="I18" s="22">
        <v>2934</v>
      </c>
      <c r="J18" s="22">
        <v>2946</v>
      </c>
      <c r="K18" s="22">
        <v>2955</v>
      </c>
      <c r="L18" s="94">
        <v>2965</v>
      </c>
      <c r="M18" s="94">
        <v>2996</v>
      </c>
      <c r="N18" s="94">
        <v>3027</v>
      </c>
      <c r="O18" s="25">
        <f>SUM(C18:N18)</f>
        <v>35238</v>
      </c>
      <c r="P18" s="78">
        <f>+O18/$O$23</f>
        <v>8.5933765790372138E-2</v>
      </c>
      <c r="Q18" s="20"/>
      <c r="R18" s="20"/>
    </row>
    <row r="19" spans="1:19" ht="17.25" x14ac:dyDescent="0.4">
      <c r="A19" s="20"/>
      <c r="B19" s="20" t="s">
        <v>35</v>
      </c>
      <c r="C19" s="23">
        <v>3139</v>
      </c>
      <c r="D19" s="23">
        <v>3147</v>
      </c>
      <c r="E19" s="23">
        <v>3157</v>
      </c>
      <c r="F19" s="23">
        <v>3166</v>
      </c>
      <c r="G19" s="23">
        <v>3166</v>
      </c>
      <c r="H19" s="23">
        <v>3188</v>
      </c>
      <c r="I19" s="23">
        <v>3175</v>
      </c>
      <c r="J19" s="23">
        <v>3144</v>
      </c>
      <c r="K19" s="23">
        <v>3173</v>
      </c>
      <c r="L19" s="281">
        <v>3180</v>
      </c>
      <c r="M19" s="281">
        <v>3197</v>
      </c>
      <c r="N19" s="281">
        <v>3204</v>
      </c>
      <c r="O19" s="56">
        <f>SUM(C19:N19)</f>
        <v>38036</v>
      </c>
      <c r="P19" s="79">
        <f>+O19/$O$23</f>
        <v>9.2757157489147923E-2</v>
      </c>
      <c r="Q19" s="20"/>
      <c r="R19" s="20"/>
    </row>
    <row r="20" spans="1:19" ht="17.25" x14ac:dyDescent="0.4">
      <c r="A20" s="20"/>
      <c r="B20" s="5" t="s">
        <v>16</v>
      </c>
      <c r="C20" s="24">
        <f t="shared" ref="C20:L20" si="4">SUM(C17:C19)</f>
        <v>12071</v>
      </c>
      <c r="D20" s="24">
        <f t="shared" si="4"/>
        <v>12197</v>
      </c>
      <c r="E20" s="24">
        <f t="shared" si="4"/>
        <v>12302</v>
      </c>
      <c r="F20" s="24">
        <f t="shared" si="4"/>
        <v>12384</v>
      </c>
      <c r="G20" s="24">
        <f t="shared" si="4"/>
        <v>12375</v>
      </c>
      <c r="H20" s="24">
        <f t="shared" si="4"/>
        <v>12411</v>
      </c>
      <c r="I20" s="24">
        <f t="shared" si="4"/>
        <v>12417</v>
      </c>
      <c r="J20" s="24">
        <f t="shared" si="4"/>
        <v>12429</v>
      </c>
      <c r="K20" s="24">
        <f t="shared" si="4"/>
        <v>12480</v>
      </c>
      <c r="L20" s="24">
        <f t="shared" si="4"/>
        <v>12506</v>
      </c>
      <c r="M20" s="24">
        <f>SUM(M17:M19)</f>
        <v>12626</v>
      </c>
      <c r="N20" s="58">
        <f>SUM(N17:N19)</f>
        <v>12711</v>
      </c>
      <c r="O20" s="24">
        <f>SUM(O17:O19)</f>
        <v>148909</v>
      </c>
      <c r="P20" s="102">
        <f>+O20/$O$23</f>
        <v>0.36313954055504072</v>
      </c>
      <c r="Q20" s="24"/>
      <c r="R20" s="20"/>
      <c r="S20" s="25"/>
    </row>
    <row r="21" spans="1:19" x14ac:dyDescent="0.25">
      <c r="A21" s="20"/>
      <c r="B21" s="20"/>
      <c r="C21" s="55">
        <f>+C20/C$23</f>
        <v>0.35824306276895684</v>
      </c>
      <c r="D21" s="55">
        <f t="shared" ref="D21:O21" si="5">+D20/D$23</f>
        <v>0.36032496307237816</v>
      </c>
      <c r="E21" s="55">
        <f t="shared" si="5"/>
        <v>0.36166397177715714</v>
      </c>
      <c r="F21" s="55">
        <f t="shared" si="5"/>
        <v>0.36283730333128239</v>
      </c>
      <c r="G21" s="55">
        <f t="shared" si="5"/>
        <v>0.36273302849103062</v>
      </c>
      <c r="H21" s="55">
        <f t="shared" si="5"/>
        <v>0.3633834982725303</v>
      </c>
      <c r="I21" s="55">
        <f t="shared" si="5"/>
        <v>0.36346339607177358</v>
      </c>
      <c r="J21" s="55">
        <f t="shared" si="5"/>
        <v>0.36291170287316049</v>
      </c>
      <c r="K21" s="55">
        <f t="shared" si="5"/>
        <v>0.3639120545868082</v>
      </c>
      <c r="L21" s="55">
        <f t="shared" si="5"/>
        <v>0.36410749119282615</v>
      </c>
      <c r="M21" s="55">
        <f t="shared" si="5"/>
        <v>0.36583316431489582</v>
      </c>
      <c r="N21" s="55">
        <f t="shared" si="5"/>
        <v>0.36807204494121737</v>
      </c>
      <c r="O21" s="55">
        <f t="shared" si="5"/>
        <v>0.36313954055504072</v>
      </c>
      <c r="P21" s="101"/>
      <c r="Q21" s="22"/>
      <c r="R21" s="20"/>
    </row>
    <row r="22" spans="1:19" x14ac:dyDescent="0.25">
      <c r="A22" s="20"/>
      <c r="B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59"/>
      <c r="O22" s="22"/>
      <c r="P22" s="101"/>
      <c r="Q22" s="22"/>
      <c r="R22" s="20"/>
    </row>
    <row r="23" spans="1:19" ht="17.25" x14ac:dyDescent="0.4">
      <c r="A23" s="20"/>
      <c r="B23" s="5" t="s">
        <v>84</v>
      </c>
      <c r="C23" s="24">
        <f t="shared" ref="C23:O23" si="6">+C20+C13</f>
        <v>33695</v>
      </c>
      <c r="D23" s="24">
        <f t="shared" si="6"/>
        <v>33850</v>
      </c>
      <c r="E23" s="24">
        <f t="shared" si="6"/>
        <v>34015</v>
      </c>
      <c r="F23" s="24">
        <f t="shared" si="6"/>
        <v>34131</v>
      </c>
      <c r="G23" s="24">
        <f t="shared" si="6"/>
        <v>34116</v>
      </c>
      <c r="H23" s="24">
        <f t="shared" si="6"/>
        <v>34154</v>
      </c>
      <c r="I23" s="24">
        <f t="shared" si="6"/>
        <v>34163</v>
      </c>
      <c r="J23" s="24">
        <f t="shared" si="6"/>
        <v>34248</v>
      </c>
      <c r="K23" s="24">
        <f t="shared" si="6"/>
        <v>34294</v>
      </c>
      <c r="L23" s="24">
        <f t="shared" si="6"/>
        <v>34347</v>
      </c>
      <c r="M23" s="24">
        <f t="shared" si="6"/>
        <v>34513</v>
      </c>
      <c r="N23" s="24">
        <f t="shared" si="6"/>
        <v>34534</v>
      </c>
      <c r="O23" s="24">
        <f t="shared" si="6"/>
        <v>410060</v>
      </c>
      <c r="P23" s="102">
        <f>+O23/$O$23</f>
        <v>1</v>
      </c>
      <c r="Q23" s="29"/>
      <c r="R23" s="20"/>
    </row>
    <row r="24" spans="1:19" x14ac:dyDescent="0.25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P24" s="20"/>
      <c r="Q24" s="20"/>
      <c r="R24" s="20"/>
    </row>
    <row r="25" spans="1:19" x14ac:dyDescent="0.25"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R25" s="20"/>
    </row>
    <row r="26" spans="1:19" x14ac:dyDescent="0.25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R26" s="20"/>
    </row>
    <row r="27" spans="1:19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42"/>
      <c r="O27" s="78"/>
      <c r="P27" s="78"/>
      <c r="R27" s="20"/>
    </row>
    <row r="28" spans="1:19" x14ac:dyDescent="0.25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R28" s="20"/>
    </row>
    <row r="29" spans="1:19" x14ac:dyDescent="0.25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R29" s="20"/>
    </row>
    <row r="30" spans="1:19" x14ac:dyDescent="0.25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R30" s="20"/>
    </row>
    <row r="31" spans="1:19" x14ac:dyDescent="0.2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R31" s="20"/>
    </row>
    <row r="32" spans="1:19" x14ac:dyDescent="0.25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5:15" x14ac:dyDescent="0.25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5:15" x14ac:dyDescent="0.25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5:15" x14ac:dyDescent="0.25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5:15" x14ac:dyDescent="0.25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5:15" x14ac:dyDescent="0.2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5:15" x14ac:dyDescent="0.25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5:15" x14ac:dyDescent="0.25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</sheetData>
  <pageMargins left="0.45" right="0.2" top="0.75" bottom="0.75" header="0.3" footer="0.3"/>
  <pageSetup scale="68" orientation="landscape" r:id="rId1"/>
  <headerFooter>
    <oddFooter>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5AC76F4B59C74BA6EF8B74585CAB04" ma:contentTypeVersion="44" ma:contentTypeDescription="" ma:contentTypeScope="" ma:versionID="d742cc9546a71559e336dbd4da238bd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2021-05-11T07:00:00+00:00</OpenedDate>
    <SignificantOrder xmlns="dc463f71-b30c-4ab2-9473-d307f9d35888">false</SignificantOrder>
    <Date1 xmlns="dc463f71-b30c-4ab2-9473-d307f9d35888">2021-05-11T07:00:00+00:00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210339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C2A390-CB12-4887-B20D-1390E02D0D3C}"/>
</file>

<file path=customXml/itemProps2.xml><?xml version="1.0" encoding="utf-8"?>
<ds:datastoreItem xmlns:ds="http://schemas.openxmlformats.org/officeDocument/2006/customXml" ds:itemID="{6A60A731-0C68-4578-BAC7-7E5F340997B2}"/>
</file>

<file path=customXml/itemProps3.xml><?xml version="1.0" encoding="utf-8"?>
<ds:datastoreItem xmlns:ds="http://schemas.openxmlformats.org/officeDocument/2006/customXml" ds:itemID="{82A48D53-3555-4DD8-AC33-9133E9201F5E}"/>
</file>

<file path=customXml/itemProps4.xml><?xml version="1.0" encoding="utf-8"?>
<ds:datastoreItem xmlns:ds="http://schemas.openxmlformats.org/officeDocument/2006/customXml" ds:itemID="{2CE1C80E-E83B-4C2E-9DB9-98486FBFCA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Rebate Analysis</vt:lpstr>
      <vt:lpstr>Commodity Revenue</vt:lpstr>
      <vt:lpstr>Tonnages Collected</vt:lpstr>
      <vt:lpstr>CRC Prices</vt:lpstr>
      <vt:lpstr>CRC Composition</vt:lpstr>
      <vt:lpstr>Customers</vt:lpstr>
      <vt:lpstr>'CRC Composition'!Print_Area</vt:lpstr>
      <vt:lpstr>'CRC Prices'!Print_Area</vt:lpstr>
      <vt:lpstr>Customers!Print_Area</vt:lpstr>
      <vt:lpstr>'Rebate Analysis'!Print_Area</vt:lpstr>
      <vt:lpstr>'Tonnages Collected'!Print_Area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Weinstein, Mike</cp:lastModifiedBy>
  <cp:lastPrinted>2019-05-16T15:05:24Z</cp:lastPrinted>
  <dcterms:created xsi:type="dcterms:W3CDTF">2014-04-16T22:03:40Z</dcterms:created>
  <dcterms:modified xsi:type="dcterms:W3CDTF">2021-05-11T15:41:19Z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0x0101006E56B4D1795A2E4DB2F0B01679ED314A00175AC76F4B59C74BA6EF8B74585CAB04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