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1-XX Natural Gas Schedule 140 - Property Tax Tracker (UG-21xxxx) (Eff. 05-01-21)\Workpapers\"/>
    </mc:Choice>
  </mc:AlternateContent>
  <bookViews>
    <workbookView xWindow="0" yWindow="0" windowWidth="22820" windowHeight="10470" tabRatio="850" activeTab="4"/>
  </bookViews>
  <sheets>
    <sheet name="Sch. 140 Rates" sheetId="1" r:id="rId1"/>
    <sheet name="Allocation Factors" sheetId="34" r:id="rId2"/>
    <sheet name="Rate Impacts--&gt;" sheetId="19" r:id="rId3"/>
    <sheet name="Rate Impacts Sch140" sheetId="41" r:id="rId4"/>
    <sheet name="Typical Res Bill Sch140" sheetId="42" r:id="rId5"/>
    <sheet name="Schedule 140" sheetId="43" r:id="rId6"/>
    <sheet name="Workpapers--&gt;" sheetId="33" r:id="rId7"/>
    <sheet name="2021 FINAL Rev Req" sheetId="40" r:id="rId8"/>
    <sheet name="Therm Forecast" sheetId="18" r:id="rId9"/>
  </sheet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'Allocation Factors'!$A$1:$H$22</definedName>
    <definedName name="_xlnm.Print_Area" localSheetId="3">'Rate Impacts Sch140'!$B$1:$U$37</definedName>
    <definedName name="_xlnm.Print_Area" localSheetId="0">'Sch. 140 Rates'!$A$1:$N$24</definedName>
    <definedName name="_xlnm.Print_Area" localSheetId="5">'Schedule 140'!$A$1:$I$22</definedName>
    <definedName name="_xlnm.Print_Area" localSheetId="8">'Therm Forecast'!$A$1:$N$24</definedName>
    <definedName name="_xlnm.Print_Area" localSheetId="4">'Typical Res Bill Sch140'!$B$1:$H$41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F11" i="1" l="1"/>
  <c r="A3" i="43" l="1"/>
  <c r="B2" i="41"/>
  <c r="B2" i="42" s="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C21" i="43"/>
  <c r="F21" i="43" s="1"/>
  <c r="C20" i="43"/>
  <c r="C19" i="43"/>
  <c r="G19" i="43" s="1"/>
  <c r="C18" i="43"/>
  <c r="C17" i="43"/>
  <c r="C16" i="43"/>
  <c r="C15" i="43"/>
  <c r="F15" i="43" s="1"/>
  <c r="C14" i="43"/>
  <c r="F14" i="43" s="1"/>
  <c r="C13" i="43"/>
  <c r="C12" i="43"/>
  <c r="C11" i="43"/>
  <c r="C10" i="43"/>
  <c r="C9" i="43"/>
  <c r="F9" i="43" s="1"/>
  <c r="C8" i="43"/>
  <c r="E21" i="43"/>
  <c r="E20" i="43"/>
  <c r="E15" i="43"/>
  <c r="E19" i="43"/>
  <c r="E14" i="43"/>
  <c r="E18" i="43"/>
  <c r="E13" i="43"/>
  <c r="E17" i="43"/>
  <c r="G17" i="43" s="1"/>
  <c r="E12" i="43"/>
  <c r="E11" i="43"/>
  <c r="E9" i="43"/>
  <c r="E10" i="43" s="1"/>
  <c r="E16" i="43"/>
  <c r="G18" i="43"/>
  <c r="F18" i="43"/>
  <c r="F17" i="43"/>
  <c r="F13" i="43"/>
  <c r="G12" i="43"/>
  <c r="G11" i="43"/>
  <c r="F11" i="43"/>
  <c r="G31" i="42"/>
  <c r="D32" i="42"/>
  <c r="E32" i="42" s="1"/>
  <c r="G28" i="42"/>
  <c r="H28" i="42" s="1"/>
  <c r="E28" i="42"/>
  <c r="G25" i="42"/>
  <c r="G24" i="42"/>
  <c r="G23" i="42"/>
  <c r="G22" i="42"/>
  <c r="G21" i="42"/>
  <c r="G20" i="42"/>
  <c r="G19" i="42"/>
  <c r="G18" i="42"/>
  <c r="G17" i="42"/>
  <c r="D14" i="42"/>
  <c r="G13" i="42"/>
  <c r="H13" i="42" s="1"/>
  <c r="E13" i="42"/>
  <c r="E12" i="42"/>
  <c r="G12" i="42"/>
  <c r="H12" i="42" s="1"/>
  <c r="E11" i="42"/>
  <c r="B4" i="42"/>
  <c r="E33" i="41"/>
  <c r="E32" i="41"/>
  <c r="D30" i="41"/>
  <c r="E29" i="41"/>
  <c r="F23" i="41"/>
  <c r="H23" i="41" s="1"/>
  <c r="D33" i="41"/>
  <c r="F22" i="41"/>
  <c r="H22" i="41" s="1"/>
  <c r="E31" i="41"/>
  <c r="F20" i="41"/>
  <c r="F19" i="41"/>
  <c r="H19" i="41" s="1"/>
  <c r="F18" i="41"/>
  <c r="H18" i="41" s="1"/>
  <c r="F17" i="41"/>
  <c r="H17" i="41" s="1"/>
  <c r="D32" i="41"/>
  <c r="D31" i="41"/>
  <c r="F15" i="41"/>
  <c r="H15" i="41" s="1"/>
  <c r="F14" i="41"/>
  <c r="H14" i="41" s="1"/>
  <c r="D29" i="41"/>
  <c r="F13" i="41"/>
  <c r="H13" i="41" s="1"/>
  <c r="D28" i="41"/>
  <c r="F12" i="41"/>
  <c r="R24" i="41"/>
  <c r="Q24" i="41"/>
  <c r="P24" i="41"/>
  <c r="O24" i="41"/>
  <c r="N24" i="41"/>
  <c r="L24" i="41"/>
  <c r="K24" i="41"/>
  <c r="J24" i="41"/>
  <c r="I24" i="41"/>
  <c r="E27" i="41"/>
  <c r="D27" i="41"/>
  <c r="E14" i="42" l="1"/>
  <c r="D34" i="41"/>
  <c r="H20" i="41"/>
  <c r="G24" i="41"/>
  <c r="H12" i="41"/>
  <c r="G15" i="43"/>
  <c r="H17" i="43"/>
  <c r="I17" i="43" s="1"/>
  <c r="F19" i="43"/>
  <c r="S19" i="41"/>
  <c r="G14" i="43"/>
  <c r="H14" i="43" s="1"/>
  <c r="I14" i="43" s="1"/>
  <c r="S20" i="41"/>
  <c r="H11" i="43"/>
  <c r="G10" i="43"/>
  <c r="G9" i="43"/>
  <c r="H9" i="43" s="1"/>
  <c r="C22" i="43"/>
  <c r="G20" i="43"/>
  <c r="G16" i="43"/>
  <c r="H18" i="43"/>
  <c r="H28" i="41"/>
  <c r="S13" i="41"/>
  <c r="S15" i="41"/>
  <c r="H30" i="41"/>
  <c r="H32" i="41"/>
  <c r="S17" i="41"/>
  <c r="T13" i="41"/>
  <c r="I11" i="43"/>
  <c r="S22" i="41"/>
  <c r="H33" i="41"/>
  <c r="S23" i="41"/>
  <c r="S33" i="41" s="1"/>
  <c r="T16" i="41"/>
  <c r="H29" i="41"/>
  <c r="S14" i="41"/>
  <c r="G26" i="42"/>
  <c r="E30" i="41"/>
  <c r="D26" i="42"/>
  <c r="T19" i="41"/>
  <c r="G11" i="42"/>
  <c r="G30" i="42"/>
  <c r="G32" i="42" s="1"/>
  <c r="H32" i="42" s="1"/>
  <c r="F10" i="43"/>
  <c r="S12" i="41" s="1"/>
  <c r="G13" i="43"/>
  <c r="H13" i="43" s="1"/>
  <c r="G21" i="43"/>
  <c r="H21" i="43" s="1"/>
  <c r="F21" i="41"/>
  <c r="H21" i="41" s="1"/>
  <c r="D24" i="41"/>
  <c r="F12" i="43"/>
  <c r="F20" i="43"/>
  <c r="F16" i="41"/>
  <c r="H16" i="41" s="1"/>
  <c r="E24" i="41"/>
  <c r="F24" i="41" s="1"/>
  <c r="H15" i="43"/>
  <c r="E28" i="41"/>
  <c r="E34" i="41" s="1"/>
  <c r="F11" i="41"/>
  <c r="H11" i="41" s="1"/>
  <c r="F16" i="43"/>
  <c r="S18" i="41" s="1"/>
  <c r="S29" i="41" l="1"/>
  <c r="U19" i="41"/>
  <c r="H16" i="43"/>
  <c r="S21" i="41"/>
  <c r="S30" i="41"/>
  <c r="H19" i="43"/>
  <c r="F22" i="43"/>
  <c r="M24" i="41"/>
  <c r="H27" i="41"/>
  <c r="H24" i="41"/>
  <c r="S11" i="41"/>
  <c r="H26" i="42"/>
  <c r="H33" i="42" s="1"/>
  <c r="G33" i="42"/>
  <c r="G39" i="42"/>
  <c r="I16" i="43"/>
  <c r="T18" i="41"/>
  <c r="U18" i="41" s="1"/>
  <c r="S28" i="41"/>
  <c r="I9" i="43"/>
  <c r="T11" i="41"/>
  <c r="H31" i="41"/>
  <c r="S16" i="41"/>
  <c r="S31" i="41" s="1"/>
  <c r="G14" i="42"/>
  <c r="H11" i="42"/>
  <c r="H14" i="42" s="1"/>
  <c r="U13" i="41"/>
  <c r="T20" i="41"/>
  <c r="U20" i="41" s="1"/>
  <c r="I18" i="43"/>
  <c r="I21" i="43"/>
  <c r="T23" i="41"/>
  <c r="I15" i="43"/>
  <c r="T17" i="41"/>
  <c r="H12" i="43"/>
  <c r="S32" i="41"/>
  <c r="G22" i="43"/>
  <c r="T15" i="41"/>
  <c r="I13" i="43"/>
  <c r="D39" i="42"/>
  <c r="D33" i="42"/>
  <c r="E26" i="42"/>
  <c r="E33" i="42" s="1"/>
  <c r="E35" i="42" s="1"/>
  <c r="H20" i="43"/>
  <c r="H10" i="43"/>
  <c r="T21" i="41" l="1"/>
  <c r="I19" i="43"/>
  <c r="H35" i="42"/>
  <c r="H36" i="42" s="1"/>
  <c r="H37" i="42" s="1"/>
  <c r="I10" i="43"/>
  <c r="T12" i="41"/>
  <c r="U12" i="41" s="1"/>
  <c r="T28" i="41"/>
  <c r="U28" i="41" s="1"/>
  <c r="I20" i="43"/>
  <c r="T22" i="41"/>
  <c r="U22" i="41" s="1"/>
  <c r="T14" i="41"/>
  <c r="I12" i="43"/>
  <c r="U11" i="41"/>
  <c r="T30" i="41"/>
  <c r="U30" i="41" s="1"/>
  <c r="U15" i="41"/>
  <c r="T32" i="41"/>
  <c r="U32" i="41" s="1"/>
  <c r="U17" i="41"/>
  <c r="S24" i="41"/>
  <c r="S27" i="41"/>
  <c r="S34" i="41" s="1"/>
  <c r="H22" i="43"/>
  <c r="I22" i="43" s="1"/>
  <c r="T33" i="41"/>
  <c r="U33" i="41" s="1"/>
  <c r="U23" i="41"/>
  <c r="U16" i="41"/>
  <c r="H34" i="41"/>
  <c r="U21" i="41" l="1"/>
  <c r="T31" i="41"/>
  <c r="U31" i="41" s="1"/>
  <c r="T27" i="41"/>
  <c r="U27" i="41" s="1"/>
  <c r="U14" i="41"/>
  <c r="T29" i="41"/>
  <c r="U29" i="41" s="1"/>
  <c r="T24" i="41"/>
  <c r="U24" i="41" s="1"/>
  <c r="T34" i="41" l="1"/>
  <c r="U34" i="41" s="1"/>
  <c r="E9" i="1" l="1"/>
  <c r="E8" i="1"/>
  <c r="D7" i="1"/>
  <c r="A4" i="34" l="1"/>
  <c r="A2" i="34"/>
  <c r="A4" i="18" l="1"/>
  <c r="C7" i="18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A2" i="18" l="1"/>
  <c r="D17" i="34" l="1"/>
  <c r="D20" i="34" l="1"/>
  <c r="E11" i="34" s="1"/>
  <c r="G10" i="34"/>
  <c r="G12" i="34"/>
  <c r="G14" i="34"/>
  <c r="G15" i="34"/>
  <c r="G11" i="34"/>
  <c r="G16" i="34"/>
  <c r="G13" i="34"/>
  <c r="E15" i="34" l="1"/>
  <c r="E14" i="34"/>
  <c r="E12" i="34"/>
  <c r="E13" i="34"/>
  <c r="E16" i="34"/>
  <c r="E19" i="34"/>
  <c r="H11" i="34" s="1"/>
  <c r="D12" i="1" s="1"/>
  <c r="E10" i="34"/>
  <c r="H10" i="34" s="1"/>
  <c r="D11" i="1" s="1"/>
  <c r="G17" i="34"/>
  <c r="D27" i="40"/>
  <c r="H13" i="34" l="1"/>
  <c r="D14" i="1" s="1"/>
  <c r="H16" i="34"/>
  <c r="D17" i="1" s="1"/>
  <c r="H12" i="34"/>
  <c r="D13" i="1" s="1"/>
  <c r="H14" i="34"/>
  <c r="D15" i="1" s="1"/>
  <c r="H15" i="34"/>
  <c r="D16" i="1" s="1"/>
  <c r="A25" i="40"/>
  <c r="A26" i="40" s="1"/>
  <c r="A27" i="40" s="1"/>
  <c r="A30" i="40" s="1"/>
  <c r="A31" i="40" s="1"/>
  <c r="A32" i="40" s="1"/>
  <c r="A33" i="40" s="1"/>
  <c r="D10" i="40"/>
  <c r="H10" i="40" s="1"/>
  <c r="G20" i="1"/>
  <c r="D13" i="40" l="1"/>
  <c r="D15" i="40" s="1"/>
  <c r="E10" i="40"/>
  <c r="I10" i="40" s="1"/>
  <c r="J10" i="40" s="1"/>
  <c r="H17" i="34" l="1"/>
  <c r="F10" i="40"/>
  <c r="D18" i="40"/>
  <c r="H27" i="40"/>
  <c r="H13" i="40"/>
  <c r="E13" i="40"/>
  <c r="E15" i="40" s="1"/>
  <c r="E18" i="40" s="1"/>
  <c r="E21" i="40" s="1"/>
  <c r="F18" i="40" l="1"/>
  <c r="D21" i="40"/>
  <c r="F21" i="40" s="1"/>
  <c r="I13" i="40"/>
  <c r="I15" i="40" s="1"/>
  <c r="I18" i="40" s="1"/>
  <c r="I27" i="40"/>
  <c r="J27" i="40" s="1"/>
  <c r="E27" i="40"/>
  <c r="E28" i="40" s="1"/>
  <c r="H15" i="40"/>
  <c r="F13" i="40"/>
  <c r="D28" i="40"/>
  <c r="H28" i="40"/>
  <c r="H30" i="40"/>
  <c r="H31" i="40" s="1"/>
  <c r="F15" i="40"/>
  <c r="A11" i="34"/>
  <c r="A12" i="34" s="1"/>
  <c r="A13" i="34" s="1"/>
  <c r="A14" i="34" s="1"/>
  <c r="A15" i="34" s="1"/>
  <c r="A16" i="34" s="1"/>
  <c r="A17" i="34" s="1"/>
  <c r="A18" i="34" s="1"/>
  <c r="A19" i="34" s="1"/>
  <c r="A20" i="34" s="1"/>
  <c r="D18" i="1"/>
  <c r="I21" i="40" l="1"/>
  <c r="F20" i="1"/>
  <c r="J13" i="40"/>
  <c r="J28" i="40" s="1"/>
  <c r="E17" i="34"/>
  <c r="E20" i="34" s="1"/>
  <c r="H18" i="40"/>
  <c r="J15" i="40"/>
  <c r="I28" i="40"/>
  <c r="I30" i="40"/>
  <c r="I31" i="40" s="1"/>
  <c r="F27" i="40"/>
  <c r="F28" i="40" s="1"/>
  <c r="H21" i="40" l="1"/>
  <c r="J21" i="40" s="1"/>
  <c r="J18" i="40"/>
  <c r="G12" i="1" l="1"/>
  <c r="G13" i="1"/>
  <c r="G14" i="1"/>
  <c r="G15" i="1"/>
  <c r="G16" i="1"/>
  <c r="G17" i="1"/>
  <c r="G11" i="1"/>
  <c r="G18" i="1" l="1"/>
  <c r="M22" i="18" l="1"/>
  <c r="L22" i="18"/>
  <c r="K22" i="18"/>
  <c r="J22" i="18"/>
  <c r="I22" i="18"/>
  <c r="H22" i="18"/>
  <c r="G22" i="18"/>
  <c r="F22" i="18"/>
  <c r="E22" i="18"/>
  <c r="D22" i="18"/>
  <c r="C22" i="18"/>
  <c r="B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A12" i="1"/>
  <c r="A13" i="1" s="1"/>
  <c r="A14" i="1" s="1"/>
  <c r="A15" i="1" s="1"/>
  <c r="A16" i="1" s="1"/>
  <c r="A17" i="1" s="1"/>
  <c r="A18" i="1" s="1"/>
  <c r="A19" i="1" s="1"/>
  <c r="A20" i="1" s="1"/>
  <c r="E14" i="1" l="1"/>
  <c r="N22" i="18"/>
  <c r="E11" i="1"/>
  <c r="E15" i="1"/>
  <c r="E12" i="1"/>
  <c r="E16" i="1"/>
  <c r="E13" i="1"/>
  <c r="E17" i="1"/>
  <c r="E18" i="1" l="1"/>
  <c r="F17" i="1" l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H11" i="1"/>
  <c r="H20" i="1"/>
  <c r="F18" i="1" l="1"/>
  <c r="J12" i="1" l="1"/>
  <c r="J17" i="1"/>
  <c r="I15" i="1"/>
  <c r="J16" i="1"/>
  <c r="I16" i="1"/>
  <c r="I17" i="1" l="1"/>
  <c r="K17" i="1" s="1"/>
  <c r="J15" i="1"/>
  <c r="K15" i="1" s="1"/>
  <c r="I12" i="1"/>
  <c r="K12" i="1" s="1"/>
  <c r="K16" i="1"/>
  <c r="J13" i="1"/>
  <c r="I13" i="1"/>
  <c r="J11" i="1"/>
  <c r="M11" i="1" s="1"/>
  <c r="I11" i="1"/>
  <c r="J14" i="1"/>
  <c r="I14" i="1"/>
  <c r="K14" i="1" l="1"/>
  <c r="K13" i="1"/>
  <c r="K11" i="1"/>
  <c r="L11" i="1"/>
  <c r="N11" i="1" s="1"/>
  <c r="H18" i="1" l="1"/>
</calcChain>
</file>

<file path=xl/sharedStrings.xml><?xml version="1.0" encoding="utf-8"?>
<sst xmlns="http://schemas.openxmlformats.org/spreadsheetml/2006/main" count="347" uniqueCount="201">
  <si>
    <t>Puget Sound Energy</t>
  </si>
  <si>
    <t>Calculation of Schedule 140 Rates</t>
  </si>
  <si>
    <t>Proposed</t>
  </si>
  <si>
    <t>Property Tax</t>
  </si>
  <si>
    <t>Monthly</t>
  </si>
  <si>
    <t>Plant</t>
  </si>
  <si>
    <t>Revenue</t>
  </si>
  <si>
    <t>Rate per</t>
  </si>
  <si>
    <t>Rate Class</t>
  </si>
  <si>
    <t>Schedules</t>
  </si>
  <si>
    <t>Requirement</t>
  </si>
  <si>
    <t>Therm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</si>
  <si>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</si>
  <si>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</si>
  <si>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</si>
  <si>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</si>
  <si>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</si>
  <si>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</si>
  <si>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</si>
  <si>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</si>
  <si>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</si>
  <si>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</si>
  <si>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</si>
  <si>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</si>
  <si>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87, 87T</t>
  </si>
  <si>
    <t>Contracts</t>
  </si>
  <si>
    <t>Subtotal</t>
  </si>
  <si>
    <t>Rentals</t>
  </si>
  <si>
    <t>Total</t>
  </si>
  <si>
    <t>Proposed Revenue Requirement</t>
  </si>
  <si>
    <t>Current</t>
  </si>
  <si>
    <t>Schedule</t>
  </si>
  <si>
    <t>41T</t>
  </si>
  <si>
    <t>85T</t>
  </si>
  <si>
    <t>87T</t>
  </si>
  <si>
    <t>Deferral</t>
  </si>
  <si>
    <t xml:space="preserve">Therm </t>
  </si>
  <si>
    <t xml:space="preserve">Deferral  </t>
  </si>
  <si>
    <t>Pre-Revenue Sensitive Items (RSI)</t>
  </si>
  <si>
    <t>Grossed Up for RSI</t>
  </si>
  <si>
    <t>Electric</t>
  </si>
  <si>
    <t>Gas</t>
  </si>
  <si>
    <t>Rate Increase</t>
  </si>
  <si>
    <t>= 1</t>
  </si>
  <si>
    <t>= 3 - 4 + 5</t>
  </si>
  <si>
    <t xml:space="preserve">New Revenue Requirement </t>
  </si>
  <si>
    <t>= 1 + 6</t>
  </si>
  <si>
    <t>Base Property Tax Revenue Requirement (140A)</t>
  </si>
  <si>
    <t>Deferral Revenue Requirement (140B)</t>
  </si>
  <si>
    <t>= 7</t>
  </si>
  <si>
    <t>Components of Revenue Requirement Increase:</t>
  </si>
  <si>
    <t>Add Increment to New Cash Payment</t>
  </si>
  <si>
    <t>Net Change in Load True-Up</t>
  </si>
  <si>
    <t>Change in Revenue Requirement</t>
  </si>
  <si>
    <t>31T</t>
  </si>
  <si>
    <t>86T</t>
  </si>
  <si>
    <t>Increase as a percent of prior year's revenue</t>
  </si>
  <si>
    <t>requirement Filing Required?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</si>
  <si>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</si>
  <si>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</si>
  <si>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(a)</t>
  </si>
  <si>
    <t>(b)</t>
  </si>
  <si>
    <t>(c)</t>
  </si>
  <si>
    <t>(d)</t>
  </si>
  <si>
    <t>Line</t>
  </si>
  <si>
    <t>No.</t>
  </si>
  <si>
    <t>Forecasted Therm Volumes</t>
  </si>
  <si>
    <t>Revenue Requirement Increase / (Decrease)</t>
  </si>
  <si>
    <t>= 7 - 9</t>
  </si>
  <si>
    <t>= 12 + 13</t>
  </si>
  <si>
    <t>= 14 / 1</t>
  </si>
  <si>
    <t>(h) = (f) + (g)</t>
  </si>
  <si>
    <t>(i) = (f) / (d)</t>
  </si>
  <si>
    <t>(j) = (g) / (d)</t>
  </si>
  <si>
    <t>(k) = (i) + (j)</t>
  </si>
  <si>
    <t>(l) = (i) * 19</t>
  </si>
  <si>
    <t>(m) = (j) * 19</t>
  </si>
  <si>
    <t>(n) = (l) + (m)</t>
  </si>
  <si>
    <t>TOTAL</t>
  </si>
  <si>
    <t>Forecasted</t>
  </si>
  <si>
    <t>Development of Allocation Factors</t>
  </si>
  <si>
    <t>Allocation</t>
  </si>
  <si>
    <t>Factors</t>
  </si>
  <si>
    <r>
      <t xml:space="preserve">Therms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</si>
  <si>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 xml:space="preserve">Allocation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</si>
  <si>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In Service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</si>
  <si>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71, 72</t>
  </si>
  <si>
    <t>2021 Gas Schedule 140 Property Tax Tracker Filing - PRELIMINARY</t>
  </si>
  <si>
    <t>Proposed Effective May 1, 2021</t>
  </si>
  <si>
    <t xml:space="preserve">Source: F2020 Load Forecast Calendar Month Therms (7-23-20, updated 8-24-20)  </t>
  </si>
  <si>
    <t>(without Rentals)</t>
  </si>
  <si>
    <t>(with Rentals</t>
  </si>
  <si>
    <t>re-allocated)</t>
  </si>
  <si>
    <r>
      <t xml:space="preserve">Property Tax Revenue Requirement - </t>
    </r>
    <r>
      <rPr>
        <b/>
        <sz val="14"/>
        <color rgb="FFFF0000"/>
        <rFont val="Calibri"/>
        <family val="2"/>
      </rPr>
      <t>Preliminary</t>
    </r>
    <r>
      <rPr>
        <b/>
        <sz val="14"/>
        <color theme="1"/>
        <rFont val="Calibri"/>
        <family val="2"/>
        <scheme val="minor"/>
      </rPr>
      <t xml:space="preserve"> Filing - March, 2021</t>
    </r>
  </si>
  <si>
    <t>Revenue Requirement from 2020 Filing</t>
  </si>
  <si>
    <t>Cash Payment expected to be made 2021</t>
  </si>
  <si>
    <t>True-up for 2020 Load Variance</t>
  </si>
  <si>
    <t>Rate Change Impacts by Rate Schedule</t>
  </si>
  <si>
    <t>Proposed Rates Effective May 1, 2021</t>
  </si>
  <si>
    <t>UG-190530</t>
  </si>
  <si>
    <t>Therms</t>
  </si>
  <si>
    <t>12ME Apr. 2022</t>
  </si>
  <si>
    <t>Sch. 140</t>
  </si>
  <si>
    <t>Rate</t>
  </si>
  <si>
    <t>Volume</t>
  </si>
  <si>
    <t>Margin</t>
  </si>
  <si>
    <t>Margin Rate</t>
  </si>
  <si>
    <t>May 2021 -</t>
  </si>
  <si>
    <t>Sched 101</t>
  </si>
  <si>
    <t>Sched 106</t>
  </si>
  <si>
    <t>Sched 120</t>
  </si>
  <si>
    <t>Sched 129</t>
  </si>
  <si>
    <t>Sched 140</t>
  </si>
  <si>
    <t>Sched 141X</t>
  </si>
  <si>
    <t>Sched 141Y</t>
  </si>
  <si>
    <t>Sched 141Z</t>
  </si>
  <si>
    <t>Sched 142</t>
  </si>
  <si>
    <t>Sched 149</t>
  </si>
  <si>
    <t>Total Forecasted</t>
  </si>
  <si>
    <t>Percent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</si>
  <si>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</si>
  <si>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</si>
  <si>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</si>
  <si>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Apr. 2022</t>
  </si>
  <si>
    <t>Margin Revenue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</si>
  <si>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</si>
  <si>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</si>
  <si>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</si>
  <si>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</si>
  <si>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</si>
  <si>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</si>
  <si>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</si>
  <si>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</si>
  <si>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</si>
  <si>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</si>
  <si>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</si>
  <si>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</si>
  <si>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</si>
  <si>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</si>
  <si>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</si>
  <si>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</si>
  <si>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</si>
  <si>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</si>
  <si>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</si>
  <si>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 = sum(G:Q)</t>
  </si>
  <si>
    <t xml:space="preserve">S </t>
  </si>
  <si>
    <t>T= S/R</t>
  </si>
  <si>
    <t>23,53</t>
  </si>
  <si>
    <t>Residential Gas Lights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</si>
  <si>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</si>
  <si>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</si>
  <si>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</si>
  <si>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</si>
  <si>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</si>
  <si>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</si>
  <si>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</si>
  <si>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</si>
  <si>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</si>
  <si>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</si>
  <si>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</si>
  <si>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</si>
  <si>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2020.</t>
    </r>
  </si>
  <si>
    <t>Typical Residential Bill Impacts</t>
  </si>
  <si>
    <t>Current Rates</t>
  </si>
  <si>
    <t>Schedule 140 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</si>
  <si>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</si>
  <si>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</si>
  <si>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</si>
  <si>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</si>
  <si>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</si>
  <si>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</t>
  </si>
  <si>
    <t>ERF adjusting charge (Schedule 141)</t>
  </si>
  <si>
    <t>EDIT adjusting charge (Schedule 141X)</t>
  </si>
  <si>
    <t>Volumetric charges ($/therm)</t>
  </si>
  <si>
    <t>Delivery charge (Schedule 23)</t>
  </si>
  <si>
    <t>Low income charge (Schedule 129)</t>
  </si>
  <si>
    <t>Property tax charge (Schedule 140)</t>
  </si>
  <si>
    <t>Tax Reform Credit (Schedule 141Y)</t>
  </si>
  <si>
    <t>EDIT adjusting charge (Schedule 141Z)</t>
  </si>
  <si>
    <t>Decoupling charge (Schedule 142)</t>
  </si>
  <si>
    <t>CRM Charge (Schedule 149)</t>
  </si>
  <si>
    <t>Conservation charge (Schedule 120)</t>
  </si>
  <si>
    <t>Cost of gas (Schedule 101)</t>
  </si>
  <si>
    <t>Deferral amortization (Schedule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</si>
  <si>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</si>
  <si>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</si>
  <si>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</si>
  <si>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</si>
  <si>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</si>
  <si>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2020</t>
    </r>
  </si>
  <si>
    <t>Gas Schedule 140</t>
  </si>
  <si>
    <t>Volume (Therms)</t>
  </si>
  <si>
    <t>Proposed Rates</t>
  </si>
  <si>
    <t>(f) = (c) * [Ln. 10]</t>
  </si>
  <si>
    <t>(g) = (c) * [Ln. 10]</t>
  </si>
  <si>
    <t xml:space="preserve"> (e) </t>
  </si>
  <si>
    <t>(f)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</si>
  <si>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margin for 12 months ending December 2018, at approved rates from UG-190530 GRC compliance filing. The GRC rates did not include schedules 140, 141 and 142.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</si>
  <si>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Allocation of plant in service from most recent approved cost of service study (UG-190530).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</si>
  <si>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Forecasted rate year normalized volume from F2020 Load Forecast.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</si>
  <si>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Plant in service from most recent approved cost of service study (2019 GRC UG-190530).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</si>
</sst>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_);_(&quot;$&quot;* \(#,##0.00\);_(&quot;$&quot;* &quot;-&quot;_);_(@_)"/>
    <numFmt numFmtId="169" formatCode="_(&quot;$&quot;* #,##0.00000_);_(&quot;$&quot;* \(#,##0.00000\);_(&quot;$&quot;* &quot;-&quot;?????_);_(@_)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7500EA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3" fillId="0" borderId="0"/>
  </cellStyleXfs>
  <cellXfs count="190">
    <xf numFmtId="0" fontId="0" fillId="0" borderId="0" xfId="0"/>
    <xf numFmtId="0" fontId="0" fillId="0" borderId="1" xfId="0" applyBorder="1" applyAlignment="1">
      <alignment horizontal="center"/>
    </xf>
    <xf numFmtId="42" fontId="0" fillId="0" borderId="0" xfId="0" applyNumberFormat="1"/>
    <xf numFmtId="164" fontId="0" fillId="0" borderId="2" xfId="0" applyNumberFormat="1" applyFont="1" applyFill="1" applyBorder="1"/>
    <xf numFmtId="164" fontId="0" fillId="0" borderId="0" xfId="0" applyNumberFormat="1" applyFont="1"/>
    <xf numFmtId="42" fontId="4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/>
    <xf numFmtId="44" fontId="0" fillId="0" borderId="0" xfId="0" applyNumberFormat="1" applyFont="1" applyFill="1"/>
    <xf numFmtId="3" fontId="0" fillId="0" borderId="2" xfId="0" applyNumberFormat="1" applyFont="1" applyBorder="1"/>
    <xf numFmtId="42" fontId="0" fillId="0" borderId="2" xfId="0" applyNumberFormat="1" applyFont="1" applyBorder="1"/>
    <xf numFmtId="42" fontId="0" fillId="0" borderId="0" xfId="0" applyNumberFormat="1" applyFont="1" applyBorder="1"/>
    <xf numFmtId="3" fontId="0" fillId="0" borderId="0" xfId="0" applyNumberFormat="1" applyFont="1"/>
    <xf numFmtId="0" fontId="0" fillId="0" borderId="0" xfId="0" applyAlignment="1">
      <alignment horizontal="left"/>
    </xf>
    <xf numFmtId="42" fontId="4" fillId="0" borderId="0" xfId="0" applyNumberFormat="1" applyFont="1"/>
    <xf numFmtId="42" fontId="0" fillId="0" borderId="0" xfId="0" applyNumberFormat="1" applyFill="1"/>
    <xf numFmtId="0" fontId="0" fillId="0" borderId="0" xfId="0" applyFill="1"/>
    <xf numFmtId="41" fontId="0" fillId="0" borderId="0" xfId="0" applyNumberFormat="1" applyFill="1"/>
    <xf numFmtId="0" fontId="0" fillId="0" borderId="2" xfId="0" applyFill="1" applyBorder="1"/>
    <xf numFmtId="42" fontId="0" fillId="0" borderId="4" xfId="0" applyNumberFormat="1" applyFill="1" applyBorder="1"/>
    <xf numFmtId="165" fontId="0" fillId="0" borderId="0" xfId="0" applyNumberFormat="1" applyFont="1" applyFill="1"/>
    <xf numFmtId="0" fontId="0" fillId="0" borderId="0" xfId="0" applyFont="1" applyAlignment="1">
      <alignment horizontal="left"/>
    </xf>
    <xf numFmtId="41" fontId="9" fillId="0" borderId="2" xfId="0" applyNumberFormat="1" applyFont="1" applyFill="1" applyBorder="1"/>
    <xf numFmtId="0" fontId="9" fillId="0" borderId="2" xfId="0" applyFont="1" applyFill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Fill="1"/>
    <xf numFmtId="0" fontId="0" fillId="0" borderId="0" xfId="0" quotePrefix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41" fontId="0" fillId="0" borderId="0" xfId="0" applyNumberFormat="1"/>
    <xf numFmtId="42" fontId="0" fillId="2" borderId="4" xfId="0" applyNumberFormat="1" applyFill="1" applyBorder="1"/>
    <xf numFmtId="42" fontId="0" fillId="0" borderId="3" xfId="0" applyNumberFormat="1" applyBorder="1"/>
    <xf numFmtId="41" fontId="9" fillId="0" borderId="0" xfId="0" applyNumberFormat="1" applyFont="1"/>
    <xf numFmtId="0" fontId="9" fillId="0" borderId="0" xfId="0" applyFont="1"/>
    <xf numFmtId="166" fontId="9" fillId="0" borderId="0" xfId="0" applyNumberFormat="1" applyFont="1"/>
    <xf numFmtId="10" fontId="0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13" fillId="0" borderId="2" xfId="0" applyNumberFormat="1" applyFont="1" applyFill="1" applyBorder="1"/>
    <xf numFmtId="164" fontId="13" fillId="0" borderId="0" xfId="0" applyNumberFormat="1" applyFont="1"/>
    <xf numFmtId="164" fontId="13" fillId="0" borderId="2" xfId="0" applyNumberFormat="1" applyFont="1" applyBorder="1"/>
    <xf numFmtId="0" fontId="13" fillId="0" borderId="0" xfId="0" applyFont="1" applyFill="1"/>
    <xf numFmtId="166" fontId="0" fillId="0" borderId="0" xfId="0" applyNumberFormat="1" applyFont="1"/>
    <xf numFmtId="3" fontId="5" fillId="0" borderId="0" xfId="0" applyNumberFormat="1" applyFont="1" applyFill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7" fontId="13" fillId="0" borderId="0" xfId="0" applyNumberFormat="1" applyFont="1"/>
    <xf numFmtId="167" fontId="13" fillId="0" borderId="2" xfId="0" applyNumberFormat="1" applyFont="1" applyBorder="1"/>
    <xf numFmtId="164" fontId="13" fillId="0" borderId="0" xfId="0" applyNumberFormat="1" applyFont="1" applyFill="1"/>
    <xf numFmtId="164" fontId="5" fillId="0" borderId="0" xfId="0" applyNumberFormat="1" applyFont="1" applyFill="1"/>
    <xf numFmtId="0" fontId="13" fillId="0" borderId="1" xfId="0" applyFont="1" applyBorder="1" applyAlignment="1">
      <alignment horizontal="center"/>
    </xf>
    <xf numFmtId="42" fontId="5" fillId="0" borderId="0" xfId="0" applyNumberFormat="1" applyFont="1" applyFill="1"/>
    <xf numFmtId="17" fontId="0" fillId="0" borderId="1" xfId="0" applyNumberFormat="1" applyFont="1" applyFill="1" applyBorder="1" applyAlignment="1">
      <alignment horizontal="center"/>
    </xf>
    <xf numFmtId="166" fontId="0" fillId="0" borderId="0" xfId="0" applyNumberFormat="1"/>
    <xf numFmtId="9" fontId="13" fillId="0" borderId="0" xfId="0" applyNumberFormat="1" applyFont="1"/>
    <xf numFmtId="164" fontId="13" fillId="0" borderId="0" xfId="1" applyNumberFormat="1" applyFont="1"/>
    <xf numFmtId="0" fontId="13" fillId="0" borderId="0" xfId="0" applyFont="1" applyAlignment="1"/>
    <xf numFmtId="164" fontId="13" fillId="0" borderId="0" xfId="1" applyNumberFormat="1" applyFont="1" applyBorder="1"/>
    <xf numFmtId="164" fontId="13" fillId="0" borderId="1" xfId="1" applyNumberFormat="1" applyFont="1" applyBorder="1"/>
    <xf numFmtId="0" fontId="0" fillId="0" borderId="0" xfId="0" applyFont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11" fillId="0" borderId="0" xfId="0" applyFont="1" applyFill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5" fillId="0" borderId="0" xfId="0" applyNumberFormat="1" applyFont="1"/>
    <xf numFmtId="165" fontId="0" fillId="0" borderId="0" xfId="0" applyNumberFormat="1"/>
    <xf numFmtId="10" fontId="0" fillId="0" borderId="0" xfId="0" applyNumberFormat="1" applyFont="1"/>
    <xf numFmtId="42" fontId="3" fillId="0" borderId="0" xfId="0" applyNumberFormat="1" applyFont="1"/>
    <xf numFmtId="165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4" fillId="0" borderId="2" xfId="0" applyNumberFormat="1" applyFont="1" applyBorder="1"/>
    <xf numFmtId="10" fontId="0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3" fontId="18" fillId="0" borderId="0" xfId="0" applyNumberFormat="1" applyFont="1" applyBorder="1"/>
    <xf numFmtId="42" fontId="18" fillId="0" borderId="0" xfId="0" applyNumberFormat="1" applyFont="1" applyBorder="1"/>
    <xf numFmtId="0" fontId="18" fillId="0" borderId="0" xfId="0" applyFont="1"/>
    <xf numFmtId="42" fontId="18" fillId="0" borderId="0" xfId="0" applyNumberFormat="1" applyFont="1"/>
    <xf numFmtId="10" fontId="18" fillId="0" borderId="0" xfId="0" applyNumberFormat="1" applyFont="1"/>
    <xf numFmtId="0" fontId="18" fillId="0" borderId="0" xfId="0" applyFont="1" applyAlignment="1">
      <alignment horizontal="left"/>
    </xf>
    <xf numFmtId="166" fontId="18" fillId="0" borderId="0" xfId="0" applyNumberFormat="1" applyFont="1" applyFill="1"/>
    <xf numFmtId="167" fontId="18" fillId="0" borderId="0" xfId="0" applyNumberFormat="1" applyFont="1" applyFill="1"/>
    <xf numFmtId="0" fontId="18" fillId="0" borderId="0" xfId="0" applyFont="1" applyFill="1"/>
    <xf numFmtId="0" fontId="18" fillId="0" borderId="0" xfId="0" applyFont="1" applyFill="1" applyBorder="1" applyAlignment="1">
      <alignment horizontal="left" vertical="center" textRotation="180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/>
    <xf numFmtId="0" fontId="18" fillId="0" borderId="0" xfId="0" applyFont="1" applyBorder="1"/>
    <xf numFmtId="167" fontId="18" fillId="0" borderId="0" xfId="0" applyNumberFormat="1" applyFont="1" applyFill="1" applyBorder="1"/>
    <xf numFmtId="0" fontId="18" fillId="0" borderId="0" xfId="0" applyFont="1" applyBorder="1" applyAlignment="1">
      <alignment horizontal="left"/>
    </xf>
    <xf numFmtId="166" fontId="18" fillId="0" borderId="2" xfId="0" applyNumberFormat="1" applyFont="1" applyFill="1" applyBorder="1"/>
    <xf numFmtId="167" fontId="18" fillId="0" borderId="2" xfId="0" applyNumberFormat="1" applyFont="1" applyFill="1" applyBorder="1"/>
    <xf numFmtId="44" fontId="18" fillId="0" borderId="0" xfId="0" applyNumberFormat="1" applyFont="1"/>
    <xf numFmtId="167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0" fillId="0" borderId="0" xfId="0" applyFont="1"/>
    <xf numFmtId="168" fontId="4" fillId="0" borderId="0" xfId="0" applyNumberFormat="1" applyFont="1"/>
    <xf numFmtId="0" fontId="20" fillId="0" borderId="0" xfId="0" applyFont="1" applyBorder="1"/>
    <xf numFmtId="44" fontId="20" fillId="0" borderId="0" xfId="0" applyNumberFormat="1" applyFont="1" applyBorder="1"/>
    <xf numFmtId="44" fontId="4" fillId="0" borderId="0" xfId="0" applyNumberFormat="1" applyFont="1"/>
    <xf numFmtId="168" fontId="4" fillId="0" borderId="0" xfId="0" applyNumberFormat="1" applyFont="1" applyBorder="1"/>
    <xf numFmtId="44" fontId="4" fillId="0" borderId="0" xfId="0" applyNumberFormat="1" applyFont="1" applyBorder="1"/>
    <xf numFmtId="44" fontId="3" fillId="0" borderId="0" xfId="0" applyNumberFormat="1" applyFont="1" applyBorder="1"/>
    <xf numFmtId="44" fontId="4" fillId="0" borderId="2" xfId="0" applyNumberFormat="1" applyFont="1" applyBorder="1"/>
    <xf numFmtId="44" fontId="20" fillId="0" borderId="0" xfId="0" applyNumberFormat="1" applyFont="1"/>
    <xf numFmtId="0" fontId="4" fillId="0" borderId="0" xfId="0" applyFont="1" applyBorder="1"/>
    <xf numFmtId="169" fontId="5" fillId="0" borderId="0" xfId="0" applyNumberFormat="1" applyFont="1"/>
    <xf numFmtId="169" fontId="20" fillId="0" borderId="0" xfId="0" applyNumberFormat="1" applyFont="1" applyBorder="1"/>
    <xf numFmtId="169" fontId="4" fillId="0" borderId="0" xfId="0" applyNumberFormat="1" applyFont="1"/>
    <xf numFmtId="169" fontId="0" fillId="0" borderId="0" xfId="0" applyNumberFormat="1" applyFont="1"/>
    <xf numFmtId="169" fontId="4" fillId="0" borderId="2" xfId="0" applyNumberFormat="1" applyFont="1" applyBorder="1"/>
    <xf numFmtId="169" fontId="0" fillId="0" borderId="0" xfId="0" applyNumberFormat="1" applyFont="1" applyFill="1"/>
    <xf numFmtId="168" fontId="4" fillId="0" borderId="2" xfId="0" applyNumberFormat="1" applyFont="1" applyBorder="1"/>
    <xf numFmtId="169" fontId="4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10" fontId="4" fillId="0" borderId="0" xfId="0" applyNumberFormat="1" applyFont="1"/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1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165" fontId="3" fillId="0" borderId="0" xfId="0" applyNumberFormat="1" applyFont="1"/>
    <xf numFmtId="42" fontId="2" fillId="0" borderId="0" xfId="0" applyNumberFormat="1" applyFont="1" applyBorder="1" applyAlignment="1">
      <alignment horizontal="center"/>
    </xf>
    <xf numFmtId="165" fontId="3" fillId="0" borderId="1" xfId="0" applyNumberFormat="1" applyFont="1" applyBorder="1"/>
    <xf numFmtId="165" fontId="0" fillId="0" borderId="0" xfId="0" applyNumberFormat="1" applyFont="1"/>
    <xf numFmtId="164" fontId="0" fillId="0" borderId="2" xfId="0" applyNumberFormat="1" applyFont="1" applyBorder="1"/>
    <xf numFmtId="0" fontId="0" fillId="0" borderId="0" xfId="0" quotePrefix="1" applyFont="1"/>
    <xf numFmtId="0" fontId="14" fillId="0" borderId="0" xfId="0" applyFont="1"/>
    <xf numFmtId="3" fontId="3" fillId="0" borderId="0" xfId="0" applyNumberFormat="1" applyFont="1"/>
    <xf numFmtId="44" fontId="3" fillId="0" borderId="0" xfId="0" applyNumberFormat="1" applyFont="1"/>
    <xf numFmtId="169" fontId="3" fillId="0" borderId="0" xfId="0" applyNumberFormat="1" applyFont="1"/>
    <xf numFmtId="169" fontId="3" fillId="0" borderId="0" xfId="0" applyNumberFormat="1" applyFont="1" applyFill="1"/>
    <xf numFmtId="0" fontId="2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3" fontId="3" fillId="0" borderId="0" xfId="0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22" fillId="0" borderId="0" xfId="0" applyFont="1"/>
    <xf numFmtId="41" fontId="3" fillId="0" borderId="0" xfId="0" applyNumberFormat="1" applyFont="1"/>
    <xf numFmtId="0" fontId="3" fillId="0" borderId="0" xfId="0" applyFont="1"/>
    <xf numFmtId="166" fontId="3" fillId="0" borderId="0" xfId="0" applyNumberFormat="1" applyFont="1" applyFill="1"/>
    <xf numFmtId="41" fontId="3" fillId="0" borderId="0" xfId="0" applyNumberFormat="1" applyFont="1" applyFill="1"/>
    <xf numFmtId="0" fontId="3" fillId="0" borderId="0" xfId="0" applyFont="1" applyFill="1"/>
    <xf numFmtId="42" fontId="3" fillId="0" borderId="0" xfId="0" applyNumberFormat="1" applyFont="1" applyFill="1"/>
    <xf numFmtId="0" fontId="0" fillId="0" borderId="0" xfId="0" applyFont="1" applyFill="1" applyAlignment="1">
      <alignment horizontal="left" indent="1"/>
    </xf>
    <xf numFmtId="165" fontId="5" fillId="0" borderId="0" xfId="0" applyNumberFormat="1" applyFont="1"/>
    <xf numFmtId="165" fontId="5" fillId="0" borderId="1" xfId="0" applyNumberFormat="1" applyFont="1" applyBorder="1"/>
    <xf numFmtId="0" fontId="5" fillId="0" borderId="1" xfId="0" applyFont="1" applyFill="1" applyBorder="1" applyAlignment="1">
      <alignment horizontal="center"/>
    </xf>
    <xf numFmtId="3" fontId="5" fillId="0" borderId="0" xfId="0" applyNumberFormat="1" applyFont="1"/>
    <xf numFmtId="167" fontId="3" fillId="0" borderId="0" xfId="0" applyNumberFormat="1" applyFont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 applyFont="1" applyAlignment="1">
      <alignment horizontal="center"/>
    </xf>
  </cellXfs>
  <cellStyles count="3">
    <cellStyle name="Normal" xfId="0" builtinId="0"/>
    <cellStyle name="Normal 16" xfId="2"/>
    <cellStyle name="Percent" xfId="1" builtinId="5"/>
  </cellStyles>
  <dxfs count="0"/>
  <tableStyles count="0" defaultTableStyle="TableStyleMedium9" defaultPivotStyle="PivotStyleLight16"/>
  <colors>
    <mruColors>
      <color rgb="FF0000FF"/>
      <color rgb="FF00808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N11" sqref="N11"/>
    </sheetView>
  </sheetViews>
  <sheetFormatPr defaultColWidth="9.1796875" defaultRowHeight="14.5" x14ac:dyDescent="0.35"/>
  <cols>
    <col min="1" max="1" width="4.453125" style="6" customWidth="1"/>
    <col min="2" max="2" width="23.81640625" style="6" customWidth="1"/>
    <col min="3" max="3" width="9.1796875" style="6" bestFit="1" customWidth="1"/>
    <col min="4" max="4" width="11.1796875" style="6" bestFit="1" customWidth="1"/>
    <col min="5" max="5" width="13.54296875" style="6" bestFit="1" customWidth="1"/>
    <col min="6" max="6" width="14.81640625" style="6" bestFit="1" customWidth="1"/>
    <col min="7" max="7" width="15.1796875" style="6" bestFit="1" customWidth="1"/>
    <col min="8" max="8" width="13.453125" style="6" customWidth="1"/>
    <col min="9" max="11" width="12.453125" style="6" customWidth="1"/>
    <col min="12" max="12" width="10.1796875" style="6" bestFit="1" customWidth="1"/>
    <col min="13" max="13" width="11.26953125" style="6" bestFit="1" customWidth="1"/>
    <col min="14" max="14" width="11.54296875" style="6" bestFit="1" customWidth="1"/>
    <col min="15" max="16384" width="9.1796875" style="6"/>
  </cols>
  <sheetData>
    <row r="1" spans="1:15" x14ac:dyDescent="0.3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5" x14ac:dyDescent="0.35">
      <c r="A2" s="7" t="s">
        <v>87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5" x14ac:dyDescent="0.35">
      <c r="A3" s="183" t="s">
        <v>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5" x14ac:dyDescent="0.35">
      <c r="A4" s="183" t="s">
        <v>88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5" x14ac:dyDescent="0.35">
      <c r="L5" s="8"/>
      <c r="M5" s="8"/>
      <c r="N5" s="8"/>
    </row>
    <row r="6" spans="1:15" ht="13.5" customHeight="1" x14ac:dyDescent="0.35">
      <c r="E6" s="11" t="s">
        <v>79</v>
      </c>
      <c r="F6" s="9" t="s">
        <v>3</v>
      </c>
      <c r="G6" s="9" t="s">
        <v>3</v>
      </c>
      <c r="H6" s="9" t="s">
        <v>3</v>
      </c>
      <c r="I6" s="9" t="s">
        <v>2</v>
      </c>
      <c r="J6" s="9" t="s">
        <v>2</v>
      </c>
      <c r="K6" s="9" t="s">
        <v>2</v>
      </c>
      <c r="L6" s="10" t="s">
        <v>4</v>
      </c>
      <c r="M6" s="10" t="s">
        <v>4</v>
      </c>
      <c r="N6" s="10" t="s">
        <v>4</v>
      </c>
    </row>
    <row r="7" spans="1:15" ht="16.5" x14ac:dyDescent="0.35">
      <c r="B7" s="9"/>
      <c r="C7" s="9"/>
      <c r="D7" s="11" t="str">
        <f>MID('Allocation Factors'!$B$22,80,9)</f>
        <v>UG-190530</v>
      </c>
      <c r="E7" s="11" t="s">
        <v>83</v>
      </c>
      <c r="F7" s="9" t="s">
        <v>6</v>
      </c>
      <c r="G7" s="11" t="s">
        <v>6</v>
      </c>
      <c r="H7" s="9" t="s">
        <v>6</v>
      </c>
      <c r="I7" s="9" t="s">
        <v>7</v>
      </c>
      <c r="J7" s="9" t="s">
        <v>7</v>
      </c>
      <c r="K7" s="9" t="s">
        <v>7</v>
      </c>
      <c r="L7" s="11" t="s">
        <v>7</v>
      </c>
      <c r="M7" s="11" t="s">
        <v>7</v>
      </c>
      <c r="N7" s="11" t="s">
        <v>7</v>
      </c>
    </row>
    <row r="8" spans="1:15" ht="13.5" customHeight="1" x14ac:dyDescent="0.35">
      <c r="A8" s="63" t="s">
        <v>64</v>
      </c>
      <c r="B8" s="9"/>
      <c r="C8" s="9"/>
      <c r="D8" s="11" t="s">
        <v>5</v>
      </c>
      <c r="E8" s="167" t="str">
        <f>TEXT('Therm Forecast'!$B$7,"Mmm YYYY -")</f>
        <v>May 2021 -</v>
      </c>
      <c r="F8" s="9" t="s">
        <v>10</v>
      </c>
      <c r="G8" s="11" t="s">
        <v>10</v>
      </c>
      <c r="H8" s="9" t="s">
        <v>10</v>
      </c>
      <c r="I8" s="9" t="s">
        <v>36</v>
      </c>
      <c r="J8" s="9" t="s">
        <v>11</v>
      </c>
      <c r="K8" s="9" t="s">
        <v>11</v>
      </c>
      <c r="L8" s="11" t="s">
        <v>12</v>
      </c>
      <c r="M8" s="11" t="s">
        <v>12</v>
      </c>
      <c r="N8" s="11" t="s">
        <v>12</v>
      </c>
    </row>
    <row r="9" spans="1:15" ht="16.5" x14ac:dyDescent="0.35">
      <c r="A9" s="12" t="s">
        <v>65</v>
      </c>
      <c r="B9" s="12" t="s">
        <v>8</v>
      </c>
      <c r="C9" s="12" t="s">
        <v>9</v>
      </c>
      <c r="D9" s="13" t="s">
        <v>84</v>
      </c>
      <c r="E9" s="13" t="str">
        <f>TEXT('Therm Forecast'!$M$7,"Mmmm YYYY")</f>
        <v>April 2022</v>
      </c>
      <c r="F9" s="13" t="s">
        <v>30</v>
      </c>
      <c r="G9" s="12" t="s">
        <v>37</v>
      </c>
      <c r="H9" s="12" t="s">
        <v>78</v>
      </c>
      <c r="I9" s="12" t="s">
        <v>30</v>
      </c>
      <c r="J9" s="12" t="s">
        <v>35</v>
      </c>
      <c r="K9" s="12" t="s">
        <v>78</v>
      </c>
      <c r="L9" s="13" t="s">
        <v>30</v>
      </c>
      <c r="M9" s="13" t="s">
        <v>35</v>
      </c>
      <c r="N9" s="12" t="s">
        <v>78</v>
      </c>
    </row>
    <row r="10" spans="1:15" x14ac:dyDescent="0.35">
      <c r="B10" s="63" t="s">
        <v>60</v>
      </c>
      <c r="C10" s="63" t="s">
        <v>61</v>
      </c>
      <c r="D10" s="10" t="s">
        <v>62</v>
      </c>
      <c r="E10" s="11" t="s">
        <v>63</v>
      </c>
      <c r="F10" s="11" t="s">
        <v>193</v>
      </c>
      <c r="G10" s="11" t="s">
        <v>194</v>
      </c>
      <c r="H10" s="11" t="s">
        <v>71</v>
      </c>
      <c r="I10" s="11" t="s">
        <v>72</v>
      </c>
      <c r="J10" s="11" t="s">
        <v>73</v>
      </c>
      <c r="K10" s="11" t="s">
        <v>74</v>
      </c>
      <c r="L10" s="11" t="s">
        <v>75</v>
      </c>
      <c r="M10" s="11" t="s">
        <v>76</v>
      </c>
      <c r="N10" s="11" t="s">
        <v>77</v>
      </c>
      <c r="O10" s="11"/>
    </row>
    <row r="11" spans="1:15" x14ac:dyDescent="0.35">
      <c r="A11" s="63">
        <v>1</v>
      </c>
      <c r="B11" s="6" t="s">
        <v>13</v>
      </c>
      <c r="C11" s="6" t="s">
        <v>14</v>
      </c>
      <c r="D11" s="68">
        <f>'Allocation Factors'!H10</f>
        <v>0.64995997435792197</v>
      </c>
      <c r="E11" s="60">
        <f>SUM('Therm Forecast'!N8:N10)</f>
        <v>626386147</v>
      </c>
      <c r="F11" s="14">
        <f>F$20*D11</f>
        <v>11188179.365908084</v>
      </c>
      <c r="G11" s="21">
        <f t="shared" ref="G11:G17" si="0">$G$20*D11</f>
        <v>3333509.5345766139</v>
      </c>
      <c r="H11" s="14">
        <f t="shared" ref="H11:H17" si="1">SUM(F11:G11)</f>
        <v>14521688.900484698</v>
      </c>
      <c r="I11" s="27">
        <f t="shared" ref="I11:I17" si="2">ROUND(F11/$E11,5)</f>
        <v>1.7860000000000001E-2</v>
      </c>
      <c r="J11" s="27">
        <f>ROUND((+G11)/$E11,5)</f>
        <v>5.3200000000000001E-3</v>
      </c>
      <c r="K11" s="27">
        <f>SUM(I11:J11)</f>
        <v>2.3179999999999999E-2</v>
      </c>
      <c r="L11" s="15">
        <f>ROUND(I11*19,2)</f>
        <v>0.34</v>
      </c>
      <c r="M11" s="15">
        <f>ROUND(J11*19,2)</f>
        <v>0.1</v>
      </c>
      <c r="N11" s="15">
        <f>SUM(L11:M11)</f>
        <v>0.44000000000000006</v>
      </c>
    </row>
    <row r="12" spans="1:15" x14ac:dyDescent="0.35">
      <c r="A12" s="63">
        <f>A11+1</f>
        <v>2</v>
      </c>
      <c r="B12" s="6" t="s">
        <v>15</v>
      </c>
      <c r="C12" s="6" t="s">
        <v>16</v>
      </c>
      <c r="D12" s="68">
        <f>'Allocation Factors'!H11</f>
        <v>0.27930807572648531</v>
      </c>
      <c r="E12" s="60">
        <f>SUM('Therm Forecast'!N11,'Therm Forecast'!N16)</f>
        <v>232690266</v>
      </c>
      <c r="F12" s="14">
        <f t="shared" ref="F12:F17" si="3">F$20*D12</f>
        <v>4807909.6757636638</v>
      </c>
      <c r="G12" s="21">
        <f t="shared" si="0"/>
        <v>1432513.0319574999</v>
      </c>
      <c r="H12" s="14">
        <f t="shared" si="1"/>
        <v>6240422.7077211635</v>
      </c>
      <c r="I12" s="27">
        <f t="shared" si="2"/>
        <v>2.0660000000000001E-2</v>
      </c>
      <c r="J12" s="27">
        <f t="shared" ref="J12:J17" si="4">ROUND((+G12)/$E12,5)</f>
        <v>6.1599999999999997E-3</v>
      </c>
      <c r="K12" s="27">
        <f t="shared" ref="K12:K17" si="5">SUM(I12:J12)</f>
        <v>2.682E-2</v>
      </c>
      <c r="L12" s="27"/>
      <c r="M12" s="27"/>
      <c r="N12" s="8"/>
    </row>
    <row r="13" spans="1:15" x14ac:dyDescent="0.35">
      <c r="A13" s="63">
        <f t="shared" ref="A13:A20" si="6">A12+1</f>
        <v>3</v>
      </c>
      <c r="B13" s="6" t="s">
        <v>17</v>
      </c>
      <c r="C13" s="6" t="s">
        <v>18</v>
      </c>
      <c r="D13" s="68">
        <f>'Allocation Factors'!H12</f>
        <v>3.5559307118697744E-2</v>
      </c>
      <c r="E13" s="60">
        <f>SUM('Therm Forecast'!N12,'Therm Forecast'!N17)</f>
        <v>88674277</v>
      </c>
      <c r="F13" s="14">
        <f t="shared" si="3"/>
        <v>612105.24011793477</v>
      </c>
      <c r="G13" s="21">
        <f t="shared" si="0"/>
        <v>182376.29084808924</v>
      </c>
      <c r="H13" s="14">
        <f t="shared" si="1"/>
        <v>794481.53096602403</v>
      </c>
      <c r="I13" s="27">
        <f t="shared" si="2"/>
        <v>6.8999999999999999E-3</v>
      </c>
      <c r="J13" s="27">
        <f t="shared" si="4"/>
        <v>2.0600000000000002E-3</v>
      </c>
      <c r="K13" s="27">
        <f t="shared" si="5"/>
        <v>8.9599999999999992E-3</v>
      </c>
      <c r="L13" s="27"/>
      <c r="M13" s="27"/>
      <c r="N13" s="8"/>
    </row>
    <row r="14" spans="1:15" x14ac:dyDescent="0.35">
      <c r="A14" s="63">
        <f t="shared" si="6"/>
        <v>4</v>
      </c>
      <c r="B14" s="6" t="s">
        <v>19</v>
      </c>
      <c r="C14" s="6" t="s">
        <v>20</v>
      </c>
      <c r="D14" s="68">
        <f>'Allocation Factors'!H13</f>
        <v>1.8084568510143721E-2</v>
      </c>
      <c r="E14" s="60">
        <f>SUM('Therm Forecast'!N13,'Therm Forecast'!N18)</f>
        <v>81733738</v>
      </c>
      <c r="F14" s="14">
        <f t="shared" si="3"/>
        <v>311301.31735638157</v>
      </c>
      <c r="G14" s="21">
        <f t="shared" si="0"/>
        <v>92751.990792697819</v>
      </c>
      <c r="H14" s="14">
        <f t="shared" si="1"/>
        <v>404053.30814907938</v>
      </c>
      <c r="I14" s="27">
        <f t="shared" si="2"/>
        <v>3.81E-3</v>
      </c>
      <c r="J14" s="27">
        <f t="shared" si="4"/>
        <v>1.1299999999999999E-3</v>
      </c>
      <c r="K14" s="27">
        <f t="shared" si="5"/>
        <v>4.9399999999999999E-3</v>
      </c>
      <c r="L14" s="27"/>
      <c r="M14" s="27"/>
      <c r="N14" s="8"/>
    </row>
    <row r="15" spans="1:15" x14ac:dyDescent="0.35">
      <c r="A15" s="63">
        <f t="shared" si="6"/>
        <v>5</v>
      </c>
      <c r="B15" s="6" t="s">
        <v>21</v>
      </c>
      <c r="C15" s="6" t="s">
        <v>22</v>
      </c>
      <c r="D15" s="68">
        <f>'Allocation Factors'!H14</f>
        <v>2.3517326442172881E-3</v>
      </c>
      <c r="E15" s="60">
        <f>SUM('Therm Forecast'!N14,'Therm Forecast'!N19)</f>
        <v>4751889</v>
      </c>
      <c r="F15" s="14">
        <f t="shared" si="3"/>
        <v>40481.887627244818</v>
      </c>
      <c r="G15" s="21">
        <f t="shared" si="0"/>
        <v>12061.547636095371</v>
      </c>
      <c r="H15" s="14">
        <f t="shared" si="1"/>
        <v>52543.435263340187</v>
      </c>
      <c r="I15" s="27">
        <f t="shared" si="2"/>
        <v>8.5199999999999998E-3</v>
      </c>
      <c r="J15" s="27">
        <f t="shared" si="4"/>
        <v>2.5400000000000002E-3</v>
      </c>
      <c r="K15" s="27">
        <f t="shared" si="5"/>
        <v>1.106E-2</v>
      </c>
      <c r="L15" s="27"/>
      <c r="M15" s="27"/>
      <c r="N15" s="8"/>
    </row>
    <row r="16" spans="1:15" x14ac:dyDescent="0.35">
      <c r="A16" s="63">
        <f t="shared" si="6"/>
        <v>6</v>
      </c>
      <c r="B16" s="6" t="s">
        <v>23</v>
      </c>
      <c r="C16" s="6" t="s">
        <v>24</v>
      </c>
      <c r="D16" s="68">
        <f>'Allocation Factors'!H15</f>
        <v>1.2797238789858037E-2</v>
      </c>
      <c r="E16" s="60">
        <f>SUM('Therm Forecast'!N15,'Therm Forecast'!N20)</f>
        <v>106335770</v>
      </c>
      <c r="F16" s="14">
        <f t="shared" si="3"/>
        <v>220287.10784957142</v>
      </c>
      <c r="G16" s="21">
        <f t="shared" si="0"/>
        <v>65634.376277382078</v>
      </c>
      <c r="H16" s="14">
        <f t="shared" si="1"/>
        <v>285921.48412695352</v>
      </c>
      <c r="I16" s="27">
        <f t="shared" si="2"/>
        <v>2.0699999999999998E-3</v>
      </c>
      <c r="J16" s="27">
        <f t="shared" si="4"/>
        <v>6.2E-4</v>
      </c>
      <c r="K16" s="27">
        <f t="shared" si="5"/>
        <v>2.6899999999999997E-3</v>
      </c>
      <c r="L16" s="27"/>
      <c r="M16" s="27"/>
      <c r="N16" s="8"/>
    </row>
    <row r="17" spans="1:14" x14ac:dyDescent="0.35">
      <c r="A17" s="63">
        <f t="shared" si="6"/>
        <v>7</v>
      </c>
      <c r="B17" s="6" t="s">
        <v>25</v>
      </c>
      <c r="D17" s="68">
        <f>'Allocation Factors'!H16</f>
        <v>1.9391028526759568E-3</v>
      </c>
      <c r="E17" s="60">
        <f>'Therm Forecast'!N21</f>
        <v>32440860</v>
      </c>
      <c r="F17" s="14">
        <f t="shared" si="3"/>
        <v>33379.025448627945</v>
      </c>
      <c r="G17" s="21">
        <f t="shared" si="0"/>
        <v>9945.2552509954839</v>
      </c>
      <c r="H17" s="14">
        <f t="shared" si="1"/>
        <v>43324.280699623429</v>
      </c>
      <c r="I17" s="27">
        <f t="shared" si="2"/>
        <v>1.0300000000000001E-3</v>
      </c>
      <c r="J17" s="27">
        <f t="shared" si="4"/>
        <v>3.1E-4</v>
      </c>
      <c r="K17" s="27">
        <f t="shared" si="5"/>
        <v>1.34E-3</v>
      </c>
      <c r="L17" s="27"/>
      <c r="M17" s="27"/>
      <c r="N17" s="8"/>
    </row>
    <row r="18" spans="1:14" x14ac:dyDescent="0.35">
      <c r="A18" s="63">
        <f t="shared" si="6"/>
        <v>8</v>
      </c>
      <c r="B18" s="6" t="s">
        <v>28</v>
      </c>
      <c r="D18" s="3">
        <f>SUM(D11:D17)</f>
        <v>1</v>
      </c>
      <c r="E18" s="16">
        <f>SUM(E11:E17)</f>
        <v>1173012947</v>
      </c>
      <c r="F18" s="17">
        <f t="shared" ref="F18" si="7">SUM(F11:F17)</f>
        <v>17213643.620071512</v>
      </c>
      <c r="G18" s="17">
        <f>SUM(G11:G17)</f>
        <v>5128792.0273393746</v>
      </c>
      <c r="H18" s="17">
        <f>SUM(H11:H17)</f>
        <v>22342435.647410884</v>
      </c>
      <c r="I18" s="18"/>
      <c r="J18" s="18"/>
      <c r="K18" s="8"/>
      <c r="L18" s="8"/>
      <c r="M18" s="8"/>
      <c r="N18" s="8"/>
    </row>
    <row r="19" spans="1:14" x14ac:dyDescent="0.35">
      <c r="A19" s="63">
        <f t="shared" si="6"/>
        <v>9</v>
      </c>
      <c r="D19" s="4"/>
      <c r="E19" s="19"/>
      <c r="K19" s="8"/>
      <c r="L19" s="8"/>
      <c r="M19" s="8"/>
      <c r="N19" s="8"/>
    </row>
    <row r="20" spans="1:14" x14ac:dyDescent="0.35">
      <c r="A20" s="63">
        <f t="shared" si="6"/>
        <v>10</v>
      </c>
      <c r="B20" s="6" t="s">
        <v>29</v>
      </c>
      <c r="F20" s="70">
        <f>'2021 FINAL Rev Req'!I18</f>
        <v>17213643.620071508</v>
      </c>
      <c r="G20" s="70">
        <f>'2021 FINAL Rev Req'!I19</f>
        <v>5128792.0273393737</v>
      </c>
      <c r="H20" s="5">
        <f>SUM(F20:G20)</f>
        <v>22342435.647410881</v>
      </c>
      <c r="I20" s="14"/>
      <c r="J20" s="14"/>
      <c r="K20" s="8"/>
      <c r="L20" s="8"/>
      <c r="M20" s="8"/>
      <c r="N20" s="8"/>
    </row>
    <row r="22" spans="1:14" ht="16.5" x14ac:dyDescent="0.35">
      <c r="B22" s="6" t="s">
        <v>198</v>
      </c>
      <c r="D22" s="8"/>
    </row>
    <row r="23" spans="1:14" ht="16.5" x14ac:dyDescent="0.35">
      <c r="B23" s="6" t="s">
        <v>199</v>
      </c>
      <c r="D23" s="8"/>
    </row>
    <row r="24" spans="1:14" x14ac:dyDescent="0.35">
      <c r="D24" s="8"/>
      <c r="H24" s="14"/>
    </row>
    <row r="25" spans="1:14" x14ac:dyDescent="0.35">
      <c r="D25" s="8"/>
    </row>
    <row r="26" spans="1:14" x14ac:dyDescent="0.35">
      <c r="D26" s="8"/>
    </row>
    <row r="27" spans="1:14" x14ac:dyDescent="0.35">
      <c r="D27" s="8"/>
    </row>
  </sheetData>
  <mergeCells count="3">
    <mergeCell ref="A1:N1"/>
    <mergeCell ref="A3:N3"/>
    <mergeCell ref="A4:N4"/>
  </mergeCells>
  <printOptions horizontalCentered="1"/>
  <pageMargins left="0.45" right="0.45" top="0.75" bottom="0.75" header="0.3" footer="0.3"/>
  <pageSetup scale="73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80" zoomScaleNormal="80" workbookViewId="0">
      <selection activeCell="B22" sqref="B22"/>
    </sheetView>
  </sheetViews>
  <sheetFormatPr defaultColWidth="9.1796875" defaultRowHeight="14.5" x14ac:dyDescent="0.35"/>
  <cols>
    <col min="1" max="1" width="4.453125" style="49" customWidth="1"/>
    <col min="2" max="2" width="31.54296875" style="49" customWidth="1"/>
    <col min="3" max="3" width="10.453125" style="49" customWidth="1"/>
    <col min="4" max="4" width="17.1796875" style="49" bestFit="1" customWidth="1"/>
    <col min="5" max="5" width="12.81640625" style="49" bestFit="1" customWidth="1"/>
    <col min="6" max="6" width="3.54296875" style="49" customWidth="1"/>
    <col min="7" max="8" width="15.36328125" style="49" bestFit="1" customWidth="1"/>
    <col min="9" max="16384" width="9.1796875" style="49"/>
  </cols>
  <sheetData>
    <row r="1" spans="1:8" x14ac:dyDescent="0.35">
      <c r="A1" s="184" t="s">
        <v>0</v>
      </c>
      <c r="B1" s="184"/>
      <c r="C1" s="184"/>
      <c r="D1" s="184"/>
      <c r="E1" s="184"/>
    </row>
    <row r="2" spans="1:8" x14ac:dyDescent="0.35">
      <c r="A2" s="183" t="str">
        <f>'Sch. 140 Rates'!A2:N2</f>
        <v>2021 Gas Schedule 140 Property Tax Tracker Filing - PRELIMINARY</v>
      </c>
      <c r="B2" s="183"/>
      <c r="C2" s="183"/>
      <c r="D2" s="183"/>
      <c r="E2" s="183"/>
    </row>
    <row r="3" spans="1:8" x14ac:dyDescent="0.35">
      <c r="A3" s="184" t="s">
        <v>80</v>
      </c>
      <c r="B3" s="184"/>
      <c r="C3" s="184"/>
      <c r="D3" s="184"/>
      <c r="E3" s="184"/>
    </row>
    <row r="4" spans="1:8" x14ac:dyDescent="0.35">
      <c r="A4" s="183" t="str">
        <f>'Sch. 140 Rates'!A4:N4</f>
        <v>Proposed Effective May 1, 2021</v>
      </c>
      <c r="B4" s="183"/>
      <c r="C4" s="183"/>
      <c r="D4" s="183"/>
      <c r="E4" s="183"/>
      <c r="H4" s="51" t="s">
        <v>5</v>
      </c>
    </row>
    <row r="5" spans="1:8" x14ac:dyDescent="0.35">
      <c r="A5" s="64"/>
      <c r="B5" s="64"/>
      <c r="C5" s="64"/>
      <c r="D5" s="64"/>
      <c r="E5" s="64"/>
      <c r="G5" s="51" t="s">
        <v>5</v>
      </c>
      <c r="H5" s="51" t="s">
        <v>81</v>
      </c>
    </row>
    <row r="6" spans="1:8" x14ac:dyDescent="0.35">
      <c r="B6" s="50"/>
      <c r="C6" s="50"/>
      <c r="D6" s="50"/>
      <c r="E6" s="51" t="s">
        <v>5</v>
      </c>
      <c r="G6" s="51" t="s">
        <v>81</v>
      </c>
      <c r="H6" s="51" t="s">
        <v>82</v>
      </c>
    </row>
    <row r="7" spans="1:8" x14ac:dyDescent="0.35">
      <c r="A7" s="64" t="s">
        <v>64</v>
      </c>
      <c r="B7" s="50"/>
      <c r="C7" s="50"/>
      <c r="D7" s="50" t="s">
        <v>5</v>
      </c>
      <c r="E7" s="51" t="s">
        <v>81</v>
      </c>
      <c r="G7" s="51" t="s">
        <v>82</v>
      </c>
      <c r="H7" s="11" t="s">
        <v>91</v>
      </c>
    </row>
    <row r="8" spans="1:8" ht="16.5" x14ac:dyDescent="0.35">
      <c r="A8" s="52" t="s">
        <v>65</v>
      </c>
      <c r="B8" s="52" t="s">
        <v>8</v>
      </c>
      <c r="C8" s="52" t="s">
        <v>9</v>
      </c>
      <c r="D8" s="69" t="s">
        <v>85</v>
      </c>
      <c r="E8" s="53" t="s">
        <v>82</v>
      </c>
      <c r="G8" s="13" t="s">
        <v>90</v>
      </c>
      <c r="H8" s="12" t="s">
        <v>92</v>
      </c>
    </row>
    <row r="9" spans="1:8" x14ac:dyDescent="0.35">
      <c r="B9" s="64" t="s">
        <v>60</v>
      </c>
      <c r="C9" s="64" t="s">
        <v>61</v>
      </c>
      <c r="D9" s="54" t="s">
        <v>62</v>
      </c>
      <c r="E9" s="64" t="s">
        <v>63</v>
      </c>
      <c r="G9" s="11" t="s">
        <v>195</v>
      </c>
      <c r="H9" s="11" t="s">
        <v>196</v>
      </c>
    </row>
    <row r="10" spans="1:8" x14ac:dyDescent="0.35">
      <c r="A10" s="64">
        <v>1</v>
      </c>
      <c r="B10" s="49" t="s">
        <v>13</v>
      </c>
      <c r="C10" s="49" t="s">
        <v>14</v>
      </c>
      <c r="D10" s="182">
        <v>2758583882.3136344</v>
      </c>
      <c r="E10" s="67">
        <f t="shared" ref="E10:E16" si="0">D10/$D$20</f>
        <v>0.64640217540992984</v>
      </c>
      <c r="G10" s="76">
        <f>D10/$D$17</f>
        <v>0.64995997435792197</v>
      </c>
      <c r="H10" s="74">
        <f>E10+$E$19*G10</f>
        <v>0.64995997435792197</v>
      </c>
    </row>
    <row r="11" spans="1:8" x14ac:dyDescent="0.35">
      <c r="A11" s="64">
        <f>A10+1</f>
        <v>2</v>
      </c>
      <c r="B11" s="49" t="s">
        <v>15</v>
      </c>
      <c r="C11" s="49" t="s">
        <v>16</v>
      </c>
      <c r="D11" s="182">
        <v>1185449545.0435538</v>
      </c>
      <c r="E11" s="67">
        <f t="shared" si="0"/>
        <v>0.27777917853713596</v>
      </c>
      <c r="G11" s="76">
        <f t="shared" ref="G11:G16" si="1">D11/$D$17</f>
        <v>0.27930807572648531</v>
      </c>
      <c r="H11" s="74">
        <f t="shared" ref="H11:H16" si="2">E11+$E$19*G11</f>
        <v>0.27930807572648531</v>
      </c>
    </row>
    <row r="12" spans="1:8" x14ac:dyDescent="0.35">
      <c r="A12" s="64">
        <f t="shared" ref="A12:A20" si="3">A11+1</f>
        <v>3</v>
      </c>
      <c r="B12" s="49" t="s">
        <v>17</v>
      </c>
      <c r="C12" s="49" t="s">
        <v>18</v>
      </c>
      <c r="D12" s="182">
        <v>150922111.13581857</v>
      </c>
      <c r="E12" s="67">
        <f t="shared" si="0"/>
        <v>3.5364659955104003E-2</v>
      </c>
      <c r="G12" s="76">
        <f t="shared" si="1"/>
        <v>3.5559307118697744E-2</v>
      </c>
      <c r="H12" s="74">
        <f t="shared" si="2"/>
        <v>3.5559307118697744E-2</v>
      </c>
    </row>
    <row r="13" spans="1:8" x14ac:dyDescent="0.35">
      <c r="A13" s="64">
        <f t="shared" si="3"/>
        <v>4</v>
      </c>
      <c r="B13" s="49" t="s">
        <v>19</v>
      </c>
      <c r="C13" s="49" t="s">
        <v>20</v>
      </c>
      <c r="D13" s="182">
        <v>76755186.748171672</v>
      </c>
      <c r="E13" s="67">
        <f t="shared" si="0"/>
        <v>1.7985575862352075E-2</v>
      </c>
      <c r="G13" s="76">
        <f t="shared" si="1"/>
        <v>1.8084568510143725E-2</v>
      </c>
      <c r="H13" s="74">
        <f t="shared" si="2"/>
        <v>1.8084568510143721E-2</v>
      </c>
    </row>
    <row r="14" spans="1:8" x14ac:dyDescent="0.35">
      <c r="A14" s="64">
        <f t="shared" si="3"/>
        <v>5</v>
      </c>
      <c r="B14" s="49" t="s">
        <v>21</v>
      </c>
      <c r="C14" s="49" t="s">
        <v>22</v>
      </c>
      <c r="D14" s="182">
        <v>9981309.6556559745</v>
      </c>
      <c r="E14" s="67">
        <f t="shared" si="0"/>
        <v>2.3388595562462626E-3</v>
      </c>
      <c r="G14" s="76">
        <f t="shared" si="1"/>
        <v>2.3517326442172881E-3</v>
      </c>
      <c r="H14" s="74">
        <f t="shared" si="2"/>
        <v>2.3517326442172881E-3</v>
      </c>
    </row>
    <row r="15" spans="1:8" x14ac:dyDescent="0.35">
      <c r="A15" s="64">
        <f t="shared" si="3"/>
        <v>6</v>
      </c>
      <c r="B15" s="49" t="s">
        <v>23</v>
      </c>
      <c r="C15" s="49" t="s">
        <v>24</v>
      </c>
      <c r="D15" s="182">
        <v>54314508.672161512</v>
      </c>
      <c r="E15" s="67">
        <f t="shared" si="0"/>
        <v>1.2727188318290556E-2</v>
      </c>
      <c r="G15" s="76">
        <f t="shared" si="1"/>
        <v>1.2797238789858039E-2</v>
      </c>
      <c r="H15" s="74">
        <f t="shared" si="2"/>
        <v>1.2797238789858037E-2</v>
      </c>
    </row>
    <row r="16" spans="1:8" x14ac:dyDescent="0.35">
      <c r="A16" s="64">
        <f t="shared" si="3"/>
        <v>7</v>
      </c>
      <c r="B16" s="49" t="s">
        <v>25</v>
      </c>
      <c r="D16" s="182">
        <v>8230011.2108050874</v>
      </c>
      <c r="E16" s="67">
        <f t="shared" si="0"/>
        <v>1.9284884481564873E-3</v>
      </c>
      <c r="G16" s="77">
        <f t="shared" si="1"/>
        <v>1.939102852675957E-3</v>
      </c>
      <c r="H16" s="77">
        <f t="shared" si="2"/>
        <v>1.9391028526759568E-3</v>
      </c>
    </row>
    <row r="17" spans="1:8" x14ac:dyDescent="0.35">
      <c r="A17" s="64">
        <f t="shared" si="3"/>
        <v>8</v>
      </c>
      <c r="B17" s="49" t="s">
        <v>26</v>
      </c>
      <c r="D17" s="66">
        <f>SUM(D10:D16)</f>
        <v>4244236554.7798009</v>
      </c>
      <c r="E17" s="55">
        <f>SUM(E10:E16)</f>
        <v>0.99452612608721513</v>
      </c>
      <c r="G17" s="73">
        <f>SUM(G10:G16)</f>
        <v>1</v>
      </c>
      <c r="H17" s="56">
        <f>SUM(H10:H16)</f>
        <v>1</v>
      </c>
    </row>
    <row r="18" spans="1:8" x14ac:dyDescent="0.35">
      <c r="A18" s="64">
        <f t="shared" si="3"/>
        <v>9</v>
      </c>
      <c r="D18" s="65"/>
      <c r="E18" s="56"/>
    </row>
    <row r="19" spans="1:8" x14ac:dyDescent="0.35">
      <c r="A19" s="64">
        <f t="shared" si="3"/>
        <v>10</v>
      </c>
      <c r="B19" s="49" t="s">
        <v>27</v>
      </c>
      <c r="C19" s="6" t="s">
        <v>86</v>
      </c>
      <c r="D19" s="182">
        <v>23360287.022625227</v>
      </c>
      <c r="E19" s="67">
        <f>D19/$D$20</f>
        <v>5.4738739127848293E-3</v>
      </c>
    </row>
    <row r="20" spans="1:8" x14ac:dyDescent="0.35">
      <c r="A20" s="64">
        <f t="shared" si="3"/>
        <v>11</v>
      </c>
      <c r="B20" s="49" t="s">
        <v>28</v>
      </c>
      <c r="D20" s="66">
        <f>D17+D19</f>
        <v>4267596841.8024263</v>
      </c>
      <c r="E20" s="57">
        <f>E17+E19</f>
        <v>1</v>
      </c>
    </row>
    <row r="22" spans="1:8" ht="16.5" x14ac:dyDescent="0.35">
      <c r="B22" s="6" t="s">
        <v>200</v>
      </c>
      <c r="E22" s="58"/>
    </row>
    <row r="23" spans="1:8" x14ac:dyDescent="0.35">
      <c r="B23" s="6"/>
      <c r="E23" s="58"/>
    </row>
    <row r="24" spans="1:8" x14ac:dyDescent="0.35">
      <c r="B24" s="75"/>
      <c r="E24" s="58"/>
    </row>
    <row r="25" spans="1:8" x14ac:dyDescent="0.35">
      <c r="E25" s="58"/>
    </row>
    <row r="26" spans="1:8" x14ac:dyDescent="0.35">
      <c r="E26" s="58"/>
    </row>
  </sheetData>
  <mergeCells count="4">
    <mergeCell ref="A4:E4"/>
    <mergeCell ref="A1:E1"/>
    <mergeCell ref="A2:E2"/>
    <mergeCell ref="A3:E3"/>
  </mergeCells>
  <printOptions horizontalCentered="1"/>
  <pageMargins left="0.45" right="0.45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7"/>
  <sheetViews>
    <sheetView zoomScale="80" zoomScaleNormal="80" workbookViewId="0">
      <pane xSplit="3" ySplit="9" topLeftCell="M10" activePane="bottomRight" state="frozenSplit"/>
      <selection activeCell="E9" sqref="E9"/>
      <selection pane="topRight" activeCell="E9" sqref="E9"/>
      <selection pane="bottomLeft" activeCell="E9" sqref="E9"/>
      <selection pane="bottomRight" activeCell="U24" sqref="U24"/>
    </sheetView>
  </sheetViews>
  <sheetFormatPr defaultRowHeight="14.5" x14ac:dyDescent="0.35"/>
  <cols>
    <col min="1" max="1" width="2.81640625" customWidth="1"/>
    <col min="2" max="2" width="37.54296875" customWidth="1"/>
    <col min="3" max="3" width="8.453125" bestFit="1" customWidth="1"/>
    <col min="4" max="4" width="15" bestFit="1" customWidth="1"/>
    <col min="5" max="5" width="14.54296875" bestFit="1" customWidth="1"/>
    <col min="6" max="6" width="11.7265625" bestFit="1" customWidth="1"/>
    <col min="7" max="7" width="13.54296875" bestFit="1" customWidth="1"/>
    <col min="8" max="8" width="15.54296875" bestFit="1" customWidth="1"/>
    <col min="9" max="9" width="14.54296875" bestFit="1" customWidth="1"/>
    <col min="10" max="11" width="13.26953125" bestFit="1" customWidth="1"/>
    <col min="12" max="12" width="12.1796875" bestFit="1" customWidth="1"/>
    <col min="13" max="13" width="13.26953125" bestFit="1" customWidth="1"/>
    <col min="14" max="14" width="14" bestFit="1" customWidth="1"/>
    <col min="15" max="15" width="11.26953125" bestFit="1" customWidth="1"/>
    <col min="16" max="17" width="12.81640625" bestFit="1" customWidth="1"/>
    <col min="18" max="18" width="13.26953125" bestFit="1" customWidth="1"/>
    <col min="19" max="19" width="15.7265625" bestFit="1" customWidth="1"/>
    <col min="20" max="20" width="13.26953125" bestFit="1" customWidth="1"/>
    <col min="21" max="21" width="7.26953125" bestFit="1" customWidth="1"/>
    <col min="22" max="22" width="13.7265625" bestFit="1" customWidth="1"/>
  </cols>
  <sheetData>
    <row r="1" spans="2:21" x14ac:dyDescent="0.35"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2:21" x14ac:dyDescent="0.35">
      <c r="B2" s="149" t="str">
        <f>'Sch. 140 Rates'!$A$2</f>
        <v>2021 Gas Schedule 140 Property Tax Tracker Filing - PRELIMINARY</v>
      </c>
      <c r="C2" s="149"/>
      <c r="D2" s="149"/>
      <c r="E2" s="149"/>
      <c r="F2" s="149"/>
      <c r="G2" s="149"/>
      <c r="H2" s="149"/>
      <c r="I2" s="150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2:21" x14ac:dyDescent="0.35">
      <c r="B3" s="186" t="s">
        <v>97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4" spans="2:21" x14ac:dyDescent="0.35">
      <c r="B4" s="186" t="s">
        <v>98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2:21" x14ac:dyDescent="0.35">
      <c r="F5" s="48"/>
      <c r="N5" s="48"/>
      <c r="R5" s="48"/>
    </row>
    <row r="6" spans="2:21" x14ac:dyDescent="0.35">
      <c r="F6" s="48"/>
      <c r="G6" s="82" t="s">
        <v>79</v>
      </c>
      <c r="N6" s="48"/>
      <c r="R6" s="48"/>
    </row>
    <row r="7" spans="2:21" x14ac:dyDescent="0.35">
      <c r="B7" s="82"/>
      <c r="C7" s="82"/>
      <c r="D7" s="82" t="s">
        <v>99</v>
      </c>
      <c r="E7" s="82" t="s">
        <v>99</v>
      </c>
      <c r="F7" s="82"/>
      <c r="G7" s="82" t="s">
        <v>100</v>
      </c>
      <c r="H7" s="48"/>
      <c r="I7" s="82"/>
      <c r="J7" s="82"/>
      <c r="K7" s="82"/>
      <c r="L7" s="82"/>
      <c r="M7" s="82"/>
      <c r="N7" s="82"/>
      <c r="O7" s="82"/>
      <c r="P7" s="82"/>
      <c r="Q7" s="82"/>
      <c r="R7" s="82"/>
      <c r="S7" s="83" t="s">
        <v>101</v>
      </c>
      <c r="T7" s="83" t="s">
        <v>102</v>
      </c>
      <c r="U7" s="82"/>
    </row>
    <row r="8" spans="2:21" x14ac:dyDescent="0.35">
      <c r="B8" s="82"/>
      <c r="C8" s="82" t="s">
        <v>103</v>
      </c>
      <c r="D8" s="82" t="s">
        <v>104</v>
      </c>
      <c r="E8" s="82" t="s">
        <v>105</v>
      </c>
      <c r="F8" s="82" t="s">
        <v>106</v>
      </c>
      <c r="G8" s="83" t="s">
        <v>107</v>
      </c>
      <c r="H8" s="48" t="s">
        <v>79</v>
      </c>
      <c r="I8" s="82" t="s">
        <v>108</v>
      </c>
      <c r="J8" s="82" t="s">
        <v>109</v>
      </c>
      <c r="K8" s="82" t="s">
        <v>110</v>
      </c>
      <c r="L8" s="82" t="s">
        <v>111</v>
      </c>
      <c r="M8" s="82" t="s">
        <v>112</v>
      </c>
      <c r="N8" s="82" t="s">
        <v>113</v>
      </c>
      <c r="O8" s="82" t="s">
        <v>114</v>
      </c>
      <c r="P8" s="82" t="s">
        <v>115</v>
      </c>
      <c r="Q8" s="82" t="s">
        <v>116</v>
      </c>
      <c r="R8" s="82" t="s">
        <v>117</v>
      </c>
      <c r="S8" s="82" t="s">
        <v>118</v>
      </c>
      <c r="T8" s="82" t="s">
        <v>6</v>
      </c>
      <c r="U8" s="82" t="s">
        <v>119</v>
      </c>
    </row>
    <row r="9" spans="2:21" ht="16.5" x14ac:dyDescent="0.35">
      <c r="B9" s="1" t="s">
        <v>8</v>
      </c>
      <c r="C9" s="1" t="s">
        <v>31</v>
      </c>
      <c r="D9" s="1" t="s">
        <v>120</v>
      </c>
      <c r="E9" s="1" t="s">
        <v>121</v>
      </c>
      <c r="F9" s="1" t="s">
        <v>122</v>
      </c>
      <c r="G9" s="84" t="s">
        <v>123</v>
      </c>
      <c r="H9" s="1" t="s">
        <v>124</v>
      </c>
      <c r="I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P9" s="1" t="s">
        <v>6</v>
      </c>
      <c r="Q9" s="1" t="s">
        <v>6</v>
      </c>
      <c r="R9" s="1" t="s">
        <v>6</v>
      </c>
      <c r="S9" s="12" t="s">
        <v>125</v>
      </c>
      <c r="T9" s="1" t="s">
        <v>126</v>
      </c>
      <c r="U9" s="1" t="s">
        <v>126</v>
      </c>
    </row>
    <row r="10" spans="2:21" x14ac:dyDescent="0.35">
      <c r="B10" s="82" t="s">
        <v>127</v>
      </c>
      <c r="C10" s="82" t="s">
        <v>128</v>
      </c>
      <c r="D10" s="85" t="s">
        <v>129</v>
      </c>
      <c r="E10" s="86" t="s">
        <v>130</v>
      </c>
      <c r="F10" s="82" t="s">
        <v>131</v>
      </c>
      <c r="G10" s="82" t="s">
        <v>132</v>
      </c>
      <c r="H10" s="82" t="s">
        <v>133</v>
      </c>
      <c r="I10" s="82" t="s">
        <v>134</v>
      </c>
      <c r="J10" s="82" t="s">
        <v>135</v>
      </c>
      <c r="K10" s="82" t="s">
        <v>136</v>
      </c>
      <c r="L10" s="86" t="s">
        <v>137</v>
      </c>
      <c r="M10" s="82" t="s">
        <v>138</v>
      </c>
      <c r="N10" s="86" t="s">
        <v>139</v>
      </c>
      <c r="O10" s="82" t="s">
        <v>140</v>
      </c>
      <c r="P10" s="86" t="s">
        <v>141</v>
      </c>
      <c r="Q10" s="86" t="s">
        <v>142</v>
      </c>
      <c r="R10" s="82" t="s">
        <v>143</v>
      </c>
      <c r="S10" s="87" t="s">
        <v>144</v>
      </c>
      <c r="T10" s="82" t="s">
        <v>145</v>
      </c>
      <c r="U10" s="82" t="s">
        <v>146</v>
      </c>
    </row>
    <row r="11" spans="2:21" x14ac:dyDescent="0.35">
      <c r="B11" t="s">
        <v>13</v>
      </c>
      <c r="C11" s="20" t="s">
        <v>147</v>
      </c>
      <c r="D11" s="162">
        <v>609248315.15931809</v>
      </c>
      <c r="E11" s="91">
        <v>369409021.81868041</v>
      </c>
      <c r="F11" s="89">
        <f t="shared" ref="F11:F16" si="0">(E11)/D11</f>
        <v>0.60633572982812456</v>
      </c>
      <c r="G11" s="181">
        <f>'Schedule 140'!C9</f>
        <v>626377148</v>
      </c>
      <c r="H11" s="2">
        <f>F11*G11</f>
        <v>379794845.1802392</v>
      </c>
      <c r="I11" s="91">
        <v>238831342.75999999</v>
      </c>
      <c r="J11" s="91">
        <v>30235224.93</v>
      </c>
      <c r="K11" s="91">
        <v>13648758.054920001</v>
      </c>
      <c r="L11" s="91">
        <v>4390903.80748</v>
      </c>
      <c r="M11" s="91">
        <v>12345893.587080002</v>
      </c>
      <c r="N11" s="91">
        <v>-8694114.8142399993</v>
      </c>
      <c r="O11" s="91">
        <v>-425936.46064</v>
      </c>
      <c r="P11" s="91">
        <v>-858136.69275999989</v>
      </c>
      <c r="Q11" s="91">
        <v>7716966.46</v>
      </c>
      <c r="R11" s="91">
        <v>11086875.5196</v>
      </c>
      <c r="S11" s="21">
        <f>SUM(H11:R11)</f>
        <v>688072622.33167922</v>
      </c>
      <c r="T11" s="88">
        <f>'Schedule 140'!H9</f>
        <v>2173528.7035599984</v>
      </c>
      <c r="U11" s="90">
        <f>T11/S11</f>
        <v>3.1588652607547991E-3</v>
      </c>
    </row>
    <row r="12" spans="2:21" x14ac:dyDescent="0.35">
      <c r="B12" t="s">
        <v>148</v>
      </c>
      <c r="C12" s="20">
        <v>16</v>
      </c>
      <c r="D12" s="162">
        <v>9386</v>
      </c>
      <c r="E12" s="91">
        <v>5636.54</v>
      </c>
      <c r="F12" s="89">
        <f t="shared" si="0"/>
        <v>0.60052631578947369</v>
      </c>
      <c r="G12" s="181">
        <f>'Schedule 140'!C10</f>
        <v>8999</v>
      </c>
      <c r="H12" s="2">
        <f t="shared" ref="H12:H23" si="1">F12*G12</f>
        <v>5404.1363157894739</v>
      </c>
      <c r="I12" s="91">
        <v>3431.23</v>
      </c>
      <c r="J12" s="91">
        <v>434.38</v>
      </c>
      <c r="K12" s="91">
        <v>196.08821</v>
      </c>
      <c r="L12" s="91"/>
      <c r="M12" s="91">
        <v>177.37029000000001</v>
      </c>
      <c r="N12" s="91">
        <v>-124.90612</v>
      </c>
      <c r="O12" s="91">
        <v>-6.1193200000000001</v>
      </c>
      <c r="P12" s="91">
        <v>-12.328629999999999</v>
      </c>
      <c r="Q12" s="91"/>
      <c r="R12" s="91">
        <v>159.28229999999999</v>
      </c>
      <c r="S12" s="21">
        <f t="shared" ref="S12:S23" si="2">SUM(H12:R12)</f>
        <v>9659.1330457894746</v>
      </c>
      <c r="T12" s="88">
        <f>'Schedule 140'!H10</f>
        <v>31.226529999999968</v>
      </c>
      <c r="U12" s="90">
        <f t="shared" ref="U12:U24" si="3">T12/S12</f>
        <v>3.2328501794073503E-3</v>
      </c>
    </row>
    <row r="13" spans="2:21" x14ac:dyDescent="0.35">
      <c r="B13" t="s">
        <v>15</v>
      </c>
      <c r="C13" s="20">
        <v>31</v>
      </c>
      <c r="D13" s="162">
        <v>234140158.08963937</v>
      </c>
      <c r="E13" s="91">
        <v>117941137.18000001</v>
      </c>
      <c r="F13" s="89">
        <f t="shared" si="0"/>
        <v>0.50372024236375057</v>
      </c>
      <c r="G13" s="181">
        <f>'Schedule 140'!C11</f>
        <v>232667656</v>
      </c>
      <c r="H13" s="2">
        <f t="shared" si="1"/>
        <v>117199408.07052575</v>
      </c>
      <c r="I13" s="91">
        <v>86819935.840000004</v>
      </c>
      <c r="J13" s="91">
        <v>11195967.609999999</v>
      </c>
      <c r="K13" s="91">
        <v>5069828.2242400004</v>
      </c>
      <c r="L13" s="91">
        <v>1293632.1673599998</v>
      </c>
      <c r="M13" s="91">
        <v>4944187.6900000004</v>
      </c>
      <c r="N13" s="91">
        <v>-3478381.4572000001</v>
      </c>
      <c r="O13" s="91">
        <v>-167520.71232000002</v>
      </c>
      <c r="P13" s="91">
        <v>-342021.45431999996</v>
      </c>
      <c r="Q13" s="91">
        <v>-1717087.3</v>
      </c>
      <c r="R13" s="91">
        <v>4374151.9328000005</v>
      </c>
      <c r="S13" s="21">
        <f t="shared" si="2"/>
        <v>225192100.61108574</v>
      </c>
      <c r="T13" s="88">
        <f>'Schedule 140'!H11</f>
        <v>1295958.8439199999</v>
      </c>
      <c r="U13" s="90">
        <f t="shared" si="3"/>
        <v>5.7549036596011155E-3</v>
      </c>
    </row>
    <row r="14" spans="2:21" x14ac:dyDescent="0.35">
      <c r="B14" t="s">
        <v>17</v>
      </c>
      <c r="C14" s="20">
        <v>41</v>
      </c>
      <c r="D14" s="162">
        <v>65836657.463465497</v>
      </c>
      <c r="E14" s="91">
        <v>16769592.583254175</v>
      </c>
      <c r="F14" s="89">
        <f t="shared" si="0"/>
        <v>0.25471512724594297</v>
      </c>
      <c r="G14" s="181">
        <f>'Schedule 140'!C12</f>
        <v>64505965</v>
      </c>
      <c r="H14" s="2">
        <f t="shared" si="1"/>
        <v>16430645.083097344</v>
      </c>
      <c r="I14" s="91">
        <v>21690930.699999999</v>
      </c>
      <c r="J14" s="91">
        <v>3063388.28</v>
      </c>
      <c r="K14" s="91">
        <v>1405584.9773500001</v>
      </c>
      <c r="L14" s="91">
        <v>196743.19325000001</v>
      </c>
      <c r="M14" s="91">
        <v>487020.03575000004</v>
      </c>
      <c r="N14" s="91">
        <v>-367684.00050000002</v>
      </c>
      <c r="O14" s="91">
        <v>-18706.72985</v>
      </c>
      <c r="P14" s="91">
        <v>-36123.340399999994</v>
      </c>
      <c r="Q14" s="91">
        <v>-886729.88000000012</v>
      </c>
      <c r="R14" s="91">
        <v>597970.29555000004</v>
      </c>
      <c r="S14" s="21">
        <f t="shared" si="2"/>
        <v>42563038.614247337</v>
      </c>
      <c r="T14" s="88">
        <f>'Schedule 140'!H12</f>
        <v>90953.41064999986</v>
      </c>
      <c r="U14" s="90">
        <f t="shared" si="3"/>
        <v>2.136910653262302E-3</v>
      </c>
    </row>
    <row r="15" spans="2:21" x14ac:dyDescent="0.35">
      <c r="B15" t="s">
        <v>19</v>
      </c>
      <c r="C15" s="20">
        <v>85</v>
      </c>
      <c r="D15" s="162">
        <v>16184434.068649083</v>
      </c>
      <c r="E15" s="91">
        <v>1712016.4100000001</v>
      </c>
      <c r="F15" s="89">
        <f t="shared" si="0"/>
        <v>0.10578166667664657</v>
      </c>
      <c r="G15" s="181">
        <f>'Schedule 140'!C13</f>
        <v>9717323</v>
      </c>
      <c r="H15" s="2">
        <f t="shared" si="1"/>
        <v>1027914.6225753112</v>
      </c>
      <c r="I15" s="91">
        <v>3012149.54</v>
      </c>
      <c r="J15" s="91">
        <v>457200.05</v>
      </c>
      <c r="K15" s="91">
        <v>177827.01089999999</v>
      </c>
      <c r="L15" s="91">
        <v>13796.355827199839</v>
      </c>
      <c r="M15" s="91">
        <v>42561.874739999999</v>
      </c>
      <c r="N15" s="91">
        <v>-26236.772100000002</v>
      </c>
      <c r="O15" s="91">
        <v>-1554.7716800000001</v>
      </c>
      <c r="P15" s="91">
        <v>-2623.6772099999998</v>
      </c>
      <c r="Q15" s="91"/>
      <c r="R15" s="91">
        <v>48100.748850000004</v>
      </c>
      <c r="S15" s="21">
        <f t="shared" si="2"/>
        <v>4749134.9819025109</v>
      </c>
      <c r="T15" s="88">
        <f>'Schedule 140'!H13</f>
        <v>5441.7008799999967</v>
      </c>
      <c r="U15" s="90">
        <f t="shared" si="3"/>
        <v>1.1458299039165325E-3</v>
      </c>
    </row>
    <row r="16" spans="2:21" x14ac:dyDescent="0.35">
      <c r="B16" t="s">
        <v>21</v>
      </c>
      <c r="C16" s="20">
        <v>86</v>
      </c>
      <c r="D16" s="162">
        <v>9397200.2729263548</v>
      </c>
      <c r="E16" s="91">
        <v>1992002.78</v>
      </c>
      <c r="F16" s="89">
        <f t="shared" si="0"/>
        <v>0.21197832568696295</v>
      </c>
      <c r="G16" s="181">
        <f>'Schedule 140'!C14</f>
        <v>4551465</v>
      </c>
      <c r="H16" s="2">
        <f t="shared" si="1"/>
        <v>964811.93012281286</v>
      </c>
      <c r="I16" s="91">
        <v>1515772.4100000001</v>
      </c>
      <c r="J16" s="91">
        <v>215056.72</v>
      </c>
      <c r="K16" s="91">
        <v>83291.809500000003</v>
      </c>
      <c r="L16" s="91">
        <v>13472.3364</v>
      </c>
      <c r="M16" s="91">
        <v>35911.058850000009</v>
      </c>
      <c r="N16" s="91">
        <v>-15383.951700000001</v>
      </c>
      <c r="O16" s="91">
        <v>-1456.4688000000001</v>
      </c>
      <c r="P16" s="91">
        <v>-1501.9834499999999</v>
      </c>
      <c r="Q16" s="91">
        <v>-61554.38</v>
      </c>
      <c r="R16" s="91">
        <v>40143.921300000002</v>
      </c>
      <c r="S16" s="21">
        <f t="shared" si="2"/>
        <v>2788563.4022228131</v>
      </c>
      <c r="T16" s="88">
        <f>'Schedule 140'!H14</f>
        <v>14428.144049999995</v>
      </c>
      <c r="U16" s="90">
        <f t="shared" si="3"/>
        <v>5.1740419595620694E-3</v>
      </c>
    </row>
    <row r="17" spans="2:22" x14ac:dyDescent="0.35">
      <c r="B17" t="s">
        <v>23</v>
      </c>
      <c r="C17" s="20">
        <v>87</v>
      </c>
      <c r="D17" s="162">
        <v>23337042.118500695</v>
      </c>
      <c r="E17" s="91">
        <v>1405341.91</v>
      </c>
      <c r="F17" s="89">
        <f>(E17)/D17</f>
        <v>6.0219367255882859E-2</v>
      </c>
      <c r="G17" s="181">
        <f>'Schedule 140'!C15</f>
        <v>14248694</v>
      </c>
      <c r="H17" s="2">
        <f t="shared" si="1"/>
        <v>858047.33690269454</v>
      </c>
      <c r="I17" s="91">
        <v>4443312.74</v>
      </c>
      <c r="J17" s="91">
        <v>670828.51</v>
      </c>
      <c r="K17" s="91">
        <v>260751.10020000002</v>
      </c>
      <c r="L17" s="91">
        <v>8325.450629642135</v>
      </c>
      <c r="M17" s="91">
        <v>32914.483139999997</v>
      </c>
      <c r="N17" s="91">
        <v>-20233.145479999999</v>
      </c>
      <c r="O17" s="91">
        <v>-1139.89552</v>
      </c>
      <c r="P17" s="91">
        <v>-1994.8171599999998</v>
      </c>
      <c r="Q17" s="91"/>
      <c r="R17" s="91">
        <v>41321.212599999999</v>
      </c>
      <c r="S17" s="21">
        <f t="shared" si="2"/>
        <v>6292132.9753123373</v>
      </c>
      <c r="T17" s="88">
        <f>'Schedule 140'!H15</f>
        <v>5414.5037200000006</v>
      </c>
      <c r="U17" s="90">
        <f t="shared" si="3"/>
        <v>8.605195950632668E-4</v>
      </c>
    </row>
    <row r="18" spans="2:22" x14ac:dyDescent="0.35">
      <c r="B18" t="s">
        <v>149</v>
      </c>
      <c r="C18" s="20" t="s">
        <v>54</v>
      </c>
      <c r="D18" s="162">
        <v>36359.963605097219</v>
      </c>
      <c r="E18" s="91">
        <v>25456.9</v>
      </c>
      <c r="F18" s="89">
        <f>(E18)/D18</f>
        <v>0.70013546428388773</v>
      </c>
      <c r="G18" s="181">
        <f>'Schedule 140'!C16</f>
        <v>22610</v>
      </c>
      <c r="H18" s="2">
        <f t="shared" si="1"/>
        <v>15830.062847458701</v>
      </c>
      <c r="I18" s="91"/>
      <c r="J18" s="91"/>
      <c r="K18" s="91"/>
      <c r="L18" s="91">
        <v>125.71159999999999</v>
      </c>
      <c r="M18" s="91">
        <v>480.46250000000003</v>
      </c>
      <c r="N18" s="91">
        <v>-338.01949999999999</v>
      </c>
      <c r="O18" s="91">
        <v>-16.279199999999999</v>
      </c>
      <c r="P18" s="91">
        <v>-33.236699999999999</v>
      </c>
      <c r="Q18" s="91">
        <v>-158.72</v>
      </c>
      <c r="R18" s="91">
        <v>425.06800000000004</v>
      </c>
      <c r="S18" s="21">
        <f t="shared" si="2"/>
        <v>16315.049547458702</v>
      </c>
      <c r="T18" s="88">
        <f>'Schedule 140'!H16</f>
        <v>125.93770000000001</v>
      </c>
      <c r="U18" s="90">
        <f t="shared" si="3"/>
        <v>7.7191123222556546E-3</v>
      </c>
    </row>
    <row r="19" spans="2:22" x14ac:dyDescent="0.35">
      <c r="B19" t="s">
        <v>150</v>
      </c>
      <c r="C19" t="s">
        <v>32</v>
      </c>
      <c r="D19" s="162">
        <v>20492334.449073859</v>
      </c>
      <c r="E19" s="91">
        <v>4419777.9054754293</v>
      </c>
      <c r="F19" s="89">
        <f t="shared" ref="F19:F24" si="4">(E19)/D19</f>
        <v>0.21567957113227668</v>
      </c>
      <c r="G19" s="181">
        <f>'Schedule 140'!C17</f>
        <v>24168312</v>
      </c>
      <c r="H19" s="2">
        <f>F19*G19</f>
        <v>5212611.1671510562</v>
      </c>
      <c r="I19" s="91"/>
      <c r="J19" s="91"/>
      <c r="K19" s="91"/>
      <c r="L19" s="91">
        <v>73713.351600000009</v>
      </c>
      <c r="M19" s="91">
        <v>182470.7556</v>
      </c>
      <c r="N19" s="91">
        <v>-137759.37840000002</v>
      </c>
      <c r="O19" s="91">
        <v>-7008.8104800000001</v>
      </c>
      <c r="P19" s="91">
        <v>-13534.254719999999</v>
      </c>
      <c r="Q19" s="91">
        <v>-284726.82999999996</v>
      </c>
      <c r="R19" s="91">
        <v>224040.25224</v>
      </c>
      <c r="S19" s="21">
        <f>SUM(H19:R19)</f>
        <v>5249806.2529910561</v>
      </c>
      <c r="T19" s="88">
        <f>'Schedule 140'!H17</f>
        <v>34077.31991999998</v>
      </c>
      <c r="U19" s="90">
        <f t="shared" si="3"/>
        <v>6.4911576309286774E-3</v>
      </c>
    </row>
    <row r="20" spans="2:22" x14ac:dyDescent="0.35">
      <c r="B20" t="s">
        <v>151</v>
      </c>
      <c r="C20" t="s">
        <v>33</v>
      </c>
      <c r="D20" s="162">
        <v>74773537.134971082</v>
      </c>
      <c r="E20" s="91">
        <v>7547127.8200000003</v>
      </c>
      <c r="F20" s="89">
        <f t="shared" si="4"/>
        <v>0.10093313903790516</v>
      </c>
      <c r="G20" s="181">
        <f>'Schedule 140'!C18</f>
        <v>72016415</v>
      </c>
      <c r="H20" s="2">
        <f t="shared" si="1"/>
        <v>7268842.8282064786</v>
      </c>
      <c r="I20" s="91"/>
      <c r="J20" s="91"/>
      <c r="K20" s="91"/>
      <c r="L20" s="91">
        <v>93741.149655008965</v>
      </c>
      <c r="M20" s="91">
        <v>315431.89770000003</v>
      </c>
      <c r="N20" s="91">
        <v>-194444.3205</v>
      </c>
      <c r="O20" s="91">
        <v>-11522.626400000001</v>
      </c>
      <c r="P20" s="91">
        <v>-19444.432049999999</v>
      </c>
      <c r="Q20" s="91"/>
      <c r="R20" s="91">
        <v>356481.25425000006</v>
      </c>
      <c r="S20" s="21">
        <f t="shared" si="2"/>
        <v>7809085.7508614864</v>
      </c>
      <c r="T20" s="88">
        <f>'Schedule 140'!H18</f>
        <v>40329.192399999942</v>
      </c>
      <c r="U20" s="90">
        <f t="shared" si="3"/>
        <v>5.1643935905750409E-3</v>
      </c>
    </row>
    <row r="21" spans="2:22" x14ac:dyDescent="0.35">
      <c r="B21" t="s">
        <v>152</v>
      </c>
      <c r="C21" t="s">
        <v>55</v>
      </c>
      <c r="D21" s="162">
        <v>351288.14999999997</v>
      </c>
      <c r="E21" s="91">
        <v>70216.179999999993</v>
      </c>
      <c r="F21" s="89">
        <f t="shared" si="4"/>
        <v>0.19988200569817113</v>
      </c>
      <c r="G21" s="181">
        <f>'Schedule 140'!C19</f>
        <v>200424</v>
      </c>
      <c r="H21" s="2">
        <f t="shared" si="1"/>
        <v>40061.151110050254</v>
      </c>
      <c r="I21" s="91"/>
      <c r="J21" s="91"/>
      <c r="K21" s="91"/>
      <c r="L21" s="91">
        <v>593.25504000000001</v>
      </c>
      <c r="M21" s="91">
        <v>1581.3453600000003</v>
      </c>
      <c r="N21" s="91">
        <v>-677.43312000000003</v>
      </c>
      <c r="O21" s="91">
        <v>-64.135680000000008</v>
      </c>
      <c r="P21" s="91">
        <v>-66.139920000000004</v>
      </c>
      <c r="Q21" s="91">
        <v>-2925.2799999999997</v>
      </c>
      <c r="R21" s="91">
        <v>1767.7396799999999</v>
      </c>
      <c r="S21" s="21">
        <f t="shared" si="2"/>
        <v>40270.502470050254</v>
      </c>
      <c r="T21" s="88">
        <f>'Schedule 140'!H19</f>
        <v>635.34407999999985</v>
      </c>
      <c r="U21" s="90">
        <f t="shared" si="3"/>
        <v>1.5776909674085002E-2</v>
      </c>
    </row>
    <row r="22" spans="2:22" x14ac:dyDescent="0.35">
      <c r="B22" t="s">
        <v>153</v>
      </c>
      <c r="C22" t="s">
        <v>34</v>
      </c>
      <c r="D22" s="162">
        <v>100441128.37470125</v>
      </c>
      <c r="E22" s="91">
        <v>4429994.87</v>
      </c>
      <c r="F22" s="89">
        <f t="shared" si="4"/>
        <v>4.4105387321751864E-2</v>
      </c>
      <c r="G22" s="181">
        <f>'Schedule 140'!C20</f>
        <v>92087076</v>
      </c>
      <c r="H22" s="2">
        <f t="shared" si="1"/>
        <v>4061536.1543076006</v>
      </c>
      <c r="I22" s="91"/>
      <c r="J22" s="91"/>
      <c r="K22" s="91"/>
      <c r="L22" s="91">
        <v>44056.353049085774</v>
      </c>
      <c r="M22" s="91">
        <v>212721.14556</v>
      </c>
      <c r="N22" s="91">
        <v>-130763.64792</v>
      </c>
      <c r="O22" s="91">
        <v>-7366.9660800000011</v>
      </c>
      <c r="P22" s="91">
        <v>-12892.190639999999</v>
      </c>
      <c r="Q22" s="91"/>
      <c r="R22" s="91">
        <v>267052.52039999998</v>
      </c>
      <c r="S22" s="21">
        <f t="shared" si="2"/>
        <v>4434343.3686766867</v>
      </c>
      <c r="T22" s="88">
        <f>'Schedule 140'!H20</f>
        <v>34993.088879999967</v>
      </c>
      <c r="U22" s="90">
        <f t="shared" si="3"/>
        <v>7.8913800692982268E-3</v>
      </c>
    </row>
    <row r="23" spans="2:22" x14ac:dyDescent="0.35">
      <c r="B23" t="s">
        <v>25</v>
      </c>
      <c r="D23" s="162">
        <v>37056427.854413897</v>
      </c>
      <c r="E23" s="91">
        <v>1757519.5213237838</v>
      </c>
      <c r="F23" s="92">
        <f t="shared" si="4"/>
        <v>4.7428195945617584E-2</v>
      </c>
      <c r="G23" s="181">
        <f>'Schedule 140'!C21</f>
        <v>32440860</v>
      </c>
      <c r="H23" s="2">
        <f t="shared" si="1"/>
        <v>1538611.4647243477</v>
      </c>
      <c r="I23" s="91"/>
      <c r="J23" s="91"/>
      <c r="K23" s="91"/>
      <c r="L23" s="91"/>
      <c r="M23" s="91">
        <v>94402.902600000001</v>
      </c>
      <c r="N23" s="91">
        <v>-24006.236399999998</v>
      </c>
      <c r="O23" s="91">
        <v>-3568.4946</v>
      </c>
      <c r="P23" s="91">
        <v>-2270.8601999999996</v>
      </c>
      <c r="Q23" s="91"/>
      <c r="R23" s="91">
        <v>22384.1934</v>
      </c>
      <c r="S23" s="21">
        <f t="shared" si="2"/>
        <v>1625552.9695243475</v>
      </c>
      <c r="T23" s="88">
        <f>'Schedule 140'!H21</f>
        <v>-50932.150199999996</v>
      </c>
      <c r="U23" s="90">
        <f t="shared" si="3"/>
        <v>-3.1332199660588873E-2</v>
      </c>
    </row>
    <row r="24" spans="2:22" x14ac:dyDescent="0.35">
      <c r="B24" t="s">
        <v>28</v>
      </c>
      <c r="D24" s="93">
        <f>SUM(D11:D23)</f>
        <v>1191304269.0992641</v>
      </c>
      <c r="E24" s="94">
        <f>SUM(E11:E23)</f>
        <v>527484842.41873384</v>
      </c>
      <c r="F24" s="89">
        <f t="shared" si="4"/>
        <v>0.44277927654667182</v>
      </c>
      <c r="G24" s="93">
        <f>SUM(G11:G23)</f>
        <v>1173012947</v>
      </c>
      <c r="H24" s="94">
        <f>SUM(H11:H23)</f>
        <v>534418569.18812579</v>
      </c>
      <c r="I24" s="94">
        <f t="shared" ref="I24:K24" si="5">SUM(I11:I23)</f>
        <v>356316875.22000003</v>
      </c>
      <c r="J24" s="94">
        <f t="shared" si="5"/>
        <v>45838100.479999997</v>
      </c>
      <c r="K24" s="94">
        <f t="shared" si="5"/>
        <v>20646237.265320003</v>
      </c>
      <c r="L24" s="94">
        <f>SUM(L11:L23)</f>
        <v>6129103.1318909377</v>
      </c>
      <c r="M24" s="94">
        <f>SUM(M11:M23)</f>
        <v>18695754.609170008</v>
      </c>
      <c r="N24" s="94">
        <f>SUM(N11:N23)</f>
        <v>-13090148.083179997</v>
      </c>
      <c r="O24" s="94">
        <f>SUM(O11:O23)</f>
        <v>-645868.47057</v>
      </c>
      <c r="P24" s="94">
        <f>SUM(P11:P23)</f>
        <v>-1290655.4081600001</v>
      </c>
      <c r="Q24" s="94">
        <f t="shared" ref="Q24:S24" si="6">SUM(Q11:Q23)</f>
        <v>4763784.07</v>
      </c>
      <c r="R24" s="94">
        <f t="shared" si="6"/>
        <v>17060873.940969996</v>
      </c>
      <c r="S24" s="95">
        <f t="shared" si="6"/>
        <v>988842625.94356692</v>
      </c>
      <c r="T24" s="94">
        <f>SUM(T11:T23)</f>
        <v>3644985.2660899987</v>
      </c>
      <c r="U24" s="96">
        <f t="shared" si="3"/>
        <v>3.6861126032182367E-3</v>
      </c>
      <c r="V24" s="2"/>
    </row>
    <row r="25" spans="2:22" x14ac:dyDescent="0.35">
      <c r="D25" s="97"/>
      <c r="E25" s="2"/>
      <c r="G25" s="97"/>
      <c r="L25" s="2"/>
      <c r="P25" s="2"/>
      <c r="Q25" s="2"/>
      <c r="S25" s="2"/>
      <c r="U25" s="98"/>
    </row>
    <row r="26" spans="2:22" s="103" customFormat="1" x14ac:dyDescent="0.35">
      <c r="B26" s="99" t="s">
        <v>154</v>
      </c>
      <c r="C26" s="100"/>
      <c r="D26" s="101"/>
      <c r="E26" s="102"/>
      <c r="T26" s="104"/>
      <c r="U26" s="105"/>
    </row>
    <row r="27" spans="2:22" s="103" customFormat="1" x14ac:dyDescent="0.35">
      <c r="B27" s="106" t="s">
        <v>155</v>
      </c>
      <c r="C27" s="106"/>
      <c r="D27" s="107">
        <f>D11+D12</f>
        <v>609257701.15931809</v>
      </c>
      <c r="E27" s="108">
        <f>E11+E12</f>
        <v>369414658.35868043</v>
      </c>
      <c r="F27" s="109"/>
      <c r="H27" s="108">
        <f>H11+H12</f>
        <v>379800249.31655496</v>
      </c>
      <c r="L27" s="108"/>
      <c r="P27" s="108"/>
      <c r="Q27" s="108"/>
      <c r="S27" s="108">
        <f>S11+S12</f>
        <v>688082281.46472502</v>
      </c>
      <c r="T27" s="2">
        <f>SUM(T11:T12)</f>
        <v>2173559.9300899985</v>
      </c>
      <c r="U27" s="90">
        <f t="shared" ref="U27:U34" si="7">T27/S27</f>
        <v>3.1588662993372362E-3</v>
      </c>
      <c r="V27" s="110"/>
    </row>
    <row r="28" spans="2:22" s="103" customFormat="1" x14ac:dyDescent="0.35">
      <c r="B28" s="111" t="s">
        <v>156</v>
      </c>
      <c r="C28" s="111"/>
      <c r="D28" s="107">
        <f>D13+D18</f>
        <v>234176518.05324447</v>
      </c>
      <c r="E28" s="108">
        <f>E13+E18</f>
        <v>117966594.08000001</v>
      </c>
      <c r="F28" s="112"/>
      <c r="H28" s="108">
        <f>H13+H18</f>
        <v>117215238.13337322</v>
      </c>
      <c r="I28" s="113"/>
      <c r="J28" s="113"/>
      <c r="K28" s="113"/>
      <c r="L28" s="108"/>
      <c r="N28" s="113"/>
      <c r="P28" s="108"/>
      <c r="Q28" s="108"/>
      <c r="R28" s="113"/>
      <c r="S28" s="108">
        <f>S13+S18</f>
        <v>225208415.66063321</v>
      </c>
      <c r="T28" s="2">
        <f>SUM(T13,T18)</f>
        <v>1296084.7816199998</v>
      </c>
      <c r="U28" s="90">
        <f t="shared" si="7"/>
        <v>5.7550459551790074E-3</v>
      </c>
    </row>
    <row r="29" spans="2:22" s="103" customFormat="1" x14ac:dyDescent="0.35">
      <c r="B29" s="106" t="s">
        <v>157</v>
      </c>
      <c r="C29" s="106"/>
      <c r="D29" s="107">
        <f t="shared" ref="D29:E32" si="8">D14+D19</f>
        <v>86328991.912539363</v>
      </c>
      <c r="E29" s="108">
        <f t="shared" si="8"/>
        <v>21189370.488729604</v>
      </c>
      <c r="F29" s="112"/>
      <c r="H29" s="108">
        <f>H14+H19</f>
        <v>21643256.250248402</v>
      </c>
      <c r="I29" s="113"/>
      <c r="J29" s="113"/>
      <c r="K29" s="113"/>
      <c r="L29" s="108"/>
      <c r="N29" s="113"/>
      <c r="P29" s="108"/>
      <c r="Q29" s="108"/>
      <c r="R29" s="113"/>
      <c r="S29" s="108">
        <f>S14+S19</f>
        <v>47812844.867238395</v>
      </c>
      <c r="T29" s="2">
        <f>SUM(T14,T19)</f>
        <v>125030.73056999984</v>
      </c>
      <c r="U29" s="90">
        <f t="shared" si="7"/>
        <v>2.615002954063324E-3</v>
      </c>
    </row>
    <row r="30" spans="2:22" s="103" customFormat="1" x14ac:dyDescent="0.35">
      <c r="B30" s="106" t="s">
        <v>158</v>
      </c>
      <c r="C30" s="106"/>
      <c r="D30" s="107">
        <f t="shared" si="8"/>
        <v>90957971.203620166</v>
      </c>
      <c r="E30" s="108">
        <f t="shared" si="8"/>
        <v>9259144.2300000004</v>
      </c>
      <c r="F30" s="112"/>
      <c r="H30" s="108">
        <f>H15+H20</f>
        <v>8296757.4507817896</v>
      </c>
      <c r="I30" s="113"/>
      <c r="J30" s="113"/>
      <c r="K30" s="113"/>
      <c r="L30" s="108"/>
      <c r="N30" s="113"/>
      <c r="P30" s="108"/>
      <c r="Q30" s="108"/>
      <c r="R30" s="113"/>
      <c r="S30" s="108">
        <f>S15+S20</f>
        <v>12558220.732763998</v>
      </c>
      <c r="T30" s="2">
        <f>SUM(T15,T20)</f>
        <v>45770.893279999938</v>
      </c>
      <c r="U30" s="90">
        <f t="shared" si="7"/>
        <v>3.6446957139863877E-3</v>
      </c>
    </row>
    <row r="31" spans="2:22" s="103" customFormat="1" x14ac:dyDescent="0.35">
      <c r="B31" s="106" t="s">
        <v>159</v>
      </c>
      <c r="C31" s="106"/>
      <c r="D31" s="107">
        <f t="shared" si="8"/>
        <v>9748488.4229263552</v>
      </c>
      <c r="E31" s="108">
        <f t="shared" si="8"/>
        <v>2062218.96</v>
      </c>
      <c r="F31" s="112"/>
      <c r="H31" s="108">
        <f>H16+H21</f>
        <v>1004873.0812328631</v>
      </c>
      <c r="I31" s="113"/>
      <c r="J31" s="113"/>
      <c r="K31" s="113"/>
      <c r="L31" s="114"/>
      <c r="N31" s="113"/>
      <c r="P31" s="114"/>
      <c r="Q31" s="114"/>
      <c r="R31" s="113"/>
      <c r="S31" s="108">
        <f>S16+S21</f>
        <v>2828833.9046928636</v>
      </c>
      <c r="T31" s="2">
        <f>SUM(T16,T21)</f>
        <v>15063.488129999994</v>
      </c>
      <c r="U31" s="90">
        <f t="shared" si="7"/>
        <v>5.3249814720512864E-3</v>
      </c>
    </row>
    <row r="32" spans="2:22" s="103" customFormat="1" x14ac:dyDescent="0.35">
      <c r="B32" s="115" t="s">
        <v>160</v>
      </c>
      <c r="C32" s="115"/>
      <c r="D32" s="107">
        <f t="shared" si="8"/>
        <v>123778170.49320194</v>
      </c>
      <c r="E32" s="108">
        <f t="shared" si="8"/>
        <v>5835336.7800000003</v>
      </c>
      <c r="F32" s="112"/>
      <c r="G32" s="109"/>
      <c r="H32" s="108">
        <f>H17+H22</f>
        <v>4919583.4912102949</v>
      </c>
      <c r="I32" s="112"/>
      <c r="J32" s="112"/>
      <c r="K32" s="112"/>
      <c r="L32" s="114"/>
      <c r="N32" s="112"/>
      <c r="P32" s="114"/>
      <c r="Q32" s="114"/>
      <c r="R32" s="112"/>
      <c r="S32" s="108">
        <f>S17+S22</f>
        <v>10726476.343989024</v>
      </c>
      <c r="T32" s="2">
        <f>SUM(T17,T22)</f>
        <v>40407.592599999967</v>
      </c>
      <c r="U32" s="90">
        <f t="shared" si="7"/>
        <v>3.7670891450428501E-3</v>
      </c>
    </row>
    <row r="33" spans="2:21" s="103" customFormat="1" x14ac:dyDescent="0.35">
      <c r="B33" s="115" t="s">
        <v>25</v>
      </c>
      <c r="C33" s="115"/>
      <c r="D33" s="107">
        <f>D23</f>
        <v>37056427.854413897</v>
      </c>
      <c r="E33" s="108">
        <f>E23</f>
        <v>1757519.5213237838</v>
      </c>
      <c r="F33" s="112"/>
      <c r="G33" s="109"/>
      <c r="H33" s="108">
        <f>H23</f>
        <v>1538611.4647243477</v>
      </c>
      <c r="I33" s="112"/>
      <c r="J33" s="112"/>
      <c r="K33" s="112"/>
      <c r="L33" s="114"/>
      <c r="N33" s="112"/>
      <c r="P33" s="114"/>
      <c r="Q33" s="114"/>
      <c r="R33" s="112"/>
      <c r="S33" s="108">
        <f>S23</f>
        <v>1625552.9695243475</v>
      </c>
      <c r="T33" s="2">
        <f>T23</f>
        <v>-50932.150199999996</v>
      </c>
      <c r="U33" s="90">
        <f t="shared" si="7"/>
        <v>-3.1332199660588873E-2</v>
      </c>
    </row>
    <row r="34" spans="2:21" s="103" customFormat="1" x14ac:dyDescent="0.35">
      <c r="B34" s="115" t="s">
        <v>26</v>
      </c>
      <c r="C34" s="115"/>
      <c r="D34" s="116">
        <f>SUM(D27:D33)</f>
        <v>1191304269.0992644</v>
      </c>
      <c r="E34" s="117">
        <f>SUM(E27:E33)</f>
        <v>527484842.41873378</v>
      </c>
      <c r="F34" s="109"/>
      <c r="G34" s="109"/>
      <c r="H34" s="117">
        <f>SUM(H27:H33)</f>
        <v>534418569.18812585</v>
      </c>
      <c r="I34" s="109"/>
      <c r="J34" s="109"/>
      <c r="K34" s="112"/>
      <c r="L34" s="114"/>
      <c r="N34" s="112"/>
      <c r="P34" s="114"/>
      <c r="Q34" s="114"/>
      <c r="R34" s="112"/>
      <c r="S34" s="117">
        <f>SUM(S27:S33)</f>
        <v>988842625.94356692</v>
      </c>
      <c r="T34" s="117">
        <f>SUM(T27:T33)</f>
        <v>3644985.2660899982</v>
      </c>
      <c r="U34" s="96">
        <f t="shared" si="7"/>
        <v>3.6861126032182363E-3</v>
      </c>
    </row>
    <row r="35" spans="2:21" s="103" customFormat="1" x14ac:dyDescent="0.35">
      <c r="B35" s="109"/>
      <c r="C35" s="109"/>
      <c r="D35" s="109"/>
      <c r="E35" s="109"/>
      <c r="F35" s="109"/>
      <c r="I35" s="113"/>
      <c r="L35" s="109"/>
      <c r="N35" s="109"/>
      <c r="P35" s="109"/>
      <c r="Q35" s="109"/>
      <c r="R35" s="109"/>
      <c r="S35" s="109"/>
      <c r="T35" s="118"/>
    </row>
    <row r="36" spans="2:21" ht="16.5" x14ac:dyDescent="0.35">
      <c r="B36" s="6" t="s">
        <v>197</v>
      </c>
      <c r="D36" s="97"/>
      <c r="E36" s="97"/>
      <c r="H36" s="119"/>
      <c r="L36" s="97"/>
      <c r="P36" s="97"/>
      <c r="Q36" s="97"/>
      <c r="S36" s="97"/>
    </row>
    <row r="37" spans="2:21" ht="16.5" x14ac:dyDescent="0.35">
      <c r="B37" t="s">
        <v>161</v>
      </c>
    </row>
  </sheetData>
  <mergeCells count="3">
    <mergeCell ref="B1:U1"/>
    <mergeCell ref="B3:U3"/>
    <mergeCell ref="B4:U4"/>
  </mergeCells>
  <printOptions horizontalCentered="1"/>
  <pageMargins left="0.45" right="0.45" top="0.75" bottom="0.75" header="0.3" footer="0.3"/>
  <pageSetup paperSize="5" scale="58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tabSelected="1" zoomScale="80" zoomScaleNormal="80" workbookViewId="0">
      <selection activeCell="B2" sqref="B2:H2"/>
    </sheetView>
  </sheetViews>
  <sheetFormatPr defaultColWidth="9.1796875" defaultRowHeight="14.5" x14ac:dyDescent="0.35"/>
  <cols>
    <col min="1" max="1" width="2.1796875" style="120" customWidth="1"/>
    <col min="2" max="2" width="2.453125" style="120" customWidth="1"/>
    <col min="3" max="3" width="34.54296875" style="120" customWidth="1"/>
    <col min="4" max="5" width="11.81640625" style="120" customWidth="1"/>
    <col min="6" max="6" width="2.7265625" style="135" customWidth="1"/>
    <col min="7" max="8" width="11.81640625" style="120" customWidth="1"/>
    <col min="9" max="16384" width="9.1796875" style="120"/>
  </cols>
  <sheetData>
    <row r="1" spans="2:8" x14ac:dyDescent="0.35">
      <c r="B1" s="187" t="s">
        <v>0</v>
      </c>
      <c r="C1" s="187"/>
      <c r="D1" s="187"/>
      <c r="E1" s="187"/>
      <c r="F1" s="187"/>
      <c r="G1" s="187"/>
      <c r="H1" s="187"/>
    </row>
    <row r="2" spans="2:8" x14ac:dyDescent="0.35">
      <c r="B2" s="187" t="str">
        <f>'Rate Impacts Sch140'!B2:U2</f>
        <v>2021 Gas Schedule 140 Property Tax Tracker Filing - PRELIMINARY</v>
      </c>
      <c r="C2" s="187"/>
      <c r="D2" s="187"/>
      <c r="E2" s="187"/>
      <c r="F2" s="187"/>
      <c r="G2" s="187"/>
      <c r="H2" s="187"/>
    </row>
    <row r="3" spans="2:8" x14ac:dyDescent="0.35">
      <c r="B3" s="185" t="s">
        <v>162</v>
      </c>
      <c r="C3" s="185"/>
      <c r="D3" s="185"/>
      <c r="E3" s="185"/>
      <c r="F3" s="185"/>
      <c r="G3" s="185"/>
      <c r="H3" s="185"/>
    </row>
    <row r="4" spans="2:8" x14ac:dyDescent="0.35">
      <c r="B4" s="185" t="str">
        <f>'Rate Impacts Sch140'!B4:U4</f>
        <v>Proposed Rates Effective May 1, 2021</v>
      </c>
      <c r="C4" s="185"/>
      <c r="D4" s="185"/>
      <c r="E4" s="185"/>
      <c r="F4" s="185"/>
      <c r="G4" s="185"/>
      <c r="H4" s="185"/>
    </row>
    <row r="6" spans="2:8" x14ac:dyDescent="0.35">
      <c r="D6" s="121" t="s">
        <v>163</v>
      </c>
      <c r="E6" s="121"/>
      <c r="F6" s="122"/>
      <c r="G6" s="121" t="s">
        <v>164</v>
      </c>
      <c r="H6" s="121"/>
    </row>
    <row r="7" spans="2:8" ht="16.5" x14ac:dyDescent="0.35">
      <c r="D7" s="123" t="s">
        <v>165</v>
      </c>
      <c r="E7" s="123" t="s">
        <v>166</v>
      </c>
      <c r="F7" s="124"/>
      <c r="G7" s="123" t="s">
        <v>167</v>
      </c>
      <c r="H7" s="123" t="s">
        <v>166</v>
      </c>
    </row>
    <row r="8" spans="2:8" x14ac:dyDescent="0.35">
      <c r="B8" s="120" t="s">
        <v>168</v>
      </c>
      <c r="D8" s="125">
        <v>64</v>
      </c>
      <c r="E8" s="126"/>
      <c r="F8" s="127"/>
      <c r="G8" s="125">
        <v>64</v>
      </c>
      <c r="H8" s="126"/>
    </row>
    <row r="9" spans="2:8" x14ac:dyDescent="0.35">
      <c r="D9" s="125"/>
      <c r="E9" s="126"/>
      <c r="F9" s="127"/>
      <c r="G9" s="125"/>
      <c r="H9" s="126"/>
    </row>
    <row r="10" spans="2:8" x14ac:dyDescent="0.35">
      <c r="B10" s="120" t="s">
        <v>169</v>
      </c>
      <c r="D10" s="125"/>
      <c r="E10" s="126"/>
      <c r="F10" s="127"/>
      <c r="G10" s="125"/>
      <c r="H10" s="126"/>
    </row>
    <row r="11" spans="2:8" x14ac:dyDescent="0.35">
      <c r="C11" s="120" t="s">
        <v>170</v>
      </c>
      <c r="D11" s="163">
        <v>11.52</v>
      </c>
      <c r="E11" s="126">
        <f>D11</f>
        <v>11.52</v>
      </c>
      <c r="F11" s="128"/>
      <c r="G11" s="129">
        <f>$D$11</f>
        <v>11.52</v>
      </c>
      <c r="H11" s="126">
        <f>G11</f>
        <v>11.52</v>
      </c>
    </row>
    <row r="12" spans="2:8" x14ac:dyDescent="0.35">
      <c r="C12" s="120" t="s">
        <v>171</v>
      </c>
      <c r="D12" s="132">
        <v>0</v>
      </c>
      <c r="E12" s="130">
        <f>D12</f>
        <v>0</v>
      </c>
      <c r="F12" s="128"/>
      <c r="G12" s="131">
        <f>$D$12</f>
        <v>0</v>
      </c>
      <c r="H12" s="130">
        <f>G12</f>
        <v>0</v>
      </c>
    </row>
    <row r="13" spans="2:8" x14ac:dyDescent="0.35">
      <c r="C13" s="120" t="s">
        <v>172</v>
      </c>
      <c r="D13" s="132">
        <v>0</v>
      </c>
      <c r="E13" s="130">
        <f>D13</f>
        <v>0</v>
      </c>
      <c r="F13" s="128"/>
      <c r="G13" s="131">
        <f>$D$13</f>
        <v>0</v>
      </c>
      <c r="H13" s="130">
        <f>G13</f>
        <v>0</v>
      </c>
    </row>
    <row r="14" spans="2:8" x14ac:dyDescent="0.35">
      <c r="C14" s="120" t="s">
        <v>26</v>
      </c>
      <c r="D14" s="133">
        <f>SUM(D11:D13)</f>
        <v>11.52</v>
      </c>
      <c r="E14" s="133">
        <f>SUM(E11:E13)</f>
        <v>11.52</v>
      </c>
      <c r="F14" s="128"/>
      <c r="G14" s="133">
        <f>SUM(G11:G13)</f>
        <v>11.52</v>
      </c>
      <c r="H14" s="133">
        <f>SUM(H11:H13)</f>
        <v>11.52</v>
      </c>
    </row>
    <row r="15" spans="2:8" x14ac:dyDescent="0.35">
      <c r="D15" s="134"/>
      <c r="E15" s="126"/>
      <c r="F15" s="128"/>
      <c r="G15" s="129"/>
      <c r="H15" s="126"/>
    </row>
    <row r="16" spans="2:8" x14ac:dyDescent="0.35">
      <c r="B16" s="120" t="s">
        <v>173</v>
      </c>
      <c r="E16" s="126"/>
      <c r="H16" s="126"/>
    </row>
    <row r="17" spans="3:8" x14ac:dyDescent="0.35">
      <c r="C17" s="120" t="s">
        <v>174</v>
      </c>
      <c r="D17" s="164">
        <v>0.42857000000000001</v>
      </c>
      <c r="E17" s="126"/>
      <c r="F17" s="137"/>
      <c r="G17" s="138">
        <f>$D$17</f>
        <v>0.42857000000000001</v>
      </c>
      <c r="H17" s="126"/>
    </row>
    <row r="18" spans="3:8" x14ac:dyDescent="0.35">
      <c r="C18" s="120" t="s">
        <v>175</v>
      </c>
      <c r="D18" s="165">
        <v>7.0099999999999997E-3</v>
      </c>
      <c r="E18" s="126"/>
      <c r="F18" s="137"/>
      <c r="G18" s="139">
        <f>$D$18</f>
        <v>7.0099999999999997E-3</v>
      </c>
      <c r="H18" s="126"/>
    </row>
    <row r="19" spans="3:8" x14ac:dyDescent="0.35">
      <c r="C19" s="120" t="s">
        <v>176</v>
      </c>
      <c r="D19" s="164">
        <v>1.9710000000000002E-2</v>
      </c>
      <c r="E19" s="126"/>
      <c r="F19" s="137"/>
      <c r="G19" s="136">
        <f>'Schedule 140'!$E$9</f>
        <v>2.3179999999999999E-2</v>
      </c>
      <c r="H19" s="126"/>
    </row>
    <row r="20" spans="3:8" x14ac:dyDescent="0.35">
      <c r="C20" s="120" t="s">
        <v>171</v>
      </c>
      <c r="D20" s="164">
        <v>0</v>
      </c>
      <c r="E20" s="126"/>
      <c r="F20" s="137"/>
      <c r="G20" s="138">
        <f>$D$20</f>
        <v>0</v>
      </c>
      <c r="H20" s="126"/>
    </row>
    <row r="21" spans="3:8" x14ac:dyDescent="0.35">
      <c r="C21" s="120" t="s">
        <v>172</v>
      </c>
      <c r="D21" s="164">
        <v>-1.388E-2</v>
      </c>
      <c r="E21" s="126"/>
      <c r="F21" s="137"/>
      <c r="G21" s="138">
        <f>$D$21</f>
        <v>-1.388E-2</v>
      </c>
      <c r="H21" s="126"/>
    </row>
    <row r="22" spans="3:8" x14ac:dyDescent="0.35">
      <c r="C22" s="120" t="s">
        <v>177</v>
      </c>
      <c r="D22" s="164">
        <v>-6.8000000000000005E-4</v>
      </c>
      <c r="E22" s="126"/>
      <c r="F22" s="137"/>
      <c r="G22" s="139">
        <f>$D$22</f>
        <v>-6.8000000000000005E-4</v>
      </c>
      <c r="H22" s="126"/>
    </row>
    <row r="23" spans="3:8" x14ac:dyDescent="0.35">
      <c r="C23" s="120" t="s">
        <v>178</v>
      </c>
      <c r="D23" s="164">
        <v>-1.3699999999999999E-3</v>
      </c>
      <c r="E23" s="126"/>
      <c r="F23" s="137"/>
      <c r="G23" s="139">
        <f>$D$23</f>
        <v>-1.3699999999999999E-3</v>
      </c>
      <c r="H23" s="126"/>
    </row>
    <row r="24" spans="3:8" x14ac:dyDescent="0.35">
      <c r="C24" s="120" t="s">
        <v>179</v>
      </c>
      <c r="D24" s="164">
        <v>1.2319999999999999E-2</v>
      </c>
      <c r="E24" s="126"/>
      <c r="F24" s="137"/>
      <c r="G24" s="139">
        <f>$D$24</f>
        <v>1.2319999999999999E-2</v>
      </c>
      <c r="H24" s="126"/>
    </row>
    <row r="25" spans="3:8" x14ac:dyDescent="0.35">
      <c r="C25" s="120" t="s">
        <v>180</v>
      </c>
      <c r="D25" s="165">
        <v>1.77E-2</v>
      </c>
      <c r="E25" s="126"/>
      <c r="F25" s="137"/>
      <c r="G25" s="139">
        <f>$D$25</f>
        <v>1.77E-2</v>
      </c>
      <c r="H25" s="126"/>
    </row>
    <row r="26" spans="3:8" x14ac:dyDescent="0.35">
      <c r="C26" s="120" t="s">
        <v>26</v>
      </c>
      <c r="D26" s="140">
        <f>SUM(D17:D25)</f>
        <v>0.46938000000000002</v>
      </c>
      <c r="E26" s="126">
        <f>ROUND(D26*D$8,2)</f>
        <v>30.04</v>
      </c>
      <c r="F26" s="137"/>
      <c r="G26" s="140">
        <f>SUM(G17:G25)</f>
        <v>0.47284999999999999</v>
      </c>
      <c r="H26" s="126">
        <f>ROUND(G26*G$8,2)</f>
        <v>30.26</v>
      </c>
    </row>
    <row r="28" spans="3:8" x14ac:dyDescent="0.35">
      <c r="C28" s="120" t="s">
        <v>181</v>
      </c>
      <c r="D28" s="164">
        <v>2.179E-2</v>
      </c>
      <c r="E28" s="126">
        <f>ROUND(D28*D$8,2)</f>
        <v>1.39</v>
      </c>
      <c r="F28" s="137"/>
      <c r="G28" s="141">
        <f>$D$28</f>
        <v>2.179E-2</v>
      </c>
      <c r="H28" s="126">
        <f>ROUND(G28*G$8,2)</f>
        <v>1.39</v>
      </c>
    </row>
    <row r="29" spans="3:8" x14ac:dyDescent="0.35">
      <c r="D29" s="164"/>
      <c r="E29" s="126"/>
      <c r="F29" s="137"/>
      <c r="G29" s="138"/>
      <c r="H29" s="126"/>
    </row>
    <row r="30" spans="3:8" x14ac:dyDescent="0.35">
      <c r="C30" s="120" t="s">
        <v>182</v>
      </c>
      <c r="D30" s="164">
        <v>0.38129000000000002</v>
      </c>
      <c r="E30" s="126"/>
      <c r="F30" s="137"/>
      <c r="G30" s="139">
        <f>$D$30</f>
        <v>0.38129000000000002</v>
      </c>
      <c r="H30" s="126"/>
    </row>
    <row r="31" spans="3:8" x14ac:dyDescent="0.35">
      <c r="C31" s="120" t="s">
        <v>183</v>
      </c>
      <c r="D31" s="164">
        <v>4.827E-2</v>
      </c>
      <c r="E31" s="126"/>
      <c r="F31" s="137"/>
      <c r="G31" s="139">
        <f>$D$31</f>
        <v>4.827E-2</v>
      </c>
      <c r="H31" s="126"/>
    </row>
    <row r="32" spans="3:8" x14ac:dyDescent="0.35">
      <c r="C32" s="120" t="s">
        <v>26</v>
      </c>
      <c r="D32" s="140">
        <f>SUM(D30:D31)</f>
        <v>0.42956</v>
      </c>
      <c r="E32" s="126">
        <f>ROUND(D32*D$8,2)</f>
        <v>27.49</v>
      </c>
      <c r="F32" s="137"/>
      <c r="G32" s="140">
        <f>SUM(G30:G31)</f>
        <v>0.42956</v>
      </c>
      <c r="H32" s="126">
        <f>ROUND(G32*G$8,2)</f>
        <v>27.49</v>
      </c>
    </row>
    <row r="33" spans="2:8" x14ac:dyDescent="0.35">
      <c r="C33" s="120" t="s">
        <v>184</v>
      </c>
      <c r="D33" s="140">
        <f>D26+D28+D32</f>
        <v>0.92073000000000005</v>
      </c>
      <c r="E33" s="142">
        <f>SUM(E26,E28,E32)</f>
        <v>58.92</v>
      </c>
      <c r="F33" s="143"/>
      <c r="G33" s="140">
        <f>G26+G28+G32</f>
        <v>0.92419999999999991</v>
      </c>
      <c r="H33" s="142">
        <f>SUM(H26,H28,H32)</f>
        <v>59.14</v>
      </c>
    </row>
    <row r="34" spans="2:8" x14ac:dyDescent="0.35">
      <c r="E34" s="126"/>
      <c r="H34" s="126"/>
    </row>
    <row r="35" spans="2:8" x14ac:dyDescent="0.35">
      <c r="B35" s="120" t="s">
        <v>185</v>
      </c>
      <c r="D35" s="129"/>
      <c r="E35" s="126">
        <f>E14+E33</f>
        <v>70.44</v>
      </c>
      <c r="F35" s="131"/>
      <c r="G35" s="129"/>
      <c r="H35" s="126">
        <f>H14+H33</f>
        <v>70.66</v>
      </c>
    </row>
    <row r="36" spans="2:8" x14ac:dyDescent="0.35">
      <c r="B36" s="120" t="s">
        <v>186</v>
      </c>
      <c r="D36" s="129"/>
      <c r="E36" s="126"/>
      <c r="F36" s="131"/>
      <c r="G36" s="129"/>
      <c r="H36" s="126">
        <f>H35-$E35</f>
        <v>0.21999999999999886</v>
      </c>
    </row>
    <row r="37" spans="2:8" x14ac:dyDescent="0.35">
      <c r="B37" s="120" t="s">
        <v>187</v>
      </c>
      <c r="D37" s="144"/>
      <c r="E37" s="144"/>
      <c r="F37" s="145"/>
      <c r="G37" s="144"/>
      <c r="H37" s="146">
        <f>H36/$E35</f>
        <v>3.1232254400908412E-3</v>
      </c>
    </row>
    <row r="38" spans="2:8" x14ac:dyDescent="0.35">
      <c r="E38" s="126"/>
    </row>
    <row r="39" spans="2:8" x14ac:dyDescent="0.35">
      <c r="B39" s="120" t="s">
        <v>188</v>
      </c>
      <c r="D39" s="138">
        <f>D26+D28</f>
        <v>0.49117</v>
      </c>
      <c r="E39" s="126"/>
      <c r="F39" s="143"/>
      <c r="G39" s="138">
        <f>G26+G28</f>
        <v>0.49463999999999997</v>
      </c>
    </row>
    <row r="41" spans="2:8" ht="16.5" x14ac:dyDescent="0.35">
      <c r="B41" s="147" t="s">
        <v>189</v>
      </c>
    </row>
    <row r="42" spans="2:8" x14ac:dyDescent="0.35">
      <c r="C42" s="147"/>
      <c r="D42" s="147"/>
      <c r="E42" s="147"/>
      <c r="F42" s="148"/>
      <c r="G42" s="148"/>
      <c r="H42" s="148"/>
    </row>
    <row r="47" spans="2:8" ht="14.25" customHeight="1" x14ac:dyDescent="0.35"/>
  </sheetData>
  <mergeCells count="4">
    <mergeCell ref="B1:H1"/>
    <mergeCell ref="B2:H2"/>
    <mergeCell ref="B3:H3"/>
    <mergeCell ref="B4:H4"/>
  </mergeCells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80" zoomScaleNormal="80" workbookViewId="0">
      <selection activeCell="I22" sqref="I22"/>
    </sheetView>
  </sheetViews>
  <sheetFormatPr defaultColWidth="8.7265625" defaultRowHeight="14.5" x14ac:dyDescent="0.35"/>
  <cols>
    <col min="1" max="1" width="37.7265625" style="6" customWidth="1"/>
    <col min="2" max="2" width="9.1796875" style="6" bestFit="1" customWidth="1"/>
    <col min="3" max="3" width="18.54296875" style="6" bestFit="1" customWidth="1"/>
    <col min="4" max="5" width="13.7265625" style="6" customWidth="1"/>
    <col min="6" max="8" width="14.453125" style="6" customWidth="1"/>
    <col min="9" max="9" width="7.81640625" style="6" bestFit="1" customWidth="1"/>
    <col min="10" max="10" width="9.81640625" style="6" bestFit="1" customWidth="1"/>
    <col min="11" max="16384" width="8.7265625" style="6"/>
  </cols>
  <sheetData>
    <row r="1" spans="1:21" s="120" customFormat="1" x14ac:dyDescent="0.3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49"/>
    </row>
    <row r="2" spans="1:21" s="120" customFormat="1" x14ac:dyDescent="0.35">
      <c r="A2" s="183" t="s">
        <v>190</v>
      </c>
      <c r="B2" s="188"/>
      <c r="C2" s="188"/>
      <c r="D2" s="188"/>
      <c r="E2" s="188"/>
      <c r="F2" s="188"/>
      <c r="G2" s="188"/>
      <c r="H2" s="188"/>
      <c r="I2" s="188"/>
      <c r="J2" s="150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1" s="120" customFormat="1" x14ac:dyDescent="0.35">
      <c r="A3" s="149" t="str">
        <f>'Sch. 140 Rates'!$A$2</f>
        <v>2021 Gas Schedule 140 Property Tax Tracker Filing - PRELIMINARY</v>
      </c>
      <c r="B3" s="7"/>
      <c r="C3" s="7"/>
      <c r="D3" s="7"/>
      <c r="E3" s="7"/>
      <c r="F3" s="7"/>
      <c r="G3" s="7"/>
      <c r="H3" s="7"/>
      <c r="I3" s="7"/>
      <c r="J3" s="149"/>
    </row>
    <row r="4" spans="1:21" s="120" customFormat="1" x14ac:dyDescent="0.35">
      <c r="A4" s="183" t="s">
        <v>98</v>
      </c>
      <c r="B4" s="183"/>
      <c r="C4" s="183"/>
      <c r="D4" s="183"/>
      <c r="E4" s="183"/>
      <c r="F4" s="183"/>
      <c r="G4" s="183"/>
      <c r="H4" s="183"/>
      <c r="I4" s="183"/>
      <c r="J4" s="149"/>
    </row>
    <row r="5" spans="1:21" x14ac:dyDescent="0.35">
      <c r="D5" s="78"/>
      <c r="E5" s="78"/>
    </row>
    <row r="6" spans="1:21" x14ac:dyDescent="0.35">
      <c r="A6" s="9"/>
      <c r="B6" s="9"/>
      <c r="C6" s="9" t="s">
        <v>79</v>
      </c>
      <c r="D6" s="9" t="s">
        <v>30</v>
      </c>
      <c r="E6" s="9" t="s">
        <v>2</v>
      </c>
      <c r="F6" s="152" t="s">
        <v>79</v>
      </c>
      <c r="G6" s="152" t="s">
        <v>79</v>
      </c>
      <c r="H6" s="9" t="s">
        <v>112</v>
      </c>
      <c r="I6" s="9"/>
      <c r="R6" s="153"/>
      <c r="S6" s="153"/>
      <c r="T6" s="153"/>
    </row>
    <row r="7" spans="1:21" x14ac:dyDescent="0.35">
      <c r="A7" s="9"/>
      <c r="B7" s="9" t="s">
        <v>103</v>
      </c>
      <c r="C7" s="9" t="s">
        <v>191</v>
      </c>
      <c r="D7" s="9" t="s">
        <v>112</v>
      </c>
      <c r="E7" s="9" t="s">
        <v>112</v>
      </c>
      <c r="F7" s="152" t="s">
        <v>6</v>
      </c>
      <c r="G7" s="152" t="s">
        <v>6</v>
      </c>
      <c r="H7" s="9" t="s">
        <v>6</v>
      </c>
      <c r="I7" s="9" t="s">
        <v>119</v>
      </c>
      <c r="R7" s="153"/>
      <c r="S7" s="153"/>
      <c r="T7" s="153"/>
    </row>
    <row r="8" spans="1:21" x14ac:dyDescent="0.35">
      <c r="A8" s="12" t="s">
        <v>8</v>
      </c>
      <c r="B8" s="12" t="s">
        <v>31</v>
      </c>
      <c r="C8" s="180" t="str">
        <f>'Sch. 140 Rates'!E8&amp;'Sch. 140 Rates'!E9</f>
        <v>May 2021 -April 2022</v>
      </c>
      <c r="D8" s="12" t="s">
        <v>167</v>
      </c>
      <c r="E8" s="12" t="s">
        <v>167</v>
      </c>
      <c r="F8" s="123" t="s">
        <v>163</v>
      </c>
      <c r="G8" s="123" t="s">
        <v>192</v>
      </c>
      <c r="H8" s="12" t="s">
        <v>126</v>
      </c>
      <c r="I8" s="12" t="s">
        <v>126</v>
      </c>
      <c r="R8" s="153"/>
      <c r="S8" s="154"/>
      <c r="T8" s="153"/>
    </row>
    <row r="9" spans="1:21" x14ac:dyDescent="0.35">
      <c r="A9" s="6" t="s">
        <v>13</v>
      </c>
      <c r="B9" s="28" t="s">
        <v>147</v>
      </c>
      <c r="C9" s="181">
        <f>'Therm Forecast'!N9+'Therm Forecast'!N10</f>
        <v>626377148</v>
      </c>
      <c r="D9" s="155">
        <v>1.9710000000000002E-2</v>
      </c>
      <c r="E9" s="178">
        <f>'Sch. 140 Rates'!$K$11</f>
        <v>2.3179999999999999E-2</v>
      </c>
      <c r="F9" s="21">
        <f>C9*D9</f>
        <v>12345893.587080002</v>
      </c>
      <c r="G9" s="21">
        <f>C9*E9</f>
        <v>14519422.29064</v>
      </c>
      <c r="H9" s="14">
        <f>G9-F9</f>
        <v>2173528.7035599984</v>
      </c>
      <c r="I9" s="4">
        <f>H9/F9</f>
        <v>0.17605276509386084</v>
      </c>
      <c r="K9" s="19"/>
      <c r="R9" s="153"/>
      <c r="S9" s="156"/>
      <c r="T9" s="153"/>
    </row>
    <row r="10" spans="1:21" x14ac:dyDescent="0.35">
      <c r="A10" s="6" t="s">
        <v>148</v>
      </c>
      <c r="B10" s="28">
        <v>16</v>
      </c>
      <c r="C10" s="60">
        <f>'Therm Forecast'!N8</f>
        <v>8999</v>
      </c>
      <c r="D10" s="155">
        <v>1.9710000000000002E-2</v>
      </c>
      <c r="E10" s="178">
        <f>$E$9</f>
        <v>2.3179999999999999E-2</v>
      </c>
      <c r="F10" s="21">
        <f t="shared" ref="F10:F20" si="0">C10*D10</f>
        <v>177.37029000000001</v>
      </c>
      <c r="G10" s="21">
        <f t="shared" ref="G10:G21" si="1">C10*E10</f>
        <v>208.59681999999998</v>
      </c>
      <c r="H10" s="14">
        <f t="shared" ref="H10:H21" si="2">G10-F10</f>
        <v>31.226529999999968</v>
      </c>
      <c r="I10" s="4">
        <f t="shared" ref="I10:I22" si="3">H10/F10</f>
        <v>0.17605276509386081</v>
      </c>
      <c r="K10" s="19"/>
      <c r="R10" s="153"/>
      <c r="S10" s="153"/>
      <c r="T10" s="153"/>
    </row>
    <row r="11" spans="1:21" x14ac:dyDescent="0.35">
      <c r="A11" s="6" t="s">
        <v>15</v>
      </c>
      <c r="B11" s="28">
        <v>31</v>
      </c>
      <c r="C11" s="181">
        <f>'Therm Forecast'!N11</f>
        <v>232667656</v>
      </c>
      <c r="D11" s="155">
        <v>2.1250000000000002E-2</v>
      </c>
      <c r="E11" s="178">
        <f>'Sch. 140 Rates'!$K$12</f>
        <v>2.682E-2</v>
      </c>
      <c r="F11" s="21">
        <f t="shared" si="0"/>
        <v>4944187.6900000004</v>
      </c>
      <c r="G11" s="21">
        <f t="shared" si="1"/>
        <v>6240146.5339200003</v>
      </c>
      <c r="H11" s="14">
        <f t="shared" si="2"/>
        <v>1295958.8439199999</v>
      </c>
      <c r="I11" s="4">
        <f t="shared" si="3"/>
        <v>0.26211764705882351</v>
      </c>
      <c r="K11" s="19"/>
      <c r="R11" s="153"/>
      <c r="S11" s="153"/>
      <c r="T11" s="153"/>
    </row>
    <row r="12" spans="1:21" x14ac:dyDescent="0.35">
      <c r="A12" s="6" t="s">
        <v>17</v>
      </c>
      <c r="B12" s="28">
        <v>41</v>
      </c>
      <c r="C12" s="181">
        <f>'Therm Forecast'!N12</f>
        <v>64505965</v>
      </c>
      <c r="D12" s="155">
        <v>7.5500000000000003E-3</v>
      </c>
      <c r="E12" s="178">
        <f>'Sch. 140 Rates'!$K$13</f>
        <v>8.9599999999999992E-3</v>
      </c>
      <c r="F12" s="21">
        <f t="shared" si="0"/>
        <v>487020.03575000004</v>
      </c>
      <c r="G12" s="21">
        <f t="shared" si="1"/>
        <v>577973.4463999999</v>
      </c>
      <c r="H12" s="14">
        <f t="shared" si="2"/>
        <v>90953.41064999986</v>
      </c>
      <c r="I12" s="4">
        <f t="shared" si="3"/>
        <v>0.18675496688741691</v>
      </c>
      <c r="K12" s="19"/>
    </row>
    <row r="13" spans="1:21" x14ac:dyDescent="0.35">
      <c r="A13" s="6" t="s">
        <v>19</v>
      </c>
      <c r="B13" s="28">
        <v>85</v>
      </c>
      <c r="C13" s="181">
        <f>'Therm Forecast'!N13</f>
        <v>9717323</v>
      </c>
      <c r="D13" s="155">
        <v>4.3800000000000002E-3</v>
      </c>
      <c r="E13" s="178">
        <f>'Sch. 140 Rates'!$K$14</f>
        <v>4.9399999999999999E-3</v>
      </c>
      <c r="F13" s="21">
        <f t="shared" si="0"/>
        <v>42561.874739999999</v>
      </c>
      <c r="G13" s="21">
        <f t="shared" si="1"/>
        <v>48003.575619999996</v>
      </c>
      <c r="H13" s="14">
        <f t="shared" si="2"/>
        <v>5441.7008799999967</v>
      </c>
      <c r="I13" s="4">
        <f t="shared" si="3"/>
        <v>0.12785388127853875</v>
      </c>
      <c r="K13" s="19"/>
    </row>
    <row r="14" spans="1:21" x14ac:dyDescent="0.35">
      <c r="A14" s="6" t="s">
        <v>21</v>
      </c>
      <c r="B14" s="28">
        <v>86</v>
      </c>
      <c r="C14" s="181">
        <f>'Therm Forecast'!N14</f>
        <v>4551465</v>
      </c>
      <c r="D14" s="155">
        <v>7.8900000000000012E-3</v>
      </c>
      <c r="E14" s="178">
        <f>'Sch. 140 Rates'!$K$15</f>
        <v>1.106E-2</v>
      </c>
      <c r="F14" s="21">
        <f t="shared" si="0"/>
        <v>35911.058850000009</v>
      </c>
      <c r="G14" s="21">
        <f t="shared" si="1"/>
        <v>50339.202900000004</v>
      </c>
      <c r="H14" s="14">
        <f t="shared" si="2"/>
        <v>14428.144049999995</v>
      </c>
      <c r="I14" s="4">
        <f t="shared" si="3"/>
        <v>0.40177439797211639</v>
      </c>
      <c r="K14" s="19"/>
    </row>
    <row r="15" spans="1:21" x14ac:dyDescent="0.35">
      <c r="A15" s="6" t="s">
        <v>23</v>
      </c>
      <c r="B15" s="28">
        <v>87</v>
      </c>
      <c r="C15" s="181">
        <f>'Therm Forecast'!N15</f>
        <v>14248694</v>
      </c>
      <c r="D15" s="155">
        <v>2.31E-3</v>
      </c>
      <c r="E15" s="178">
        <f>'Sch. 140 Rates'!$K$16</f>
        <v>2.6899999999999997E-3</v>
      </c>
      <c r="F15" s="21">
        <f t="shared" si="0"/>
        <v>32914.483139999997</v>
      </c>
      <c r="G15" s="21">
        <f t="shared" si="1"/>
        <v>38328.986859999997</v>
      </c>
      <c r="H15" s="14">
        <f t="shared" si="2"/>
        <v>5414.5037200000006</v>
      </c>
      <c r="I15" s="4">
        <f t="shared" si="3"/>
        <v>0.16450216450216454</v>
      </c>
      <c r="K15" s="19"/>
    </row>
    <row r="16" spans="1:21" x14ac:dyDescent="0.35">
      <c r="A16" s="6" t="s">
        <v>149</v>
      </c>
      <c r="B16" s="28" t="s">
        <v>54</v>
      </c>
      <c r="C16" s="181">
        <f>'Therm Forecast'!N16</f>
        <v>22610</v>
      </c>
      <c r="D16" s="155">
        <v>2.1250000000000002E-2</v>
      </c>
      <c r="E16" s="178">
        <f>$E$11</f>
        <v>2.682E-2</v>
      </c>
      <c r="F16" s="21">
        <f t="shared" si="0"/>
        <v>480.46250000000003</v>
      </c>
      <c r="G16" s="21">
        <f t="shared" si="1"/>
        <v>606.40020000000004</v>
      </c>
      <c r="H16" s="14">
        <f t="shared" si="2"/>
        <v>125.93770000000001</v>
      </c>
      <c r="I16" s="4">
        <f t="shared" si="3"/>
        <v>0.26211764705882351</v>
      </c>
      <c r="K16" s="19"/>
    </row>
    <row r="17" spans="1:11" x14ac:dyDescent="0.35">
      <c r="A17" s="6" t="s">
        <v>150</v>
      </c>
      <c r="B17" s="6" t="s">
        <v>32</v>
      </c>
      <c r="C17" s="181">
        <f>'Therm Forecast'!N17</f>
        <v>24168312</v>
      </c>
      <c r="D17" s="155">
        <v>7.5500000000000003E-3</v>
      </c>
      <c r="E17" s="178">
        <f>$E$12</f>
        <v>8.9599999999999992E-3</v>
      </c>
      <c r="F17" s="21">
        <f t="shared" si="0"/>
        <v>182470.7556</v>
      </c>
      <c r="G17" s="21">
        <f t="shared" si="1"/>
        <v>216548.07551999998</v>
      </c>
      <c r="H17" s="14">
        <f t="shared" si="2"/>
        <v>34077.31991999998</v>
      </c>
      <c r="I17" s="4">
        <f t="shared" si="3"/>
        <v>0.18675496688741711</v>
      </c>
      <c r="K17" s="19"/>
    </row>
    <row r="18" spans="1:11" x14ac:dyDescent="0.35">
      <c r="A18" s="6" t="s">
        <v>151</v>
      </c>
      <c r="B18" s="6" t="s">
        <v>33</v>
      </c>
      <c r="C18" s="181">
        <f>'Therm Forecast'!N18</f>
        <v>72016415</v>
      </c>
      <c r="D18" s="155">
        <v>4.3800000000000002E-3</v>
      </c>
      <c r="E18" s="178">
        <f>E13</f>
        <v>4.9399999999999999E-3</v>
      </c>
      <c r="F18" s="21">
        <f t="shared" si="0"/>
        <v>315431.89770000003</v>
      </c>
      <c r="G18" s="21">
        <f t="shared" si="1"/>
        <v>355761.09009999997</v>
      </c>
      <c r="H18" s="14">
        <f t="shared" si="2"/>
        <v>40329.192399999942</v>
      </c>
      <c r="I18" s="4">
        <f t="shared" si="3"/>
        <v>0.12785388127853861</v>
      </c>
      <c r="K18" s="19"/>
    </row>
    <row r="19" spans="1:11" x14ac:dyDescent="0.35">
      <c r="A19" s="6" t="s">
        <v>152</v>
      </c>
      <c r="B19" s="6" t="s">
        <v>55</v>
      </c>
      <c r="C19" s="181">
        <f>'Therm Forecast'!N19</f>
        <v>200424</v>
      </c>
      <c r="D19" s="155">
        <v>7.8900000000000012E-3</v>
      </c>
      <c r="E19" s="178">
        <f>$E$14</f>
        <v>1.106E-2</v>
      </c>
      <c r="F19" s="21">
        <f t="shared" si="0"/>
        <v>1581.3453600000003</v>
      </c>
      <c r="G19" s="21">
        <f t="shared" si="1"/>
        <v>2216.6894400000001</v>
      </c>
      <c r="H19" s="14">
        <f t="shared" si="2"/>
        <v>635.34407999999985</v>
      </c>
      <c r="I19" s="4">
        <f t="shared" si="3"/>
        <v>0.40177439797211645</v>
      </c>
      <c r="K19" s="19"/>
    </row>
    <row r="20" spans="1:11" x14ac:dyDescent="0.35">
      <c r="A20" s="6" t="s">
        <v>153</v>
      </c>
      <c r="B20" s="6" t="s">
        <v>34</v>
      </c>
      <c r="C20" s="181">
        <f>'Therm Forecast'!N20</f>
        <v>92087076</v>
      </c>
      <c r="D20" s="155">
        <v>2.31E-3</v>
      </c>
      <c r="E20" s="178">
        <f>$E$15</f>
        <v>2.6899999999999997E-3</v>
      </c>
      <c r="F20" s="21">
        <f t="shared" si="0"/>
        <v>212721.14556</v>
      </c>
      <c r="G20" s="21">
        <f t="shared" si="1"/>
        <v>247714.23443999997</v>
      </c>
      <c r="H20" s="14">
        <f t="shared" si="2"/>
        <v>34993.088879999967</v>
      </c>
      <c r="I20" s="4">
        <f t="shared" si="3"/>
        <v>0.16450216450216434</v>
      </c>
      <c r="K20" s="19"/>
    </row>
    <row r="21" spans="1:11" x14ac:dyDescent="0.35">
      <c r="A21" s="6" t="s">
        <v>25</v>
      </c>
      <c r="C21" s="181">
        <f>'Therm Forecast'!N21</f>
        <v>32440860</v>
      </c>
      <c r="D21" s="157">
        <v>2.9099999999999998E-3</v>
      </c>
      <c r="E21" s="179">
        <f>'Sch. 140 Rates'!$K$17</f>
        <v>1.34E-3</v>
      </c>
      <c r="F21" s="21">
        <f>C21*D21</f>
        <v>94402.902600000001</v>
      </c>
      <c r="G21" s="21">
        <f t="shared" si="1"/>
        <v>43470.752400000005</v>
      </c>
      <c r="H21" s="14">
        <f t="shared" si="2"/>
        <v>-50932.150199999996</v>
      </c>
      <c r="I21" s="4">
        <f t="shared" si="3"/>
        <v>-0.53951890034364258</v>
      </c>
      <c r="K21" s="19"/>
    </row>
    <row r="22" spans="1:11" x14ac:dyDescent="0.35">
      <c r="A22" s="6" t="s">
        <v>28</v>
      </c>
      <c r="C22" s="16">
        <f>SUM(C9:C21)</f>
        <v>1173012947</v>
      </c>
      <c r="D22" s="158"/>
      <c r="E22" s="158"/>
      <c r="F22" s="95">
        <f t="shared" ref="F22:H22" si="4">SUM(F9:F21)</f>
        <v>18695754.609170008</v>
      </c>
      <c r="G22" s="95">
        <f t="shared" si="4"/>
        <v>22340739.875260003</v>
      </c>
      <c r="H22" s="17">
        <f t="shared" si="4"/>
        <v>3644985.2660899987</v>
      </c>
      <c r="I22" s="159">
        <f t="shared" si="3"/>
        <v>0.19496325996395908</v>
      </c>
    </row>
    <row r="23" spans="1:11" x14ac:dyDescent="0.35">
      <c r="F23" s="14"/>
      <c r="G23" s="14"/>
    </row>
    <row r="24" spans="1:11" x14ac:dyDescent="0.35">
      <c r="C24" s="19"/>
      <c r="F24" s="14"/>
      <c r="G24" s="14"/>
    </row>
    <row r="25" spans="1:11" x14ac:dyDescent="0.35">
      <c r="A25" s="160"/>
      <c r="B25" s="153"/>
      <c r="C25" s="153"/>
      <c r="D25" s="153"/>
      <c r="E25" s="153"/>
      <c r="F25" s="153"/>
      <c r="G25" s="153"/>
      <c r="H25" s="153"/>
    </row>
    <row r="26" spans="1:11" x14ac:dyDescent="0.35">
      <c r="B26" s="153"/>
      <c r="C26" s="153"/>
      <c r="D26" s="153"/>
      <c r="E26" s="153"/>
      <c r="F26" s="153"/>
      <c r="G26" s="153"/>
      <c r="H26" s="153"/>
    </row>
    <row r="41" spans="2:2" ht="16.5" x14ac:dyDescent="0.35">
      <c r="B41" s="161"/>
    </row>
  </sheetData>
  <mergeCells count="3">
    <mergeCell ref="A1:I1"/>
    <mergeCell ref="A2:I2"/>
    <mergeCell ref="A4:I4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35" sqref="B35:C35"/>
    </sheetView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0" zoomScaleNormal="80" workbookViewId="0">
      <pane xSplit="2" ySplit="4" topLeftCell="C5" activePane="bottomRight" state="frozen"/>
      <selection activeCell="F28" sqref="F28"/>
      <selection pane="topRight" activeCell="F28" sqref="F28"/>
      <selection pane="bottomLeft" activeCell="F28" sqref="F28"/>
      <selection pane="bottomRight" activeCell="D4" sqref="D4"/>
    </sheetView>
  </sheetViews>
  <sheetFormatPr defaultRowHeight="14.5" x14ac:dyDescent="0.35"/>
  <cols>
    <col min="1" max="1" width="5.1796875" style="48" customWidth="1"/>
    <col min="2" max="2" width="56.08984375" customWidth="1"/>
    <col min="3" max="3" width="9.1796875" style="20" bestFit="1" customWidth="1"/>
    <col min="4" max="4" width="16.453125" bestFit="1" customWidth="1"/>
    <col min="5" max="5" width="15.7265625" bestFit="1" customWidth="1"/>
    <col min="6" max="6" width="16.453125" bestFit="1" customWidth="1"/>
    <col min="7" max="7" width="3.7265625" customWidth="1"/>
    <col min="8" max="10" width="16.453125" bestFit="1" customWidth="1"/>
    <col min="12" max="14" width="12.54296875" bestFit="1" customWidth="1"/>
    <col min="15" max="15" width="4.54296875" customWidth="1"/>
    <col min="16" max="18" width="12.54296875" bestFit="1" customWidth="1"/>
    <col min="19" max="19" width="4.7265625" customWidth="1"/>
    <col min="20" max="22" width="12.26953125" bestFit="1" customWidth="1"/>
    <col min="23" max="23" width="5.26953125" customWidth="1"/>
    <col min="24" max="26" width="12.26953125" bestFit="1" customWidth="1"/>
  </cols>
  <sheetData>
    <row r="1" spans="1:14" ht="18.5" x14ac:dyDescent="0.45">
      <c r="A1" s="79" t="s">
        <v>93</v>
      </c>
      <c r="C1" s="32"/>
    </row>
    <row r="2" spans="1:14" ht="18.5" x14ac:dyDescent="0.45">
      <c r="B2" s="31"/>
      <c r="C2" s="32"/>
    </row>
    <row r="3" spans="1:14" x14ac:dyDescent="0.35">
      <c r="D3" s="33" t="s">
        <v>38</v>
      </c>
      <c r="E3" s="34"/>
      <c r="F3" s="35"/>
      <c r="H3" s="33" t="s">
        <v>39</v>
      </c>
      <c r="I3" s="35"/>
      <c r="J3" s="35"/>
    </row>
    <row r="4" spans="1:14" x14ac:dyDescent="0.35">
      <c r="D4" s="1" t="s">
        <v>40</v>
      </c>
      <c r="E4" s="1" t="s">
        <v>41</v>
      </c>
      <c r="F4" s="1" t="s">
        <v>28</v>
      </c>
      <c r="H4" s="1" t="s">
        <v>40</v>
      </c>
      <c r="I4" s="1" t="s">
        <v>41</v>
      </c>
      <c r="J4" s="1" t="s">
        <v>28</v>
      </c>
    </row>
    <row r="5" spans="1:14" x14ac:dyDescent="0.35">
      <c r="D5" s="6"/>
      <c r="E5" s="6"/>
      <c r="F5" s="6"/>
      <c r="G5" s="6"/>
      <c r="H5" s="175">
        <v>0.95111500000000004</v>
      </c>
      <c r="I5" s="175">
        <v>0.95455299999999998</v>
      </c>
      <c r="J5" s="8"/>
      <c r="K5" s="36"/>
      <c r="L5" s="23"/>
    </row>
    <row r="6" spans="1:14" x14ac:dyDescent="0.35">
      <c r="A6" s="48">
        <v>1</v>
      </c>
      <c r="B6" s="8" t="s">
        <v>94</v>
      </c>
      <c r="C6" s="37"/>
      <c r="D6" s="176">
        <v>56520874.446704946</v>
      </c>
      <c r="E6" s="176">
        <v>18036218.466693416</v>
      </c>
      <c r="F6" s="176">
        <v>74557092.913398355</v>
      </c>
      <c r="G6" s="175"/>
      <c r="H6" s="176">
        <v>59425910.059987426</v>
      </c>
      <c r="I6" s="176">
        <v>18894936.652750991</v>
      </c>
      <c r="J6" s="176">
        <v>78320846.712738425</v>
      </c>
    </row>
    <row r="7" spans="1:14" x14ac:dyDescent="0.35">
      <c r="B7" s="8"/>
      <c r="D7" s="23"/>
      <c r="E7" s="23"/>
      <c r="F7" s="23"/>
      <c r="G7" s="23"/>
      <c r="H7" s="23"/>
      <c r="I7" s="23"/>
      <c r="J7" s="23"/>
    </row>
    <row r="8" spans="1:14" x14ac:dyDescent="0.35">
      <c r="A8" s="48">
        <v>2</v>
      </c>
      <c r="B8" s="8" t="s">
        <v>42</v>
      </c>
      <c r="D8" s="23"/>
      <c r="E8" s="38"/>
      <c r="F8" s="23"/>
      <c r="G8" s="23"/>
      <c r="H8" s="23"/>
      <c r="I8" s="23"/>
      <c r="J8" s="23"/>
    </row>
    <row r="9" spans="1:14" x14ac:dyDescent="0.35">
      <c r="A9" s="48">
        <v>3</v>
      </c>
      <c r="B9" s="177" t="s">
        <v>95</v>
      </c>
      <c r="C9" s="39"/>
      <c r="D9" s="174">
        <v>51208856.5</v>
      </c>
      <c r="E9" s="174">
        <v>19905487</v>
      </c>
      <c r="F9" s="174">
        <v>71114343.5</v>
      </c>
      <c r="G9" s="175"/>
      <c r="H9" s="176">
        <v>53840867.297855675</v>
      </c>
      <c r="I9" s="176">
        <v>20853202.493732668</v>
      </c>
      <c r="J9" s="174">
        <v>74694069.791588336</v>
      </c>
      <c r="L9" s="40"/>
      <c r="M9" s="40"/>
      <c r="N9" s="40"/>
    </row>
    <row r="10" spans="1:14" x14ac:dyDescent="0.35">
      <c r="A10" s="48">
        <v>4</v>
      </c>
      <c r="B10" s="177" t="s">
        <v>94</v>
      </c>
      <c r="C10" s="37" t="s">
        <v>43</v>
      </c>
      <c r="D10" s="24">
        <f>D6</f>
        <v>56520874.446704946</v>
      </c>
      <c r="E10" s="24">
        <f>E6</f>
        <v>18036218.466693416</v>
      </c>
      <c r="F10" s="24">
        <f>SUM(D10:E10)</f>
        <v>74557092.913398355</v>
      </c>
      <c r="G10" s="23"/>
      <c r="H10" s="22">
        <f>D10/$H$5</f>
        <v>59425910.059987426</v>
      </c>
      <c r="I10" s="22">
        <f>E10/$I$5</f>
        <v>18894936.652750991</v>
      </c>
      <c r="J10" s="24">
        <f>SUM(H10:I10)</f>
        <v>78320846.712738425</v>
      </c>
      <c r="L10" s="40"/>
      <c r="M10" s="40"/>
      <c r="N10" s="40"/>
    </row>
    <row r="11" spans="1:14" x14ac:dyDescent="0.35">
      <c r="A11" s="48">
        <v>5</v>
      </c>
      <c r="B11" s="8" t="s">
        <v>96</v>
      </c>
      <c r="D11" s="174">
        <v>2039050.195488031</v>
      </c>
      <c r="E11" s="174">
        <v>1421551.9745429989</v>
      </c>
      <c r="F11" s="174">
        <v>3460602.1700310297</v>
      </c>
      <c r="G11" s="175"/>
      <c r="H11" s="176">
        <v>2143852.4210931705</v>
      </c>
      <c r="I11" s="176">
        <v>1489233.1536782128</v>
      </c>
      <c r="J11" s="174">
        <v>3633085.5747713833</v>
      </c>
      <c r="M11" s="4"/>
      <c r="N11" s="40"/>
    </row>
    <row r="12" spans="1:14" x14ac:dyDescent="0.35">
      <c r="B12" s="8"/>
      <c r="D12" s="25"/>
      <c r="E12" s="25"/>
      <c r="F12" s="25"/>
      <c r="G12" s="23"/>
      <c r="H12" s="29"/>
      <c r="I12" s="29"/>
      <c r="J12" s="30"/>
      <c r="L12" s="40"/>
      <c r="M12" s="40"/>
    </row>
    <row r="13" spans="1:14" x14ac:dyDescent="0.35">
      <c r="A13" s="48">
        <v>6</v>
      </c>
      <c r="B13" s="8" t="s">
        <v>67</v>
      </c>
      <c r="C13" s="37" t="s">
        <v>44</v>
      </c>
      <c r="D13" s="24">
        <f>D9-D10+D11</f>
        <v>-3272967.7512169154</v>
      </c>
      <c r="E13" s="24">
        <f>E9-E10+E11</f>
        <v>3290820.5078495825</v>
      </c>
      <c r="F13" s="24">
        <f>SUM(D13:E13)</f>
        <v>17852.756632667035</v>
      </c>
      <c r="G13" s="23"/>
      <c r="H13" s="24">
        <f>H9-H10+H11</f>
        <v>-3441190.3410385801</v>
      </c>
      <c r="I13" s="24">
        <f>I9-I10+I11</f>
        <v>3447498.99465989</v>
      </c>
      <c r="J13" s="24">
        <f>SUM(H13:I13)</f>
        <v>6308.6536213099025</v>
      </c>
      <c r="L13" s="40"/>
      <c r="M13" s="40"/>
      <c r="N13" s="40"/>
    </row>
    <row r="14" spans="1:14" x14ac:dyDescent="0.35">
      <c r="B14" s="8"/>
      <c r="D14" s="25"/>
      <c r="E14" s="25"/>
      <c r="F14" s="25"/>
      <c r="G14" s="23"/>
      <c r="H14" s="25"/>
      <c r="I14" s="25"/>
      <c r="J14" s="25"/>
    </row>
    <row r="15" spans="1:14" ht="15" thickBot="1" x14ac:dyDescent="0.4">
      <c r="A15" s="48">
        <v>7</v>
      </c>
      <c r="B15" s="8" t="s">
        <v>45</v>
      </c>
      <c r="C15" s="37" t="s">
        <v>46</v>
      </c>
      <c r="D15" s="26">
        <f>D6+D13</f>
        <v>53247906.695488028</v>
      </c>
      <c r="E15" s="26">
        <f>E6+E13</f>
        <v>21327038.974542998</v>
      </c>
      <c r="F15" s="26">
        <f>SUM(D15:E15)</f>
        <v>74574945.670031026</v>
      </c>
      <c r="G15" s="23"/>
      <c r="H15" s="26">
        <f>H6+H13</f>
        <v>55984719.718948849</v>
      </c>
      <c r="I15" s="26">
        <f>I6+I13</f>
        <v>22342435.647410881</v>
      </c>
      <c r="J15" s="26">
        <f>SUM(H15:I15)</f>
        <v>78327155.366359726</v>
      </c>
    </row>
    <row r="16" spans="1:14" ht="15" thickTop="1" x14ac:dyDescent="0.35">
      <c r="B16" s="8"/>
      <c r="D16" s="23"/>
      <c r="E16" s="23"/>
      <c r="F16" s="23"/>
      <c r="G16" s="23"/>
      <c r="H16" s="23"/>
      <c r="I16" s="23"/>
      <c r="J16" s="23"/>
    </row>
    <row r="17" spans="1:12" x14ac:dyDescent="0.35">
      <c r="B17" s="8"/>
      <c r="D17" s="23"/>
      <c r="E17" s="23"/>
      <c r="F17" s="23"/>
      <c r="G17" s="23"/>
      <c r="H17" s="23"/>
      <c r="I17" s="23"/>
      <c r="J17" s="23"/>
    </row>
    <row r="18" spans="1:12" x14ac:dyDescent="0.35">
      <c r="A18" s="48">
        <v>8</v>
      </c>
      <c r="B18" s="8" t="s">
        <v>47</v>
      </c>
      <c r="C18" s="37" t="s">
        <v>68</v>
      </c>
      <c r="D18" s="22">
        <f>D15-D19</f>
        <v>39353038.18916402</v>
      </c>
      <c r="E18" s="22">
        <f>E15-E19</f>
        <v>16431335.158470117</v>
      </c>
      <c r="F18" s="22">
        <f>SUM(D18:E18)</f>
        <v>55784373.347634137</v>
      </c>
      <c r="G18" s="23"/>
      <c r="H18" s="22">
        <f>H15-H19</f>
        <v>41375688.7328704</v>
      </c>
      <c r="I18" s="22">
        <f>I15-I19</f>
        <v>17213643.620071508</v>
      </c>
      <c r="J18" s="22">
        <f>SUM(H18:I18)</f>
        <v>58589332.352941908</v>
      </c>
    </row>
    <row r="19" spans="1:12" x14ac:dyDescent="0.35">
      <c r="A19" s="48">
        <v>9</v>
      </c>
      <c r="B19" s="8" t="s">
        <v>48</v>
      </c>
      <c r="C19" s="39"/>
      <c r="D19" s="174">
        <v>13894868.506324008</v>
      </c>
      <c r="E19" s="174">
        <v>4895703.8160728812</v>
      </c>
      <c r="F19" s="174">
        <v>18790572.322396889</v>
      </c>
      <c r="G19" s="175"/>
      <c r="H19" s="173">
        <v>14609030.986078452</v>
      </c>
      <c r="I19" s="173">
        <v>5128792.0273393737</v>
      </c>
      <c r="J19" s="174">
        <v>19737823.013417825</v>
      </c>
      <c r="L19" s="72"/>
    </row>
    <row r="20" spans="1:12" x14ac:dyDescent="0.35">
      <c r="B20" s="8"/>
      <c r="D20" s="25"/>
      <c r="E20" s="25"/>
      <c r="F20" s="25"/>
      <c r="G20" s="23"/>
      <c r="H20" s="25"/>
      <c r="I20" s="25"/>
      <c r="J20" s="25"/>
    </row>
    <row r="21" spans="1:12" ht="15" thickBot="1" x14ac:dyDescent="0.4">
      <c r="A21" s="48">
        <v>10</v>
      </c>
      <c r="B21" s="8" t="s">
        <v>45</v>
      </c>
      <c r="C21" s="37" t="s">
        <v>49</v>
      </c>
      <c r="D21" s="41">
        <f>SUM(D18:D20)</f>
        <v>53247906.695488028</v>
      </c>
      <c r="E21" s="41">
        <f>SUM(E18:E20)</f>
        <v>21327038.974542998</v>
      </c>
      <c r="F21" s="41">
        <f>SUM(D21:E21)</f>
        <v>74574945.670031026</v>
      </c>
      <c r="H21" s="41">
        <f>SUM(H18:H19)</f>
        <v>55984719.718948856</v>
      </c>
      <c r="I21" s="41">
        <f>SUM(I18:I19)</f>
        <v>22342435.647410881</v>
      </c>
      <c r="J21" s="41">
        <f>SUM(H21:I21)</f>
        <v>78327155.36635974</v>
      </c>
    </row>
    <row r="22" spans="1:12" ht="15" thickTop="1" x14ac:dyDescent="0.35">
      <c r="B22" s="8"/>
      <c r="D22" s="23"/>
      <c r="E22" s="23"/>
      <c r="F22" s="23"/>
    </row>
    <row r="23" spans="1:12" x14ac:dyDescent="0.35">
      <c r="B23" s="8"/>
      <c r="D23" s="22"/>
      <c r="E23" s="22"/>
      <c r="F23" s="22"/>
    </row>
    <row r="24" spans="1:12" x14ac:dyDescent="0.35">
      <c r="A24" s="48">
        <v>11</v>
      </c>
      <c r="B24" s="8" t="s">
        <v>50</v>
      </c>
    </row>
    <row r="25" spans="1:12" x14ac:dyDescent="0.35">
      <c r="A25" s="48">
        <f>+A24+1</f>
        <v>12</v>
      </c>
      <c r="B25" s="177" t="s">
        <v>51</v>
      </c>
      <c r="D25" s="171">
        <v>-2792912.5</v>
      </c>
      <c r="E25" s="171">
        <v>2303410</v>
      </c>
      <c r="F25" s="171">
        <v>-489502.5</v>
      </c>
      <c r="G25" s="172"/>
      <c r="H25" s="173">
        <v>-2936461.4163376666</v>
      </c>
      <c r="I25" s="173">
        <v>2413077.1156761334</v>
      </c>
      <c r="J25" s="171">
        <v>-523384.30066153314</v>
      </c>
    </row>
    <row r="26" spans="1:12" x14ac:dyDescent="0.35">
      <c r="A26" s="48">
        <f t="shared" ref="A26:A27" si="0">+A25+1</f>
        <v>13</v>
      </c>
      <c r="B26" s="177" t="s">
        <v>52</v>
      </c>
      <c r="D26" s="171">
        <v>-480055.2512169187</v>
      </c>
      <c r="E26" s="171">
        <v>987410.50784958201</v>
      </c>
      <c r="F26" s="171">
        <v>507355.25663266331</v>
      </c>
      <c r="G26" s="172"/>
      <c r="H26" s="173">
        <v>-504728.92470092332</v>
      </c>
      <c r="I26" s="173">
        <v>1034421.8789837568</v>
      </c>
      <c r="J26" s="171">
        <v>529692.9542828335</v>
      </c>
    </row>
    <row r="27" spans="1:12" ht="15" thickBot="1" x14ac:dyDescent="0.4">
      <c r="A27" s="48">
        <f t="shared" si="0"/>
        <v>14</v>
      </c>
      <c r="B27" s="8" t="s">
        <v>53</v>
      </c>
      <c r="C27" s="37" t="s">
        <v>69</v>
      </c>
      <c r="D27" s="42">
        <f>SUM(D25:D26)</f>
        <v>-3272967.7512169187</v>
      </c>
      <c r="E27" s="42">
        <f>SUM(E25:E26)</f>
        <v>3290820.507849582</v>
      </c>
      <c r="F27" s="42">
        <f>SUM(D27:E27)</f>
        <v>17852.75663266331</v>
      </c>
      <c r="H27" s="42">
        <f>SUM(H25:H26)</f>
        <v>-3441190.3410385898</v>
      </c>
      <c r="I27" s="42">
        <f>SUM(I25:I26)</f>
        <v>3447498.9946598904</v>
      </c>
      <c r="J27" s="42">
        <f>SUM(H27:I27)</f>
        <v>6308.6536213005893</v>
      </c>
    </row>
    <row r="28" spans="1:12" ht="15" thickTop="1" x14ac:dyDescent="0.35">
      <c r="B28" s="23"/>
      <c r="D28" s="43">
        <f>D27-D13</f>
        <v>0</v>
      </c>
      <c r="E28" s="43">
        <f>E27-E13</f>
        <v>0</v>
      </c>
      <c r="F28" s="43">
        <f>F27-F13</f>
        <v>-3.7252902984619141E-9</v>
      </c>
      <c r="G28" s="44"/>
      <c r="H28" s="45">
        <f>H27-H13</f>
        <v>-9.7788870334625244E-9</v>
      </c>
      <c r="I28" s="43">
        <f>I27-I13</f>
        <v>0</v>
      </c>
      <c r="J28" s="43">
        <f>J27-J13</f>
        <v>-9.3132257461547852E-9</v>
      </c>
      <c r="K28" s="44"/>
    </row>
    <row r="29" spans="1:12" x14ac:dyDescent="0.35">
      <c r="B29" s="23"/>
      <c r="D29" s="59"/>
      <c r="E29" s="59"/>
      <c r="H29" s="2"/>
      <c r="I29" s="2"/>
      <c r="J29" s="2"/>
    </row>
    <row r="30" spans="1:12" x14ac:dyDescent="0.35">
      <c r="A30" s="48">
        <f>+A27+1</f>
        <v>15</v>
      </c>
      <c r="B30" s="80" t="s">
        <v>56</v>
      </c>
      <c r="C30" s="37" t="s">
        <v>70</v>
      </c>
      <c r="H30" s="46">
        <f>H27/H6</f>
        <v>-5.7907238400974989E-2</v>
      </c>
      <c r="I30" s="46">
        <f>I27/I6</f>
        <v>0.1824562345996516</v>
      </c>
    </row>
    <row r="31" spans="1:12" x14ac:dyDescent="0.35">
      <c r="A31" s="48">
        <f>+A30+1</f>
        <v>16</v>
      </c>
      <c r="B31" s="80" t="s">
        <v>57</v>
      </c>
      <c r="H31" s="48" t="str">
        <f>IF(ABS(H30)&gt;1%,"yes","no")</f>
        <v>yes</v>
      </c>
      <c r="I31" s="48" t="str">
        <f>IF(ABS(I30)&gt;1%,"yes","no")</f>
        <v>yes</v>
      </c>
    </row>
    <row r="32" spans="1:12" x14ac:dyDescent="0.35">
      <c r="A32" s="48">
        <f t="shared" ref="A32:A33" si="1">+A31+1</f>
        <v>17</v>
      </c>
      <c r="B32" s="81" t="s">
        <v>58</v>
      </c>
    </row>
    <row r="33" spans="1:10" x14ac:dyDescent="0.35">
      <c r="A33" s="48">
        <f t="shared" si="1"/>
        <v>18</v>
      </c>
      <c r="B33" s="81" t="s">
        <v>59</v>
      </c>
    </row>
    <row r="35" spans="1:10" x14ac:dyDescent="0.35">
      <c r="B35" s="47"/>
      <c r="D35" s="2"/>
      <c r="E35" s="2"/>
      <c r="F35" s="2"/>
      <c r="G35" s="2"/>
      <c r="H35" s="2"/>
      <c r="I35" s="2"/>
      <c r="J35" s="2"/>
    </row>
    <row r="36" spans="1:10" x14ac:dyDescent="0.35">
      <c r="B36" s="47"/>
    </row>
  </sheetData>
  <pageMargins left="0.7" right="0.7" top="0.75" bottom="0.75" header="0.3" footer="0.3"/>
  <pageSetup scale="71" orientation="landscape" blackAndWhite="1" r:id="rId1"/>
  <headerFooter>
    <oddFooter>&amp;L&amp;F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80" zoomScaleNormal="80" workbookViewId="0">
      <selection activeCell="Q14" sqref="Q14"/>
    </sheetView>
  </sheetViews>
  <sheetFormatPr defaultColWidth="9.1796875" defaultRowHeight="14.5" x14ac:dyDescent="0.35"/>
  <cols>
    <col min="1" max="1" width="10.7265625" style="6" customWidth="1"/>
    <col min="2" max="7" width="10.36328125" style="6" bestFit="1" customWidth="1"/>
    <col min="8" max="13" width="11.453125" style="6" bestFit="1" customWidth="1"/>
    <col min="14" max="14" width="13.81640625" style="6" customWidth="1"/>
    <col min="15" max="16384" width="9.1796875" style="6"/>
  </cols>
  <sheetData>
    <row r="1" spans="1:14" x14ac:dyDescent="0.3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x14ac:dyDescent="0.35">
      <c r="A2" s="183" t="str">
        <f>'Sch. 140 Rates'!A2:N2</f>
        <v>2021 Gas Schedule 140 Property Tax Tracker Filing - PRELIMINARY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x14ac:dyDescent="0.35">
      <c r="A3" s="183" t="s">
        <v>66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x14ac:dyDescent="0.35">
      <c r="A4" s="189" t="str">
        <f>TEXT(B7,"Mmm YYYY - ")&amp;TEXT(M7,"Mmmm YYYY")</f>
        <v>May 2021 - April 2022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4" x14ac:dyDescent="0.3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4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x14ac:dyDescent="0.35">
      <c r="A7" s="62" t="s">
        <v>31</v>
      </c>
      <c r="B7" s="169">
        <v>44317</v>
      </c>
      <c r="C7" s="71">
        <f>EDATE(B7,1)</f>
        <v>44348</v>
      </c>
      <c r="D7" s="71">
        <f t="shared" ref="D7:M7" si="0">EDATE(C7,1)</f>
        <v>44378</v>
      </c>
      <c r="E7" s="71">
        <f t="shared" si="0"/>
        <v>44409</v>
      </c>
      <c r="F7" s="71">
        <f t="shared" si="0"/>
        <v>44440</v>
      </c>
      <c r="G7" s="71">
        <f t="shared" si="0"/>
        <v>44470</v>
      </c>
      <c r="H7" s="71">
        <f t="shared" si="0"/>
        <v>44501</v>
      </c>
      <c r="I7" s="71">
        <f t="shared" si="0"/>
        <v>44531</v>
      </c>
      <c r="J7" s="71">
        <f t="shared" si="0"/>
        <v>44562</v>
      </c>
      <c r="K7" s="71">
        <f t="shared" si="0"/>
        <v>44593</v>
      </c>
      <c r="L7" s="71">
        <f t="shared" si="0"/>
        <v>44621</v>
      </c>
      <c r="M7" s="71">
        <f t="shared" si="0"/>
        <v>44652</v>
      </c>
      <c r="N7" s="12" t="s">
        <v>28</v>
      </c>
    </row>
    <row r="8" spans="1:14" x14ac:dyDescent="0.35">
      <c r="A8" s="28">
        <v>16</v>
      </c>
      <c r="B8" s="168">
        <v>619</v>
      </c>
      <c r="C8" s="168">
        <v>605</v>
      </c>
      <c r="D8" s="168">
        <v>793</v>
      </c>
      <c r="E8" s="168">
        <v>843</v>
      </c>
      <c r="F8" s="168">
        <v>891</v>
      </c>
      <c r="G8" s="168">
        <v>857</v>
      </c>
      <c r="H8" s="168">
        <v>745</v>
      </c>
      <c r="I8" s="168">
        <v>856</v>
      </c>
      <c r="J8" s="168">
        <v>811</v>
      </c>
      <c r="K8" s="168">
        <v>593</v>
      </c>
      <c r="L8" s="168">
        <v>732</v>
      </c>
      <c r="M8" s="168">
        <v>654</v>
      </c>
      <c r="N8" s="19">
        <f t="shared" ref="N8:N21" si="1">SUM(B8:M8)</f>
        <v>8999</v>
      </c>
    </row>
    <row r="9" spans="1:14" x14ac:dyDescent="0.35">
      <c r="A9" s="28">
        <v>23</v>
      </c>
      <c r="B9" s="168">
        <v>34938725</v>
      </c>
      <c r="C9" s="168">
        <v>21501725</v>
      </c>
      <c r="D9" s="168">
        <v>15475986</v>
      </c>
      <c r="E9" s="168">
        <v>14257580</v>
      </c>
      <c r="F9" s="168">
        <v>17773002</v>
      </c>
      <c r="G9" s="168">
        <v>38517907</v>
      </c>
      <c r="H9" s="168">
        <v>70573397</v>
      </c>
      <c r="I9" s="168">
        <v>99800088</v>
      </c>
      <c r="J9" s="168">
        <v>98358872</v>
      </c>
      <c r="K9" s="168">
        <v>82956080</v>
      </c>
      <c r="L9" s="168">
        <v>77662767</v>
      </c>
      <c r="M9" s="168">
        <v>54561019</v>
      </c>
      <c r="N9" s="19">
        <f t="shared" si="1"/>
        <v>626377148</v>
      </c>
    </row>
    <row r="10" spans="1:14" x14ac:dyDescent="0.35">
      <c r="A10" s="28">
        <v>53</v>
      </c>
      <c r="B10" s="168">
        <v>0</v>
      </c>
      <c r="C10" s="168">
        <v>0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9">
        <f t="shared" si="1"/>
        <v>0</v>
      </c>
    </row>
    <row r="11" spans="1:14" x14ac:dyDescent="0.35">
      <c r="A11" s="28">
        <v>31</v>
      </c>
      <c r="B11" s="168">
        <v>14608131</v>
      </c>
      <c r="C11" s="168">
        <v>10748127</v>
      </c>
      <c r="D11" s="168">
        <v>8675782</v>
      </c>
      <c r="E11" s="168">
        <v>8864324</v>
      </c>
      <c r="F11" s="168">
        <v>9414380</v>
      </c>
      <c r="G11" s="168">
        <v>15330016</v>
      </c>
      <c r="H11" s="168">
        <v>23861847</v>
      </c>
      <c r="I11" s="168">
        <v>32759960</v>
      </c>
      <c r="J11" s="168">
        <v>33064232</v>
      </c>
      <c r="K11" s="168">
        <v>28419815</v>
      </c>
      <c r="L11" s="168">
        <v>26816131</v>
      </c>
      <c r="M11" s="168">
        <v>20104911</v>
      </c>
      <c r="N11" s="19">
        <f t="shared" si="1"/>
        <v>232667656</v>
      </c>
    </row>
    <row r="12" spans="1:14" x14ac:dyDescent="0.35">
      <c r="A12" s="28">
        <v>41</v>
      </c>
      <c r="B12" s="168">
        <v>4766458</v>
      </c>
      <c r="C12" s="168">
        <v>4032897</v>
      </c>
      <c r="D12" s="168">
        <v>3374428</v>
      </c>
      <c r="E12" s="168">
        <v>3101846</v>
      </c>
      <c r="F12" s="168">
        <v>3328718</v>
      </c>
      <c r="G12" s="168">
        <v>4986495</v>
      </c>
      <c r="H12" s="168">
        <v>6396959</v>
      </c>
      <c r="I12" s="168">
        <v>7685902</v>
      </c>
      <c r="J12" s="168">
        <v>7601529</v>
      </c>
      <c r="K12" s="168">
        <v>6827632</v>
      </c>
      <c r="L12" s="168">
        <v>6742262</v>
      </c>
      <c r="M12" s="168">
        <v>5660839</v>
      </c>
      <c r="N12" s="19">
        <f t="shared" si="1"/>
        <v>64505965</v>
      </c>
    </row>
    <row r="13" spans="1:14" x14ac:dyDescent="0.35">
      <c r="A13" s="28">
        <v>85</v>
      </c>
      <c r="B13" s="168">
        <v>780959</v>
      </c>
      <c r="C13" s="168">
        <v>562486</v>
      </c>
      <c r="D13" s="168">
        <v>528197</v>
      </c>
      <c r="E13" s="168">
        <v>522826</v>
      </c>
      <c r="F13" s="168">
        <v>512346</v>
      </c>
      <c r="G13" s="168">
        <v>544180</v>
      </c>
      <c r="H13" s="168">
        <v>874871</v>
      </c>
      <c r="I13" s="168">
        <v>1050437</v>
      </c>
      <c r="J13" s="168">
        <v>1205906</v>
      </c>
      <c r="K13" s="168">
        <v>1075360</v>
      </c>
      <c r="L13" s="168">
        <v>1077629</v>
      </c>
      <c r="M13" s="168">
        <v>982126</v>
      </c>
      <c r="N13" s="19">
        <f t="shared" si="1"/>
        <v>9717323</v>
      </c>
    </row>
    <row r="14" spans="1:14" x14ac:dyDescent="0.35">
      <c r="A14" s="28">
        <v>86</v>
      </c>
      <c r="B14" s="168">
        <v>432431</v>
      </c>
      <c r="C14" s="168">
        <v>270483</v>
      </c>
      <c r="D14" s="168">
        <v>149193</v>
      </c>
      <c r="E14" s="168">
        <v>103627</v>
      </c>
      <c r="F14" s="168">
        <v>124933</v>
      </c>
      <c r="G14" s="168">
        <v>242604</v>
      </c>
      <c r="H14" s="168">
        <v>413721</v>
      </c>
      <c r="I14" s="168">
        <v>587578</v>
      </c>
      <c r="J14" s="168">
        <v>592557</v>
      </c>
      <c r="K14" s="168">
        <v>540889</v>
      </c>
      <c r="L14" s="168">
        <v>566054</v>
      </c>
      <c r="M14" s="168">
        <v>527395</v>
      </c>
      <c r="N14" s="19">
        <f t="shared" si="1"/>
        <v>4551465</v>
      </c>
    </row>
    <row r="15" spans="1:14" x14ac:dyDescent="0.35">
      <c r="A15" s="28">
        <v>87</v>
      </c>
      <c r="B15" s="168">
        <v>1152303</v>
      </c>
      <c r="C15" s="168">
        <v>805416</v>
      </c>
      <c r="D15" s="168">
        <v>789650</v>
      </c>
      <c r="E15" s="168">
        <v>774985</v>
      </c>
      <c r="F15" s="168">
        <v>782465</v>
      </c>
      <c r="G15" s="168">
        <v>1062362</v>
      </c>
      <c r="H15" s="168">
        <v>1385968</v>
      </c>
      <c r="I15" s="168">
        <v>1719523</v>
      </c>
      <c r="J15" s="168">
        <v>1688839</v>
      </c>
      <c r="K15" s="168">
        <v>1433410</v>
      </c>
      <c r="L15" s="168">
        <v>1490563</v>
      </c>
      <c r="M15" s="168">
        <v>1163210</v>
      </c>
      <c r="N15" s="19">
        <f t="shared" si="1"/>
        <v>14248694</v>
      </c>
    </row>
    <row r="16" spans="1:14" x14ac:dyDescent="0.35">
      <c r="A16" s="28" t="s">
        <v>54</v>
      </c>
      <c r="B16" s="168">
        <v>1373</v>
      </c>
      <c r="C16" s="168">
        <v>1122</v>
      </c>
      <c r="D16" s="168">
        <v>1027</v>
      </c>
      <c r="E16" s="168">
        <v>1182</v>
      </c>
      <c r="F16" s="168">
        <v>1326</v>
      </c>
      <c r="G16" s="168">
        <v>1972</v>
      </c>
      <c r="H16" s="168">
        <v>2439</v>
      </c>
      <c r="I16" s="168">
        <v>3479</v>
      </c>
      <c r="J16" s="168">
        <v>2699</v>
      </c>
      <c r="K16" s="168">
        <v>2189</v>
      </c>
      <c r="L16" s="168">
        <v>2140</v>
      </c>
      <c r="M16" s="168">
        <v>1662</v>
      </c>
      <c r="N16" s="19">
        <f t="shared" si="1"/>
        <v>22610</v>
      </c>
    </row>
    <row r="17" spans="1:14" x14ac:dyDescent="0.35">
      <c r="A17" s="28" t="s">
        <v>32</v>
      </c>
      <c r="B17" s="168">
        <v>1985887</v>
      </c>
      <c r="C17" s="168">
        <v>1936401</v>
      </c>
      <c r="D17" s="168">
        <v>1771208</v>
      </c>
      <c r="E17" s="168">
        <v>1829959</v>
      </c>
      <c r="F17" s="168">
        <v>1758073</v>
      </c>
      <c r="G17" s="168">
        <v>1958044</v>
      </c>
      <c r="H17" s="168">
        <v>2045810</v>
      </c>
      <c r="I17" s="168">
        <v>2261888</v>
      </c>
      <c r="J17" s="168">
        <v>2271760</v>
      </c>
      <c r="K17" s="168">
        <v>2034924</v>
      </c>
      <c r="L17" s="168">
        <v>2236239</v>
      </c>
      <c r="M17" s="168">
        <v>2078119</v>
      </c>
      <c r="N17" s="19">
        <f t="shared" si="1"/>
        <v>24168312</v>
      </c>
    </row>
    <row r="18" spans="1:14" x14ac:dyDescent="0.35">
      <c r="A18" s="28" t="s">
        <v>33</v>
      </c>
      <c r="B18" s="168">
        <v>6112186</v>
      </c>
      <c r="C18" s="168">
        <v>5822584</v>
      </c>
      <c r="D18" s="168">
        <v>5495243</v>
      </c>
      <c r="E18" s="168">
        <v>5815394</v>
      </c>
      <c r="F18" s="168">
        <v>5680544</v>
      </c>
      <c r="G18" s="168">
        <v>6102449</v>
      </c>
      <c r="H18" s="168">
        <v>6326376</v>
      </c>
      <c r="I18" s="168">
        <v>5961270</v>
      </c>
      <c r="J18" s="168">
        <v>6250197</v>
      </c>
      <c r="K18" s="168">
        <v>5739687</v>
      </c>
      <c r="L18" s="168">
        <v>6162468</v>
      </c>
      <c r="M18" s="168">
        <v>6548017</v>
      </c>
      <c r="N18" s="19">
        <f t="shared" si="1"/>
        <v>72016415</v>
      </c>
    </row>
    <row r="19" spans="1:14" x14ac:dyDescent="0.35">
      <c r="A19" s="28" t="s">
        <v>55</v>
      </c>
      <c r="B19" s="168">
        <v>13997</v>
      </c>
      <c r="C19" s="168">
        <v>15002</v>
      </c>
      <c r="D19" s="168">
        <v>11959</v>
      </c>
      <c r="E19" s="168">
        <v>10855</v>
      </c>
      <c r="F19" s="168">
        <v>6726</v>
      </c>
      <c r="G19" s="168">
        <v>10510</v>
      </c>
      <c r="H19" s="168">
        <v>22518</v>
      </c>
      <c r="I19" s="168">
        <v>24333</v>
      </c>
      <c r="J19" s="168">
        <v>23697</v>
      </c>
      <c r="K19" s="168">
        <v>21729</v>
      </c>
      <c r="L19" s="168">
        <v>21506</v>
      </c>
      <c r="M19" s="168">
        <v>17592</v>
      </c>
      <c r="N19" s="19">
        <f t="shared" si="1"/>
        <v>200424</v>
      </c>
    </row>
    <row r="20" spans="1:14" x14ac:dyDescent="0.35">
      <c r="A20" s="28" t="s">
        <v>34</v>
      </c>
      <c r="B20" s="168">
        <v>7792150</v>
      </c>
      <c r="C20" s="168">
        <v>7329495</v>
      </c>
      <c r="D20" s="168">
        <v>7958506</v>
      </c>
      <c r="E20" s="168">
        <v>7347866</v>
      </c>
      <c r="F20" s="168">
        <v>7297242</v>
      </c>
      <c r="G20" s="168">
        <v>7835761</v>
      </c>
      <c r="H20" s="168">
        <v>7108943</v>
      </c>
      <c r="I20" s="168">
        <v>8324277</v>
      </c>
      <c r="J20" s="168">
        <v>8205330</v>
      </c>
      <c r="K20" s="168">
        <v>7268522</v>
      </c>
      <c r="L20" s="168">
        <v>8214552</v>
      </c>
      <c r="M20" s="168">
        <v>7404432</v>
      </c>
      <c r="N20" s="19">
        <f t="shared" si="1"/>
        <v>92087076</v>
      </c>
    </row>
    <row r="21" spans="1:14" x14ac:dyDescent="0.35">
      <c r="A21" s="61" t="s">
        <v>25</v>
      </c>
      <c r="B21" s="168">
        <v>2344167</v>
      </c>
      <c r="C21" s="168">
        <v>1952097</v>
      </c>
      <c r="D21" s="168">
        <v>1714220</v>
      </c>
      <c r="E21" s="168">
        <v>1707447</v>
      </c>
      <c r="F21" s="168">
        <v>1777317</v>
      </c>
      <c r="G21" s="168">
        <v>2358155</v>
      </c>
      <c r="H21" s="168">
        <v>3336235</v>
      </c>
      <c r="I21" s="168">
        <v>3936859</v>
      </c>
      <c r="J21" s="168">
        <v>3876393</v>
      </c>
      <c r="K21" s="168">
        <v>3369913</v>
      </c>
      <c r="L21" s="168">
        <v>3317320</v>
      </c>
      <c r="M21" s="168">
        <v>2750737</v>
      </c>
      <c r="N21" s="19">
        <f t="shared" si="1"/>
        <v>32440860</v>
      </c>
    </row>
    <row r="22" spans="1:14" x14ac:dyDescent="0.35">
      <c r="A22" s="28" t="s">
        <v>28</v>
      </c>
      <c r="B22" s="16">
        <f>SUM(B8:B21)</f>
        <v>74929386</v>
      </c>
      <c r="C22" s="16">
        <f t="shared" ref="C22:M22" si="2">SUM(C8:C21)</f>
        <v>54978440</v>
      </c>
      <c r="D22" s="16">
        <f t="shared" si="2"/>
        <v>45946192</v>
      </c>
      <c r="E22" s="16">
        <f t="shared" si="2"/>
        <v>44338734</v>
      </c>
      <c r="F22" s="16">
        <f t="shared" si="2"/>
        <v>48457963</v>
      </c>
      <c r="G22" s="16">
        <f t="shared" si="2"/>
        <v>78951312</v>
      </c>
      <c r="H22" s="16">
        <f t="shared" si="2"/>
        <v>122349829</v>
      </c>
      <c r="I22" s="16">
        <f t="shared" si="2"/>
        <v>164116450</v>
      </c>
      <c r="J22" s="16">
        <f t="shared" si="2"/>
        <v>163142822</v>
      </c>
      <c r="K22" s="16">
        <f t="shared" si="2"/>
        <v>139690743</v>
      </c>
      <c r="L22" s="16">
        <f t="shared" si="2"/>
        <v>134310363</v>
      </c>
      <c r="M22" s="16">
        <f t="shared" si="2"/>
        <v>101800713</v>
      </c>
      <c r="N22" s="16">
        <f>SUM(N8:N21)</f>
        <v>1173012947</v>
      </c>
    </row>
    <row r="23" spans="1:14" x14ac:dyDescent="0.35">
      <c r="A23" s="2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35">
      <c r="A24" s="170" t="s">
        <v>89</v>
      </c>
    </row>
  </sheetData>
  <mergeCells count="4">
    <mergeCell ref="A1:N1"/>
    <mergeCell ref="A2:N2"/>
    <mergeCell ref="A3:N3"/>
    <mergeCell ref="A4:N4"/>
  </mergeCells>
  <printOptions horizontalCentered="1"/>
  <pageMargins left="0.7" right="0.7" top="0.75" bottom="0.75" header="0.3" footer="0.3"/>
  <pageSetup scale="78" orientation="landscape" blackAndWhite="1" r:id="rId1"/>
  <headerFooter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A302F8A4DB840BD538F4440233148" ma:contentTypeVersion="44" ma:contentTypeDescription="" ma:contentTypeScope="" ma:versionID="520c0c09c666f0177a724b696d8c5f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2021-03-31T07:00:00+00:00</OpenedDate>
    <SignificantOrder xmlns="dc463f71-b30c-4ab2-9473-d307f9d35888">false</SignificantOrder>
    <Date1 xmlns="dc463f71-b30c-4ab2-9473-d307f9d35888">2021-03-31T07:00:00+00:00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0C192C-CE22-47A2-91DF-23C82EEC3204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9C870A8-66C7-43DA-BE7C-6FB15BD2527A}"/>
</file>

<file path=customXml/itemProps3.xml><?xml version="1.0" encoding="utf-8"?>
<ds:datastoreItem xmlns:ds="http://schemas.openxmlformats.org/officeDocument/2006/customXml" ds:itemID="{0FA19BB2-5C02-48E1-9026-F2E5076801F0}"/>
</file>

<file path=customXml/itemProps4.xml><?xml version="1.0" encoding="utf-8"?>
<ds:datastoreItem xmlns:ds="http://schemas.openxmlformats.org/officeDocument/2006/customXml" ds:itemID="{AB0A851F-11EB-4BF6-ABCB-FE1B90B7D794}"/>
</file>

<file path=customXml/itemProps5.xml><?xml version="1.0" encoding="utf-8"?>
<ds:datastoreItem xmlns:ds="http://schemas.openxmlformats.org/officeDocument/2006/customXml" ds:itemID="{FB0B16DC-BC57-4D8A-A1A2-F7D895555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Sch. 140 Rates</vt:lpstr>
      <vt:lpstr>Allocation Factors</vt:lpstr>
      <vt:lpstr>Rate Impacts--&gt;</vt:lpstr>
      <vt:lpstr>Rate Impacts Sch140</vt:lpstr>
      <vt:lpstr>Typical Res Bill Sch140</vt:lpstr>
      <vt:lpstr>Schedule 140</vt:lpstr>
      <vt:lpstr>Workpapers--&gt;</vt:lpstr>
      <vt:lpstr>2021 FINAL Rev Req</vt:lpstr>
      <vt:lpstr>Therm Forecast</vt:lpstr>
      <vt:lpstr>'Allocation Factors'!Print_Area</vt:lpstr>
      <vt:lpstr>'Rate Impacts Sch140'!Print_Area</vt:lpstr>
      <vt:lpstr>'Sch. 140 Rates'!Print_Area</vt:lpstr>
      <vt:lpstr>'Schedule 140'!Print_Area</vt:lpstr>
      <vt:lpstr>'Therm Forecast'!Print_Area</vt:lpstr>
      <vt:lpstr>'Typical Res Bill Sch140'!Print_Area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kelly.xu@pse.com</dc:creator>
  <cp:lastModifiedBy>Puget Sound Energy</cp:lastModifiedBy>
  <cp:lastPrinted>2020-04-14T20:24:28Z</cp:lastPrinted>
  <dcterms:created xsi:type="dcterms:W3CDTF">2012-11-20T18:48:04Z</dcterms:created>
  <dcterms:modified xsi:type="dcterms:W3CDTF">2021-03-30T22:09:35Z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0x0101006E56B4D1795A2E4DB2F0B01679ED314A00690A302F8A4DB840BD538F4440233148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