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Conservation Rate\2021\3. Draft filing\"/>
    </mc:Choice>
  </mc:AlternateContent>
  <bookViews>
    <workbookView xWindow="-230" yWindow="-80" windowWidth="26310" windowHeight="11530" tabRatio="765" firstSheet="2" activeTab="7"/>
  </bookViews>
  <sheets>
    <sheet name="Rates" sheetId="4" r:id="rId1"/>
    <sheet name="Allocation" sheetId="3" r:id="rId2"/>
    <sheet name="Rate Impacts--&gt;" sheetId="21" r:id="rId3"/>
    <sheet name="Rate Impacts Sch120" sheetId="26" r:id="rId4"/>
    <sheet name="Typical Res Bill Sch120" sheetId="27" r:id="rId5"/>
    <sheet name="Schedule 120" sheetId="28" r:id="rId6"/>
    <sheet name="Workpapers--&gt;" sheetId="25" r:id="rId7"/>
    <sheet name="Rev Requirement" sheetId="2" r:id="rId8"/>
    <sheet name="Forecasted Volume" sheetId="17" r:id="rId9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Allocation!$A$1:$I$25</definedName>
    <definedName name="_xlnm.Print_Area" localSheetId="8">'Forecasted Volume'!$A$1:$N$30</definedName>
    <definedName name="_xlnm.Print_Area" localSheetId="3">'Rate Impacts Sch120'!$B$1:$U$37</definedName>
    <definedName name="_xlnm.Print_Area" localSheetId="0">Rates!$B$1:$H$25</definedName>
    <definedName name="_xlnm.Print_Area" localSheetId="7">'Rev Requirement'!$A$1:$E$12</definedName>
    <definedName name="_xlnm.Print_Area" localSheetId="4">'Typical Res Bill Sch120'!$B$1:$H$41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10" i="2" l="1"/>
  <c r="E8" i="2"/>
  <c r="G23" i="26" l="1"/>
  <c r="G22" i="26"/>
  <c r="G21" i="26"/>
  <c r="G20" i="26"/>
  <c r="G19" i="26"/>
  <c r="G18" i="26"/>
  <c r="G17" i="26"/>
  <c r="G16" i="26"/>
  <c r="G15" i="26"/>
  <c r="G14" i="26"/>
  <c r="G13" i="26"/>
  <c r="G12" i="26"/>
  <c r="G11" i="26"/>
  <c r="C8" i="28" l="1"/>
  <c r="C15" i="28"/>
  <c r="C14" i="28"/>
  <c r="C13" i="28"/>
  <c r="C12" i="28"/>
  <c r="C11" i="28"/>
  <c r="F11" i="28" s="1"/>
  <c r="K13" i="26" s="1"/>
  <c r="C10" i="28"/>
  <c r="C9" i="28"/>
  <c r="F15" i="28"/>
  <c r="K17" i="26" s="1"/>
  <c r="F14" i="28"/>
  <c r="K16" i="26" s="1"/>
  <c r="F12" i="28"/>
  <c r="G31" i="27"/>
  <c r="D32" i="27"/>
  <c r="E32" i="27" s="1"/>
  <c r="D28" i="27"/>
  <c r="E28" i="27" s="1"/>
  <c r="G25" i="27"/>
  <c r="G24" i="27"/>
  <c r="G23" i="27"/>
  <c r="G22" i="27"/>
  <c r="G21" i="27"/>
  <c r="G20" i="27"/>
  <c r="G19" i="27"/>
  <c r="D26" i="27"/>
  <c r="G17" i="27"/>
  <c r="D14" i="27"/>
  <c r="G13" i="27"/>
  <c r="H13" i="27" s="1"/>
  <c r="E13" i="27"/>
  <c r="E12" i="27"/>
  <c r="G12" i="27"/>
  <c r="H12" i="27" s="1"/>
  <c r="E11" i="27"/>
  <c r="G11" i="27"/>
  <c r="B4" i="27"/>
  <c r="B2" i="27"/>
  <c r="T33" i="26"/>
  <c r="E33" i="26"/>
  <c r="D33" i="26"/>
  <c r="F22" i="26"/>
  <c r="H22" i="26" s="1"/>
  <c r="S22" i="26" s="1"/>
  <c r="U22" i="26" s="1"/>
  <c r="H21" i="26"/>
  <c r="S21" i="26" s="1"/>
  <c r="U21" i="26" s="1"/>
  <c r="F21" i="26"/>
  <c r="F20" i="26"/>
  <c r="H20" i="26" s="1"/>
  <c r="S20" i="26" s="1"/>
  <c r="U20" i="26" s="1"/>
  <c r="F19" i="26"/>
  <c r="H19" i="26" s="1"/>
  <c r="S19" i="26" s="1"/>
  <c r="U19" i="26" s="1"/>
  <c r="F18" i="26"/>
  <c r="H18" i="26" s="1"/>
  <c r="S18" i="26" s="1"/>
  <c r="U18" i="26" s="1"/>
  <c r="E32" i="26"/>
  <c r="D32" i="26"/>
  <c r="E31" i="26"/>
  <c r="D31" i="26"/>
  <c r="F15" i="26"/>
  <c r="H15" i="26" s="1"/>
  <c r="D30" i="26"/>
  <c r="K14" i="26"/>
  <c r="F14" i="26"/>
  <c r="H14" i="26" s="1"/>
  <c r="D29" i="26"/>
  <c r="Q24" i="26"/>
  <c r="E28" i="26"/>
  <c r="F13" i="26"/>
  <c r="H13" i="26" s="1"/>
  <c r="I24" i="26"/>
  <c r="F12" i="26"/>
  <c r="H12" i="26" s="1"/>
  <c r="R24" i="26"/>
  <c r="P24" i="26"/>
  <c r="O24" i="26"/>
  <c r="N24" i="26"/>
  <c r="M24" i="26"/>
  <c r="L24" i="26"/>
  <c r="J24" i="26"/>
  <c r="G24" i="26"/>
  <c r="E27" i="26"/>
  <c r="D27" i="26"/>
  <c r="E14" i="27" l="1"/>
  <c r="S14" i="26"/>
  <c r="S29" i="26" s="1"/>
  <c r="H29" i="26"/>
  <c r="G14" i="27"/>
  <c r="H11" i="27"/>
  <c r="H14" i="27" s="1"/>
  <c r="E26" i="27"/>
  <c r="E33" i="27" s="1"/>
  <c r="E35" i="27" s="1"/>
  <c r="D39" i="27"/>
  <c r="D33" i="27"/>
  <c r="D34" i="26"/>
  <c r="H28" i="26"/>
  <c r="S13" i="26"/>
  <c r="S28" i="26" s="1"/>
  <c r="H30" i="26"/>
  <c r="E30" i="26"/>
  <c r="F23" i="26"/>
  <c r="H23" i="26" s="1"/>
  <c r="G18" i="27"/>
  <c r="G26" i="27" s="1"/>
  <c r="G30" i="27"/>
  <c r="G32" i="27" s="1"/>
  <c r="H32" i="27" s="1"/>
  <c r="F16" i="26"/>
  <c r="H16" i="26" s="1"/>
  <c r="E29" i="26"/>
  <c r="E34" i="26" s="1"/>
  <c r="F10" i="28"/>
  <c r="K12" i="26" s="1"/>
  <c r="S12" i="26" s="1"/>
  <c r="F11" i="26"/>
  <c r="H11" i="26" s="1"/>
  <c r="D24" i="26"/>
  <c r="D28" i="26"/>
  <c r="F13" i="28"/>
  <c r="K15" i="26" s="1"/>
  <c r="S15" i="26" s="1"/>
  <c r="S30" i="26" s="1"/>
  <c r="C16" i="28"/>
  <c r="F17" i="26"/>
  <c r="H17" i="26" s="1"/>
  <c r="E24" i="26"/>
  <c r="F24" i="26" s="1"/>
  <c r="F9" i="28"/>
  <c r="H26" i="27" l="1"/>
  <c r="H32" i="26"/>
  <c r="S17" i="26"/>
  <c r="S32" i="26" s="1"/>
  <c r="H31" i="26"/>
  <c r="S16" i="26"/>
  <c r="S31" i="26" s="1"/>
  <c r="H33" i="26"/>
  <c r="S23" i="26"/>
  <c r="H27" i="26"/>
  <c r="H24" i="26"/>
  <c r="S11" i="26"/>
  <c r="F16" i="28"/>
  <c r="K11" i="26"/>
  <c r="K24" i="26" s="1"/>
  <c r="S33" i="26" l="1"/>
  <c r="U33" i="26" s="1"/>
  <c r="U23" i="26"/>
  <c r="H34" i="26"/>
  <c r="S27" i="26"/>
  <c r="S34" i="26" s="1"/>
  <c r="S24" i="26"/>
  <c r="F20" i="3" l="1"/>
  <c r="F19" i="3"/>
  <c r="F18" i="3"/>
  <c r="F15" i="3"/>
  <c r="F14" i="3"/>
  <c r="F12" i="3"/>
  <c r="C7" i="17" l="1"/>
  <c r="N10" i="17" l="1"/>
  <c r="N11" i="17"/>
  <c r="N12" i="17"/>
  <c r="N13" i="17"/>
  <c r="N14" i="17"/>
  <c r="N15" i="17"/>
  <c r="A4" i="17"/>
  <c r="D9" i="3"/>
  <c r="A4" i="2" l="1"/>
  <c r="A2" i="2"/>
  <c r="A2" i="17" l="1"/>
  <c r="B4" i="3"/>
  <c r="B2" i="3"/>
  <c r="G11" i="4" l="1"/>
  <c r="G10" i="4"/>
  <c r="M26" i="17" l="1"/>
  <c r="L26" i="17"/>
  <c r="K26" i="17"/>
  <c r="J26" i="17"/>
  <c r="I26" i="17"/>
  <c r="H26" i="17"/>
  <c r="G26" i="17"/>
  <c r="F26" i="17"/>
  <c r="E26" i="17"/>
  <c r="D26" i="17"/>
  <c r="C26" i="17"/>
  <c r="B26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N21" i="17"/>
  <c r="N20" i="17"/>
  <c r="N19" i="17"/>
  <c r="N18" i="17"/>
  <c r="N17" i="17"/>
  <c r="N16" i="17"/>
  <c r="D19" i="3"/>
  <c r="D15" i="3"/>
  <c r="D13" i="3"/>
  <c r="N9" i="17"/>
  <c r="N8" i="17"/>
  <c r="D7" i="17"/>
  <c r="E7" i="17" s="1"/>
  <c r="F7" i="17" s="1"/>
  <c r="G7" i="17" s="1"/>
  <c r="H7" i="17" s="1"/>
  <c r="I7" i="17" s="1"/>
  <c r="J7" i="17" s="1"/>
  <c r="K7" i="17" s="1"/>
  <c r="L7" i="17" s="1"/>
  <c r="M7" i="17" s="1"/>
  <c r="H27" i="17" l="1"/>
  <c r="H28" i="17" s="1"/>
  <c r="D27" i="17"/>
  <c r="D28" i="17" s="1"/>
  <c r="L27" i="17"/>
  <c r="L28" i="17" s="1"/>
  <c r="I27" i="17"/>
  <c r="E27" i="17"/>
  <c r="E28" i="17" s="1"/>
  <c r="M27" i="17"/>
  <c r="M28" i="17" s="1"/>
  <c r="D20" i="3"/>
  <c r="N25" i="17"/>
  <c r="H17" i="4" s="1"/>
  <c r="D18" i="3"/>
  <c r="D14" i="3"/>
  <c r="D11" i="3"/>
  <c r="N24" i="17"/>
  <c r="H16" i="4" s="1"/>
  <c r="B27" i="17"/>
  <c r="B28" i="17" s="1"/>
  <c r="F27" i="17"/>
  <c r="F28" i="17" s="1"/>
  <c r="J27" i="17"/>
  <c r="J28" i="17" s="1"/>
  <c r="C27" i="17"/>
  <c r="C28" i="17" s="1"/>
  <c r="G27" i="17"/>
  <c r="G28" i="17" s="1"/>
  <c r="K27" i="17"/>
  <c r="K28" i="17" s="1"/>
  <c r="D12" i="3"/>
  <c r="N22" i="17"/>
  <c r="I28" i="17"/>
  <c r="N26" i="17"/>
  <c r="N27" i="17" l="1"/>
  <c r="N28" i="17" s="1"/>
  <c r="G12" i="3" l="1"/>
  <c r="H12" i="3" s="1"/>
  <c r="B10" i="4" l="1"/>
  <c r="B11" i="4" s="1"/>
  <c r="B12" i="4" s="1"/>
  <c r="B13" i="4" s="1"/>
  <c r="B15" i="4" s="1"/>
  <c r="B16" i="4" s="1"/>
  <c r="B17" i="4" s="1"/>
  <c r="B18" i="4" s="1"/>
  <c r="B21" i="4" s="1"/>
  <c r="B22" i="4" s="1"/>
  <c r="B23" i="4" s="1"/>
  <c r="B25" i="4" l="1"/>
  <c r="G13" i="3"/>
  <c r="G20" i="3"/>
  <c r="G19" i="3"/>
  <c r="G18" i="3"/>
  <c r="G15" i="3"/>
  <c r="G14" i="3"/>
  <c r="G11" i="3"/>
  <c r="C12" i="2" l="1"/>
  <c r="F12" i="4" s="1"/>
  <c r="H13" i="3"/>
  <c r="E12" i="2" l="1"/>
  <c r="H12" i="4" s="1"/>
  <c r="H11" i="3"/>
  <c r="H14" i="3"/>
  <c r="H18" i="3"/>
  <c r="H20" i="3"/>
  <c r="H15" i="3"/>
  <c r="H19" i="3"/>
  <c r="D16" i="3" l="1"/>
  <c r="H18" i="4"/>
  <c r="H21" i="3"/>
  <c r="H16" i="3"/>
  <c r="D21" i="3"/>
  <c r="D22" i="3" l="1"/>
  <c r="D23" i="3" s="1"/>
  <c r="H22" i="3"/>
  <c r="I16" i="3" l="1"/>
  <c r="E10" i="4" s="1"/>
  <c r="I21" i="3"/>
  <c r="I22" i="3" l="1"/>
  <c r="F10" i="4"/>
  <c r="E11" i="4"/>
  <c r="E12" i="4" s="1"/>
  <c r="H10" i="4" l="1"/>
  <c r="F11" i="4"/>
  <c r="H11" i="4" s="1"/>
  <c r="H23" i="4" s="1"/>
  <c r="E15" i="28" l="1"/>
  <c r="G15" i="28" s="1"/>
  <c r="H15" i="28" s="1"/>
  <c r="E14" i="28"/>
  <c r="G14" i="28" s="1"/>
  <c r="H14" i="28" s="1"/>
  <c r="E13" i="28"/>
  <c r="G13" i="28" s="1"/>
  <c r="H13" i="28" s="1"/>
  <c r="F13" i="4"/>
  <c r="H22" i="4"/>
  <c r="H13" i="4"/>
  <c r="I13" i="28" l="1"/>
  <c r="T15" i="26"/>
  <c r="E11" i="28"/>
  <c r="G11" i="28" s="1"/>
  <c r="H11" i="28" s="1"/>
  <c r="E9" i="28"/>
  <c r="E12" i="28"/>
  <c r="G12" i="28" s="1"/>
  <c r="H12" i="28" s="1"/>
  <c r="E10" i="28"/>
  <c r="G10" i="28" s="1"/>
  <c r="H10" i="28" s="1"/>
  <c r="T16" i="26"/>
  <c r="I14" i="28"/>
  <c r="I15" i="28"/>
  <c r="T17" i="26"/>
  <c r="H25" i="4"/>
  <c r="I10" i="28" l="1"/>
  <c r="T12" i="26"/>
  <c r="U12" i="26" s="1"/>
  <c r="U16" i="26"/>
  <c r="T31" i="26"/>
  <c r="U31" i="26" s="1"/>
  <c r="G9" i="28"/>
  <c r="G28" i="27"/>
  <c r="U15" i="26"/>
  <c r="T30" i="26"/>
  <c r="U30" i="26" s="1"/>
  <c r="T14" i="26"/>
  <c r="I12" i="28"/>
  <c r="I11" i="28"/>
  <c r="T13" i="26"/>
  <c r="U17" i="26"/>
  <c r="T32" i="26"/>
  <c r="U32" i="26" s="1"/>
  <c r="H28" i="27" l="1"/>
  <c r="H33" i="27" s="1"/>
  <c r="H35" i="27" s="1"/>
  <c r="H36" i="27" s="1"/>
  <c r="H37" i="27" s="1"/>
  <c r="G33" i="27"/>
  <c r="G39" i="27"/>
  <c r="H9" i="28"/>
  <c r="G16" i="28"/>
  <c r="U13" i="26"/>
  <c r="T28" i="26"/>
  <c r="U28" i="26" s="1"/>
  <c r="U14" i="26"/>
  <c r="T29" i="26"/>
  <c r="U29" i="26" s="1"/>
  <c r="T11" i="26" l="1"/>
  <c r="I9" i="28"/>
  <c r="H16" i="28"/>
  <c r="I16" i="28" s="1"/>
  <c r="U11" i="26" l="1"/>
  <c r="T27" i="26"/>
  <c r="T24" i="26"/>
  <c r="U24" i="26" s="1"/>
  <c r="U27" i="26" l="1"/>
  <c r="T34" i="26"/>
  <c r="U34" i="26" s="1"/>
</calcChain>
</file>

<file path=xl/sharedStrings.xml><?xml version="1.0" encoding="utf-8"?>
<sst xmlns="http://schemas.openxmlformats.org/spreadsheetml/2006/main" count="274" uniqueCount="173">
  <si>
    <t>41T</t>
  </si>
  <si>
    <t>85T</t>
  </si>
  <si>
    <t>87T</t>
  </si>
  <si>
    <t>Total</t>
  </si>
  <si>
    <t>Schedule</t>
  </si>
  <si>
    <t>Gas Conservation Revenue Requirement</t>
  </si>
  <si>
    <t xml:space="preserve">Line No. </t>
  </si>
  <si>
    <t>Description</t>
  </si>
  <si>
    <t>Amount</t>
  </si>
  <si>
    <t>Conversion Factor</t>
  </si>
  <si>
    <t>Revenue Requirement</t>
  </si>
  <si>
    <t>Total to be Recovered</t>
  </si>
  <si>
    <t>Puget Sound Energy</t>
  </si>
  <si>
    <t>Forecasted</t>
  </si>
  <si>
    <t>Volume</t>
  </si>
  <si>
    <t>Demand</t>
  </si>
  <si>
    <t xml:space="preserve"> Commodity</t>
  </si>
  <si>
    <t>Projected</t>
  </si>
  <si>
    <t>Gas Cost</t>
  </si>
  <si>
    <t>Recovery</t>
  </si>
  <si>
    <t>Total Firm</t>
  </si>
  <si>
    <t>Total Interruptible</t>
  </si>
  <si>
    <t>Residential</t>
  </si>
  <si>
    <t>Residential Propane</t>
  </si>
  <si>
    <t>Commercial &amp; Industrial</t>
  </si>
  <si>
    <t>Interruptible</t>
  </si>
  <si>
    <t>Limited Interruptible</t>
  </si>
  <si>
    <t>Non-exclusive Interruptible</t>
  </si>
  <si>
    <t>Check</t>
  </si>
  <si>
    <t>Percent</t>
  </si>
  <si>
    <t>of</t>
  </si>
  <si>
    <t>Firm Schedules</t>
  </si>
  <si>
    <t>Interruptible Schedules</t>
  </si>
  <si>
    <t>Projected Sales Volume (Therms)</t>
  </si>
  <si>
    <t>Allocation</t>
  </si>
  <si>
    <t>Costs</t>
  </si>
  <si>
    <t>With Revenue</t>
  </si>
  <si>
    <t>Sensitive Items</t>
  </si>
  <si>
    <t>Conversion</t>
  </si>
  <si>
    <t>Factor</t>
  </si>
  <si>
    <t>$/therm</t>
  </si>
  <si>
    <t>Line</t>
  </si>
  <si>
    <t>Firm Schedules (line 2E / line 7E)</t>
  </si>
  <si>
    <t>Interruptible Schedules (line 3E / line 8E)</t>
  </si>
  <si>
    <t>Calculation of Schedule 120 Rates</t>
  </si>
  <si>
    <t>Large Volume</t>
  </si>
  <si>
    <t>86T</t>
  </si>
  <si>
    <t>Contracts</t>
  </si>
  <si>
    <t>$/mantle</t>
  </si>
  <si>
    <t>Proposed Rates</t>
  </si>
  <si>
    <t>Schedule 16 Gas Lights (line 11E * 19 therms/mantle)</t>
  </si>
  <si>
    <r>
      <t>Schedule 101 Volumetric Rates</t>
    </r>
    <r>
      <rPr>
        <vertAlign val="superscript"/>
        <sz val="11"/>
        <color theme="1"/>
        <rFont val="Calibri"/>
        <family val="2"/>
      </rPr>
      <t xml:space="preserve"> (1)</t>
    </r>
  </si>
  <si>
    <t>31T</t>
  </si>
  <si>
    <t>Total Transportation</t>
  </si>
  <si>
    <t>Total Delivered</t>
  </si>
  <si>
    <t>Residential Lights</t>
  </si>
  <si>
    <t>(a)</t>
  </si>
  <si>
    <t>(b)</t>
  </si>
  <si>
    <t>(c)</t>
  </si>
  <si>
    <t>(d)</t>
  </si>
  <si>
    <t>(e)</t>
  </si>
  <si>
    <t>Development of Firm and Interruptible Allocation Factors</t>
  </si>
  <si>
    <t>No.</t>
  </si>
  <si>
    <t>(f)=(d)+(e)</t>
  </si>
  <si>
    <t>(g)=(c)*(f)</t>
  </si>
  <si>
    <t>(h)</t>
  </si>
  <si>
    <t>Forecasted Therm Volumes</t>
  </si>
  <si>
    <t>Estimated Under (Over) Collection from Prior Year</t>
  </si>
  <si>
    <t>2021 Gas Schedule 120 Conservation Filing</t>
  </si>
  <si>
    <t>Proposed Effective May 1, 2021</t>
  </si>
  <si>
    <t xml:space="preserve">Source: F2020 Load Forecast Calendar Month Therms (7-23-20, updated 8-24-20)  </t>
  </si>
  <si>
    <t xml:space="preserve">2021 Conservation Costs (12 Months) </t>
  </si>
  <si>
    <r>
      <rPr>
        <vertAlign val="superscript"/>
        <sz val="10"/>
        <color theme="1"/>
        <rFont val="Calibri"/>
        <family val="2"/>
      </rPr>
      <t xml:space="preserve">(1) </t>
    </r>
    <r>
      <rPr>
        <sz val="10"/>
        <color theme="1"/>
        <rFont val="Calibri"/>
        <family val="2"/>
        <scheme val="minor"/>
      </rPr>
      <t>UG-200832, Volumetric Schedule 101 rates effective November 1, 2020 (excluding revenue sensitive items)</t>
    </r>
  </si>
  <si>
    <t>Rate Change Impacts by Rate Schedule</t>
  </si>
  <si>
    <t>Proposed Rates Effective May 1, 2021</t>
  </si>
  <si>
    <t>UG-190530</t>
  </si>
  <si>
    <t>Therms</t>
  </si>
  <si>
    <t>12ME Apr. 2022</t>
  </si>
  <si>
    <t>Sch. 120</t>
  </si>
  <si>
    <t>Rate</t>
  </si>
  <si>
    <t>Margin</t>
  </si>
  <si>
    <t>Margin Rate</t>
  </si>
  <si>
    <t>May 2021 -</t>
  </si>
  <si>
    <t>Sched 101</t>
  </si>
  <si>
    <t>Sched 106</t>
  </si>
  <si>
    <t>Sched 120</t>
  </si>
  <si>
    <t>Sched 129</t>
  </si>
  <si>
    <t>Sched 140</t>
  </si>
  <si>
    <t>Sched 141X</t>
  </si>
  <si>
    <t>Sched 141Y</t>
  </si>
  <si>
    <t>Sched 141Z</t>
  </si>
  <si>
    <t>Sched 142</t>
  </si>
  <si>
    <t>Sched 149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</si>
  <si>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</si>
  <si>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</si>
  <si>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</si>
  <si>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</si>
  <si>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</si>
  <si>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</si>
  <si>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Apr. 2022</t>
  </si>
  <si>
    <t>Margin Revenue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</si>
  <si>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</si>
  <si>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</si>
  <si>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</si>
  <si>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</si>
  <si>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</si>
  <si>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</si>
  <si>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</si>
  <si>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</si>
  <si>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</si>
  <si>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</si>
  <si>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</si>
  <si>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</si>
  <si>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</si>
  <si>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</si>
  <si>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</si>
  <si>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</si>
  <si>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</si>
  <si>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</si>
  <si>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</si>
  <si>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 = sum(G:Q)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</si>
  <si>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</si>
  <si>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</si>
  <si>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</si>
  <si>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</si>
  <si>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</si>
  <si>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</si>
  <si>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</si>
  <si>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</si>
  <si>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</si>
  <si>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</si>
  <si>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</si>
  <si>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</si>
  <si>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</si>
  <si>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</si>
  <si>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</si>
  <si>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</si>
  <si>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</si>
  <si>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December 2018, at approved rates from UG-190530 GRC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</si>
  <si>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2020.</t>
    </r>
  </si>
  <si>
    <t>Typical Residential Bill Impacts</t>
  </si>
  <si>
    <t>Current Rates</t>
  </si>
  <si>
    <t>Schedule 120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</si>
  <si>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</si>
  <si>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</si>
  <si>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</si>
  <si>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</si>
  <si>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</si>
  <si>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</si>
  <si>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t>ERF adjusting charge (Schedule 141)</t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</si>
  <si>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</si>
  <si>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</si>
  <si>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</si>
  <si>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</si>
  <si>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</si>
  <si>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Tax Reform Credit (Schedule 141Y)</t>
  </si>
  <si>
    <t>EDIT adjusting charge (Schedule 141Z)</t>
  </si>
  <si>
    <t>Decoupling charge (Schedule 142)</t>
  </si>
  <si>
    <t>CRM Charge (Schedule 149)</t>
  </si>
  <si>
    <t>Conservation charge (Schedule 120)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</si>
  <si>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</si>
  <si>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</si>
  <si>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</si>
  <si>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</si>
  <si>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</si>
  <si>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</si>
  <si>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</si>
  <si>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2020</t>
    </r>
  </si>
  <si>
    <t>Gas Schedule 120</t>
  </si>
  <si>
    <t>Conservation Program Tracker</t>
  </si>
  <si>
    <t>Current</t>
  </si>
  <si>
    <t>Proposed</t>
  </si>
  <si>
    <t>Volume (Therms)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</si>
</sst>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_);_(&quot;$&quot;* \(#,##0.00000\);_(&quot;$&quot;* &quot;-&quot;??_);_(@_)"/>
    <numFmt numFmtId="166" formatCode="0.000000"/>
    <numFmt numFmtId="167" formatCode="_(&quot;$&quot;* #,##0.000000_);_(&quot;$&quot;* \(#,##0.000000\);_(&quot;$&quot;* &quot;-&quot;_);_(@_)"/>
    <numFmt numFmtId="168" formatCode="_(&quot;$&quot;* #,##0.0000000_);_(&quot;$&quot;* \(#,##0.0000000\);_(&quot;$&quot;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.00_);_(&quot;$&quot;* \(#,##0.00\);_(&quot;$&quot;* &quot;-&quot;_);_(@_)"/>
    <numFmt numFmtId="172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1"/>
      <color rgb="FF00808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44" fontId="9" fillId="0" borderId="0" applyFont="0" applyFill="0" applyBorder="0" applyAlignment="0" applyProtection="0"/>
  </cellStyleXfs>
  <cellXfs count="143">
    <xf numFmtId="0" fontId="0" fillId="0" borderId="0" xfId="0"/>
    <xf numFmtId="10" fontId="0" fillId="0" borderId="0" xfId="0" applyNumberFormat="1" applyFont="1"/>
    <xf numFmtId="0" fontId="0" fillId="0" borderId="0" xfId="0" applyFont="1" applyAlignment="1">
      <alignment horizontal="centerContinuous"/>
    </xf>
    <xf numFmtId="43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3" fontId="0" fillId="0" borderId="2" xfId="0" applyNumberFormat="1" applyFont="1" applyBorder="1"/>
    <xf numFmtId="3" fontId="0" fillId="0" borderId="1" xfId="0" applyNumberFormat="1" applyFont="1" applyBorder="1"/>
    <xf numFmtId="10" fontId="0" fillId="0" borderId="2" xfId="0" applyNumberFormat="1" applyFont="1" applyBorder="1"/>
    <xf numFmtId="164" fontId="0" fillId="0" borderId="0" xfId="0" applyNumberFormat="1" applyFont="1"/>
    <xf numFmtId="0" fontId="6" fillId="0" borderId="0" xfId="0" applyFont="1" applyAlignment="1">
      <alignment horizontal="left"/>
    </xf>
    <xf numFmtId="169" fontId="6" fillId="0" borderId="0" xfId="0" applyNumberFormat="1" applyFont="1"/>
    <xf numFmtId="0" fontId="7" fillId="0" borderId="0" xfId="0" applyFont="1"/>
    <xf numFmtId="164" fontId="2" fillId="0" borderId="0" xfId="0" applyNumberFormat="1" applyFont="1" applyFill="1"/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4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Continuous"/>
    </xf>
    <xf numFmtId="42" fontId="0" fillId="0" borderId="0" xfId="0" applyNumberFormat="1" applyFont="1"/>
    <xf numFmtId="10" fontId="4" fillId="0" borderId="0" xfId="0" applyNumberFormat="1" applyFont="1"/>
    <xf numFmtId="0" fontId="4" fillId="0" borderId="0" xfId="0" applyFont="1" applyFill="1"/>
    <xf numFmtId="170" fontId="0" fillId="0" borderId="0" xfId="0" applyNumberFormat="1" applyFont="1"/>
    <xf numFmtId="167" fontId="0" fillId="0" borderId="0" xfId="0" applyNumberFormat="1" applyFont="1"/>
    <xf numFmtId="42" fontId="4" fillId="0" borderId="2" xfId="0" applyNumberFormat="1" applyFont="1" applyFill="1" applyBorder="1"/>
    <xf numFmtId="44" fontId="0" fillId="0" borderId="0" xfId="0" applyNumberFormat="1" applyFont="1"/>
    <xf numFmtId="168" fontId="0" fillId="0" borderId="0" xfId="0" applyNumberFormat="1" applyFont="1"/>
    <xf numFmtId="39" fontId="0" fillId="0" borderId="0" xfId="0" applyNumberFormat="1" applyFont="1"/>
    <xf numFmtId="165" fontId="0" fillId="0" borderId="0" xfId="0" applyNumberFormat="1" applyFont="1" applyBorder="1"/>
    <xf numFmtId="44" fontId="0" fillId="0" borderId="0" xfId="0" applyNumberFormat="1" applyFont="1" applyBorder="1"/>
    <xf numFmtId="0" fontId="0" fillId="0" borderId="1" xfId="0" applyFont="1" applyFill="1" applyBorder="1" applyAlignment="1">
      <alignment horizontal="center"/>
    </xf>
    <xf numFmtId="42" fontId="0" fillId="0" borderId="2" xfId="0" applyNumberFormat="1" applyFont="1" applyBorder="1"/>
    <xf numFmtId="164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0" fontId="0" fillId="0" borderId="1" xfId="0" applyFont="1" applyFill="1" applyBorder="1" applyAlignment="1">
      <alignment horizontal="center" wrapText="1"/>
    </xf>
    <xf numFmtId="42" fontId="0" fillId="0" borderId="0" xfId="0" applyNumberFormat="1" applyFont="1" applyFill="1" applyAlignment="1">
      <alignment horizontal="center"/>
    </xf>
    <xf numFmtId="0" fontId="0" fillId="0" borderId="0" xfId="0" quotePrefix="1" applyFont="1" applyFill="1" applyBorder="1" applyAlignment="1">
      <alignment horizontal="left"/>
    </xf>
    <xf numFmtId="42" fontId="2" fillId="0" borderId="0" xfId="0" applyNumberFormat="1" applyFont="1" applyFill="1"/>
    <xf numFmtId="166" fontId="2" fillId="0" borderId="0" xfId="0" applyNumberFormat="1" applyFont="1" applyFill="1"/>
    <xf numFmtId="42" fontId="2" fillId="0" borderId="1" xfId="0" applyNumberFormat="1" applyFont="1" applyFill="1" applyBorder="1"/>
    <xf numFmtId="42" fontId="0" fillId="0" borderId="1" xfId="0" applyNumberFormat="1" applyFont="1" applyFill="1" applyBorder="1"/>
    <xf numFmtId="42" fontId="0" fillId="0" borderId="3" xfId="0" applyNumberFormat="1" applyFont="1" applyFill="1" applyBorder="1"/>
    <xf numFmtId="17" fontId="0" fillId="0" borderId="1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center"/>
    </xf>
    <xf numFmtId="0" fontId="10" fillId="0" borderId="0" xfId="0" applyFont="1" applyFill="1"/>
    <xf numFmtId="3" fontId="2" fillId="0" borderId="0" xfId="0" applyNumberFormat="1" applyFont="1" applyFill="1"/>
    <xf numFmtId="17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2" fontId="4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12" fillId="0" borderId="0" xfId="0" applyNumberFormat="1" applyFont="1"/>
    <xf numFmtId="42" fontId="2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12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3" fontId="16" fillId="0" borderId="0" xfId="0" applyNumberFormat="1" applyFont="1" applyBorder="1"/>
    <xf numFmtId="42" fontId="16" fillId="0" borderId="0" xfId="0" applyNumberFormat="1" applyFont="1" applyBorder="1"/>
    <xf numFmtId="0" fontId="16" fillId="0" borderId="0" xfId="0" applyFont="1"/>
    <xf numFmtId="42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left"/>
    </xf>
    <xf numFmtId="169" fontId="16" fillId="0" borderId="0" xfId="0" applyNumberFormat="1" applyFont="1" applyFill="1"/>
    <xf numFmtId="170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Border="1" applyAlignment="1">
      <alignment horizontal="left" vertical="center" textRotation="180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/>
    <xf numFmtId="170" fontId="16" fillId="0" borderId="0" xfId="0" applyNumberFormat="1" applyFont="1" applyFill="1" applyBorder="1"/>
    <xf numFmtId="0" fontId="16" fillId="0" borderId="0" xfId="0" applyFont="1" applyBorder="1" applyAlignment="1">
      <alignment horizontal="left"/>
    </xf>
    <xf numFmtId="169" fontId="16" fillId="0" borderId="2" xfId="0" applyNumberFormat="1" applyFont="1" applyFill="1" applyBorder="1"/>
    <xf numFmtId="170" fontId="16" fillId="0" borderId="2" xfId="0" applyNumberFormat="1" applyFont="1" applyFill="1" applyBorder="1"/>
    <xf numFmtId="44" fontId="16" fillId="0" borderId="0" xfId="0" applyNumberFormat="1" applyFont="1"/>
    <xf numFmtId="170" fontId="0" fillId="0" borderId="0" xfId="0" applyNumberFormat="1"/>
    <xf numFmtId="0" fontId="12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/>
    <xf numFmtId="171" fontId="12" fillId="0" borderId="0" xfId="0" applyNumberFormat="1" applyFont="1"/>
    <xf numFmtId="0" fontId="18" fillId="0" borderId="0" xfId="0" applyFont="1" applyBorder="1"/>
    <xf numFmtId="44" fontId="18" fillId="0" borderId="0" xfId="0" applyNumberFormat="1" applyFont="1" applyBorder="1"/>
    <xf numFmtId="44" fontId="12" fillId="0" borderId="0" xfId="0" applyNumberFormat="1" applyFont="1"/>
    <xf numFmtId="171" fontId="12" fillId="0" borderId="0" xfId="0" applyNumberFormat="1" applyFont="1" applyBorder="1"/>
    <xf numFmtId="44" fontId="12" fillId="0" borderId="0" xfId="0" applyNumberFormat="1" applyFont="1" applyBorder="1"/>
    <xf numFmtId="44" fontId="2" fillId="0" borderId="0" xfId="0" applyNumberFormat="1" applyFont="1" applyBorder="1"/>
    <xf numFmtId="44" fontId="12" fillId="0" borderId="2" xfId="0" applyNumberFormat="1" applyFont="1" applyBorder="1"/>
    <xf numFmtId="44" fontId="18" fillId="0" borderId="0" xfId="0" applyNumberFormat="1" applyFont="1"/>
    <xf numFmtId="0" fontId="12" fillId="0" borderId="0" xfId="0" applyFont="1" applyBorder="1"/>
    <xf numFmtId="164" fontId="18" fillId="0" borderId="0" xfId="0" applyNumberFormat="1" applyFont="1" applyBorder="1"/>
    <xf numFmtId="164" fontId="12" fillId="0" borderId="0" xfId="0" applyNumberFormat="1" applyFont="1"/>
    <xf numFmtId="164" fontId="4" fillId="0" borderId="0" xfId="0" applyNumberFormat="1" applyFont="1" applyFill="1"/>
    <xf numFmtId="164" fontId="12" fillId="0" borderId="2" xfId="0" applyNumberFormat="1" applyFont="1" applyBorder="1"/>
    <xf numFmtId="171" fontId="12" fillId="0" borderId="2" xfId="0" applyNumberFormat="1" applyFont="1" applyBorder="1"/>
    <xf numFmtId="164" fontId="12" fillId="0" borderId="0" xfId="0" applyNumberFormat="1" applyFont="1" applyBorder="1"/>
    <xf numFmtId="172" fontId="12" fillId="0" borderId="0" xfId="0" applyNumberFormat="1" applyFont="1"/>
    <xf numFmtId="172" fontId="12" fillId="0" borderId="0" xfId="0" applyNumberFormat="1" applyFont="1" applyBorder="1"/>
    <xf numFmtId="10" fontId="12" fillId="0" borderId="0" xfId="0" applyNumberFormat="1" applyFont="1"/>
    <xf numFmtId="0" fontId="12" fillId="0" borderId="0" xfId="0" applyFont="1" applyFill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165" fontId="2" fillId="0" borderId="0" xfId="0" applyNumberFormat="1" applyFont="1" applyFill="1"/>
    <xf numFmtId="172" fontId="0" fillId="0" borderId="0" xfId="0" applyNumberFormat="1" applyFont="1"/>
    <xf numFmtId="3" fontId="4" fillId="0" borderId="0" xfId="0" applyNumberFormat="1" applyFont="1" applyFill="1"/>
    <xf numFmtId="165" fontId="0" fillId="0" borderId="0" xfId="0" applyNumberFormat="1" applyFont="1"/>
    <xf numFmtId="172" fontId="0" fillId="0" borderId="2" xfId="0" applyNumberFormat="1" applyFont="1" applyBorder="1"/>
    <xf numFmtId="3" fontId="12" fillId="0" borderId="0" xfId="0" applyNumberFormat="1" applyFont="1" applyFill="1" applyBorder="1"/>
    <xf numFmtId="164" fontId="12" fillId="0" borderId="0" xfId="0" applyNumberFormat="1" applyFont="1" applyFill="1"/>
    <xf numFmtId="164" fontId="12" fillId="0" borderId="0" xfId="0" applyNumberFormat="1" applyFont="1" applyFill="1" applyBorder="1"/>
    <xf numFmtId="165" fontId="4" fillId="0" borderId="0" xfId="3" applyNumberFormat="1" applyFont="1"/>
    <xf numFmtId="17" fontId="4" fillId="0" borderId="1" xfId="0" applyNumberFormat="1" applyFont="1" applyFill="1" applyBorder="1" applyAlignment="1">
      <alignment horizontal="center"/>
    </xf>
    <xf numFmtId="165" fontId="2" fillId="0" borderId="0" xfId="0" applyNumberFormat="1" applyFont="1" applyBorder="1"/>
    <xf numFmtId="3" fontId="2" fillId="0" borderId="0" xfId="0" applyNumberFormat="1" applyFo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7" fontId="0" fillId="0" borderId="0" xfId="0" applyNumberFormat="1" applyFont="1" applyAlignment="1">
      <alignment horizontal="center"/>
    </xf>
  </cellXfs>
  <cellStyles count="4">
    <cellStyle name="Currency" xfId="3" builtinId="4"/>
    <cellStyle name="Normal" xfId="0" builtinId="0"/>
    <cellStyle name="Normal 2" xfId="1"/>
    <cellStyle name="Normal 2 16 2" xfId="2"/>
  </cellStyles>
  <dxfs count="0"/>
  <tableStyles count="0" defaultTableStyle="TableStyleMedium9" defaultPivotStyle="PivotStyleLight16"/>
  <colors>
    <mruColors>
      <color rgb="FF0000FF"/>
      <color rgb="FF4F81BD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"/>
  <sheetViews>
    <sheetView zoomScale="90" zoomScaleNormal="90" workbookViewId="0">
      <selection activeCell="J8" sqref="J8"/>
    </sheetView>
  </sheetViews>
  <sheetFormatPr defaultRowHeight="14.5" x14ac:dyDescent="0.35"/>
  <cols>
    <col min="1" max="1" width="2.7265625" style="4" customWidth="1"/>
    <col min="2" max="2" width="4.7265625" style="4" customWidth="1"/>
    <col min="3" max="3" width="3.36328125" style="4" customWidth="1"/>
    <col min="4" max="4" width="28.6328125" style="4" customWidth="1"/>
    <col min="5" max="5" width="10" style="4" bestFit="1" customWidth="1"/>
    <col min="6" max="6" width="12.6328125" style="4" bestFit="1" customWidth="1"/>
    <col min="7" max="7" width="13" style="4" customWidth="1"/>
    <col min="8" max="8" width="15.26953125" style="4" bestFit="1" customWidth="1"/>
    <col min="9" max="9" width="8.7265625" style="4"/>
    <col min="10" max="10" width="12.26953125" style="4" bestFit="1" customWidth="1"/>
    <col min="11" max="11" width="12" style="4" bestFit="1" customWidth="1"/>
    <col min="12" max="16384" width="8.7265625" style="4"/>
  </cols>
  <sheetData>
    <row r="1" spans="2:10" x14ac:dyDescent="0.35">
      <c r="B1" s="137" t="s">
        <v>12</v>
      </c>
      <c r="C1" s="137"/>
      <c r="D1" s="137"/>
      <c r="E1" s="137"/>
      <c r="F1" s="137"/>
      <c r="G1" s="137"/>
      <c r="H1" s="137"/>
    </row>
    <row r="2" spans="2:10" x14ac:dyDescent="0.35">
      <c r="B2" s="137" t="s">
        <v>68</v>
      </c>
      <c r="C2" s="137"/>
      <c r="D2" s="137"/>
      <c r="E2" s="137"/>
      <c r="F2" s="137"/>
      <c r="G2" s="137"/>
      <c r="H2" s="137"/>
    </row>
    <row r="3" spans="2:10" x14ac:dyDescent="0.35">
      <c r="B3" s="137" t="s">
        <v>44</v>
      </c>
      <c r="C3" s="137"/>
      <c r="D3" s="137"/>
      <c r="E3" s="137"/>
      <c r="F3" s="137"/>
      <c r="G3" s="137"/>
      <c r="H3" s="137"/>
    </row>
    <row r="4" spans="2:10" x14ac:dyDescent="0.35">
      <c r="B4" s="137" t="s">
        <v>69</v>
      </c>
      <c r="C4" s="137"/>
      <c r="D4" s="137"/>
      <c r="E4" s="137"/>
      <c r="F4" s="137"/>
      <c r="G4" s="137"/>
      <c r="H4" s="137"/>
    </row>
    <row r="6" spans="2:10" x14ac:dyDescent="0.35">
      <c r="B6" s="18" t="s">
        <v>41</v>
      </c>
      <c r="E6" s="20"/>
      <c r="F6" s="20"/>
      <c r="G6" s="20" t="s">
        <v>38</v>
      </c>
      <c r="H6" s="20" t="s">
        <v>36</v>
      </c>
    </row>
    <row r="7" spans="2:10" x14ac:dyDescent="0.35">
      <c r="B7" s="21" t="s">
        <v>62</v>
      </c>
      <c r="C7" s="22" t="s">
        <v>7</v>
      </c>
      <c r="D7" s="22"/>
      <c r="E7" s="21" t="s">
        <v>34</v>
      </c>
      <c r="F7" s="21" t="s">
        <v>35</v>
      </c>
      <c r="G7" s="21" t="s">
        <v>39</v>
      </c>
      <c r="H7" s="21" t="s">
        <v>37</v>
      </c>
      <c r="J7" s="23"/>
    </row>
    <row r="8" spans="2:10" x14ac:dyDescent="0.35">
      <c r="B8" s="24"/>
      <c r="C8" s="25"/>
      <c r="D8" s="25" t="s">
        <v>56</v>
      </c>
      <c r="E8" s="20" t="s">
        <v>57</v>
      </c>
      <c r="F8" s="20" t="s">
        <v>58</v>
      </c>
      <c r="G8" s="20" t="s">
        <v>59</v>
      </c>
      <c r="H8" s="20" t="s">
        <v>60</v>
      </c>
      <c r="J8" s="23"/>
    </row>
    <row r="9" spans="2:10" x14ac:dyDescent="0.35">
      <c r="B9" s="18">
        <v>1</v>
      </c>
      <c r="C9" s="4" t="s">
        <v>10</v>
      </c>
      <c r="F9" s="26"/>
      <c r="H9" s="26"/>
    </row>
    <row r="10" spans="2:10" x14ac:dyDescent="0.35">
      <c r="B10" s="18">
        <f>B9+1</f>
        <v>2</v>
      </c>
      <c r="D10" s="4" t="s">
        <v>31</v>
      </c>
      <c r="E10" s="27">
        <f>Allocation!I16</f>
        <v>0.9749776946622114</v>
      </c>
      <c r="F10" s="26">
        <f>F12*E10</f>
        <v>17803178.301443003</v>
      </c>
      <c r="G10" s="28">
        <f>'Rev Requirement'!$D$8</f>
        <v>0.95455299999999998</v>
      </c>
      <c r="H10" s="29">
        <f>F10/G10</f>
        <v>18650801.266606469</v>
      </c>
      <c r="J10" s="30"/>
    </row>
    <row r="11" spans="2:10" x14ac:dyDescent="0.35">
      <c r="B11" s="18">
        <f t="shared" ref="B11:B13" si="0">B10+1</f>
        <v>3</v>
      </c>
      <c r="D11" s="4" t="s">
        <v>32</v>
      </c>
      <c r="E11" s="1">
        <f>1-E10</f>
        <v>2.5022305337788597E-2</v>
      </c>
      <c r="F11" s="26">
        <f>F12-F10</f>
        <v>456909.49226909131</v>
      </c>
      <c r="G11" s="28">
        <f>'Rev Requirement'!$D$8</f>
        <v>0.95455299999999998</v>
      </c>
      <c r="H11" s="26">
        <f>F11/G11</f>
        <v>478663.30341960199</v>
      </c>
    </row>
    <row r="12" spans="2:10" x14ac:dyDescent="0.35">
      <c r="B12" s="18">
        <f t="shared" si="0"/>
        <v>4</v>
      </c>
      <c r="D12" s="4" t="s">
        <v>3</v>
      </c>
      <c r="E12" s="9">
        <f>SUM(E10:E11)</f>
        <v>1</v>
      </c>
      <c r="F12" s="31">
        <f>'Rev Requirement'!C12</f>
        <v>18260087.793712094</v>
      </c>
      <c r="H12" s="31">
        <f>'Rev Requirement'!E12</f>
        <v>19129464.57002607</v>
      </c>
    </row>
    <row r="13" spans="2:10" x14ac:dyDescent="0.35">
      <c r="B13" s="18">
        <f t="shared" si="0"/>
        <v>5</v>
      </c>
      <c r="D13" s="4" t="s">
        <v>28</v>
      </c>
      <c r="F13" s="26">
        <f>F12-SUM(F10:F11)</f>
        <v>0</v>
      </c>
      <c r="H13" s="26">
        <f>H12-SUM(H10:H11)</f>
        <v>0</v>
      </c>
    </row>
    <row r="14" spans="2:10" x14ac:dyDescent="0.35">
      <c r="B14" s="18"/>
    </row>
    <row r="15" spans="2:10" x14ac:dyDescent="0.35">
      <c r="B15" s="18">
        <f>B13+1</f>
        <v>6</v>
      </c>
      <c r="C15" s="4" t="s">
        <v>33</v>
      </c>
    </row>
    <row r="16" spans="2:10" x14ac:dyDescent="0.35">
      <c r="B16" s="18">
        <f t="shared" ref="B16:B18" si="1">B15+1</f>
        <v>7</v>
      </c>
      <c r="D16" s="4" t="s">
        <v>31</v>
      </c>
      <c r="H16" s="17">
        <f>'Forecasted Volume'!N24</f>
        <v>923559768</v>
      </c>
    </row>
    <row r="17" spans="2:11" x14ac:dyDescent="0.35">
      <c r="B17" s="18">
        <f t="shared" si="1"/>
        <v>8</v>
      </c>
      <c r="D17" s="4" t="s">
        <v>32</v>
      </c>
      <c r="H17" s="17">
        <f>'Forecasted Volume'!N25</f>
        <v>28517482</v>
      </c>
    </row>
    <row r="18" spans="2:11" x14ac:dyDescent="0.35">
      <c r="B18" s="18">
        <f t="shared" si="1"/>
        <v>9</v>
      </c>
      <c r="D18" s="4" t="s">
        <v>3</v>
      </c>
      <c r="H18" s="7">
        <f>SUM(H16:H17)</f>
        <v>952077250</v>
      </c>
    </row>
    <row r="19" spans="2:11" x14ac:dyDescent="0.35">
      <c r="B19" s="18"/>
    </row>
    <row r="20" spans="2:11" x14ac:dyDescent="0.35">
      <c r="B20" s="18"/>
    </row>
    <row r="21" spans="2:11" x14ac:dyDescent="0.35">
      <c r="B21" s="18">
        <f>B18+1</f>
        <v>10</v>
      </c>
      <c r="C21" s="4" t="s">
        <v>49</v>
      </c>
    </row>
    <row r="22" spans="2:11" x14ac:dyDescent="0.35">
      <c r="B22" s="18">
        <f t="shared" ref="B22:B23" si="2">B21+1</f>
        <v>11</v>
      </c>
      <c r="D22" s="4" t="s">
        <v>42</v>
      </c>
      <c r="G22" s="4" t="s">
        <v>40</v>
      </c>
      <c r="H22" s="35">
        <f>ROUND(H10/H16,5)</f>
        <v>2.019E-2</v>
      </c>
      <c r="I22" s="32"/>
      <c r="K22" s="33"/>
    </row>
    <row r="23" spans="2:11" x14ac:dyDescent="0.35">
      <c r="B23" s="18">
        <f t="shared" si="2"/>
        <v>12</v>
      </c>
      <c r="D23" s="4" t="s">
        <v>43</v>
      </c>
      <c r="G23" s="4" t="s">
        <v>40</v>
      </c>
      <c r="H23" s="35">
        <f>ROUND(H11/H17,5)</f>
        <v>1.678E-2</v>
      </c>
      <c r="K23" s="33"/>
    </row>
    <row r="24" spans="2:11" x14ac:dyDescent="0.35">
      <c r="B24" s="18"/>
      <c r="H24" s="36"/>
    </row>
    <row r="25" spans="2:11" x14ac:dyDescent="0.35">
      <c r="B25" s="18">
        <f>B23+1</f>
        <v>13</v>
      </c>
      <c r="D25" s="4" t="s">
        <v>50</v>
      </c>
      <c r="G25" s="4" t="s">
        <v>48</v>
      </c>
      <c r="H25" s="36">
        <f>ROUND(H22*19,2)</f>
        <v>0.38</v>
      </c>
    </row>
    <row r="27" spans="2:11" x14ac:dyDescent="0.35">
      <c r="H27" s="34"/>
    </row>
  </sheetData>
  <mergeCells count="4">
    <mergeCell ref="B1:H1"/>
    <mergeCell ref="B2:H2"/>
    <mergeCell ref="B3:H3"/>
    <mergeCell ref="B4:H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B1" zoomScale="90" zoomScaleNormal="90" workbookViewId="0">
      <selection activeCell="D14" sqref="D14"/>
    </sheetView>
  </sheetViews>
  <sheetFormatPr defaultRowHeight="14.5" x14ac:dyDescent="0.35"/>
  <cols>
    <col min="1" max="1" width="4.7265625" style="4" customWidth="1"/>
    <col min="2" max="2" width="8.7265625" style="4"/>
    <col min="3" max="3" width="28.6328125" style="4" bestFit="1" customWidth="1"/>
    <col min="4" max="4" width="18.08984375" style="4" bestFit="1" customWidth="1"/>
    <col min="5" max="7" width="12.7265625" style="4" customWidth="1"/>
    <col min="8" max="8" width="13.7265625" style="4" bestFit="1" customWidth="1"/>
    <col min="9" max="9" width="10" style="4" customWidth="1"/>
    <col min="10" max="16384" width="8.7265625" style="4"/>
  </cols>
  <sheetData>
    <row r="1" spans="1:9" x14ac:dyDescent="0.35">
      <c r="B1" s="137" t="s">
        <v>12</v>
      </c>
      <c r="C1" s="137"/>
      <c r="D1" s="137"/>
      <c r="E1" s="137"/>
      <c r="F1" s="137"/>
      <c r="G1" s="137"/>
      <c r="H1" s="137"/>
      <c r="I1" s="137"/>
    </row>
    <row r="2" spans="1:9" x14ac:dyDescent="0.35">
      <c r="B2" s="137" t="str">
        <f>Rates!B2</f>
        <v>2021 Gas Schedule 120 Conservation Filing</v>
      </c>
      <c r="C2" s="137"/>
      <c r="D2" s="137"/>
      <c r="E2" s="137"/>
      <c r="F2" s="137"/>
      <c r="G2" s="137"/>
      <c r="H2" s="137"/>
      <c r="I2" s="137"/>
    </row>
    <row r="3" spans="1:9" x14ac:dyDescent="0.35">
      <c r="B3" s="137" t="s">
        <v>61</v>
      </c>
      <c r="C3" s="137"/>
      <c r="D3" s="137"/>
      <c r="E3" s="137"/>
      <c r="F3" s="137"/>
      <c r="G3" s="137"/>
      <c r="H3" s="137"/>
      <c r="I3" s="137"/>
    </row>
    <row r="4" spans="1:9" x14ac:dyDescent="0.35">
      <c r="B4" s="137" t="str">
        <f>Rates!B4</f>
        <v>Proposed Effective May 1, 2021</v>
      </c>
      <c r="C4" s="137"/>
      <c r="D4" s="137"/>
      <c r="E4" s="137"/>
      <c r="F4" s="137"/>
      <c r="G4" s="137"/>
      <c r="H4" s="137"/>
      <c r="I4" s="137"/>
    </row>
    <row r="7" spans="1:9" x14ac:dyDescent="0.35">
      <c r="C7" s="20"/>
      <c r="D7" s="20" t="s">
        <v>13</v>
      </c>
      <c r="H7" s="18" t="s">
        <v>17</v>
      </c>
      <c r="I7" s="20" t="s">
        <v>29</v>
      </c>
    </row>
    <row r="8" spans="1:9" ht="16.5" x14ac:dyDescent="0.35">
      <c r="A8" s="18" t="s">
        <v>41</v>
      </c>
      <c r="C8" s="20"/>
      <c r="D8" s="20" t="s">
        <v>14</v>
      </c>
      <c r="E8" s="22" t="s">
        <v>51</v>
      </c>
      <c r="F8" s="22"/>
      <c r="G8" s="22"/>
      <c r="H8" s="18" t="s">
        <v>18</v>
      </c>
      <c r="I8" s="23" t="s">
        <v>30</v>
      </c>
    </row>
    <row r="9" spans="1:9" x14ac:dyDescent="0.35">
      <c r="A9" s="21" t="s">
        <v>62</v>
      </c>
      <c r="B9" s="21" t="s">
        <v>4</v>
      </c>
      <c r="C9" s="21" t="s">
        <v>7</v>
      </c>
      <c r="D9" s="50" t="str">
        <f>TEXT('Forecasted Volume'!$B$7,"Mmm YYYY - ")&amp;TEXT('Forecasted Volume'!$M$7,"Mmm YYYY")</f>
        <v>May 2021 - Apr 2022</v>
      </c>
      <c r="E9" s="21" t="s">
        <v>15</v>
      </c>
      <c r="F9" s="21" t="s">
        <v>16</v>
      </c>
      <c r="G9" s="21" t="s">
        <v>3</v>
      </c>
      <c r="H9" s="37" t="s">
        <v>19</v>
      </c>
      <c r="I9" s="37" t="s">
        <v>19</v>
      </c>
    </row>
    <row r="10" spans="1:9" x14ac:dyDescent="0.35">
      <c r="B10" s="18" t="s">
        <v>56</v>
      </c>
      <c r="C10" s="18" t="s">
        <v>57</v>
      </c>
      <c r="D10" s="23" t="s">
        <v>58</v>
      </c>
      <c r="E10" s="18" t="s">
        <v>59</v>
      </c>
      <c r="F10" s="18" t="s">
        <v>60</v>
      </c>
      <c r="G10" s="18" t="s">
        <v>63</v>
      </c>
      <c r="H10" s="23" t="s">
        <v>64</v>
      </c>
      <c r="I10" s="23" t="s">
        <v>65</v>
      </c>
    </row>
    <row r="11" spans="1:9" x14ac:dyDescent="0.35">
      <c r="A11" s="18">
        <v>1</v>
      </c>
      <c r="B11" s="5">
        <v>23</v>
      </c>
      <c r="C11" s="4" t="s">
        <v>22</v>
      </c>
      <c r="D11" s="17">
        <f>'Forecasted Volume'!N9</f>
        <v>626377148</v>
      </c>
      <c r="E11" s="14">
        <v>0.14990000000000001</v>
      </c>
      <c r="F11" s="14">
        <v>0.21406</v>
      </c>
      <c r="G11" s="10">
        <f>SUM(E11:F11)</f>
        <v>0.36396000000000001</v>
      </c>
      <c r="H11" s="26">
        <f>D11*G11</f>
        <v>227976226.78608</v>
      </c>
    </row>
    <row r="12" spans="1:9" x14ac:dyDescent="0.35">
      <c r="A12" s="18">
        <v>2</v>
      </c>
      <c r="B12" s="5">
        <v>16</v>
      </c>
      <c r="C12" s="5" t="s">
        <v>55</v>
      </c>
      <c r="D12" s="17">
        <f>'Forecasted Volume'!N8</f>
        <v>8999</v>
      </c>
      <c r="E12" s="14">
        <v>0.14990000000000001</v>
      </c>
      <c r="F12" s="14">
        <f>$F$11</f>
        <v>0.21406</v>
      </c>
      <c r="G12" s="10">
        <f>SUM(E12:F12)</f>
        <v>0.36396000000000001</v>
      </c>
      <c r="H12" s="26">
        <f>D12*G12</f>
        <v>3275.2760400000002</v>
      </c>
    </row>
    <row r="13" spans="1:9" x14ac:dyDescent="0.35">
      <c r="A13" s="18">
        <v>3</v>
      </c>
      <c r="B13" s="5">
        <v>53</v>
      </c>
      <c r="C13" s="4" t="s">
        <v>23</v>
      </c>
      <c r="D13" s="17">
        <f>'Forecasted Volume'!N10</f>
        <v>0</v>
      </c>
      <c r="E13" s="14">
        <v>0</v>
      </c>
      <c r="F13" s="14">
        <v>4.80769</v>
      </c>
      <c r="G13" s="10">
        <f>SUM(E13:F13)</f>
        <v>4.80769</v>
      </c>
      <c r="H13" s="26">
        <f>D13*G13</f>
        <v>0</v>
      </c>
    </row>
    <row r="14" spans="1:9" x14ac:dyDescent="0.35">
      <c r="A14" s="18">
        <v>4</v>
      </c>
      <c r="B14" s="5">
        <v>31</v>
      </c>
      <c r="C14" s="4" t="s">
        <v>24</v>
      </c>
      <c r="D14" s="17">
        <f>'Forecasted Volume'!N11</f>
        <v>232667656</v>
      </c>
      <c r="E14" s="14">
        <v>0.14213000000000001</v>
      </c>
      <c r="F14" s="14">
        <f>$F$11</f>
        <v>0.21406</v>
      </c>
      <c r="G14" s="10">
        <f>SUM(E14:F14)</f>
        <v>0.35619000000000001</v>
      </c>
      <c r="H14" s="26">
        <f>D14*G14</f>
        <v>82873892.390640005</v>
      </c>
    </row>
    <row r="15" spans="1:9" x14ac:dyDescent="0.35">
      <c r="A15" s="18">
        <v>5</v>
      </c>
      <c r="B15" s="5">
        <v>41</v>
      </c>
      <c r="C15" s="4" t="s">
        <v>45</v>
      </c>
      <c r="D15" s="17">
        <f>'Forecasted Volume'!N12</f>
        <v>64505965</v>
      </c>
      <c r="E15" s="14">
        <v>3.7519999999999998E-2</v>
      </c>
      <c r="F15" s="14">
        <f>$F$11</f>
        <v>0.21406</v>
      </c>
      <c r="G15" s="10">
        <f>SUM(E15:F15)</f>
        <v>0.25158000000000003</v>
      </c>
      <c r="H15" s="26">
        <f>D15*G15</f>
        <v>16228410.674700001</v>
      </c>
    </row>
    <row r="16" spans="1:9" x14ac:dyDescent="0.35">
      <c r="A16" s="18">
        <v>6</v>
      </c>
      <c r="B16" s="5" t="s">
        <v>20</v>
      </c>
      <c r="D16" s="7">
        <f>SUM(D11:D15)</f>
        <v>923559768</v>
      </c>
      <c r="E16" s="14"/>
      <c r="F16" s="14"/>
      <c r="G16" s="10"/>
      <c r="H16" s="38">
        <f>SUM(H11:H15)</f>
        <v>327081805.12746</v>
      </c>
      <c r="I16" s="1">
        <f>H16/H$22</f>
        <v>0.9749776946622114</v>
      </c>
    </row>
    <row r="17" spans="1:9" x14ac:dyDescent="0.35">
      <c r="A17" s="18">
        <v>7</v>
      </c>
      <c r="B17" s="5"/>
      <c r="E17" s="14"/>
      <c r="F17" s="14"/>
      <c r="G17" s="10"/>
      <c r="H17" s="26"/>
    </row>
    <row r="18" spans="1:9" x14ac:dyDescent="0.35">
      <c r="A18" s="18">
        <v>8</v>
      </c>
      <c r="B18" s="5">
        <v>85</v>
      </c>
      <c r="C18" s="4" t="s">
        <v>25</v>
      </c>
      <c r="D18" s="17">
        <f>'Forecasted Volume'!N13</f>
        <v>9717323</v>
      </c>
      <c r="E18" s="14">
        <v>7.2919999999999999E-2</v>
      </c>
      <c r="F18" s="14">
        <f>$F$11</f>
        <v>0.21406</v>
      </c>
      <c r="G18" s="10">
        <f>SUM(E18:F18)</f>
        <v>0.28698000000000001</v>
      </c>
      <c r="H18" s="26">
        <f>D18*G18</f>
        <v>2788677.3545400002</v>
      </c>
    </row>
    <row r="19" spans="1:9" x14ac:dyDescent="0.35">
      <c r="A19" s="18">
        <v>9</v>
      </c>
      <c r="B19" s="5">
        <v>86</v>
      </c>
      <c r="C19" s="4" t="s">
        <v>26</v>
      </c>
      <c r="D19" s="17">
        <f>'Forecasted Volume'!N14</f>
        <v>4551465</v>
      </c>
      <c r="E19" s="14">
        <v>8.5690000000000002E-2</v>
      </c>
      <c r="F19" s="14">
        <f>$F$11</f>
        <v>0.21406</v>
      </c>
      <c r="G19" s="10">
        <f>SUM(E19:F19)</f>
        <v>0.29975000000000002</v>
      </c>
      <c r="H19" s="26">
        <f>D19*G19</f>
        <v>1364301.63375</v>
      </c>
    </row>
    <row r="20" spans="1:9" x14ac:dyDescent="0.35">
      <c r="A20" s="18">
        <v>10</v>
      </c>
      <c r="B20" s="5">
        <v>87</v>
      </c>
      <c r="C20" s="4" t="s">
        <v>27</v>
      </c>
      <c r="D20" s="17">
        <f>'Forecasted Volume'!N15</f>
        <v>14248694</v>
      </c>
      <c r="E20" s="14">
        <v>8.3610000000000004E-2</v>
      </c>
      <c r="F20" s="14">
        <f>$F$11</f>
        <v>0.21406</v>
      </c>
      <c r="G20" s="10">
        <f>SUM(E20:F20)</f>
        <v>0.29766999999999999</v>
      </c>
      <c r="H20" s="26">
        <f>D20*G20</f>
        <v>4241408.7429799996</v>
      </c>
    </row>
    <row r="21" spans="1:9" x14ac:dyDescent="0.35">
      <c r="A21" s="18">
        <v>11</v>
      </c>
      <c r="B21" s="5" t="s">
        <v>21</v>
      </c>
      <c r="D21" s="7">
        <f>SUM(D18:D20)</f>
        <v>28517482</v>
      </c>
      <c r="E21" s="39"/>
      <c r="F21" s="39"/>
      <c r="G21" s="10"/>
      <c r="H21" s="38">
        <f>SUM(H18:H20)</f>
        <v>8394387.7312700003</v>
      </c>
      <c r="I21" s="1">
        <f>H21/H$22</f>
        <v>2.5022305337788608E-2</v>
      </c>
    </row>
    <row r="22" spans="1:9" x14ac:dyDescent="0.35">
      <c r="A22" s="18">
        <v>12</v>
      </c>
      <c r="B22" s="5" t="s">
        <v>3</v>
      </c>
      <c r="D22" s="6">
        <f>D16+D21</f>
        <v>952077250</v>
      </c>
      <c r="E22" s="10"/>
      <c r="F22" s="10"/>
      <c r="G22" s="10"/>
      <c r="H22" s="38">
        <f>H16+H21</f>
        <v>335476192.85873002</v>
      </c>
      <c r="I22" s="1">
        <f>I16+I21</f>
        <v>1</v>
      </c>
    </row>
    <row r="23" spans="1:9" x14ac:dyDescent="0.35">
      <c r="A23" s="18">
        <v>13</v>
      </c>
      <c r="B23" s="4" t="s">
        <v>28</v>
      </c>
      <c r="D23" s="3">
        <f>D22-'Forecasted Volume'!N24-'Forecasted Volume'!N25</f>
        <v>0</v>
      </c>
      <c r="E23" s="10"/>
      <c r="F23" s="10"/>
      <c r="G23" s="10"/>
      <c r="H23" s="26"/>
    </row>
    <row r="24" spans="1:9" x14ac:dyDescent="0.35">
      <c r="H24" s="26"/>
    </row>
    <row r="25" spans="1:9" s="40" customFormat="1" ht="15" x14ac:dyDescent="0.35">
      <c r="B25" s="53" t="s">
        <v>72</v>
      </c>
      <c r="H25" s="41"/>
    </row>
  </sheetData>
  <mergeCells count="4">
    <mergeCell ref="B1:I1"/>
    <mergeCell ref="B2:I2"/>
    <mergeCell ref="B3:I3"/>
    <mergeCell ref="B4:I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K19" sqref="K19"/>
    </sheetView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90" zoomScaleNormal="90" workbookViewId="0">
      <pane xSplit="3" ySplit="9" topLeftCell="D10" activePane="bottomRight" state="frozenSplit"/>
      <selection activeCell="T11" sqref="T11"/>
      <selection pane="topRight" activeCell="T11" sqref="T11"/>
      <selection pane="bottomLeft" activeCell="T11" sqref="T11"/>
      <selection pane="bottomRight" activeCell="T11" sqref="T11"/>
    </sheetView>
  </sheetViews>
  <sheetFormatPr defaultRowHeight="14.5" x14ac:dyDescent="0.35"/>
  <cols>
    <col min="1" max="1" width="2.81640625" customWidth="1"/>
    <col min="2" max="2" width="37.54296875" customWidth="1"/>
    <col min="3" max="3" width="8.453125" bestFit="1" customWidth="1"/>
    <col min="4" max="4" width="15" bestFit="1" customWidth="1"/>
    <col min="5" max="5" width="14.54296875" bestFit="1" customWidth="1"/>
    <col min="6" max="6" width="11.7265625" bestFit="1" customWidth="1"/>
    <col min="7" max="7" width="13.54296875" bestFit="1" customWidth="1"/>
    <col min="8" max="8" width="15.54296875" bestFit="1" customWidth="1"/>
    <col min="9" max="9" width="14.54296875" bestFit="1" customWidth="1"/>
    <col min="10" max="11" width="13.26953125" bestFit="1" customWidth="1"/>
    <col min="12" max="12" width="12.1796875" bestFit="1" customWidth="1"/>
    <col min="13" max="13" width="13.26953125" bestFit="1" customWidth="1"/>
    <col min="14" max="14" width="14" bestFit="1" customWidth="1"/>
    <col min="15" max="15" width="11.26953125" bestFit="1" customWidth="1"/>
    <col min="16" max="17" width="12.81640625" bestFit="1" customWidth="1"/>
    <col min="18" max="18" width="13.26953125" bestFit="1" customWidth="1"/>
    <col min="19" max="19" width="15.7265625" bestFit="1" customWidth="1"/>
    <col min="20" max="20" width="13.26953125" bestFit="1" customWidth="1"/>
    <col min="21" max="21" width="7.26953125" bestFit="1" customWidth="1"/>
    <col min="22" max="22" width="13.7265625" bestFit="1" customWidth="1"/>
  </cols>
  <sheetData>
    <row r="1" spans="2:21" x14ac:dyDescent="0.35">
      <c r="B1" s="138" t="s">
        <v>12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2:21" x14ac:dyDescent="0.35">
      <c r="B2" s="138" t="s">
        <v>68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2:21" x14ac:dyDescent="0.35">
      <c r="B3" s="139" t="s">
        <v>73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2:21" x14ac:dyDescent="0.35">
      <c r="B4" s="139" t="s">
        <v>74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x14ac:dyDescent="0.35">
      <c r="F5" s="56"/>
      <c r="N5" s="56"/>
      <c r="R5" s="56"/>
    </row>
    <row r="6" spans="2:21" x14ac:dyDescent="0.35">
      <c r="F6" s="56"/>
      <c r="G6" s="57" t="s">
        <v>13</v>
      </c>
      <c r="N6" s="56"/>
      <c r="R6" s="56"/>
    </row>
    <row r="7" spans="2:21" x14ac:dyDescent="0.35">
      <c r="B7" s="57"/>
      <c r="C7" s="57"/>
      <c r="D7" s="57" t="s">
        <v>75</v>
      </c>
      <c r="E7" s="57" t="s">
        <v>75</v>
      </c>
      <c r="F7" s="57"/>
      <c r="G7" s="57" t="s">
        <v>76</v>
      </c>
      <c r="H7" s="56"/>
      <c r="I7" s="57"/>
      <c r="J7" s="57"/>
      <c r="K7" s="57"/>
      <c r="L7" s="57"/>
      <c r="M7" s="57"/>
      <c r="N7" s="57"/>
      <c r="O7" s="57"/>
      <c r="P7" s="57"/>
      <c r="Q7" s="57"/>
      <c r="R7" s="57"/>
      <c r="S7" s="58" t="s">
        <v>77</v>
      </c>
      <c r="T7" s="58" t="s">
        <v>78</v>
      </c>
      <c r="U7" s="57"/>
    </row>
    <row r="8" spans="2:21" x14ac:dyDescent="0.35">
      <c r="B8" s="57"/>
      <c r="C8" s="57" t="s">
        <v>79</v>
      </c>
      <c r="D8" s="57" t="s">
        <v>14</v>
      </c>
      <c r="E8" s="57" t="s">
        <v>80</v>
      </c>
      <c r="F8" s="57" t="s">
        <v>81</v>
      </c>
      <c r="G8" s="58" t="s">
        <v>82</v>
      </c>
      <c r="H8" s="56" t="s">
        <v>13</v>
      </c>
      <c r="I8" s="57" t="s">
        <v>83</v>
      </c>
      <c r="J8" s="57" t="s">
        <v>84</v>
      </c>
      <c r="K8" s="57" t="s">
        <v>85</v>
      </c>
      <c r="L8" s="57" t="s">
        <v>86</v>
      </c>
      <c r="M8" s="57" t="s">
        <v>87</v>
      </c>
      <c r="N8" s="57" t="s">
        <v>88</v>
      </c>
      <c r="O8" s="57" t="s">
        <v>89</v>
      </c>
      <c r="P8" s="57" t="s">
        <v>90</v>
      </c>
      <c r="Q8" s="57" t="s">
        <v>91</v>
      </c>
      <c r="R8" s="57" t="s">
        <v>92</v>
      </c>
      <c r="S8" s="57" t="s">
        <v>93</v>
      </c>
      <c r="T8" s="57" t="s">
        <v>94</v>
      </c>
      <c r="U8" s="57" t="s">
        <v>29</v>
      </c>
    </row>
    <row r="9" spans="2:21" ht="16.5" x14ac:dyDescent="0.35">
      <c r="B9" s="59" t="s">
        <v>95</v>
      </c>
      <c r="C9" s="59" t="s">
        <v>4</v>
      </c>
      <c r="D9" s="59" t="s">
        <v>96</v>
      </c>
      <c r="E9" s="59" t="s">
        <v>97</v>
      </c>
      <c r="F9" s="59" t="s">
        <v>98</v>
      </c>
      <c r="G9" s="60" t="s">
        <v>99</v>
      </c>
      <c r="H9" s="59" t="s">
        <v>100</v>
      </c>
      <c r="I9" s="59" t="s">
        <v>94</v>
      </c>
      <c r="J9" s="59" t="s">
        <v>94</v>
      </c>
      <c r="K9" s="59" t="s">
        <v>94</v>
      </c>
      <c r="L9" s="59" t="s">
        <v>94</v>
      </c>
      <c r="M9" s="59" t="s">
        <v>94</v>
      </c>
      <c r="N9" s="59" t="s">
        <v>94</v>
      </c>
      <c r="O9" s="59" t="s">
        <v>94</v>
      </c>
      <c r="P9" s="59" t="s">
        <v>94</v>
      </c>
      <c r="Q9" s="59" t="s">
        <v>94</v>
      </c>
      <c r="R9" s="59" t="s">
        <v>94</v>
      </c>
      <c r="S9" s="21" t="s">
        <v>101</v>
      </c>
      <c r="T9" s="59" t="s">
        <v>102</v>
      </c>
      <c r="U9" s="59" t="s">
        <v>102</v>
      </c>
    </row>
    <row r="10" spans="2:21" x14ac:dyDescent="0.35">
      <c r="B10" s="57" t="s">
        <v>103</v>
      </c>
      <c r="C10" s="57" t="s">
        <v>104</v>
      </c>
      <c r="D10" s="61" t="s">
        <v>105</v>
      </c>
      <c r="E10" s="62" t="s">
        <v>106</v>
      </c>
      <c r="F10" s="57" t="s">
        <v>107</v>
      </c>
      <c r="G10" s="57" t="s">
        <v>108</v>
      </c>
      <c r="H10" s="57" t="s">
        <v>109</v>
      </c>
      <c r="I10" s="57" t="s">
        <v>110</v>
      </c>
      <c r="J10" s="57" t="s">
        <v>111</v>
      </c>
      <c r="K10" s="57" t="s">
        <v>112</v>
      </c>
      <c r="L10" s="62" t="s">
        <v>113</v>
      </c>
      <c r="M10" s="57" t="s">
        <v>114</v>
      </c>
      <c r="N10" s="62" t="s">
        <v>115</v>
      </c>
      <c r="O10" s="57" t="s">
        <v>116</v>
      </c>
      <c r="P10" s="62" t="s">
        <v>117</v>
      </c>
      <c r="Q10" s="62" t="s">
        <v>118</v>
      </c>
      <c r="R10" s="57" t="s">
        <v>119</v>
      </c>
      <c r="S10" s="63" t="s">
        <v>120</v>
      </c>
      <c r="T10" s="57" t="s">
        <v>121</v>
      </c>
      <c r="U10" s="57" t="s">
        <v>122</v>
      </c>
    </row>
    <row r="11" spans="2:21" x14ac:dyDescent="0.35">
      <c r="B11" t="s">
        <v>22</v>
      </c>
      <c r="C11" s="64" t="s">
        <v>123</v>
      </c>
      <c r="D11" s="136">
        <v>609248315.15931809</v>
      </c>
      <c r="E11" s="69">
        <v>369409021.81868041</v>
      </c>
      <c r="F11" s="66">
        <f t="shared" ref="F11:F16" si="0">(E11)/D11</f>
        <v>0.60633572982812456</v>
      </c>
      <c r="G11" s="17">
        <f>'Forecasted Volume'!N9+'Forecasted Volume'!N10</f>
        <v>626377148</v>
      </c>
      <c r="H11" s="67">
        <f>F11*G11</f>
        <v>379794845.1802392</v>
      </c>
      <c r="I11" s="69">
        <v>238831342.75999999</v>
      </c>
      <c r="J11" s="69">
        <v>30235224.93</v>
      </c>
      <c r="K11" s="69">
        <f>'Schedule 120'!F9</f>
        <v>13648758.054920001</v>
      </c>
      <c r="L11" s="69">
        <v>4390903.80748</v>
      </c>
      <c r="M11" s="69">
        <v>12345893.587080002</v>
      </c>
      <c r="N11" s="69">
        <v>-8694114.8142399993</v>
      </c>
      <c r="O11" s="69">
        <v>-425936.46064</v>
      </c>
      <c r="P11" s="69">
        <v>-858136.69275999989</v>
      </c>
      <c r="Q11" s="69">
        <v>7716966.46</v>
      </c>
      <c r="R11" s="69">
        <v>11086875.5196</v>
      </c>
      <c r="S11" s="68">
        <f>SUM(H11:R11)</f>
        <v>688072622.33167922</v>
      </c>
      <c r="T11" s="65">
        <f>'Schedule 120'!H9</f>
        <v>-1002203.4368000012</v>
      </c>
      <c r="U11" s="1">
        <f>T11/S11</f>
        <v>-1.4565372960252704E-3</v>
      </c>
    </row>
    <row r="12" spans="2:21" x14ac:dyDescent="0.35">
      <c r="B12" t="s">
        <v>124</v>
      </c>
      <c r="C12" s="64">
        <v>16</v>
      </c>
      <c r="D12" s="136">
        <v>9386</v>
      </c>
      <c r="E12" s="69">
        <v>5636.54</v>
      </c>
      <c r="F12" s="66">
        <f t="shared" si="0"/>
        <v>0.60052631578947369</v>
      </c>
      <c r="G12" s="17">
        <f>'Forecasted Volume'!N8</f>
        <v>8999</v>
      </c>
      <c r="H12" s="67">
        <f t="shared" ref="H12:H23" si="1">F12*G12</f>
        <v>5404.1363157894739</v>
      </c>
      <c r="I12" s="69">
        <v>3431.23</v>
      </c>
      <c r="J12" s="69">
        <v>434.38</v>
      </c>
      <c r="K12" s="69">
        <f>'Schedule 120'!F10</f>
        <v>196.08821</v>
      </c>
      <c r="L12" s="69"/>
      <c r="M12" s="69">
        <v>177.37029000000001</v>
      </c>
      <c r="N12" s="69">
        <v>-124.90612</v>
      </c>
      <c r="O12" s="69">
        <v>-6.1193200000000001</v>
      </c>
      <c r="P12" s="69">
        <v>-12.328629999999999</v>
      </c>
      <c r="Q12" s="69"/>
      <c r="R12" s="69">
        <v>159.28229999999999</v>
      </c>
      <c r="S12" s="68">
        <f t="shared" ref="S12:S23" si="2">SUM(H12:R12)</f>
        <v>9659.1330457894746</v>
      </c>
      <c r="T12" s="65">
        <f>'Schedule 120'!H10</f>
        <v>-14.398400000000009</v>
      </c>
      <c r="U12" s="1">
        <f t="shared" ref="U12:U24" si="3">T12/S12</f>
        <v>-1.4906513795538239E-3</v>
      </c>
    </row>
    <row r="13" spans="2:21" x14ac:dyDescent="0.35">
      <c r="B13" t="s">
        <v>24</v>
      </c>
      <c r="C13" s="64">
        <v>31</v>
      </c>
      <c r="D13" s="136">
        <v>234140158.08963937</v>
      </c>
      <c r="E13" s="69">
        <v>117941137.18000001</v>
      </c>
      <c r="F13" s="66">
        <f t="shared" si="0"/>
        <v>0.50372024236375057</v>
      </c>
      <c r="G13" s="17">
        <f>'Forecasted Volume'!N11</f>
        <v>232667656</v>
      </c>
      <c r="H13" s="67">
        <f t="shared" si="1"/>
        <v>117199408.07052575</v>
      </c>
      <c r="I13" s="69">
        <v>86819935.840000004</v>
      </c>
      <c r="J13" s="69">
        <v>11195967.609999999</v>
      </c>
      <c r="K13" s="69">
        <f>'Schedule 120'!F11</f>
        <v>5069828.2242400004</v>
      </c>
      <c r="L13" s="69">
        <v>1293632.1673599998</v>
      </c>
      <c r="M13" s="69">
        <v>4944187.6900000004</v>
      </c>
      <c r="N13" s="69">
        <v>-3478381.4572000001</v>
      </c>
      <c r="O13" s="69">
        <v>-167520.71232000002</v>
      </c>
      <c r="P13" s="69">
        <v>-342021.45431999996</v>
      </c>
      <c r="Q13" s="69">
        <v>-1717087.3</v>
      </c>
      <c r="R13" s="69">
        <v>4374151.9328000005</v>
      </c>
      <c r="S13" s="68">
        <f t="shared" si="2"/>
        <v>225192100.61108574</v>
      </c>
      <c r="T13" s="65">
        <f>'Schedule 120'!H11</f>
        <v>-372268.24960000068</v>
      </c>
      <c r="U13" s="1">
        <f t="shared" si="3"/>
        <v>-1.6531141571565174E-3</v>
      </c>
    </row>
    <row r="14" spans="2:21" x14ac:dyDescent="0.35">
      <c r="B14" t="s">
        <v>45</v>
      </c>
      <c r="C14" s="64">
        <v>41</v>
      </c>
      <c r="D14" s="136">
        <v>65836657.463465497</v>
      </c>
      <c r="E14" s="69">
        <v>16769592.583254175</v>
      </c>
      <c r="F14" s="66">
        <f t="shared" si="0"/>
        <v>0.25471512724594297</v>
      </c>
      <c r="G14" s="17">
        <f>'Forecasted Volume'!N12</f>
        <v>64505965</v>
      </c>
      <c r="H14" s="67">
        <f t="shared" si="1"/>
        <v>16430645.083097344</v>
      </c>
      <c r="I14" s="69">
        <v>21690930.699999999</v>
      </c>
      <c r="J14" s="69">
        <v>3063388.28</v>
      </c>
      <c r="K14" s="69">
        <f>'Schedule 120'!F12</f>
        <v>1405584.9773500001</v>
      </c>
      <c r="L14" s="69">
        <v>196743.19325000001</v>
      </c>
      <c r="M14" s="69">
        <v>487020.03575000004</v>
      </c>
      <c r="N14" s="69">
        <v>-367684.00050000002</v>
      </c>
      <c r="O14" s="69">
        <v>-18706.72985</v>
      </c>
      <c r="P14" s="69">
        <v>-36123.340399999994</v>
      </c>
      <c r="Q14" s="69">
        <v>-886729.88000000012</v>
      </c>
      <c r="R14" s="69">
        <v>597970.29555000004</v>
      </c>
      <c r="S14" s="68">
        <f t="shared" si="2"/>
        <v>42563038.614247337</v>
      </c>
      <c r="T14" s="65">
        <f>'Schedule 120'!H12</f>
        <v>-103209.54399999999</v>
      </c>
      <c r="U14" s="1">
        <f t="shared" si="3"/>
        <v>-2.4248631526380768E-3</v>
      </c>
    </row>
    <row r="15" spans="2:21" x14ac:dyDescent="0.35">
      <c r="B15" t="s">
        <v>25</v>
      </c>
      <c r="C15" s="64">
        <v>85</v>
      </c>
      <c r="D15" s="136">
        <v>16184434.068649083</v>
      </c>
      <c r="E15" s="69">
        <v>1712016.4100000001</v>
      </c>
      <c r="F15" s="66">
        <f t="shared" si="0"/>
        <v>0.10578166667664657</v>
      </c>
      <c r="G15" s="17">
        <f>'Forecasted Volume'!N13</f>
        <v>9717323</v>
      </c>
      <c r="H15" s="67">
        <f t="shared" si="1"/>
        <v>1027914.6225753112</v>
      </c>
      <c r="I15" s="69">
        <v>3012149.54</v>
      </c>
      <c r="J15" s="69">
        <v>457200.05</v>
      </c>
      <c r="K15" s="69">
        <f>'Schedule 120'!F13</f>
        <v>177827.01089999999</v>
      </c>
      <c r="L15" s="69">
        <v>13796.355827199839</v>
      </c>
      <c r="M15" s="69">
        <v>42561.874739999999</v>
      </c>
      <c r="N15" s="69">
        <v>-26236.772100000002</v>
      </c>
      <c r="O15" s="69">
        <v>-1554.7716800000001</v>
      </c>
      <c r="P15" s="69">
        <v>-2623.6772099999998</v>
      </c>
      <c r="Q15" s="69"/>
      <c r="R15" s="69">
        <v>48100.748850000004</v>
      </c>
      <c r="S15" s="68">
        <f t="shared" si="2"/>
        <v>4749134.9819025109</v>
      </c>
      <c r="T15" s="65">
        <f>'Schedule 120'!H13</f>
        <v>-14770.330959999992</v>
      </c>
      <c r="U15" s="1">
        <f t="shared" si="3"/>
        <v>-3.1101097392020167E-3</v>
      </c>
    </row>
    <row r="16" spans="2:21" x14ac:dyDescent="0.35">
      <c r="B16" t="s">
        <v>26</v>
      </c>
      <c r="C16" s="64">
        <v>86</v>
      </c>
      <c r="D16" s="136">
        <v>9397200.2729263548</v>
      </c>
      <c r="E16" s="69">
        <v>1992002.78</v>
      </c>
      <c r="F16" s="66">
        <f t="shared" si="0"/>
        <v>0.21197832568696295</v>
      </c>
      <c r="G16" s="17">
        <f>'Forecasted Volume'!N14</f>
        <v>4551465</v>
      </c>
      <c r="H16" s="67">
        <f t="shared" si="1"/>
        <v>964811.93012281286</v>
      </c>
      <c r="I16" s="69">
        <v>1515772.4100000001</v>
      </c>
      <c r="J16" s="69">
        <v>215056.72</v>
      </c>
      <c r="K16" s="69">
        <f>'Schedule 120'!F14</f>
        <v>83291.809500000003</v>
      </c>
      <c r="L16" s="69">
        <v>13472.3364</v>
      </c>
      <c r="M16" s="69">
        <v>35911.058850000009</v>
      </c>
      <c r="N16" s="69">
        <v>-15383.951700000001</v>
      </c>
      <c r="O16" s="69">
        <v>-1456.4688000000001</v>
      </c>
      <c r="P16" s="69">
        <v>-1501.9834499999999</v>
      </c>
      <c r="Q16" s="69">
        <v>-61554.38</v>
      </c>
      <c r="R16" s="69">
        <v>40143.921300000002</v>
      </c>
      <c r="S16" s="68">
        <f t="shared" si="2"/>
        <v>2788563.4022228131</v>
      </c>
      <c r="T16" s="65">
        <f>'Schedule 120'!H14</f>
        <v>-6918.226800000004</v>
      </c>
      <c r="U16" s="1">
        <f t="shared" si="3"/>
        <v>-2.4809286367616255E-3</v>
      </c>
    </row>
    <row r="17" spans="2:22" x14ac:dyDescent="0.35">
      <c r="B17" t="s">
        <v>27</v>
      </c>
      <c r="C17" s="64">
        <v>87</v>
      </c>
      <c r="D17" s="136">
        <v>23337042.118500695</v>
      </c>
      <c r="E17" s="69">
        <v>1405341.91</v>
      </c>
      <c r="F17" s="66">
        <f>(E17)/D17</f>
        <v>6.0219367255882859E-2</v>
      </c>
      <c r="G17" s="17">
        <f>'Forecasted Volume'!N15</f>
        <v>14248694</v>
      </c>
      <c r="H17" s="67">
        <f t="shared" si="1"/>
        <v>858047.33690269454</v>
      </c>
      <c r="I17" s="69">
        <v>4443312.74</v>
      </c>
      <c r="J17" s="69">
        <v>670828.51</v>
      </c>
      <c r="K17" s="69">
        <f>'Schedule 120'!F15</f>
        <v>260751.10020000002</v>
      </c>
      <c r="L17" s="69">
        <v>8325.450629642135</v>
      </c>
      <c r="M17" s="69">
        <v>32914.483139999997</v>
      </c>
      <c r="N17" s="69">
        <v>-20233.145479999999</v>
      </c>
      <c r="O17" s="69">
        <v>-1139.89552</v>
      </c>
      <c r="P17" s="69">
        <v>-1994.8171599999998</v>
      </c>
      <c r="Q17" s="69"/>
      <c r="R17" s="69">
        <v>41321.212599999999</v>
      </c>
      <c r="S17" s="68">
        <f t="shared" si="2"/>
        <v>6292132.9753123373</v>
      </c>
      <c r="T17" s="65">
        <f>'Schedule 120'!H15</f>
        <v>-21658.014880000032</v>
      </c>
      <c r="U17" s="1">
        <f t="shared" si="3"/>
        <v>-3.442078380253072E-3</v>
      </c>
    </row>
    <row r="18" spans="2:22" x14ac:dyDescent="0.35">
      <c r="B18" t="s">
        <v>125</v>
      </c>
      <c r="C18" s="64" t="s">
        <v>52</v>
      </c>
      <c r="D18" s="136">
        <v>36359.963605097219</v>
      </c>
      <c r="E18" s="69">
        <v>25456.9</v>
      </c>
      <c r="F18" s="66">
        <f>(E18)/D18</f>
        <v>0.70013546428388773</v>
      </c>
      <c r="G18" s="17">
        <f>'Forecasted Volume'!N16</f>
        <v>22610</v>
      </c>
      <c r="H18" s="67">
        <f t="shared" si="1"/>
        <v>15830.062847458701</v>
      </c>
      <c r="I18" s="69"/>
      <c r="J18" s="69"/>
      <c r="K18" s="69"/>
      <c r="L18" s="69">
        <v>125.71159999999999</v>
      </c>
      <c r="M18" s="69">
        <v>480.46250000000003</v>
      </c>
      <c r="N18" s="69">
        <v>-338.01949999999999</v>
      </c>
      <c r="O18" s="69">
        <v>-16.279199999999999</v>
      </c>
      <c r="P18" s="69">
        <v>-33.236699999999999</v>
      </c>
      <c r="Q18" s="69">
        <v>-158.72</v>
      </c>
      <c r="R18" s="69">
        <v>425.06800000000004</v>
      </c>
      <c r="S18" s="68">
        <f t="shared" si="2"/>
        <v>16315.049547458702</v>
      </c>
      <c r="T18" s="65"/>
      <c r="U18" s="1">
        <f t="shared" si="3"/>
        <v>0</v>
      </c>
    </row>
    <row r="19" spans="2:22" x14ac:dyDescent="0.35">
      <c r="B19" t="s">
        <v>126</v>
      </c>
      <c r="C19" t="s">
        <v>0</v>
      </c>
      <c r="D19" s="136">
        <v>20492334.449073859</v>
      </c>
      <c r="E19" s="69">
        <v>4419777.9054754293</v>
      </c>
      <c r="F19" s="66">
        <f t="shared" ref="F19:F24" si="4">(E19)/D19</f>
        <v>0.21567957113227668</v>
      </c>
      <c r="G19" s="17">
        <f>'Forecasted Volume'!N17</f>
        <v>24168312</v>
      </c>
      <c r="H19" s="67">
        <f>F19*G19</f>
        <v>5212611.1671510562</v>
      </c>
      <c r="I19" s="69"/>
      <c r="J19" s="69"/>
      <c r="K19" s="69"/>
      <c r="L19" s="69">
        <v>73713.351600000009</v>
      </c>
      <c r="M19" s="69">
        <v>182470.7556</v>
      </c>
      <c r="N19" s="69">
        <v>-137759.37840000002</v>
      </c>
      <c r="O19" s="69">
        <v>-7008.8104800000001</v>
      </c>
      <c r="P19" s="69">
        <v>-13534.254719999999</v>
      </c>
      <c r="Q19" s="69">
        <v>-284726.82999999996</v>
      </c>
      <c r="R19" s="69">
        <v>224040.25224</v>
      </c>
      <c r="S19" s="68">
        <f>SUM(H19:R19)</f>
        <v>5249806.2529910561</v>
      </c>
      <c r="T19" s="65"/>
      <c r="U19" s="1">
        <f t="shared" si="3"/>
        <v>0</v>
      </c>
    </row>
    <row r="20" spans="2:22" x14ac:dyDescent="0.35">
      <c r="B20" t="s">
        <v>127</v>
      </c>
      <c r="C20" t="s">
        <v>1</v>
      </c>
      <c r="D20" s="136">
        <v>74773537.134971082</v>
      </c>
      <c r="E20" s="69">
        <v>7547127.8200000003</v>
      </c>
      <c r="F20" s="66">
        <f t="shared" si="4"/>
        <v>0.10093313903790516</v>
      </c>
      <c r="G20" s="17">
        <f>'Forecasted Volume'!N18</f>
        <v>72016415</v>
      </c>
      <c r="H20" s="67">
        <f t="shared" si="1"/>
        <v>7268842.8282064786</v>
      </c>
      <c r="I20" s="69"/>
      <c r="J20" s="69"/>
      <c r="K20" s="69"/>
      <c r="L20" s="69">
        <v>93741.149655008965</v>
      </c>
      <c r="M20" s="69">
        <v>315431.89770000003</v>
      </c>
      <c r="N20" s="69">
        <v>-194444.3205</v>
      </c>
      <c r="O20" s="69">
        <v>-11522.626400000001</v>
      </c>
      <c r="P20" s="69">
        <v>-19444.432049999999</v>
      </c>
      <c r="Q20" s="69"/>
      <c r="R20" s="69">
        <v>356481.25425000006</v>
      </c>
      <c r="S20" s="68">
        <f t="shared" si="2"/>
        <v>7809085.7508614864</v>
      </c>
      <c r="T20" s="65"/>
      <c r="U20" s="1">
        <f t="shared" si="3"/>
        <v>0</v>
      </c>
    </row>
    <row r="21" spans="2:22" x14ac:dyDescent="0.35">
      <c r="B21" t="s">
        <v>128</v>
      </c>
      <c r="C21" t="s">
        <v>46</v>
      </c>
      <c r="D21" s="136">
        <v>351288.14999999997</v>
      </c>
      <c r="E21" s="69">
        <v>70216.179999999993</v>
      </c>
      <c r="F21" s="66">
        <f t="shared" si="4"/>
        <v>0.19988200569817113</v>
      </c>
      <c r="G21" s="17">
        <f>'Forecasted Volume'!N19</f>
        <v>200424</v>
      </c>
      <c r="H21" s="67">
        <f t="shared" si="1"/>
        <v>40061.151110050254</v>
      </c>
      <c r="I21" s="69"/>
      <c r="J21" s="69"/>
      <c r="K21" s="69"/>
      <c r="L21" s="69">
        <v>593.25504000000001</v>
      </c>
      <c r="M21" s="69">
        <v>1581.3453600000003</v>
      </c>
      <c r="N21" s="69">
        <v>-677.43312000000003</v>
      </c>
      <c r="O21" s="69">
        <v>-64.135680000000008</v>
      </c>
      <c r="P21" s="69">
        <v>-66.139920000000004</v>
      </c>
      <c r="Q21" s="69">
        <v>-2925.2799999999997</v>
      </c>
      <c r="R21" s="69">
        <v>1767.7396799999999</v>
      </c>
      <c r="S21" s="68">
        <f t="shared" si="2"/>
        <v>40270.502470050254</v>
      </c>
      <c r="T21" s="65"/>
      <c r="U21" s="1">
        <f t="shared" si="3"/>
        <v>0</v>
      </c>
    </row>
    <row r="22" spans="2:22" x14ac:dyDescent="0.35">
      <c r="B22" t="s">
        <v>129</v>
      </c>
      <c r="C22" t="s">
        <v>2</v>
      </c>
      <c r="D22" s="136">
        <v>100441128.37470125</v>
      </c>
      <c r="E22" s="69">
        <v>4429994.87</v>
      </c>
      <c r="F22" s="66">
        <f t="shared" si="4"/>
        <v>4.4105387321751864E-2</v>
      </c>
      <c r="G22" s="17">
        <f>'Forecasted Volume'!N20</f>
        <v>92087076</v>
      </c>
      <c r="H22" s="67">
        <f t="shared" si="1"/>
        <v>4061536.1543076006</v>
      </c>
      <c r="I22" s="69"/>
      <c r="J22" s="69"/>
      <c r="K22" s="69"/>
      <c r="L22" s="69">
        <v>44056.353049085774</v>
      </c>
      <c r="M22" s="69">
        <v>212721.14556</v>
      </c>
      <c r="N22" s="69">
        <v>-130763.64792</v>
      </c>
      <c r="O22" s="69">
        <v>-7366.9660800000011</v>
      </c>
      <c r="P22" s="69">
        <v>-12892.190639999999</v>
      </c>
      <c r="Q22" s="69"/>
      <c r="R22" s="69">
        <v>267052.52039999998</v>
      </c>
      <c r="S22" s="68">
        <f t="shared" si="2"/>
        <v>4434343.3686766867</v>
      </c>
      <c r="T22" s="65"/>
      <c r="U22" s="1">
        <f t="shared" si="3"/>
        <v>0</v>
      </c>
    </row>
    <row r="23" spans="2:22" x14ac:dyDescent="0.35">
      <c r="B23" t="s">
        <v>47</v>
      </c>
      <c r="D23" s="136">
        <v>37056427.854413897</v>
      </c>
      <c r="E23" s="69">
        <v>1757519.5213237838</v>
      </c>
      <c r="F23" s="70">
        <f t="shared" si="4"/>
        <v>4.7428195945617584E-2</v>
      </c>
      <c r="G23" s="17">
        <f>'Forecasted Volume'!N21</f>
        <v>32440860</v>
      </c>
      <c r="H23" s="67">
        <f t="shared" si="1"/>
        <v>1538611.4647243477</v>
      </c>
      <c r="I23" s="69"/>
      <c r="J23" s="69"/>
      <c r="K23" s="69"/>
      <c r="L23" s="69"/>
      <c r="M23" s="69">
        <v>94402.902600000001</v>
      </c>
      <c r="N23" s="69">
        <v>-24006.236399999998</v>
      </c>
      <c r="O23" s="69">
        <v>-3568.4946</v>
      </c>
      <c r="P23" s="69">
        <v>-2270.8601999999996</v>
      </c>
      <c r="Q23" s="69"/>
      <c r="R23" s="69">
        <v>22384.1934</v>
      </c>
      <c r="S23" s="68">
        <f t="shared" si="2"/>
        <v>1625552.9695243475</v>
      </c>
      <c r="T23" s="65"/>
      <c r="U23" s="1">
        <f t="shared" si="3"/>
        <v>0</v>
      </c>
    </row>
    <row r="24" spans="2:22" x14ac:dyDescent="0.35">
      <c r="B24" t="s">
        <v>3</v>
      </c>
      <c r="D24" s="71">
        <f>SUM(D11:D23)</f>
        <v>1191304269.0992641</v>
      </c>
      <c r="E24" s="72">
        <f>SUM(E11:E23)</f>
        <v>527484842.41873384</v>
      </c>
      <c r="F24" s="66">
        <f t="shared" si="4"/>
        <v>0.44277927654667182</v>
      </c>
      <c r="G24" s="71">
        <f>SUM(G11:G23)</f>
        <v>1173012947</v>
      </c>
      <c r="H24" s="72">
        <f>SUM(H11:H23)</f>
        <v>534418569.18812579</v>
      </c>
      <c r="I24" s="72">
        <f t="shared" ref="I24:K24" si="5">SUM(I11:I23)</f>
        <v>356316875.22000003</v>
      </c>
      <c r="J24" s="72">
        <f t="shared" si="5"/>
        <v>45838100.479999997</v>
      </c>
      <c r="K24" s="72">
        <f t="shared" si="5"/>
        <v>20646237.265320003</v>
      </c>
      <c r="L24" s="72">
        <f>SUM(L11:L23)</f>
        <v>6129103.1318909377</v>
      </c>
      <c r="M24" s="72">
        <f>SUM(M11:M23)</f>
        <v>18695754.609170008</v>
      </c>
      <c r="N24" s="72">
        <f>SUM(N11:N23)</f>
        <v>-13090148.083179997</v>
      </c>
      <c r="O24" s="72">
        <f>SUM(O11:O23)</f>
        <v>-645868.47057</v>
      </c>
      <c r="P24" s="72">
        <f>SUM(P11:P23)</f>
        <v>-1290655.4081600001</v>
      </c>
      <c r="Q24" s="72">
        <f t="shared" ref="Q24:S24" si="6">SUM(Q11:Q23)</f>
        <v>4763784.07</v>
      </c>
      <c r="R24" s="72">
        <f t="shared" si="6"/>
        <v>17060873.940969996</v>
      </c>
      <c r="S24" s="73">
        <f t="shared" si="6"/>
        <v>988842625.94356692</v>
      </c>
      <c r="T24" s="72">
        <f>SUM(T11:T23)</f>
        <v>-1521042.2014400018</v>
      </c>
      <c r="U24" s="9">
        <f t="shared" si="3"/>
        <v>-1.5382045246973479E-3</v>
      </c>
      <c r="V24" s="67"/>
    </row>
    <row r="25" spans="2:22" x14ac:dyDescent="0.35">
      <c r="D25" s="74"/>
      <c r="E25" s="67"/>
      <c r="G25" s="74"/>
      <c r="L25" s="67"/>
      <c r="P25" s="67"/>
      <c r="Q25" s="67"/>
      <c r="S25" s="67"/>
      <c r="U25" s="75"/>
    </row>
    <row r="26" spans="2:22" s="80" customFormat="1" x14ac:dyDescent="0.35">
      <c r="B26" s="76" t="s">
        <v>130</v>
      </c>
      <c r="C26" s="77"/>
      <c r="D26" s="78"/>
      <c r="E26" s="79"/>
      <c r="T26" s="81"/>
      <c r="U26" s="82"/>
    </row>
    <row r="27" spans="2:22" s="80" customFormat="1" x14ac:dyDescent="0.35">
      <c r="B27" s="83" t="s">
        <v>131</v>
      </c>
      <c r="C27" s="83"/>
      <c r="D27" s="84">
        <f>D11+D12</f>
        <v>609257701.15931809</v>
      </c>
      <c r="E27" s="85">
        <f>E11+E12</f>
        <v>369414658.35868043</v>
      </c>
      <c r="F27" s="86"/>
      <c r="H27" s="85">
        <f>H11+H12</f>
        <v>379800249.31655496</v>
      </c>
      <c r="L27" s="85"/>
      <c r="P27" s="85"/>
      <c r="Q27" s="85"/>
      <c r="S27" s="85">
        <f>S11+S12</f>
        <v>688082281.46472502</v>
      </c>
      <c r="T27" s="67">
        <f>SUM(T11:T12)</f>
        <v>-1002217.8352000011</v>
      </c>
      <c r="U27" s="1">
        <f t="shared" ref="U27:U34" si="7">T27/S27</f>
        <v>-1.4565377749105439E-3</v>
      </c>
      <c r="V27" s="87"/>
    </row>
    <row r="28" spans="2:22" s="80" customFormat="1" x14ac:dyDescent="0.35">
      <c r="B28" s="88" t="s">
        <v>132</v>
      </c>
      <c r="C28" s="88"/>
      <c r="D28" s="84">
        <f>D13+D18</f>
        <v>234176518.05324447</v>
      </c>
      <c r="E28" s="85">
        <f>E13+E18</f>
        <v>117966594.08000001</v>
      </c>
      <c r="F28" s="89"/>
      <c r="H28" s="85">
        <f>H13+H18</f>
        <v>117215238.13337322</v>
      </c>
      <c r="I28" s="90"/>
      <c r="J28" s="90"/>
      <c r="K28" s="90"/>
      <c r="L28" s="85"/>
      <c r="N28" s="90"/>
      <c r="P28" s="85"/>
      <c r="Q28" s="85"/>
      <c r="R28" s="90"/>
      <c r="S28" s="85">
        <f>S13+S18</f>
        <v>225208415.66063321</v>
      </c>
      <c r="T28" s="67">
        <f>SUM(T13,T18)</f>
        <v>-372268.24960000068</v>
      </c>
      <c r="U28" s="1">
        <f t="shared" si="7"/>
        <v>-1.6529943985795455E-3</v>
      </c>
    </row>
    <row r="29" spans="2:22" s="80" customFormat="1" x14ac:dyDescent="0.35">
      <c r="B29" s="83" t="s">
        <v>133</v>
      </c>
      <c r="C29" s="83"/>
      <c r="D29" s="84">
        <f t="shared" ref="D29:E32" si="8">D14+D19</f>
        <v>86328991.912539363</v>
      </c>
      <c r="E29" s="85">
        <f t="shared" si="8"/>
        <v>21189370.488729604</v>
      </c>
      <c r="F29" s="89"/>
      <c r="H29" s="85">
        <f>H14+H19</f>
        <v>21643256.250248402</v>
      </c>
      <c r="I29" s="90"/>
      <c r="J29" s="90"/>
      <c r="K29" s="90"/>
      <c r="L29" s="85"/>
      <c r="N29" s="90"/>
      <c r="P29" s="85"/>
      <c r="Q29" s="85"/>
      <c r="R29" s="90"/>
      <c r="S29" s="85">
        <f>S14+S19</f>
        <v>47812844.867238395</v>
      </c>
      <c r="T29" s="67">
        <f>SUM(T14,T19)</f>
        <v>-103209.54399999999</v>
      </c>
      <c r="U29" s="1">
        <f t="shared" si="7"/>
        <v>-2.1586154157231439E-3</v>
      </c>
    </row>
    <row r="30" spans="2:22" s="80" customFormat="1" x14ac:dyDescent="0.35">
      <c r="B30" s="83" t="s">
        <v>134</v>
      </c>
      <c r="C30" s="83"/>
      <c r="D30" s="84">
        <f t="shared" si="8"/>
        <v>90957971.203620166</v>
      </c>
      <c r="E30" s="85">
        <f t="shared" si="8"/>
        <v>9259144.2300000004</v>
      </c>
      <c r="F30" s="89"/>
      <c r="H30" s="85">
        <f>H15+H20</f>
        <v>8296757.4507817896</v>
      </c>
      <c r="I30" s="90"/>
      <c r="J30" s="90"/>
      <c r="K30" s="90"/>
      <c r="L30" s="85"/>
      <c r="N30" s="90"/>
      <c r="P30" s="85"/>
      <c r="Q30" s="85"/>
      <c r="R30" s="90"/>
      <c r="S30" s="85">
        <f>S15+S20</f>
        <v>12558220.732763998</v>
      </c>
      <c r="T30" s="67">
        <f>SUM(T15,T20)</f>
        <v>-14770.330959999992</v>
      </c>
      <c r="U30" s="1">
        <f t="shared" si="7"/>
        <v>-1.176148379162079E-3</v>
      </c>
    </row>
    <row r="31" spans="2:22" s="80" customFormat="1" x14ac:dyDescent="0.35">
      <c r="B31" s="83" t="s">
        <v>135</v>
      </c>
      <c r="C31" s="83"/>
      <c r="D31" s="84">
        <f t="shared" si="8"/>
        <v>9748488.4229263552</v>
      </c>
      <c r="E31" s="85">
        <f t="shared" si="8"/>
        <v>2062218.96</v>
      </c>
      <c r="F31" s="89"/>
      <c r="H31" s="85">
        <f>H16+H21</f>
        <v>1004873.0812328631</v>
      </c>
      <c r="I31" s="90"/>
      <c r="J31" s="90"/>
      <c r="K31" s="90"/>
      <c r="L31" s="91"/>
      <c r="N31" s="90"/>
      <c r="P31" s="91"/>
      <c r="Q31" s="91"/>
      <c r="R31" s="90"/>
      <c r="S31" s="85">
        <f>S16+S21</f>
        <v>2828833.9046928636</v>
      </c>
      <c r="T31" s="67">
        <f>SUM(T16,T21)</f>
        <v>-6918.226800000004</v>
      </c>
      <c r="U31" s="1">
        <f t="shared" si="7"/>
        <v>-2.4456108181265383E-3</v>
      </c>
    </row>
    <row r="32" spans="2:22" s="80" customFormat="1" x14ac:dyDescent="0.35">
      <c r="B32" s="92" t="s">
        <v>136</v>
      </c>
      <c r="C32" s="92"/>
      <c r="D32" s="84">
        <f t="shared" si="8"/>
        <v>123778170.49320194</v>
      </c>
      <c r="E32" s="85">
        <f t="shared" si="8"/>
        <v>5835336.7800000003</v>
      </c>
      <c r="F32" s="89"/>
      <c r="G32" s="86"/>
      <c r="H32" s="85">
        <f>H17+H22</f>
        <v>4919583.4912102949</v>
      </c>
      <c r="I32" s="89"/>
      <c r="J32" s="89"/>
      <c r="K32" s="89"/>
      <c r="L32" s="91"/>
      <c r="N32" s="89"/>
      <c r="P32" s="91"/>
      <c r="Q32" s="91"/>
      <c r="R32" s="89"/>
      <c r="S32" s="85">
        <f>S17+S22</f>
        <v>10726476.343989024</v>
      </c>
      <c r="T32" s="67">
        <f>SUM(T17,T22)</f>
        <v>-21658.014880000032</v>
      </c>
      <c r="U32" s="1">
        <f t="shared" si="7"/>
        <v>-2.019117386310827E-3</v>
      </c>
    </row>
    <row r="33" spans="2:21" s="80" customFormat="1" x14ac:dyDescent="0.35">
      <c r="B33" s="92" t="s">
        <v>47</v>
      </c>
      <c r="C33" s="92"/>
      <c r="D33" s="84">
        <f>D23</f>
        <v>37056427.854413897</v>
      </c>
      <c r="E33" s="85">
        <f>E23</f>
        <v>1757519.5213237838</v>
      </c>
      <c r="F33" s="89"/>
      <c r="G33" s="86"/>
      <c r="H33" s="85">
        <f>H23</f>
        <v>1538611.4647243477</v>
      </c>
      <c r="I33" s="89"/>
      <c r="J33" s="89"/>
      <c r="K33" s="89"/>
      <c r="L33" s="91"/>
      <c r="N33" s="89"/>
      <c r="P33" s="91"/>
      <c r="Q33" s="91"/>
      <c r="R33" s="89"/>
      <c r="S33" s="85">
        <f>S23</f>
        <v>1625552.9695243475</v>
      </c>
      <c r="T33" s="67">
        <f>T23</f>
        <v>0</v>
      </c>
      <c r="U33" s="1">
        <f t="shared" si="7"/>
        <v>0</v>
      </c>
    </row>
    <row r="34" spans="2:21" s="80" customFormat="1" x14ac:dyDescent="0.35">
      <c r="B34" s="92" t="s">
        <v>137</v>
      </c>
      <c r="C34" s="92"/>
      <c r="D34" s="93">
        <f>SUM(D27:D33)</f>
        <v>1191304269.0992644</v>
      </c>
      <c r="E34" s="94">
        <f>SUM(E27:E33)</f>
        <v>527484842.41873378</v>
      </c>
      <c r="F34" s="86"/>
      <c r="G34" s="86"/>
      <c r="H34" s="94">
        <f>SUM(H27:H33)</f>
        <v>534418569.18812585</v>
      </c>
      <c r="I34" s="86"/>
      <c r="J34" s="86"/>
      <c r="K34" s="89"/>
      <c r="L34" s="91"/>
      <c r="N34" s="89"/>
      <c r="P34" s="91"/>
      <c r="Q34" s="91"/>
      <c r="R34" s="89"/>
      <c r="S34" s="94">
        <f>SUM(S27:S33)</f>
        <v>988842625.94356692</v>
      </c>
      <c r="T34" s="94">
        <f>SUM(T27:T33)</f>
        <v>-1521042.2014400018</v>
      </c>
      <c r="U34" s="9">
        <f t="shared" si="7"/>
        <v>-1.5382045246973479E-3</v>
      </c>
    </row>
    <row r="35" spans="2:21" s="80" customFormat="1" x14ac:dyDescent="0.35">
      <c r="B35" s="86"/>
      <c r="C35" s="86"/>
      <c r="D35" s="86"/>
      <c r="E35" s="86"/>
      <c r="F35" s="86"/>
      <c r="I35" s="90"/>
      <c r="L35" s="86"/>
      <c r="N35" s="86"/>
      <c r="P35" s="86"/>
      <c r="Q35" s="86"/>
      <c r="R35" s="86"/>
      <c r="S35" s="86"/>
      <c r="T35" s="95"/>
    </row>
    <row r="36" spans="2:21" ht="16.5" x14ac:dyDescent="0.35">
      <c r="B36" t="s">
        <v>138</v>
      </c>
      <c r="D36" s="74"/>
      <c r="E36" s="74"/>
      <c r="H36" s="96"/>
      <c r="L36" s="74"/>
      <c r="P36" s="74"/>
      <c r="Q36" s="74"/>
      <c r="S36" s="74"/>
    </row>
    <row r="37" spans="2:21" ht="16.5" x14ac:dyDescent="0.35">
      <c r="B37" t="s">
        <v>139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opLeftCell="A25" zoomScale="90" zoomScaleNormal="90" workbookViewId="0">
      <selection activeCell="D30" sqref="D30:D31"/>
    </sheetView>
  </sheetViews>
  <sheetFormatPr defaultColWidth="9.1796875" defaultRowHeight="14.5" x14ac:dyDescent="0.35"/>
  <cols>
    <col min="1" max="1" width="2.1796875" style="97" customWidth="1"/>
    <col min="2" max="2" width="2.453125" style="97" customWidth="1"/>
    <col min="3" max="3" width="34.54296875" style="97" customWidth="1"/>
    <col min="4" max="5" width="11.81640625" style="97" customWidth="1"/>
    <col min="6" max="6" width="2.7265625" style="112" customWidth="1"/>
    <col min="7" max="8" width="11.81640625" style="97" customWidth="1"/>
    <col min="9" max="16384" width="9.1796875" style="97"/>
  </cols>
  <sheetData>
    <row r="1" spans="2:8" x14ac:dyDescent="0.35">
      <c r="B1" s="140" t="s">
        <v>12</v>
      </c>
      <c r="C1" s="140"/>
      <c r="D1" s="140"/>
      <c r="E1" s="140"/>
      <c r="F1" s="140"/>
      <c r="G1" s="140"/>
      <c r="H1" s="140"/>
    </row>
    <row r="2" spans="2:8" x14ac:dyDescent="0.35">
      <c r="B2" s="140" t="str">
        <f>'Rate Impacts Sch120'!B2:U2</f>
        <v>2021 Gas Schedule 120 Conservation Filing</v>
      </c>
      <c r="C2" s="140"/>
      <c r="D2" s="140"/>
      <c r="E2" s="140"/>
      <c r="F2" s="140"/>
      <c r="G2" s="140"/>
      <c r="H2" s="140"/>
    </row>
    <row r="3" spans="2:8" x14ac:dyDescent="0.35">
      <c r="B3" s="138" t="s">
        <v>140</v>
      </c>
      <c r="C3" s="138"/>
      <c r="D3" s="138"/>
      <c r="E3" s="138"/>
      <c r="F3" s="138"/>
      <c r="G3" s="138"/>
      <c r="H3" s="138"/>
    </row>
    <row r="4" spans="2:8" x14ac:dyDescent="0.35">
      <c r="B4" s="138" t="str">
        <f>'Rate Impacts Sch120'!B4:U4</f>
        <v>Proposed Rates Effective May 1, 2021</v>
      </c>
      <c r="C4" s="138"/>
      <c r="D4" s="138"/>
      <c r="E4" s="138"/>
      <c r="F4" s="138"/>
      <c r="G4" s="138"/>
      <c r="H4" s="138"/>
    </row>
    <row r="6" spans="2:8" x14ac:dyDescent="0.35">
      <c r="D6" s="98" t="s">
        <v>141</v>
      </c>
      <c r="E6" s="98"/>
      <c r="F6" s="99"/>
      <c r="G6" s="98" t="s">
        <v>142</v>
      </c>
      <c r="H6" s="98"/>
    </row>
    <row r="7" spans="2:8" ht="16.5" x14ac:dyDescent="0.35">
      <c r="D7" s="100" t="s">
        <v>143</v>
      </c>
      <c r="E7" s="100" t="s">
        <v>144</v>
      </c>
      <c r="F7" s="101"/>
      <c r="G7" s="100" t="s">
        <v>145</v>
      </c>
      <c r="H7" s="100" t="s">
        <v>144</v>
      </c>
    </row>
    <row r="8" spans="2:8" x14ac:dyDescent="0.35">
      <c r="B8" s="97" t="s">
        <v>146</v>
      </c>
      <c r="D8" s="102">
        <v>64</v>
      </c>
      <c r="E8" s="103"/>
      <c r="F8" s="104"/>
      <c r="G8" s="102">
        <v>64</v>
      </c>
      <c r="H8" s="103"/>
    </row>
    <row r="9" spans="2:8" x14ac:dyDescent="0.35">
      <c r="D9" s="102"/>
      <c r="E9" s="103"/>
      <c r="F9" s="104"/>
      <c r="G9" s="102"/>
      <c r="H9" s="103"/>
    </row>
    <row r="10" spans="2:8" x14ac:dyDescent="0.35">
      <c r="B10" s="97" t="s">
        <v>147</v>
      </c>
      <c r="D10" s="102"/>
      <c r="E10" s="103"/>
      <c r="F10" s="104"/>
      <c r="G10" s="102"/>
      <c r="H10" s="103"/>
    </row>
    <row r="11" spans="2:8" x14ac:dyDescent="0.35">
      <c r="C11" s="97" t="s">
        <v>148</v>
      </c>
      <c r="D11" s="109">
        <v>11.52</v>
      </c>
      <c r="E11" s="103">
        <f>D11</f>
        <v>11.52</v>
      </c>
      <c r="F11" s="105"/>
      <c r="G11" s="106">
        <f>$D$11</f>
        <v>11.52</v>
      </c>
      <c r="H11" s="103">
        <f>G11</f>
        <v>11.52</v>
      </c>
    </row>
    <row r="12" spans="2:8" x14ac:dyDescent="0.35">
      <c r="C12" s="97" t="s">
        <v>149</v>
      </c>
      <c r="D12" s="109">
        <v>0</v>
      </c>
      <c r="E12" s="107">
        <f>D12</f>
        <v>0</v>
      </c>
      <c r="F12" s="105"/>
      <c r="G12" s="108">
        <f>$D$12</f>
        <v>0</v>
      </c>
      <c r="H12" s="107">
        <f>G12</f>
        <v>0</v>
      </c>
    </row>
    <row r="13" spans="2:8" x14ac:dyDescent="0.35">
      <c r="C13" s="97" t="s">
        <v>150</v>
      </c>
      <c r="D13" s="109">
        <v>0</v>
      </c>
      <c r="E13" s="107">
        <f>D13</f>
        <v>0</v>
      </c>
      <c r="F13" s="105"/>
      <c r="G13" s="108">
        <f>$D$13</f>
        <v>0</v>
      </c>
      <c r="H13" s="107">
        <f>G13</f>
        <v>0</v>
      </c>
    </row>
    <row r="14" spans="2:8" x14ac:dyDescent="0.35">
      <c r="C14" s="97" t="s">
        <v>137</v>
      </c>
      <c r="D14" s="110">
        <f>SUM(D11:D13)</f>
        <v>11.52</v>
      </c>
      <c r="E14" s="110">
        <f>SUM(E11:E13)</f>
        <v>11.52</v>
      </c>
      <c r="F14" s="105"/>
      <c r="G14" s="110">
        <f>SUM(G11:G13)</f>
        <v>11.52</v>
      </c>
      <c r="H14" s="110">
        <f>SUM(H11:H13)</f>
        <v>11.52</v>
      </c>
    </row>
    <row r="15" spans="2:8" x14ac:dyDescent="0.35">
      <c r="D15" s="111"/>
      <c r="E15" s="103"/>
      <c r="F15" s="105"/>
      <c r="G15" s="106"/>
      <c r="H15" s="103"/>
    </row>
    <row r="16" spans="2:8" x14ac:dyDescent="0.35">
      <c r="B16" s="97" t="s">
        <v>151</v>
      </c>
      <c r="E16" s="103"/>
      <c r="H16" s="103"/>
    </row>
    <row r="17" spans="3:8" x14ac:dyDescent="0.35">
      <c r="C17" s="97" t="s">
        <v>152</v>
      </c>
      <c r="D17" s="135">
        <v>0.42857000000000001</v>
      </c>
      <c r="E17" s="103"/>
      <c r="F17" s="113"/>
      <c r="G17" s="114">
        <f>$D$17</f>
        <v>0.42857000000000001</v>
      </c>
      <c r="H17" s="103"/>
    </row>
    <row r="18" spans="3:8" x14ac:dyDescent="0.35">
      <c r="C18" s="97" t="s">
        <v>153</v>
      </c>
      <c r="D18" s="135">
        <v>7.0099999999999997E-3</v>
      </c>
      <c r="E18" s="103"/>
      <c r="F18" s="113"/>
      <c r="G18" s="10">
        <f>$D$18</f>
        <v>7.0099999999999997E-3</v>
      </c>
      <c r="H18" s="103"/>
    </row>
    <row r="19" spans="3:8" x14ac:dyDescent="0.35">
      <c r="C19" s="97" t="s">
        <v>154</v>
      </c>
      <c r="D19" s="135">
        <v>1.9710000000000002E-2</v>
      </c>
      <c r="E19" s="103"/>
      <c r="F19" s="113"/>
      <c r="G19" s="10">
        <f>$D$19</f>
        <v>1.9710000000000002E-2</v>
      </c>
      <c r="H19" s="103"/>
    </row>
    <row r="20" spans="3:8" x14ac:dyDescent="0.35">
      <c r="C20" s="97" t="s">
        <v>149</v>
      </c>
      <c r="D20" s="135">
        <v>0</v>
      </c>
      <c r="E20" s="103"/>
      <c r="F20" s="113"/>
      <c r="G20" s="114">
        <f>$D$20</f>
        <v>0</v>
      </c>
      <c r="H20" s="103"/>
    </row>
    <row r="21" spans="3:8" x14ac:dyDescent="0.35">
      <c r="C21" s="97" t="s">
        <v>150</v>
      </c>
      <c r="D21" s="135">
        <v>-1.388E-2</v>
      </c>
      <c r="E21" s="103"/>
      <c r="F21" s="113"/>
      <c r="G21" s="114">
        <f>$D$21</f>
        <v>-1.388E-2</v>
      </c>
      <c r="H21" s="103"/>
    </row>
    <row r="22" spans="3:8" x14ac:dyDescent="0.35">
      <c r="C22" s="97" t="s">
        <v>155</v>
      </c>
      <c r="D22" s="135">
        <v>-6.8000000000000005E-4</v>
      </c>
      <c r="E22" s="103"/>
      <c r="F22" s="113"/>
      <c r="G22" s="10">
        <f>$D$22</f>
        <v>-6.8000000000000005E-4</v>
      </c>
      <c r="H22" s="103"/>
    </row>
    <row r="23" spans="3:8" x14ac:dyDescent="0.35">
      <c r="C23" s="97" t="s">
        <v>156</v>
      </c>
      <c r="D23" s="135">
        <v>-1.3699999999999999E-3</v>
      </c>
      <c r="E23" s="103"/>
      <c r="F23" s="113"/>
      <c r="G23" s="10">
        <f>$D$23</f>
        <v>-1.3699999999999999E-3</v>
      </c>
      <c r="H23" s="103"/>
    </row>
    <row r="24" spans="3:8" x14ac:dyDescent="0.35">
      <c r="C24" s="97" t="s">
        <v>157</v>
      </c>
      <c r="D24" s="135">
        <v>1.2319999999999999E-2</v>
      </c>
      <c r="E24" s="103"/>
      <c r="F24" s="113"/>
      <c r="G24" s="10">
        <f>$D$24</f>
        <v>1.2319999999999999E-2</v>
      </c>
      <c r="H24" s="103"/>
    </row>
    <row r="25" spans="3:8" x14ac:dyDescent="0.35">
      <c r="C25" s="97" t="s">
        <v>158</v>
      </c>
      <c r="D25" s="135">
        <v>1.77E-2</v>
      </c>
      <c r="E25" s="103"/>
      <c r="F25" s="113"/>
      <c r="G25" s="10">
        <f>$D$25</f>
        <v>1.77E-2</v>
      </c>
      <c r="H25" s="103"/>
    </row>
    <row r="26" spans="3:8" x14ac:dyDescent="0.35">
      <c r="C26" s="97" t="s">
        <v>137</v>
      </c>
      <c r="D26" s="116">
        <f>SUM(D17:D25)</f>
        <v>0.46938000000000002</v>
      </c>
      <c r="E26" s="103">
        <f>ROUND(D26*D$8,2)</f>
        <v>30.04</v>
      </c>
      <c r="F26" s="113"/>
      <c r="G26" s="116">
        <f>SUM(G17:G25)</f>
        <v>0.46938000000000002</v>
      </c>
      <c r="H26" s="103">
        <f>ROUND(G26*G$8,2)</f>
        <v>30.04</v>
      </c>
    </row>
    <row r="28" spans="3:8" x14ac:dyDescent="0.35">
      <c r="C28" s="97" t="s">
        <v>159</v>
      </c>
      <c r="D28" s="135">
        <f>'Schedule 120'!$D$9</f>
        <v>2.179E-2</v>
      </c>
      <c r="E28" s="103">
        <f>ROUND(D28*D$8,2)</f>
        <v>1.39</v>
      </c>
      <c r="F28" s="113"/>
      <c r="G28" s="115">
        <f>'Schedule 120'!$E$9</f>
        <v>2.019E-2</v>
      </c>
      <c r="H28" s="103">
        <f>ROUND(G28*G$8,2)</f>
        <v>1.29</v>
      </c>
    </row>
    <row r="29" spans="3:8" x14ac:dyDescent="0.35">
      <c r="D29" s="114"/>
      <c r="E29" s="103"/>
      <c r="F29" s="113"/>
      <c r="G29" s="114"/>
      <c r="H29" s="103"/>
    </row>
    <row r="30" spans="3:8" x14ac:dyDescent="0.35">
      <c r="C30" s="97" t="s">
        <v>160</v>
      </c>
      <c r="D30" s="135">
        <v>0.38129000000000002</v>
      </c>
      <c r="E30" s="103"/>
      <c r="F30" s="113"/>
      <c r="G30" s="10">
        <f>$D$30</f>
        <v>0.38129000000000002</v>
      </c>
      <c r="H30" s="103"/>
    </row>
    <row r="31" spans="3:8" x14ac:dyDescent="0.35">
      <c r="C31" s="97" t="s">
        <v>161</v>
      </c>
      <c r="D31" s="135">
        <v>4.827E-2</v>
      </c>
      <c r="E31" s="103"/>
      <c r="F31" s="113"/>
      <c r="G31" s="10">
        <f>$D$31</f>
        <v>4.827E-2</v>
      </c>
      <c r="H31" s="103"/>
    </row>
    <row r="32" spans="3:8" x14ac:dyDescent="0.35">
      <c r="C32" s="97" t="s">
        <v>137</v>
      </c>
      <c r="D32" s="116">
        <f>SUM(D30:D31)</f>
        <v>0.42956</v>
      </c>
      <c r="E32" s="103">
        <f>ROUND(D32*D$8,2)</f>
        <v>27.49</v>
      </c>
      <c r="F32" s="113"/>
      <c r="G32" s="116">
        <f>SUM(G30:G31)</f>
        <v>0.42956</v>
      </c>
      <c r="H32" s="103">
        <f>ROUND(G32*G$8,2)</f>
        <v>27.49</v>
      </c>
    </row>
    <row r="33" spans="2:8" x14ac:dyDescent="0.35">
      <c r="C33" s="97" t="s">
        <v>162</v>
      </c>
      <c r="D33" s="116">
        <f>D26+D28+D32</f>
        <v>0.92073000000000005</v>
      </c>
      <c r="E33" s="117">
        <f>SUM(E26,E28,E32)</f>
        <v>58.92</v>
      </c>
      <c r="F33" s="118"/>
      <c r="G33" s="116">
        <f>G26+G28+G32</f>
        <v>0.91913</v>
      </c>
      <c r="H33" s="117">
        <f>SUM(H26,H28,H32)</f>
        <v>58.819999999999993</v>
      </c>
    </row>
    <row r="34" spans="2:8" x14ac:dyDescent="0.35">
      <c r="E34" s="103"/>
      <c r="H34" s="103"/>
    </row>
    <row r="35" spans="2:8" x14ac:dyDescent="0.35">
      <c r="B35" s="97" t="s">
        <v>163</v>
      </c>
      <c r="D35" s="106"/>
      <c r="E35" s="103">
        <f>E14+E33</f>
        <v>70.44</v>
      </c>
      <c r="F35" s="108"/>
      <c r="G35" s="106"/>
      <c r="H35" s="103">
        <f>H14+H33</f>
        <v>70.339999999999989</v>
      </c>
    </row>
    <row r="36" spans="2:8" x14ac:dyDescent="0.35">
      <c r="B36" s="97" t="s">
        <v>164</v>
      </c>
      <c r="D36" s="106"/>
      <c r="E36" s="103"/>
      <c r="F36" s="108"/>
      <c r="G36" s="106"/>
      <c r="H36" s="103">
        <f>H35-$E35</f>
        <v>-0.10000000000000853</v>
      </c>
    </row>
    <row r="37" spans="2:8" x14ac:dyDescent="0.35">
      <c r="B37" s="97" t="s">
        <v>165</v>
      </c>
      <c r="D37" s="119"/>
      <c r="E37" s="119"/>
      <c r="F37" s="120"/>
      <c r="G37" s="119"/>
      <c r="H37" s="121">
        <f>H36/$E35</f>
        <v>-1.4196479273141471E-3</v>
      </c>
    </row>
    <row r="38" spans="2:8" x14ac:dyDescent="0.35">
      <c r="E38" s="103"/>
    </row>
    <row r="39" spans="2:8" x14ac:dyDescent="0.35">
      <c r="B39" s="97" t="s">
        <v>166</v>
      </c>
      <c r="D39" s="114">
        <f>D26+D28</f>
        <v>0.49117</v>
      </c>
      <c r="E39" s="103"/>
      <c r="F39" s="118"/>
      <c r="G39" s="114">
        <f>G26+G28</f>
        <v>0.48957000000000001</v>
      </c>
    </row>
    <row r="41" spans="2:8" ht="16.5" x14ac:dyDescent="0.35">
      <c r="B41" s="122" t="s">
        <v>167</v>
      </c>
    </row>
    <row r="42" spans="2:8" x14ac:dyDescent="0.35">
      <c r="C42" s="122"/>
      <c r="D42" s="122"/>
      <c r="E42" s="122"/>
      <c r="F42" s="123"/>
      <c r="G42" s="123"/>
      <c r="H42" s="123"/>
    </row>
    <row r="47" spans="2:8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3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activeCell="E9" sqref="E9:E15"/>
    </sheetView>
  </sheetViews>
  <sheetFormatPr defaultColWidth="8.7265625" defaultRowHeight="14.5" x14ac:dyDescent="0.35"/>
  <cols>
    <col min="1" max="1" width="31.1796875" style="4" customWidth="1"/>
    <col min="2" max="2" width="8.7265625" style="4"/>
    <col min="3" max="3" width="18.54296875" style="4" bestFit="1" customWidth="1"/>
    <col min="4" max="5" width="13.7265625" style="4" customWidth="1"/>
    <col min="6" max="8" width="14.453125" style="4" customWidth="1"/>
    <col min="9" max="9" width="8.26953125" style="4" customWidth="1"/>
    <col min="10" max="16384" width="8.7265625" style="4"/>
  </cols>
  <sheetData>
    <row r="1" spans="1:9" x14ac:dyDescent="0.35">
      <c r="A1" s="137" t="s">
        <v>12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35">
      <c r="A2" s="137" t="s">
        <v>168</v>
      </c>
      <c r="B2" s="137"/>
      <c r="C2" s="137"/>
      <c r="D2" s="137"/>
      <c r="E2" s="137"/>
      <c r="F2" s="137"/>
      <c r="G2" s="137"/>
      <c r="H2" s="137"/>
      <c r="I2" s="137"/>
    </row>
    <row r="3" spans="1:9" x14ac:dyDescent="0.35">
      <c r="A3" s="137" t="s">
        <v>169</v>
      </c>
      <c r="B3" s="137"/>
      <c r="C3" s="137"/>
      <c r="D3" s="137"/>
      <c r="E3" s="137"/>
      <c r="F3" s="137"/>
      <c r="G3" s="137"/>
      <c r="H3" s="137"/>
      <c r="I3" s="137"/>
    </row>
    <row r="4" spans="1:9" x14ac:dyDescent="0.35">
      <c r="A4" s="137" t="s">
        <v>74</v>
      </c>
      <c r="B4" s="137"/>
      <c r="C4" s="137"/>
      <c r="D4" s="137"/>
      <c r="E4" s="137"/>
      <c r="F4" s="137"/>
      <c r="G4" s="137"/>
      <c r="H4" s="137"/>
      <c r="I4" s="137"/>
    </row>
    <row r="5" spans="1:9" x14ac:dyDescent="0.35">
      <c r="D5" s="52"/>
      <c r="E5" s="52"/>
    </row>
    <row r="6" spans="1:9" x14ac:dyDescent="0.35">
      <c r="A6" s="20"/>
      <c r="B6" s="20"/>
      <c r="C6" s="20" t="s">
        <v>13</v>
      </c>
      <c r="D6" s="20" t="s">
        <v>170</v>
      </c>
      <c r="E6" s="20" t="s">
        <v>171</v>
      </c>
      <c r="F6" s="124" t="s">
        <v>13</v>
      </c>
      <c r="G6" s="124" t="s">
        <v>13</v>
      </c>
      <c r="H6" s="20" t="s">
        <v>85</v>
      </c>
      <c r="I6" s="20"/>
    </row>
    <row r="7" spans="1:9" x14ac:dyDescent="0.35">
      <c r="A7" s="20"/>
      <c r="B7" s="20" t="s">
        <v>79</v>
      </c>
      <c r="C7" s="20" t="s">
        <v>172</v>
      </c>
      <c r="D7" s="20" t="s">
        <v>85</v>
      </c>
      <c r="E7" s="20" t="s">
        <v>85</v>
      </c>
      <c r="F7" s="124" t="s">
        <v>94</v>
      </c>
      <c r="G7" s="124" t="s">
        <v>94</v>
      </c>
      <c r="H7" s="20" t="s">
        <v>94</v>
      </c>
      <c r="I7" s="20" t="s">
        <v>29</v>
      </c>
    </row>
    <row r="8" spans="1:9" x14ac:dyDescent="0.35">
      <c r="A8" s="21" t="s">
        <v>95</v>
      </c>
      <c r="B8" s="21" t="s">
        <v>4</v>
      </c>
      <c r="C8" s="134" t="str">
        <f>Allocation!D9</f>
        <v>May 2021 - Apr 2022</v>
      </c>
      <c r="D8" s="21" t="s">
        <v>145</v>
      </c>
      <c r="E8" s="21" t="s">
        <v>145</v>
      </c>
      <c r="F8" s="100" t="s">
        <v>141</v>
      </c>
      <c r="G8" s="100" t="s">
        <v>49</v>
      </c>
      <c r="H8" s="21" t="s">
        <v>102</v>
      </c>
      <c r="I8" s="21" t="s">
        <v>102</v>
      </c>
    </row>
    <row r="9" spans="1:9" x14ac:dyDescent="0.35">
      <c r="A9" s="4" t="s">
        <v>22</v>
      </c>
      <c r="B9" s="5" t="s">
        <v>123</v>
      </c>
      <c r="C9" s="17">
        <f>Allocation!D11</f>
        <v>626377148</v>
      </c>
      <c r="D9" s="125">
        <v>2.179E-2</v>
      </c>
      <c r="E9" s="133">
        <f>Rates!$H$22</f>
        <v>2.019E-2</v>
      </c>
      <c r="F9" s="68">
        <f>C9*D9</f>
        <v>13648758.054920001</v>
      </c>
      <c r="G9" s="68">
        <f>C9*E9</f>
        <v>12646554.61812</v>
      </c>
      <c r="H9" s="26">
        <f>G9-F9</f>
        <v>-1002203.4368000012</v>
      </c>
      <c r="I9" s="126">
        <f>H9/F9</f>
        <v>-7.3428178063331892E-2</v>
      </c>
    </row>
    <row r="10" spans="1:9" x14ac:dyDescent="0.35">
      <c r="A10" s="4" t="s">
        <v>124</v>
      </c>
      <c r="B10" s="5">
        <v>16</v>
      </c>
      <c r="C10" s="127">
        <f>Allocation!D12</f>
        <v>8999</v>
      </c>
      <c r="D10" s="125">
        <v>2.179E-2</v>
      </c>
      <c r="E10" s="133">
        <f>Rates!$H$22</f>
        <v>2.019E-2</v>
      </c>
      <c r="F10" s="68">
        <f t="shared" ref="F10:F15" si="0">C10*D10</f>
        <v>196.08821</v>
      </c>
      <c r="G10" s="68">
        <f t="shared" ref="G10:G15" si="1">C10*E10</f>
        <v>181.68980999999999</v>
      </c>
      <c r="H10" s="26">
        <f t="shared" ref="H10:H15" si="2">G10-F10</f>
        <v>-14.398400000000009</v>
      </c>
      <c r="I10" s="126">
        <f t="shared" ref="I10:I16" si="3">H10/F10</f>
        <v>-7.342817806333185E-2</v>
      </c>
    </row>
    <row r="11" spans="1:9" x14ac:dyDescent="0.35">
      <c r="A11" s="4" t="s">
        <v>24</v>
      </c>
      <c r="B11" s="5">
        <v>31</v>
      </c>
      <c r="C11" s="17">
        <f>Allocation!D14</f>
        <v>232667656</v>
      </c>
      <c r="D11" s="125">
        <v>2.179E-2</v>
      </c>
      <c r="E11" s="133">
        <f>Rates!$H$22</f>
        <v>2.019E-2</v>
      </c>
      <c r="F11" s="68">
        <f t="shared" si="0"/>
        <v>5069828.2242400004</v>
      </c>
      <c r="G11" s="68">
        <f t="shared" si="1"/>
        <v>4697559.9746399997</v>
      </c>
      <c r="H11" s="26">
        <f t="shared" si="2"/>
        <v>-372268.24960000068</v>
      </c>
      <c r="I11" s="126">
        <f t="shared" si="3"/>
        <v>-7.3428178063331934E-2</v>
      </c>
    </row>
    <row r="12" spans="1:9" x14ac:dyDescent="0.35">
      <c r="A12" s="4" t="s">
        <v>45</v>
      </c>
      <c r="B12" s="5">
        <v>41</v>
      </c>
      <c r="C12" s="17">
        <f>Allocation!D15</f>
        <v>64505965</v>
      </c>
      <c r="D12" s="125">
        <v>2.179E-2</v>
      </c>
      <c r="E12" s="133">
        <f>Rates!$H$22</f>
        <v>2.019E-2</v>
      </c>
      <c r="F12" s="68">
        <f t="shared" si="0"/>
        <v>1405584.9773500001</v>
      </c>
      <c r="G12" s="68">
        <f t="shared" si="1"/>
        <v>1302375.4333500001</v>
      </c>
      <c r="H12" s="26">
        <f t="shared" si="2"/>
        <v>-103209.54399999999</v>
      </c>
      <c r="I12" s="126">
        <f t="shared" si="3"/>
        <v>-7.3428178063331795E-2</v>
      </c>
    </row>
    <row r="13" spans="1:9" x14ac:dyDescent="0.35">
      <c r="A13" s="4" t="s">
        <v>25</v>
      </c>
      <c r="B13" s="5">
        <v>85</v>
      </c>
      <c r="C13" s="17">
        <f>Allocation!D18</f>
        <v>9717323</v>
      </c>
      <c r="D13" s="125">
        <v>1.83E-2</v>
      </c>
      <c r="E13" s="133">
        <f>Rates!$H$23</f>
        <v>1.678E-2</v>
      </c>
      <c r="F13" s="68">
        <f t="shared" si="0"/>
        <v>177827.01089999999</v>
      </c>
      <c r="G13" s="68">
        <f t="shared" si="1"/>
        <v>163056.67994</v>
      </c>
      <c r="H13" s="26">
        <f t="shared" si="2"/>
        <v>-14770.330959999992</v>
      </c>
      <c r="I13" s="126">
        <f t="shared" si="3"/>
        <v>-8.3060109289617448E-2</v>
      </c>
    </row>
    <row r="14" spans="1:9" x14ac:dyDescent="0.35">
      <c r="A14" s="4" t="s">
        <v>26</v>
      </c>
      <c r="B14" s="5">
        <v>86</v>
      </c>
      <c r="C14" s="17">
        <f>Allocation!D19</f>
        <v>4551465</v>
      </c>
      <c r="D14" s="125">
        <v>1.83E-2</v>
      </c>
      <c r="E14" s="133">
        <f>Rates!$H$23</f>
        <v>1.678E-2</v>
      </c>
      <c r="F14" s="68">
        <f t="shared" si="0"/>
        <v>83291.809500000003</v>
      </c>
      <c r="G14" s="68">
        <f t="shared" si="1"/>
        <v>76373.582699999999</v>
      </c>
      <c r="H14" s="26">
        <f t="shared" si="2"/>
        <v>-6918.226800000004</v>
      </c>
      <c r="I14" s="126">
        <f t="shared" si="3"/>
        <v>-8.3060109289617531E-2</v>
      </c>
    </row>
    <row r="15" spans="1:9" x14ac:dyDescent="0.35">
      <c r="A15" s="4" t="s">
        <v>27</v>
      </c>
      <c r="B15" s="5">
        <v>87</v>
      </c>
      <c r="C15" s="17">
        <f>Allocation!D20</f>
        <v>14248694</v>
      </c>
      <c r="D15" s="125">
        <v>1.83E-2</v>
      </c>
      <c r="E15" s="133">
        <f>Rates!$H$23</f>
        <v>1.678E-2</v>
      </c>
      <c r="F15" s="68">
        <f t="shared" si="0"/>
        <v>260751.10020000002</v>
      </c>
      <c r="G15" s="68">
        <f t="shared" si="1"/>
        <v>239093.08531999998</v>
      </c>
      <c r="H15" s="26">
        <f t="shared" si="2"/>
        <v>-21658.014880000032</v>
      </c>
      <c r="I15" s="126">
        <f t="shared" si="3"/>
        <v>-8.3060109289617601E-2</v>
      </c>
    </row>
    <row r="16" spans="1:9" x14ac:dyDescent="0.35">
      <c r="A16" s="4" t="s">
        <v>3</v>
      </c>
      <c r="C16" s="7">
        <f>SUM(C9:C15)</f>
        <v>952077250</v>
      </c>
      <c r="D16" s="128"/>
      <c r="E16" s="128"/>
      <c r="F16" s="73">
        <f>SUM(F9:F15)</f>
        <v>20646237.265320003</v>
      </c>
      <c r="G16" s="73">
        <f>SUM(G9:G15)</f>
        <v>19125195.06388</v>
      </c>
      <c r="H16" s="38">
        <f>SUM(H9:H15)</f>
        <v>-1521042.2014400018</v>
      </c>
      <c r="I16" s="129">
        <f t="shared" si="3"/>
        <v>-7.3671642047577077E-2</v>
      </c>
    </row>
    <row r="17" spans="1:9" x14ac:dyDescent="0.35">
      <c r="A17" s="99"/>
      <c r="B17" s="130"/>
      <c r="C17" s="131"/>
      <c r="D17" s="132"/>
      <c r="E17" s="132"/>
      <c r="F17" s="132"/>
      <c r="G17" s="132"/>
      <c r="H17" s="119"/>
      <c r="I17" s="9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workbookViewId="0">
      <selection activeCell="E11" sqref="E11"/>
    </sheetView>
  </sheetViews>
  <sheetFormatPr defaultRowHeight="14.5" x14ac:dyDescent="0.35"/>
  <cols>
    <col min="1" max="1" width="4.7265625" style="4" customWidth="1"/>
    <col min="2" max="2" width="52" style="4" customWidth="1"/>
    <col min="3" max="3" width="12.7265625" style="4" bestFit="1" customWidth="1"/>
    <col min="4" max="4" width="11.08984375" style="4" customWidth="1"/>
    <col min="5" max="5" width="16.26953125" style="4" customWidth="1"/>
    <col min="6" max="6" width="8.7265625" style="4"/>
    <col min="7" max="7" width="11.6328125" style="4" bestFit="1" customWidth="1"/>
    <col min="8" max="16384" width="8.7265625" style="4"/>
  </cols>
  <sheetData>
    <row r="1" spans="1:7" x14ac:dyDescent="0.35">
      <c r="A1" s="141" t="s">
        <v>12</v>
      </c>
      <c r="B1" s="141"/>
      <c r="C1" s="141"/>
      <c r="D1" s="141"/>
      <c r="E1" s="141"/>
    </row>
    <row r="2" spans="1:7" x14ac:dyDescent="0.35">
      <c r="A2" s="141" t="str">
        <f>Rates!B2</f>
        <v>2021 Gas Schedule 120 Conservation Filing</v>
      </c>
      <c r="B2" s="141"/>
      <c r="C2" s="141"/>
      <c r="D2" s="141"/>
      <c r="E2" s="141"/>
    </row>
    <row r="3" spans="1:7" x14ac:dyDescent="0.35">
      <c r="A3" s="141" t="s">
        <v>5</v>
      </c>
      <c r="B3" s="141"/>
      <c r="C3" s="141"/>
      <c r="D3" s="141"/>
      <c r="E3" s="141"/>
    </row>
    <row r="4" spans="1:7" x14ac:dyDescent="0.35">
      <c r="A4" s="141" t="str">
        <f>Rates!B4</f>
        <v>Proposed Effective May 1, 2021</v>
      </c>
      <c r="B4" s="141"/>
      <c r="C4" s="141"/>
      <c r="D4" s="141"/>
      <c r="E4" s="141"/>
    </row>
    <row r="5" spans="1:7" s="40" customFormat="1" x14ac:dyDescent="0.35"/>
    <row r="6" spans="1:7" ht="29" x14ac:dyDescent="0.35">
      <c r="A6" s="42" t="s">
        <v>6</v>
      </c>
      <c r="B6" s="42" t="s">
        <v>7</v>
      </c>
      <c r="C6" s="42" t="s">
        <v>8</v>
      </c>
      <c r="D6" s="42" t="s">
        <v>9</v>
      </c>
      <c r="E6" s="42" t="s">
        <v>10</v>
      </c>
    </row>
    <row r="7" spans="1:7" x14ac:dyDescent="0.35">
      <c r="A7" s="40"/>
      <c r="B7" s="19" t="s">
        <v>56</v>
      </c>
      <c r="C7" s="43" t="s">
        <v>57</v>
      </c>
      <c r="D7" s="19" t="s">
        <v>58</v>
      </c>
      <c r="E7" s="43" t="s">
        <v>59</v>
      </c>
    </row>
    <row r="8" spans="1:7" x14ac:dyDescent="0.35">
      <c r="A8" s="23">
        <v>1</v>
      </c>
      <c r="B8" s="44" t="s">
        <v>71</v>
      </c>
      <c r="C8" s="45">
        <v>19432108.964582089</v>
      </c>
      <c r="D8" s="46">
        <v>0.95455299999999998</v>
      </c>
      <c r="E8" s="41">
        <f>+C8/D8</f>
        <v>20357286.567201704</v>
      </c>
    </row>
    <row r="9" spans="1:7" x14ac:dyDescent="0.35">
      <c r="A9" s="23"/>
      <c r="B9" s="44"/>
      <c r="C9" s="41"/>
      <c r="D9" s="40"/>
      <c r="E9" s="41"/>
    </row>
    <row r="10" spans="1:7" x14ac:dyDescent="0.35">
      <c r="A10" s="23">
        <v>2</v>
      </c>
      <c r="B10" s="15" t="s">
        <v>67</v>
      </c>
      <c r="C10" s="47">
        <v>-1172021.170869994</v>
      </c>
      <c r="D10" s="46">
        <v>0.95455299999999998</v>
      </c>
      <c r="E10" s="48">
        <f>+C10/D10</f>
        <v>-1227821.9971756351</v>
      </c>
    </row>
    <row r="11" spans="1:7" x14ac:dyDescent="0.35">
      <c r="A11" s="23"/>
      <c r="B11" s="23"/>
      <c r="C11" s="41"/>
      <c r="D11" s="40"/>
      <c r="E11" s="41"/>
    </row>
    <row r="12" spans="1:7" ht="15" thickBot="1" x14ac:dyDescent="0.4">
      <c r="A12" s="23">
        <v>3</v>
      </c>
      <c r="B12" s="16" t="s">
        <v>11</v>
      </c>
      <c r="C12" s="49">
        <f>SUM(C8:C10)</f>
        <v>18260087.793712094</v>
      </c>
      <c r="D12" s="40"/>
      <c r="E12" s="49">
        <f>SUM(E8:E10)</f>
        <v>19129464.57002607</v>
      </c>
    </row>
    <row r="13" spans="1:7" ht="15" thickTop="1" x14ac:dyDescent="0.35">
      <c r="C13" s="26"/>
      <c r="E13" s="26"/>
      <c r="G13" s="26"/>
    </row>
    <row r="14" spans="1:7" x14ac:dyDescent="0.35">
      <c r="C14" s="26"/>
      <c r="E14" s="26"/>
    </row>
    <row r="15" spans="1:7" x14ac:dyDescent="0.35">
      <c r="C15" s="26"/>
      <c r="E15" s="26"/>
    </row>
    <row r="16" spans="1:7" x14ac:dyDescent="0.35">
      <c r="C16" s="26"/>
      <c r="E16" s="26"/>
    </row>
    <row r="17" spans="3:3" x14ac:dyDescent="0.35">
      <c r="C17" s="26"/>
    </row>
    <row r="18" spans="3:3" x14ac:dyDescent="0.35">
      <c r="C18" s="26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="80" zoomScaleNormal="80" workbookViewId="0">
      <selection activeCell="B7" sqref="B7"/>
    </sheetView>
  </sheetViews>
  <sheetFormatPr defaultColWidth="9.08984375" defaultRowHeight="14.5" x14ac:dyDescent="0.35"/>
  <cols>
    <col min="1" max="1" width="19.90625" style="4" customWidth="1"/>
    <col min="2" max="13" width="13.36328125" style="4" customWidth="1"/>
    <col min="14" max="14" width="13.90625" style="4" customWidth="1"/>
    <col min="15" max="16384" width="9.08984375" style="4"/>
  </cols>
  <sheetData>
    <row r="1" spans="1:18" x14ac:dyDescent="0.35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8" x14ac:dyDescent="0.35">
      <c r="A2" s="137" t="str">
        <f>Rates!B2</f>
        <v>2021 Gas Schedule 120 Conservation Filing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8" x14ac:dyDescent="0.35">
      <c r="A3" s="137" t="s">
        <v>66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8" x14ac:dyDescent="0.35">
      <c r="A4" s="142" t="str">
        <f>TEXT(B7,"Mmm YYYY - ")&amp;TEXT(M7,"Mmmm YYYY")</f>
        <v>May 2021 - April 2022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8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8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8" x14ac:dyDescent="0.35">
      <c r="A7" s="4" t="s">
        <v>4</v>
      </c>
      <c r="B7" s="55">
        <v>44317</v>
      </c>
      <c r="C7" s="50">
        <f>EDATE(B7,1)</f>
        <v>44348</v>
      </c>
      <c r="D7" s="50">
        <f t="shared" ref="D7:M7" si="0">EDATE(C7,1)</f>
        <v>44378</v>
      </c>
      <c r="E7" s="50">
        <f t="shared" si="0"/>
        <v>44409</v>
      </c>
      <c r="F7" s="50">
        <f t="shared" si="0"/>
        <v>44440</v>
      </c>
      <c r="G7" s="50">
        <f t="shared" si="0"/>
        <v>44470</v>
      </c>
      <c r="H7" s="50">
        <f t="shared" si="0"/>
        <v>44501</v>
      </c>
      <c r="I7" s="50">
        <f t="shared" si="0"/>
        <v>44531</v>
      </c>
      <c r="J7" s="50">
        <f t="shared" si="0"/>
        <v>44562</v>
      </c>
      <c r="K7" s="50">
        <f t="shared" si="0"/>
        <v>44593</v>
      </c>
      <c r="L7" s="50">
        <f t="shared" si="0"/>
        <v>44621</v>
      </c>
      <c r="M7" s="50">
        <f t="shared" si="0"/>
        <v>44652</v>
      </c>
      <c r="N7" s="21" t="s">
        <v>3</v>
      </c>
    </row>
    <row r="8" spans="1:18" x14ac:dyDescent="0.35">
      <c r="A8" s="5">
        <v>16</v>
      </c>
      <c r="B8" s="54">
        <v>619</v>
      </c>
      <c r="C8" s="54">
        <v>605</v>
      </c>
      <c r="D8" s="54">
        <v>793</v>
      </c>
      <c r="E8" s="54">
        <v>843</v>
      </c>
      <c r="F8" s="54">
        <v>891</v>
      </c>
      <c r="G8" s="54">
        <v>857</v>
      </c>
      <c r="H8" s="54">
        <v>745</v>
      </c>
      <c r="I8" s="54">
        <v>856</v>
      </c>
      <c r="J8" s="54">
        <v>811</v>
      </c>
      <c r="K8" s="54">
        <v>593</v>
      </c>
      <c r="L8" s="54">
        <v>732</v>
      </c>
      <c r="M8" s="54">
        <v>654</v>
      </c>
      <c r="N8" s="6">
        <f t="shared" ref="N8:N21" si="1">SUM(B8:M8)</f>
        <v>8999</v>
      </c>
      <c r="R8" s="6"/>
    </row>
    <row r="9" spans="1:18" x14ac:dyDescent="0.35">
      <c r="A9" s="5">
        <v>23</v>
      </c>
      <c r="B9" s="54">
        <v>34938725</v>
      </c>
      <c r="C9" s="54">
        <v>21501725</v>
      </c>
      <c r="D9" s="54">
        <v>15475986</v>
      </c>
      <c r="E9" s="54">
        <v>14257580</v>
      </c>
      <c r="F9" s="54">
        <v>17773002</v>
      </c>
      <c r="G9" s="54">
        <v>38517907</v>
      </c>
      <c r="H9" s="54">
        <v>70573397</v>
      </c>
      <c r="I9" s="54">
        <v>99800088</v>
      </c>
      <c r="J9" s="54">
        <v>98358872</v>
      </c>
      <c r="K9" s="54">
        <v>82956080</v>
      </c>
      <c r="L9" s="54">
        <v>77662767</v>
      </c>
      <c r="M9" s="54">
        <v>54561019</v>
      </c>
      <c r="N9" s="6">
        <f t="shared" si="1"/>
        <v>626377148</v>
      </c>
      <c r="R9" s="6"/>
    </row>
    <row r="10" spans="1:18" x14ac:dyDescent="0.35">
      <c r="A10" s="5">
        <v>53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6">
        <f t="shared" si="1"/>
        <v>0</v>
      </c>
      <c r="R10" s="6"/>
    </row>
    <row r="11" spans="1:18" x14ac:dyDescent="0.35">
      <c r="A11" s="5">
        <v>31</v>
      </c>
      <c r="B11" s="54">
        <v>14608131</v>
      </c>
      <c r="C11" s="54">
        <v>10748127</v>
      </c>
      <c r="D11" s="54">
        <v>8675782</v>
      </c>
      <c r="E11" s="54">
        <v>8864324</v>
      </c>
      <c r="F11" s="54">
        <v>9414380</v>
      </c>
      <c r="G11" s="54">
        <v>15330016</v>
      </c>
      <c r="H11" s="54">
        <v>23861847</v>
      </c>
      <c r="I11" s="54">
        <v>32759960</v>
      </c>
      <c r="J11" s="54">
        <v>33064232</v>
      </c>
      <c r="K11" s="54">
        <v>28419815</v>
      </c>
      <c r="L11" s="54">
        <v>26816131</v>
      </c>
      <c r="M11" s="54">
        <v>20104911</v>
      </c>
      <c r="N11" s="6">
        <f t="shared" si="1"/>
        <v>232667656</v>
      </c>
      <c r="R11" s="6"/>
    </row>
    <row r="12" spans="1:18" x14ac:dyDescent="0.35">
      <c r="A12" s="5">
        <v>41</v>
      </c>
      <c r="B12" s="54">
        <v>4766458</v>
      </c>
      <c r="C12" s="54">
        <v>4032897</v>
      </c>
      <c r="D12" s="54">
        <v>3374428</v>
      </c>
      <c r="E12" s="54">
        <v>3101846</v>
      </c>
      <c r="F12" s="54">
        <v>3328718</v>
      </c>
      <c r="G12" s="54">
        <v>4986495</v>
      </c>
      <c r="H12" s="54">
        <v>6396959</v>
      </c>
      <c r="I12" s="54">
        <v>7685902</v>
      </c>
      <c r="J12" s="54">
        <v>7601529</v>
      </c>
      <c r="K12" s="54">
        <v>6827632</v>
      </c>
      <c r="L12" s="54">
        <v>6742262</v>
      </c>
      <c r="M12" s="54">
        <v>5660839</v>
      </c>
      <c r="N12" s="6">
        <f t="shared" si="1"/>
        <v>64505965</v>
      </c>
      <c r="R12" s="6"/>
    </row>
    <row r="13" spans="1:18" x14ac:dyDescent="0.35">
      <c r="A13" s="5">
        <v>85</v>
      </c>
      <c r="B13" s="54">
        <v>780959</v>
      </c>
      <c r="C13" s="54">
        <v>562486</v>
      </c>
      <c r="D13" s="54">
        <v>528197</v>
      </c>
      <c r="E13" s="54">
        <v>522826</v>
      </c>
      <c r="F13" s="54">
        <v>512346</v>
      </c>
      <c r="G13" s="54">
        <v>544180</v>
      </c>
      <c r="H13" s="54">
        <v>874871</v>
      </c>
      <c r="I13" s="54">
        <v>1050437</v>
      </c>
      <c r="J13" s="54">
        <v>1205906</v>
      </c>
      <c r="K13" s="54">
        <v>1075360</v>
      </c>
      <c r="L13" s="54">
        <v>1077629</v>
      </c>
      <c r="M13" s="54">
        <v>982126</v>
      </c>
      <c r="N13" s="6">
        <f t="shared" si="1"/>
        <v>9717323</v>
      </c>
      <c r="R13" s="6"/>
    </row>
    <row r="14" spans="1:18" x14ac:dyDescent="0.35">
      <c r="A14" s="5">
        <v>86</v>
      </c>
      <c r="B14" s="54">
        <v>432431</v>
      </c>
      <c r="C14" s="54">
        <v>270483</v>
      </c>
      <c r="D14" s="54">
        <v>149193</v>
      </c>
      <c r="E14" s="54">
        <v>103627</v>
      </c>
      <c r="F14" s="54">
        <v>124933</v>
      </c>
      <c r="G14" s="54">
        <v>242604</v>
      </c>
      <c r="H14" s="54">
        <v>413721</v>
      </c>
      <c r="I14" s="54">
        <v>587578</v>
      </c>
      <c r="J14" s="54">
        <v>592557</v>
      </c>
      <c r="K14" s="54">
        <v>540889</v>
      </c>
      <c r="L14" s="54">
        <v>566054</v>
      </c>
      <c r="M14" s="54">
        <v>527395</v>
      </c>
      <c r="N14" s="6">
        <f t="shared" si="1"/>
        <v>4551465</v>
      </c>
      <c r="R14" s="6"/>
    </row>
    <row r="15" spans="1:18" x14ac:dyDescent="0.35">
      <c r="A15" s="5">
        <v>87</v>
      </c>
      <c r="B15" s="54">
        <v>1152303</v>
      </c>
      <c r="C15" s="54">
        <v>805416</v>
      </c>
      <c r="D15" s="54">
        <v>789650</v>
      </c>
      <c r="E15" s="54">
        <v>774985</v>
      </c>
      <c r="F15" s="54">
        <v>782465</v>
      </c>
      <c r="G15" s="54">
        <v>1062362</v>
      </c>
      <c r="H15" s="54">
        <v>1385968</v>
      </c>
      <c r="I15" s="54">
        <v>1719523</v>
      </c>
      <c r="J15" s="54">
        <v>1688839</v>
      </c>
      <c r="K15" s="54">
        <v>1433410</v>
      </c>
      <c r="L15" s="54">
        <v>1490563</v>
      </c>
      <c r="M15" s="54">
        <v>1163210</v>
      </c>
      <c r="N15" s="6">
        <f t="shared" si="1"/>
        <v>14248694</v>
      </c>
      <c r="R15" s="6"/>
    </row>
    <row r="16" spans="1:18" x14ac:dyDescent="0.35">
      <c r="A16" s="5" t="s">
        <v>52</v>
      </c>
      <c r="B16" s="54">
        <v>1373</v>
      </c>
      <c r="C16" s="54">
        <v>1122</v>
      </c>
      <c r="D16" s="54">
        <v>1027</v>
      </c>
      <c r="E16" s="54">
        <v>1182</v>
      </c>
      <c r="F16" s="54">
        <v>1326</v>
      </c>
      <c r="G16" s="54">
        <v>1972</v>
      </c>
      <c r="H16" s="54">
        <v>2439</v>
      </c>
      <c r="I16" s="54">
        <v>3479</v>
      </c>
      <c r="J16" s="54">
        <v>2699</v>
      </c>
      <c r="K16" s="54">
        <v>2189</v>
      </c>
      <c r="L16" s="54">
        <v>2140</v>
      </c>
      <c r="M16" s="54">
        <v>1662</v>
      </c>
      <c r="N16" s="6">
        <f t="shared" si="1"/>
        <v>22610</v>
      </c>
      <c r="R16" s="6"/>
    </row>
    <row r="17" spans="1:18" x14ac:dyDescent="0.35">
      <c r="A17" s="5" t="s">
        <v>0</v>
      </c>
      <c r="B17" s="54">
        <v>1985887</v>
      </c>
      <c r="C17" s="54">
        <v>1936401</v>
      </c>
      <c r="D17" s="54">
        <v>1771208</v>
      </c>
      <c r="E17" s="54">
        <v>1829959</v>
      </c>
      <c r="F17" s="54">
        <v>1758073</v>
      </c>
      <c r="G17" s="54">
        <v>1958044</v>
      </c>
      <c r="H17" s="54">
        <v>2045810</v>
      </c>
      <c r="I17" s="54">
        <v>2261888</v>
      </c>
      <c r="J17" s="54">
        <v>2271760</v>
      </c>
      <c r="K17" s="54">
        <v>2034924</v>
      </c>
      <c r="L17" s="54">
        <v>2236239</v>
      </c>
      <c r="M17" s="54">
        <v>2078119</v>
      </c>
      <c r="N17" s="6">
        <f t="shared" si="1"/>
        <v>24168312</v>
      </c>
      <c r="R17" s="6"/>
    </row>
    <row r="18" spans="1:18" x14ac:dyDescent="0.35">
      <c r="A18" s="5" t="s">
        <v>1</v>
      </c>
      <c r="B18" s="54">
        <v>6112186</v>
      </c>
      <c r="C18" s="54">
        <v>5822584</v>
      </c>
      <c r="D18" s="54">
        <v>5495243</v>
      </c>
      <c r="E18" s="54">
        <v>5815394</v>
      </c>
      <c r="F18" s="54">
        <v>5680544</v>
      </c>
      <c r="G18" s="54">
        <v>6102449</v>
      </c>
      <c r="H18" s="54">
        <v>6326376</v>
      </c>
      <c r="I18" s="54">
        <v>5961270</v>
      </c>
      <c r="J18" s="54">
        <v>6250197</v>
      </c>
      <c r="K18" s="54">
        <v>5739687</v>
      </c>
      <c r="L18" s="54">
        <v>6162468</v>
      </c>
      <c r="M18" s="54">
        <v>6548017</v>
      </c>
      <c r="N18" s="6">
        <f t="shared" si="1"/>
        <v>72016415</v>
      </c>
      <c r="R18" s="6"/>
    </row>
    <row r="19" spans="1:18" x14ac:dyDescent="0.35">
      <c r="A19" s="5" t="s">
        <v>46</v>
      </c>
      <c r="B19" s="54">
        <v>13997</v>
      </c>
      <c r="C19" s="54">
        <v>15002</v>
      </c>
      <c r="D19" s="54">
        <v>11959</v>
      </c>
      <c r="E19" s="54">
        <v>10855</v>
      </c>
      <c r="F19" s="54">
        <v>6726</v>
      </c>
      <c r="G19" s="54">
        <v>10510</v>
      </c>
      <c r="H19" s="54">
        <v>22518</v>
      </c>
      <c r="I19" s="54">
        <v>24333</v>
      </c>
      <c r="J19" s="54">
        <v>23697</v>
      </c>
      <c r="K19" s="54">
        <v>21729</v>
      </c>
      <c r="L19" s="54">
        <v>21506</v>
      </c>
      <c r="M19" s="54">
        <v>17592</v>
      </c>
      <c r="N19" s="6">
        <f t="shared" si="1"/>
        <v>200424</v>
      </c>
      <c r="R19" s="6"/>
    </row>
    <row r="20" spans="1:18" x14ac:dyDescent="0.35">
      <c r="A20" s="5" t="s">
        <v>2</v>
      </c>
      <c r="B20" s="54">
        <v>7792150</v>
      </c>
      <c r="C20" s="54">
        <v>7329495</v>
      </c>
      <c r="D20" s="54">
        <v>7958506</v>
      </c>
      <c r="E20" s="54">
        <v>7347866</v>
      </c>
      <c r="F20" s="54">
        <v>7297242</v>
      </c>
      <c r="G20" s="54">
        <v>7835761</v>
      </c>
      <c r="H20" s="54">
        <v>7108943</v>
      </c>
      <c r="I20" s="54">
        <v>8324277</v>
      </c>
      <c r="J20" s="54">
        <v>8205330</v>
      </c>
      <c r="K20" s="54">
        <v>7268522</v>
      </c>
      <c r="L20" s="54">
        <v>8214552</v>
      </c>
      <c r="M20" s="54">
        <v>7404432</v>
      </c>
      <c r="N20" s="6">
        <f t="shared" si="1"/>
        <v>92087076</v>
      </c>
      <c r="R20" s="6"/>
    </row>
    <row r="21" spans="1:18" x14ac:dyDescent="0.35">
      <c r="A21" s="5" t="s">
        <v>47</v>
      </c>
      <c r="B21" s="54">
        <v>2344167</v>
      </c>
      <c r="C21" s="54">
        <v>1952097</v>
      </c>
      <c r="D21" s="54">
        <v>1714220</v>
      </c>
      <c r="E21" s="54">
        <v>1707447</v>
      </c>
      <c r="F21" s="54">
        <v>1777317</v>
      </c>
      <c r="G21" s="54">
        <v>2358155</v>
      </c>
      <c r="H21" s="54">
        <v>3336235</v>
      </c>
      <c r="I21" s="54">
        <v>3936859</v>
      </c>
      <c r="J21" s="54">
        <v>3876393</v>
      </c>
      <c r="K21" s="54">
        <v>3369913</v>
      </c>
      <c r="L21" s="54">
        <v>3317320</v>
      </c>
      <c r="M21" s="54">
        <v>2750737</v>
      </c>
      <c r="N21" s="6">
        <f t="shared" si="1"/>
        <v>32440860</v>
      </c>
      <c r="R21" s="6"/>
    </row>
    <row r="22" spans="1:18" x14ac:dyDescent="0.35">
      <c r="A22" s="5" t="s">
        <v>3</v>
      </c>
      <c r="B22" s="7">
        <f>SUM(B8:B21)</f>
        <v>74929386</v>
      </c>
      <c r="C22" s="7">
        <f t="shared" ref="C22:M22" si="2">SUM(C8:C21)</f>
        <v>54978440</v>
      </c>
      <c r="D22" s="7">
        <f t="shared" si="2"/>
        <v>45946192</v>
      </c>
      <c r="E22" s="7">
        <f t="shared" si="2"/>
        <v>44338734</v>
      </c>
      <c r="F22" s="7">
        <f t="shared" si="2"/>
        <v>48457963</v>
      </c>
      <c r="G22" s="7">
        <f t="shared" si="2"/>
        <v>78951312</v>
      </c>
      <c r="H22" s="7">
        <f t="shared" si="2"/>
        <v>122349829</v>
      </c>
      <c r="I22" s="7">
        <f t="shared" si="2"/>
        <v>164116450</v>
      </c>
      <c r="J22" s="7">
        <f t="shared" si="2"/>
        <v>163142822</v>
      </c>
      <c r="K22" s="7">
        <f t="shared" si="2"/>
        <v>139690743</v>
      </c>
      <c r="L22" s="7">
        <f t="shared" si="2"/>
        <v>134310363</v>
      </c>
      <c r="M22" s="7">
        <f t="shared" si="2"/>
        <v>101800713</v>
      </c>
      <c r="N22" s="7">
        <f>SUM(N8:N21)</f>
        <v>1173012947</v>
      </c>
    </row>
    <row r="23" spans="1:18" x14ac:dyDescent="0.3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8" x14ac:dyDescent="0.35">
      <c r="A24" s="5" t="s">
        <v>20</v>
      </c>
      <c r="B24" s="6">
        <f>SUM(B8:B12)</f>
        <v>54313933</v>
      </c>
      <c r="C24" s="6">
        <f t="shared" ref="C24:M24" si="3">SUM(C8:C12)</f>
        <v>36283354</v>
      </c>
      <c r="D24" s="6">
        <f t="shared" si="3"/>
        <v>27526989</v>
      </c>
      <c r="E24" s="6">
        <f t="shared" si="3"/>
        <v>26224593</v>
      </c>
      <c r="F24" s="6">
        <f t="shared" si="3"/>
        <v>30516991</v>
      </c>
      <c r="G24" s="6">
        <f t="shared" si="3"/>
        <v>58835275</v>
      </c>
      <c r="H24" s="6">
        <f t="shared" si="3"/>
        <v>100832948</v>
      </c>
      <c r="I24" s="6">
        <f t="shared" si="3"/>
        <v>140246806</v>
      </c>
      <c r="J24" s="6">
        <f t="shared" si="3"/>
        <v>139025444</v>
      </c>
      <c r="K24" s="6">
        <f t="shared" si="3"/>
        <v>118204120</v>
      </c>
      <c r="L24" s="6">
        <f t="shared" si="3"/>
        <v>111221892</v>
      </c>
      <c r="M24" s="6">
        <f t="shared" si="3"/>
        <v>80327423</v>
      </c>
      <c r="N24" s="6">
        <f>SUM(B24:M24)</f>
        <v>923559768</v>
      </c>
    </row>
    <row r="25" spans="1:18" x14ac:dyDescent="0.35">
      <c r="A25" s="5" t="s">
        <v>21</v>
      </c>
      <c r="B25" s="6">
        <f>SUM(B13:B15)</f>
        <v>2365693</v>
      </c>
      <c r="C25" s="6">
        <f t="shared" ref="C25:M25" si="4">SUM(C13:C15)</f>
        <v>1638385</v>
      </c>
      <c r="D25" s="6">
        <f t="shared" si="4"/>
        <v>1467040</v>
      </c>
      <c r="E25" s="6">
        <f t="shared" si="4"/>
        <v>1401438</v>
      </c>
      <c r="F25" s="6">
        <f t="shared" si="4"/>
        <v>1419744</v>
      </c>
      <c r="G25" s="6">
        <f t="shared" si="4"/>
        <v>1849146</v>
      </c>
      <c r="H25" s="6">
        <f t="shared" si="4"/>
        <v>2674560</v>
      </c>
      <c r="I25" s="6">
        <f t="shared" si="4"/>
        <v>3357538</v>
      </c>
      <c r="J25" s="6">
        <f t="shared" si="4"/>
        <v>3487302</v>
      </c>
      <c r="K25" s="6">
        <f t="shared" si="4"/>
        <v>3049659</v>
      </c>
      <c r="L25" s="6">
        <f t="shared" si="4"/>
        <v>3134246</v>
      </c>
      <c r="M25" s="6">
        <f t="shared" si="4"/>
        <v>2672731</v>
      </c>
      <c r="N25" s="6">
        <f>SUM(B25:M25)</f>
        <v>28517482</v>
      </c>
    </row>
    <row r="26" spans="1:18" x14ac:dyDescent="0.35">
      <c r="A26" s="5" t="s">
        <v>53</v>
      </c>
      <c r="B26" s="8">
        <f>SUM(B16:B21)</f>
        <v>18249760</v>
      </c>
      <c r="C26" s="8">
        <f t="shared" ref="C26:M26" si="5">SUM(C16:C21)</f>
        <v>17056701</v>
      </c>
      <c r="D26" s="8">
        <f t="shared" si="5"/>
        <v>16952163</v>
      </c>
      <c r="E26" s="8">
        <f t="shared" si="5"/>
        <v>16712703</v>
      </c>
      <c r="F26" s="8">
        <f t="shared" si="5"/>
        <v>16521228</v>
      </c>
      <c r="G26" s="8">
        <f t="shared" si="5"/>
        <v>18266891</v>
      </c>
      <c r="H26" s="8">
        <f t="shared" si="5"/>
        <v>18842321</v>
      </c>
      <c r="I26" s="8">
        <f t="shared" si="5"/>
        <v>20512106</v>
      </c>
      <c r="J26" s="8">
        <f t="shared" si="5"/>
        <v>20630076</v>
      </c>
      <c r="K26" s="8">
        <f t="shared" si="5"/>
        <v>18436964</v>
      </c>
      <c r="L26" s="8">
        <f t="shared" si="5"/>
        <v>19954225</v>
      </c>
      <c r="M26" s="8">
        <f t="shared" si="5"/>
        <v>18800559</v>
      </c>
      <c r="N26" s="8">
        <f>SUM(B26:M26)</f>
        <v>220935697</v>
      </c>
    </row>
    <row r="27" spans="1:18" x14ac:dyDescent="0.35">
      <c r="A27" s="5" t="s">
        <v>54</v>
      </c>
      <c r="B27" s="6">
        <f t="shared" ref="B27:M27" si="6">SUM(B24:B26)</f>
        <v>74929386</v>
      </c>
      <c r="C27" s="6">
        <f t="shared" si="6"/>
        <v>54978440</v>
      </c>
      <c r="D27" s="6">
        <f t="shared" si="6"/>
        <v>45946192</v>
      </c>
      <c r="E27" s="6">
        <f t="shared" si="6"/>
        <v>44338734</v>
      </c>
      <c r="F27" s="6">
        <f t="shared" si="6"/>
        <v>48457963</v>
      </c>
      <c r="G27" s="6">
        <f t="shared" si="6"/>
        <v>78951312</v>
      </c>
      <c r="H27" s="6">
        <f t="shared" si="6"/>
        <v>122349829</v>
      </c>
      <c r="I27" s="6">
        <f t="shared" si="6"/>
        <v>164116450</v>
      </c>
      <c r="J27" s="6">
        <f t="shared" si="6"/>
        <v>163142822</v>
      </c>
      <c r="K27" s="6">
        <f t="shared" si="6"/>
        <v>139690743</v>
      </c>
      <c r="L27" s="6">
        <f t="shared" si="6"/>
        <v>134310363</v>
      </c>
      <c r="M27" s="6">
        <f t="shared" si="6"/>
        <v>101800713</v>
      </c>
      <c r="N27" s="6">
        <f>SUM(B27:M27)</f>
        <v>1173012947</v>
      </c>
    </row>
    <row r="28" spans="1:18" s="13" customFormat="1" ht="12" x14ac:dyDescent="0.3">
      <c r="A28" s="11" t="s">
        <v>28</v>
      </c>
      <c r="B28" s="12">
        <f>B22-B27</f>
        <v>0</v>
      </c>
      <c r="C28" s="12">
        <f t="shared" ref="C28:N28" si="7">C22-C27</f>
        <v>0</v>
      </c>
      <c r="D28" s="12">
        <f t="shared" si="7"/>
        <v>0</v>
      </c>
      <c r="E28" s="12">
        <f t="shared" si="7"/>
        <v>0</v>
      </c>
      <c r="F28" s="12">
        <f t="shared" si="7"/>
        <v>0</v>
      </c>
      <c r="G28" s="12">
        <f t="shared" si="7"/>
        <v>0</v>
      </c>
      <c r="H28" s="12">
        <f t="shared" si="7"/>
        <v>0</v>
      </c>
      <c r="I28" s="12">
        <f t="shared" si="7"/>
        <v>0</v>
      </c>
      <c r="J28" s="12">
        <f t="shared" si="7"/>
        <v>0</v>
      </c>
      <c r="K28" s="12">
        <f t="shared" si="7"/>
        <v>0</v>
      </c>
      <c r="L28" s="12">
        <f t="shared" si="7"/>
        <v>0</v>
      </c>
      <c r="M28" s="12">
        <f t="shared" si="7"/>
        <v>0</v>
      </c>
      <c r="N28" s="12">
        <f t="shared" si="7"/>
        <v>0</v>
      </c>
    </row>
    <row r="30" spans="1:18" x14ac:dyDescent="0.35">
      <c r="A30" s="51" t="s">
        <v>70</v>
      </c>
    </row>
  </sheetData>
  <mergeCells count="4">
    <mergeCell ref="A1:N1"/>
    <mergeCell ref="A3:N3"/>
    <mergeCell ref="A4:N4"/>
    <mergeCell ref="A2:N2"/>
  </mergeCells>
  <printOptions horizontalCentered="1"/>
  <pageMargins left="0.7" right="0.7" top="0.75" bottom="0.75" header="0.3" footer="0.3"/>
  <pageSetup scale="62" orientation="landscape" blackAndWhite="1" r:id="rId1"/>
  <headerFooter>
    <oddFooter>&amp;L&amp;F 
&amp;A&amp;C&amp;P&amp;R&amp;D</oddFooter>
  </headerFooter>
  <ignoredErrors>
    <ignoredError sqref="N8:N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3AAD9B2E58EE42A5A1E1E5C7D3D477" ma:contentTypeVersion="44" ma:contentTypeDescription="" ma:contentTypeScope="" ma:versionID="f5a51bc150a41b988f5b41d539701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2021-03-01T08:00:00+00:00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6960B1-71B8-4A3B-BF50-6F4ECF24172F}"/>
</file>

<file path=customXml/itemProps2.xml><?xml version="1.0" encoding="utf-8"?>
<ds:datastoreItem xmlns:ds="http://schemas.openxmlformats.org/officeDocument/2006/customXml" ds:itemID="{CB1501AA-F0B1-403E-8FAA-439B08E83BB6}"/>
</file>

<file path=customXml/itemProps3.xml><?xml version="1.0" encoding="utf-8"?>
<ds:datastoreItem xmlns:ds="http://schemas.openxmlformats.org/officeDocument/2006/customXml" ds:itemID="{BAF79180-1E4F-4111-92C9-4AC364971830}"/>
</file>

<file path=customXml/itemProps4.xml><?xml version="1.0" encoding="utf-8"?>
<ds:datastoreItem xmlns:ds="http://schemas.openxmlformats.org/officeDocument/2006/customXml" ds:itemID="{ED0C63AD-1134-4C52-A0D3-60BF352B6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Rates</vt:lpstr>
      <vt:lpstr>Allocation</vt:lpstr>
      <vt:lpstr>Rate Impacts--&gt;</vt:lpstr>
      <vt:lpstr>Rate Impacts Sch120</vt:lpstr>
      <vt:lpstr>Typical Res Bill Sch120</vt:lpstr>
      <vt:lpstr>Schedule 120</vt:lpstr>
      <vt:lpstr>Workpapers--&gt;</vt:lpstr>
      <vt:lpstr>Rev Requirement</vt:lpstr>
      <vt:lpstr>Forecasted Volume</vt:lpstr>
      <vt:lpstr>Allocation!Print_Area</vt:lpstr>
      <vt:lpstr>'Forecasted Volume'!Print_Area</vt:lpstr>
      <vt:lpstr>'Rate Impacts Sch120'!Print_Area</vt:lpstr>
      <vt:lpstr>Rates!Print_Area</vt:lpstr>
      <vt:lpstr>'Rev Requirement'!Print_Area</vt:lpstr>
      <vt:lpstr>'Typical Res Bill Sch120'!Print_Area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Yakupova, Kelima </cp:lastModifiedBy>
  <cp:lastPrinted>2020-02-21T01:38:42Z</cp:lastPrinted>
  <dcterms:created xsi:type="dcterms:W3CDTF">2013-02-25T17:53:58Z</dcterms:created>
  <dcterms:modified xsi:type="dcterms:W3CDTF">2021-02-23T20:08:46Z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0x0101006E56B4D1795A2E4DB2F0B01679ED314A00F93AAD9B2E58EE42A5A1E1E5C7D3D477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