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GrpRates\Public\RASANEN\#  Rate Filings\Sch 137 REC Filing\2021\"/>
    </mc:Choice>
  </mc:AlternateContent>
  <bookViews>
    <workbookView xWindow="120" yWindow="105" windowWidth="15180" windowHeight="6495" activeTab="3"/>
  </bookViews>
  <sheets>
    <sheet name="Lead Sheet" sheetId="27" r:id="rId1"/>
    <sheet name="Rate Impacts" sheetId="33" r:id="rId2"/>
    <sheet name="Peak Credit Spread" sheetId="72" r:id="rId3"/>
    <sheet name="Street &amp; Area Lighting" sheetId="98" r:id="rId4"/>
    <sheet name="Typical Residential Notice" sheetId="105" r:id="rId5"/>
    <sheet name="Estimated Proforma Net Revenue" sheetId="83" r:id="rId6"/>
    <sheet name="Rev Requirement 2021" sheetId="88" r:id="rId7"/>
    <sheet name="F2020 Del Load &amp; Cust" sheetId="97" r:id="rId8"/>
    <sheet name="UE-190529 LR Data Summary" sheetId="104" r:id="rId9"/>
    <sheet name="UE-190529 LR Data - Dem 4CP" sheetId="103" r:id="rId10"/>
    <sheet name="UE-190529 LR Data - Energy" sheetId="102" r:id="rId11"/>
    <sheet name="UE-190988 Sch 137 Eff 1-1-20" sheetId="76" r:id="rId12"/>
  </sheets>
  <definedNames>
    <definedName name="______Jun09">" BS!$AI$7:$AI$1643"</definedName>
    <definedName name="_____Jun09">" BS!$AI$7:$AI$1643"</definedName>
    <definedName name="____Jun09">" BS!$AI$7:$AI$1643"</definedName>
    <definedName name="___Jun09">" BS!$AI$7:$AI$1643"</definedName>
    <definedName name="__Jun09">" BS!$AI$7:$AI$1643"</definedName>
    <definedName name="_Order1" localSheetId="9">0</definedName>
    <definedName name="_Order1" localSheetId="10">0</definedName>
    <definedName name="_Order1" localSheetId="8">0</definedName>
    <definedName name="_Order1">255</definedName>
    <definedName name="_Order2" localSheetId="9">0</definedName>
    <definedName name="_Order2" localSheetId="10">0</definedName>
    <definedName name="_Order2" localSheetId="8">0</definedName>
    <definedName name="_Order2">255</definedName>
    <definedName name="_Regression_Int">1</definedName>
    <definedName name="AccessDatabase">"I:\COMTREL\FINICLE\TradeSummary.mdb"</definedName>
    <definedName name="AS2DocOpenMode">"AS2DocumentEdit"</definedName>
    <definedName name="Aurora_Prices">"Monthly Price Summary'!$C$4:$H$63"</definedName>
    <definedName name="Button_1">"TradeSummary_Ken_Finicle_List"</definedName>
    <definedName name="CBWorkbookPriority">-2060790043</definedName>
    <definedName name="HTML_CodePage">1252</definedName>
    <definedName name="HTML_Control" localSheetId="6">{"'Sheet1'!$A$1:$J$121"}</definedName>
    <definedName name="HTML_Control" localSheetId="3">{"'Sheet1'!$A$1:$J$121"}</definedName>
    <definedName name="HTML_Control" localSheetId="4">{"'Sheet1'!$A$1:$J$121"}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limcount">1</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ROJECT_ID">"PROJECT_TBL_VW"</definedName>
    <definedName name="NvsValTbl.STATISTICS_CODE">"STAT_TBL"</definedName>
    <definedName name="_xlnm.Print_Area" localSheetId="5">'Estimated Proforma Net Revenue'!$A$1:$O$35</definedName>
    <definedName name="_xlnm.Print_Area" localSheetId="0">'Lead Sheet'!$A$1:$A$15</definedName>
    <definedName name="_xlnm.Print_Area" localSheetId="2">'Peak Credit Spread'!$A$1:$L$33</definedName>
    <definedName name="_xlnm.Print_Area" localSheetId="1">'Rate Impacts'!$A$1:$K$50</definedName>
    <definedName name="_xlnm.Print_Area" localSheetId="3">'Street &amp; Area Lighting'!$A$1:$J$200</definedName>
    <definedName name="_xlnm.Print_Area" localSheetId="4">'Typical Residential Notice'!$A$1:$N$93</definedName>
    <definedName name="_xlnm.Print_Area" localSheetId="9">'UE-190529 LR Data - Dem 4CP'!#REF!</definedName>
    <definedName name="_xlnm.Print_Area" localSheetId="8">'UE-190529 LR Data Summary'!$A$1:$H$25</definedName>
    <definedName name="_xlnm.Print_Area" localSheetId="11">'UE-190988 Sch 137 Eff 1-1-20'!#REF!</definedName>
    <definedName name="_xlnm.Print_Titles" localSheetId="3">'Street &amp; Area Lighting'!$1:$13</definedName>
    <definedName name="SAPBEXhrIndnt">"Wide"</definedName>
    <definedName name="SAPsysID">"708C5W7SBKP804JT78WJ0JNKI"</definedName>
    <definedName name="SAPwbID">"ARS"</definedName>
    <definedName name="solver_eval">0</definedName>
    <definedName name="solver_ntri">1000</definedName>
    <definedName name="solver_rsmp">1</definedName>
    <definedName name="solver_seed">0</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alues_Entered">IF(Loan_Amount*Interest_Rate*Loan_Years*Loan_Start&gt;0,1,0)</definedName>
  </definedNames>
  <calcPr calcId="162913"/>
</workbook>
</file>

<file path=xl/calcChain.xml><?xml version="1.0" encoding="utf-8"?>
<calcChain xmlns="http://schemas.openxmlformats.org/spreadsheetml/2006/main">
  <c r="C68" i="105" l="1"/>
  <c r="C69" i="105"/>
  <c r="C70" i="105"/>
  <c r="C71" i="105"/>
  <c r="C72" i="105"/>
  <c r="C73" i="105"/>
  <c r="C74" i="105"/>
  <c r="C75" i="105"/>
  <c r="C76" i="105"/>
  <c r="C77" i="105"/>
  <c r="C67" i="105"/>
  <c r="C66" i="105"/>
  <c r="I25" i="72" l="1"/>
  <c r="F30" i="33"/>
  <c r="F28" i="33"/>
  <c r="F24" i="33"/>
  <c r="F23" i="33"/>
  <c r="F18" i="33"/>
  <c r="F19" i="33"/>
  <c r="F17" i="33"/>
  <c r="F11" i="33"/>
  <c r="F12" i="33"/>
  <c r="F13" i="33"/>
  <c r="F10" i="33"/>
  <c r="F8" i="33"/>
  <c r="F52" i="105"/>
  <c r="F53" i="105"/>
  <c r="G25" i="83" l="1"/>
  <c r="G21" i="83" l="1"/>
  <c r="G16" i="83" l="1"/>
  <c r="G10" i="83" l="1"/>
  <c r="G31" i="83" s="1"/>
  <c r="G35" i="83" s="1"/>
  <c r="F51" i="105" l="1"/>
  <c r="P18" i="103" l="1"/>
  <c r="Q18" i="103"/>
  <c r="R18" i="103"/>
  <c r="C7" i="105" l="1"/>
  <c r="D67" i="105"/>
  <c r="D68" i="105"/>
  <c r="D69" i="105"/>
  <c r="D70" i="105"/>
  <c r="D71" i="105"/>
  <c r="D72" i="105"/>
  <c r="D73" i="105"/>
  <c r="D74" i="105"/>
  <c r="D75" i="105"/>
  <c r="E76" i="105"/>
  <c r="D76" i="105"/>
  <c r="D77" i="105"/>
  <c r="D66" i="105"/>
  <c r="D78" i="105" s="1"/>
  <c r="C8" i="105"/>
  <c r="C9" i="105"/>
  <c r="C10" i="105"/>
  <c r="C11" i="105"/>
  <c r="C12" i="105"/>
  <c r="C20" i="105" s="1"/>
  <c r="C13" i="105"/>
  <c r="C14" i="105"/>
  <c r="C15" i="105"/>
  <c r="C16" i="105"/>
  <c r="C17" i="105"/>
  <c r="C18" i="105"/>
  <c r="C22" i="105"/>
  <c r="C23" i="105"/>
  <c r="F27" i="105"/>
  <c r="H8" i="105" s="1"/>
  <c r="E28" i="105"/>
  <c r="F30" i="105"/>
  <c r="F31" i="105"/>
  <c r="F32" i="105"/>
  <c r="F33" i="105"/>
  <c r="F34" i="105"/>
  <c r="F35" i="105"/>
  <c r="F36" i="105"/>
  <c r="E37" i="105"/>
  <c r="F39" i="105"/>
  <c r="F40" i="105"/>
  <c r="F41" i="105"/>
  <c r="F42" i="105"/>
  <c r="F43" i="105"/>
  <c r="F44" i="105"/>
  <c r="F45" i="105"/>
  <c r="E46" i="105"/>
  <c r="F48" i="105"/>
  <c r="C78" i="105" l="1"/>
  <c r="E77" i="105"/>
  <c r="B18" i="105" s="1"/>
  <c r="E74" i="105"/>
  <c r="B15" i="105" s="1"/>
  <c r="E72" i="105"/>
  <c r="B13" i="105" s="1"/>
  <c r="E70" i="105"/>
  <c r="E68" i="105"/>
  <c r="E66" i="105"/>
  <c r="B7" i="105" s="1"/>
  <c r="E75" i="105"/>
  <c r="B16" i="105" s="1"/>
  <c r="E73" i="105"/>
  <c r="B14" i="105" s="1"/>
  <c r="E71" i="105"/>
  <c r="B12" i="105" s="1"/>
  <c r="E69" i="105"/>
  <c r="B10" i="105" s="1"/>
  <c r="E67" i="105"/>
  <c r="B8" i="105" s="1"/>
  <c r="F46" i="105"/>
  <c r="F37" i="105"/>
  <c r="B9" i="105"/>
  <c r="B11" i="105"/>
  <c r="B17" i="105"/>
  <c r="F28" i="105"/>
  <c r="H13" i="105"/>
  <c r="H23" i="105"/>
  <c r="H18" i="105"/>
  <c r="H10" i="105"/>
  <c r="H15" i="105"/>
  <c r="H17" i="105"/>
  <c r="H9" i="105"/>
  <c r="H22" i="105"/>
  <c r="H12" i="105"/>
  <c r="H14" i="105"/>
  <c r="H11" i="105"/>
  <c r="H7" i="105"/>
  <c r="H16" i="105"/>
  <c r="E80" i="105" l="1"/>
  <c r="E78" i="105"/>
  <c r="B22" i="105"/>
  <c r="H20" i="105"/>
  <c r="B20" i="105"/>
  <c r="A18" i="72" l="1"/>
  <c r="A23" i="33"/>
  <c r="M25" i="83" l="1"/>
  <c r="K25" i="83" l="1"/>
  <c r="O10" i="83" l="1"/>
  <c r="E25" i="83" l="1"/>
  <c r="E21" i="83"/>
  <c r="E10" i="83"/>
  <c r="M10" i="83"/>
  <c r="M21" i="83"/>
  <c r="K21" i="83"/>
  <c r="O21" i="83" l="1"/>
  <c r="O25" i="83"/>
  <c r="K10" i="83"/>
  <c r="O16" i="83" l="1"/>
  <c r="O31" i="83" s="1"/>
  <c r="O35" i="83" s="1"/>
  <c r="E16" i="83"/>
  <c r="E31" i="83" s="1"/>
  <c r="E35" i="83" s="1"/>
  <c r="K16" i="83"/>
  <c r="K31" i="83" s="1"/>
  <c r="K35" i="83" s="1"/>
  <c r="M16" i="83" l="1"/>
  <c r="M31" i="83" s="1"/>
  <c r="M35" i="83" s="1"/>
  <c r="N25" i="83" l="1"/>
  <c r="N21" i="83" l="1"/>
  <c r="N16" i="83"/>
  <c r="N10" i="83" l="1"/>
  <c r="N31" i="83" l="1"/>
  <c r="N35" i="83" s="1"/>
  <c r="J25" i="83" l="1"/>
  <c r="J10" i="83" l="1"/>
  <c r="J16" i="83"/>
  <c r="J21" i="83"/>
  <c r="J31" i="83" l="1"/>
  <c r="J35" i="83" s="1"/>
  <c r="H25" i="83" l="1"/>
  <c r="H21" i="83"/>
  <c r="H16" i="83" l="1"/>
  <c r="H10" i="83"/>
  <c r="H31" i="83" l="1"/>
  <c r="H35" i="83" s="1"/>
  <c r="L10" i="83" l="1"/>
  <c r="L25" i="83" l="1"/>
  <c r="L16" i="83"/>
  <c r="L21" i="83" l="1"/>
  <c r="L31" i="83" s="1"/>
  <c r="L35" i="83" s="1"/>
  <c r="I25" i="83" l="1"/>
  <c r="I10" i="83" l="1"/>
  <c r="I16" i="83"/>
  <c r="I21" i="83"/>
  <c r="I31" i="83" l="1"/>
  <c r="I35" i="83" s="1"/>
  <c r="F25" i="83" l="1"/>
  <c r="F21" i="83" l="1"/>
  <c r="F16" i="83" l="1"/>
  <c r="F10" i="83" l="1"/>
  <c r="F31" i="83" s="1"/>
  <c r="F35" i="83" s="1"/>
  <c r="D9" i="83"/>
  <c r="F19" i="72" l="1"/>
  <c r="F12" i="72"/>
  <c r="F10" i="72"/>
  <c r="D19" i="72" l="1"/>
  <c r="D18" i="72"/>
  <c r="D12" i="72"/>
  <c r="D10" i="72"/>
  <c r="E20" i="104" l="1"/>
  <c r="F20" i="104" s="1"/>
  <c r="F23" i="72" s="1"/>
  <c r="C20" i="104"/>
  <c r="D20" i="104" s="1"/>
  <c r="D23" i="72" s="1"/>
  <c r="E19" i="104"/>
  <c r="C19" i="104"/>
  <c r="E18" i="104"/>
  <c r="F18" i="104" s="1"/>
  <c r="F21" i="72" s="1"/>
  <c r="C18" i="104"/>
  <c r="D18" i="104" s="1"/>
  <c r="D21" i="72" s="1"/>
  <c r="F17" i="104"/>
  <c r="C17" i="104"/>
  <c r="D17" i="104" s="1"/>
  <c r="E16" i="104"/>
  <c r="C16" i="104"/>
  <c r="F15" i="104"/>
  <c r="F16" i="72" s="1"/>
  <c r="C15" i="104"/>
  <c r="D15" i="104" s="1"/>
  <c r="D16" i="72" s="1"/>
  <c r="E14" i="104"/>
  <c r="F14" i="104" s="1"/>
  <c r="F15" i="72" s="1"/>
  <c r="C14" i="104"/>
  <c r="D14" i="104" s="1"/>
  <c r="D15" i="72" s="1"/>
  <c r="E13" i="104"/>
  <c r="F13" i="104" s="1"/>
  <c r="F14" i="72" s="1"/>
  <c r="C13" i="104"/>
  <c r="D13" i="104" s="1"/>
  <c r="D14" i="72" s="1"/>
  <c r="C12" i="104"/>
  <c r="D12" i="104" s="1"/>
  <c r="D11" i="72" s="1"/>
  <c r="E12" i="104"/>
  <c r="F12" i="104" s="1"/>
  <c r="F11" i="72" s="1"/>
  <c r="E11" i="104"/>
  <c r="F11" i="104" s="1"/>
  <c r="C11" i="104"/>
  <c r="D11" i="104" s="1"/>
  <c r="E10" i="104"/>
  <c r="F10" i="104" s="1"/>
  <c r="F9" i="72" s="1"/>
  <c r="C10" i="104"/>
  <c r="D10" i="104" s="1"/>
  <c r="D9" i="72" s="1"/>
  <c r="E9" i="104"/>
  <c r="C9" i="104"/>
  <c r="O18" i="103"/>
  <c r="N18" i="103"/>
  <c r="M18" i="103"/>
  <c r="L18" i="103"/>
  <c r="K18" i="103"/>
  <c r="J18" i="103"/>
  <c r="I18" i="103"/>
  <c r="H18" i="103"/>
  <c r="G18" i="103"/>
  <c r="F18" i="103"/>
  <c r="E18" i="103"/>
  <c r="D18" i="103"/>
  <c r="Q16" i="103"/>
  <c r="Q15" i="103"/>
  <c r="Q14" i="103"/>
  <c r="Q13" i="103"/>
  <c r="Q12" i="103"/>
  <c r="Q11" i="103"/>
  <c r="Q10" i="103"/>
  <c r="Q9" i="103"/>
  <c r="Q8" i="103"/>
  <c r="Q7" i="103"/>
  <c r="Q6" i="103"/>
  <c r="Q5" i="103"/>
  <c r="C22" i="104" l="1"/>
  <c r="C24" i="104" s="1"/>
  <c r="D9" i="104"/>
  <c r="F9" i="104"/>
  <c r="E22" i="104"/>
  <c r="E24" i="104" s="1"/>
  <c r="G22" i="104"/>
  <c r="G24" i="104" s="1"/>
  <c r="H22" i="104"/>
  <c r="H24" i="104" s="1"/>
  <c r="D22" i="104" l="1"/>
  <c r="D7" i="72"/>
  <c r="F22" i="104"/>
  <c r="F35" i="72" s="1"/>
  <c r="F7" i="72"/>
  <c r="F25" i="72" l="1"/>
  <c r="F36" i="72" s="1"/>
  <c r="D25" i="72"/>
  <c r="E7" i="72" s="1"/>
  <c r="F24" i="104"/>
  <c r="D24" i="104"/>
  <c r="D35" i="72"/>
  <c r="H25" i="98"/>
  <c r="D36" i="72" l="1"/>
  <c r="C25" i="83"/>
  <c r="D17" i="33" l="1"/>
  <c r="D12" i="33"/>
  <c r="K10" i="72"/>
  <c r="D10" i="33"/>
  <c r="A10" i="83"/>
  <c r="A11" i="83" s="1"/>
  <c r="A12" i="83" s="1"/>
  <c r="A13" i="83" s="1"/>
  <c r="A14" i="83" s="1"/>
  <c r="A15" i="83" s="1"/>
  <c r="A16" i="83" s="1"/>
  <c r="A17" i="83" s="1"/>
  <c r="A18" i="83" s="1"/>
  <c r="A19" i="83" s="1"/>
  <c r="A20" i="83" s="1"/>
  <c r="A21" i="83" s="1"/>
  <c r="A22" i="83" s="1"/>
  <c r="A23" i="83" l="1"/>
  <c r="A24" i="83" s="1"/>
  <c r="A25" i="83" s="1"/>
  <c r="A26" i="83" s="1"/>
  <c r="A27" i="83" s="1"/>
  <c r="A28" i="83" s="1"/>
  <c r="A29" i="83" s="1"/>
  <c r="A30" i="83" s="1"/>
  <c r="A31" i="83" s="1"/>
  <c r="A32" i="83" s="1"/>
  <c r="A33" i="83" s="1"/>
  <c r="A34" i="83" s="1"/>
  <c r="A35" i="83" s="1"/>
  <c r="D11" i="33"/>
  <c r="E200" i="98" l="1"/>
  <c r="E199" i="98"/>
  <c r="H199" i="98" s="1"/>
  <c r="E198" i="98"/>
  <c r="E197" i="98"/>
  <c r="H197" i="98" s="1"/>
  <c r="E196" i="98"/>
  <c r="H196" i="98" s="1"/>
  <c r="E195" i="98"/>
  <c r="H195" i="98" s="1"/>
  <c r="E194" i="98"/>
  <c r="E193" i="98"/>
  <c r="H193" i="98" s="1"/>
  <c r="E192" i="98"/>
  <c r="E191" i="98"/>
  <c r="H191" i="98" s="1"/>
  <c r="E190" i="98"/>
  <c r="E189" i="98"/>
  <c r="H189" i="98" s="1"/>
  <c r="E188" i="98"/>
  <c r="H188" i="98" s="1"/>
  <c r="E187" i="98"/>
  <c r="H187" i="98" s="1"/>
  <c r="B187" i="98"/>
  <c r="B188" i="98" s="1"/>
  <c r="B189" i="98" s="1"/>
  <c r="B190" i="98" s="1"/>
  <c r="B191" i="98" s="1"/>
  <c r="B192" i="98" s="1"/>
  <c r="B193" i="98" s="1"/>
  <c r="B194" i="98" s="1"/>
  <c r="B195" i="98" s="1"/>
  <c r="B196" i="98" s="1"/>
  <c r="B197" i="98" s="1"/>
  <c r="B198" i="98" s="1"/>
  <c r="B199" i="98" s="1"/>
  <c r="B200" i="98" s="1"/>
  <c r="E186" i="98"/>
  <c r="E183" i="98"/>
  <c r="H183" i="98" s="1"/>
  <c r="E182" i="98"/>
  <c r="H182" i="98" s="1"/>
  <c r="B182" i="98"/>
  <c r="B183" i="98" s="1"/>
  <c r="E180" i="98"/>
  <c r="H179" i="98"/>
  <c r="E179" i="98"/>
  <c r="E178" i="98"/>
  <c r="H178" i="98" s="1"/>
  <c r="E177" i="98"/>
  <c r="H177" i="98" s="1"/>
  <c r="E175" i="98"/>
  <c r="E174" i="98"/>
  <c r="B174" i="98"/>
  <c r="B175" i="98" s="1"/>
  <c r="E173" i="98"/>
  <c r="H173" i="98" s="1"/>
  <c r="E172" i="98"/>
  <c r="H172" i="98" s="1"/>
  <c r="B172" i="98"/>
  <c r="B173" i="98" s="1"/>
  <c r="E171" i="98"/>
  <c r="H171" i="98" s="1"/>
  <c r="H169" i="98"/>
  <c r="E169" i="98"/>
  <c r="E168" i="98"/>
  <c r="E167" i="98"/>
  <c r="E166" i="98"/>
  <c r="H166" i="98" s="1"/>
  <c r="E165" i="98"/>
  <c r="B165" i="98"/>
  <c r="B166" i="98" s="1"/>
  <c r="B167" i="98" s="1"/>
  <c r="B168" i="98" s="1"/>
  <c r="B169" i="98" s="1"/>
  <c r="E164" i="98"/>
  <c r="H164" i="98" s="1"/>
  <c r="E161" i="98"/>
  <c r="H161" i="98" s="1"/>
  <c r="H20" i="98" s="1"/>
  <c r="E158" i="98"/>
  <c r="E157" i="98"/>
  <c r="E156" i="98"/>
  <c r="H155" i="98"/>
  <c r="E155" i="98"/>
  <c r="E154" i="98"/>
  <c r="E153" i="98"/>
  <c r="E152" i="98"/>
  <c r="E151" i="98"/>
  <c r="H151" i="98" s="1"/>
  <c r="E150" i="98"/>
  <c r="E148" i="98"/>
  <c r="H148" i="98" s="1"/>
  <c r="E146" i="98"/>
  <c r="H146" i="98" s="1"/>
  <c r="E145" i="98"/>
  <c r="H145" i="98" s="1"/>
  <c r="E144" i="98"/>
  <c r="E143" i="98"/>
  <c r="H143" i="98" s="1"/>
  <c r="E142" i="98"/>
  <c r="H142" i="98" s="1"/>
  <c r="B142" i="98"/>
  <c r="B143" i="98" s="1"/>
  <c r="B144" i="98" s="1"/>
  <c r="B145" i="98" s="1"/>
  <c r="B146" i="98" s="1"/>
  <c r="B148" i="98" s="1"/>
  <c r="H141" i="98"/>
  <c r="E141" i="98"/>
  <c r="E138" i="98"/>
  <c r="E137" i="98"/>
  <c r="H136" i="98"/>
  <c r="E136" i="98"/>
  <c r="E135" i="98"/>
  <c r="H135" i="98" s="1"/>
  <c r="H134" i="98"/>
  <c r="E134" i="98"/>
  <c r="E133" i="98"/>
  <c r="H133" i="98" s="1"/>
  <c r="H132" i="98"/>
  <c r="E132" i="98"/>
  <c r="E131" i="98"/>
  <c r="E130" i="98"/>
  <c r="H130" i="98" s="1"/>
  <c r="H127" i="98"/>
  <c r="E127" i="98"/>
  <c r="E126" i="98"/>
  <c r="H126" i="98" s="1"/>
  <c r="E125" i="98"/>
  <c r="H125" i="98" s="1"/>
  <c r="E124" i="98"/>
  <c r="E123" i="98"/>
  <c r="H123" i="98" s="1"/>
  <c r="E122" i="98"/>
  <c r="H122" i="98" s="1"/>
  <c r="B122" i="98"/>
  <c r="B123" i="98" s="1"/>
  <c r="B124" i="98" s="1"/>
  <c r="B125" i="98" s="1"/>
  <c r="B126" i="98" s="1"/>
  <c r="B127" i="98" s="1"/>
  <c r="B130" i="98" s="1"/>
  <c r="B131" i="98" s="1"/>
  <c r="B132" i="98" s="1"/>
  <c r="B133" i="98" s="1"/>
  <c r="B134" i="98" s="1"/>
  <c r="B135" i="98" s="1"/>
  <c r="B136" i="98" s="1"/>
  <c r="B137" i="98" s="1"/>
  <c r="B138" i="98" s="1"/>
  <c r="E121" i="98"/>
  <c r="E120" i="98"/>
  <c r="B120" i="98"/>
  <c r="B121" i="98" s="1"/>
  <c r="E119" i="98"/>
  <c r="H119" i="98" s="1"/>
  <c r="E116" i="98"/>
  <c r="E115" i="98"/>
  <c r="E114" i="98"/>
  <c r="E113" i="98"/>
  <c r="E112" i="98"/>
  <c r="E111" i="98"/>
  <c r="E110" i="98"/>
  <c r="E109" i="98"/>
  <c r="E108" i="98"/>
  <c r="E106" i="98"/>
  <c r="E105" i="98"/>
  <c r="E104" i="98"/>
  <c r="E103" i="98"/>
  <c r="E102" i="98"/>
  <c r="E101" i="98"/>
  <c r="E99" i="98"/>
  <c r="E98" i="98"/>
  <c r="E97" i="98"/>
  <c r="E96" i="98"/>
  <c r="E95" i="98"/>
  <c r="E94" i="98"/>
  <c r="E93" i="98"/>
  <c r="E92" i="98"/>
  <c r="B92" i="98"/>
  <c r="B93" i="98" s="1"/>
  <c r="B94" i="98" s="1"/>
  <c r="B95" i="98" s="1"/>
  <c r="B96" i="98" s="1"/>
  <c r="B97" i="98" s="1"/>
  <c r="B98" i="98" s="1"/>
  <c r="B99" i="98" s="1"/>
  <c r="B101" i="98" s="1"/>
  <c r="B102" i="98" s="1"/>
  <c r="B103" i="98" s="1"/>
  <c r="B104" i="98" s="1"/>
  <c r="B105" i="98" s="1"/>
  <c r="B106" i="98" s="1"/>
  <c r="B108" i="98" s="1"/>
  <c r="B109" i="98" s="1"/>
  <c r="B110" i="98" s="1"/>
  <c r="B111" i="98" s="1"/>
  <c r="B112" i="98" s="1"/>
  <c r="B113" i="98" s="1"/>
  <c r="B114" i="98" s="1"/>
  <c r="B115" i="98" s="1"/>
  <c r="B116" i="98" s="1"/>
  <c r="E91" i="98"/>
  <c r="E89" i="98"/>
  <c r="E88" i="98"/>
  <c r="E87" i="98"/>
  <c r="E86" i="98"/>
  <c r="E85" i="98"/>
  <c r="E84" i="98"/>
  <c r="E83" i="98"/>
  <c r="E82" i="98"/>
  <c r="E81" i="98"/>
  <c r="E79" i="98"/>
  <c r="E78" i="98"/>
  <c r="E77" i="98"/>
  <c r="E76" i="98"/>
  <c r="E75" i="98"/>
  <c r="E73" i="98"/>
  <c r="E72" i="98"/>
  <c r="E71" i="98"/>
  <c r="E70" i="98"/>
  <c r="E69" i="98"/>
  <c r="E68" i="98"/>
  <c r="E67" i="98"/>
  <c r="E66" i="98"/>
  <c r="B66" i="98"/>
  <c r="B67" i="98" s="1"/>
  <c r="B68" i="98" s="1"/>
  <c r="B69" i="98" s="1"/>
  <c r="B70" i="98" s="1"/>
  <c r="B71" i="98" s="1"/>
  <c r="B72" i="98" s="1"/>
  <c r="B73" i="98" s="1"/>
  <c r="B75" i="98" s="1"/>
  <c r="B76" i="98" s="1"/>
  <c r="B77" i="98" s="1"/>
  <c r="B78" i="98" s="1"/>
  <c r="B79" i="98" s="1"/>
  <c r="B81" i="98" s="1"/>
  <c r="B82" i="98" s="1"/>
  <c r="B83" i="98" s="1"/>
  <c r="B84" i="98" s="1"/>
  <c r="B85" i="98" s="1"/>
  <c r="B86" i="98" s="1"/>
  <c r="B87" i="98" s="1"/>
  <c r="B88" i="98" s="1"/>
  <c r="B89" i="98" s="1"/>
  <c r="E65" i="98"/>
  <c r="E62" i="98"/>
  <c r="E61" i="98"/>
  <c r="H61" i="98" s="1"/>
  <c r="E60" i="98"/>
  <c r="H60" i="98" s="1"/>
  <c r="C60" i="98"/>
  <c r="C61" i="98" s="1"/>
  <c r="C62" i="98" s="1"/>
  <c r="E59" i="98"/>
  <c r="H59" i="98" s="1"/>
  <c r="E58" i="98"/>
  <c r="H58" i="98" s="1"/>
  <c r="E57" i="98"/>
  <c r="H57" i="98" s="1"/>
  <c r="E56" i="98"/>
  <c r="H56" i="98" s="1"/>
  <c r="E54" i="98"/>
  <c r="H54" i="98" s="1"/>
  <c r="E53" i="98"/>
  <c r="H53" i="98" s="1"/>
  <c r="E52" i="98"/>
  <c r="H52" i="98" s="1"/>
  <c r="E51" i="98"/>
  <c r="E50" i="98"/>
  <c r="E49" i="98"/>
  <c r="E48" i="98"/>
  <c r="H48" i="98" s="1"/>
  <c r="B48" i="98"/>
  <c r="B49" i="98" s="1"/>
  <c r="B50" i="98" s="1"/>
  <c r="B51" i="98" s="1"/>
  <c r="B52" i="98" s="1"/>
  <c r="B53" i="98" s="1"/>
  <c r="E47" i="98"/>
  <c r="H47" i="98" s="1"/>
  <c r="E44" i="98"/>
  <c r="H44" i="98" s="1"/>
  <c r="E43" i="98"/>
  <c r="E42" i="98"/>
  <c r="H42" i="98" s="1"/>
  <c r="E41" i="98"/>
  <c r="H41" i="98" s="1"/>
  <c r="E40" i="98"/>
  <c r="H40" i="98" s="1"/>
  <c r="E39" i="98"/>
  <c r="E38" i="98"/>
  <c r="H38" i="98" s="1"/>
  <c r="E37" i="98"/>
  <c r="H37" i="98" s="1"/>
  <c r="E36" i="98"/>
  <c r="H36" i="98" s="1"/>
  <c r="E33" i="98"/>
  <c r="H33" i="98" s="1"/>
  <c r="E32" i="98"/>
  <c r="E31" i="98"/>
  <c r="B31" i="98"/>
  <c r="B32" i="98" s="1"/>
  <c r="B33" i="98" s="1"/>
  <c r="E30" i="98"/>
  <c r="H30" i="98" s="1"/>
  <c r="E29" i="98"/>
  <c r="E28" i="98"/>
  <c r="H28" i="98" s="1"/>
  <c r="C28" i="98"/>
  <c r="C29" i="98" s="1"/>
  <c r="C30" i="98" s="1"/>
  <c r="C31" i="98" s="1"/>
  <c r="C32" i="98" s="1"/>
  <c r="C33" i="98" s="1"/>
  <c r="B28" i="98"/>
  <c r="B29" i="98" s="1"/>
  <c r="E27" i="98"/>
  <c r="H27" i="98" s="1"/>
  <c r="E25" i="98"/>
  <c r="G21" i="98"/>
  <c r="G20" i="98"/>
  <c r="G19" i="98"/>
  <c r="G18" i="98"/>
  <c r="G16" i="98"/>
  <c r="G15" i="98"/>
  <c r="G14" i="98"/>
  <c r="A11" i="98"/>
  <c r="A12" i="98" s="1"/>
  <c r="A13" i="98" s="1"/>
  <c r="A14" i="98" s="1"/>
  <c r="A15" i="98" s="1"/>
  <c r="A16" i="98" s="1"/>
  <c r="A17" i="98" s="1"/>
  <c r="A18" i="98" s="1"/>
  <c r="A19" i="98" s="1"/>
  <c r="A20" i="98" s="1"/>
  <c r="A21" i="98" s="1"/>
  <c r="A22" i="98" s="1"/>
  <c r="A23" i="98" s="1"/>
  <c r="A24" i="98" s="1"/>
  <c r="A25" i="98" s="1"/>
  <c r="A26" i="98" s="1"/>
  <c r="A27" i="98" s="1"/>
  <c r="A28" i="98" s="1"/>
  <c r="A29" i="98" s="1"/>
  <c r="A30" i="98" s="1"/>
  <c r="A31" i="98" s="1"/>
  <c r="A32" i="98" s="1"/>
  <c r="A33" i="98" s="1"/>
  <c r="A34" i="98" s="1"/>
  <c r="A35" i="98" s="1"/>
  <c r="A36" i="98" s="1"/>
  <c r="A37" i="98" s="1"/>
  <c r="A38" i="98" s="1"/>
  <c r="A39" i="98" s="1"/>
  <c r="A40" i="98" s="1"/>
  <c r="A41" i="98" s="1"/>
  <c r="A42" i="98" s="1"/>
  <c r="A43" i="98" s="1"/>
  <c r="A44" i="98" s="1"/>
  <c r="A45" i="98" s="1"/>
  <c r="A46" i="98" s="1"/>
  <c r="A47" i="98" s="1"/>
  <c r="A48" i="98" s="1"/>
  <c r="A49" i="98" s="1"/>
  <c r="A50" i="98" s="1"/>
  <c r="A51" i="98" s="1"/>
  <c r="A52" i="98" s="1"/>
  <c r="A53" i="98" s="1"/>
  <c r="A54" i="98" s="1"/>
  <c r="A55" i="98" s="1"/>
  <c r="A56" i="98" s="1"/>
  <c r="A57" i="98" s="1"/>
  <c r="A58" i="98" s="1"/>
  <c r="A59" i="98" s="1"/>
  <c r="A60" i="98" s="1"/>
  <c r="A61" i="98" s="1"/>
  <c r="A62" i="98" s="1"/>
  <c r="A63" i="98" s="1"/>
  <c r="A64" i="98" s="1"/>
  <c r="A65" i="98" s="1"/>
  <c r="A66" i="98" s="1"/>
  <c r="A67" i="98" s="1"/>
  <c r="A68" i="98" s="1"/>
  <c r="A69" i="98" s="1"/>
  <c r="A70" i="98" s="1"/>
  <c r="A71" i="98" s="1"/>
  <c r="A72" i="98" s="1"/>
  <c r="A73" i="98" s="1"/>
  <c r="A74" i="98" s="1"/>
  <c r="A75" i="98" s="1"/>
  <c r="A76" i="98" s="1"/>
  <c r="A77" i="98" s="1"/>
  <c r="A78" i="98" s="1"/>
  <c r="A79" i="98" s="1"/>
  <c r="A80" i="98" s="1"/>
  <c r="A81" i="98" s="1"/>
  <c r="A82" i="98" s="1"/>
  <c r="A83" i="98" s="1"/>
  <c r="A84" i="98" s="1"/>
  <c r="A85" i="98" s="1"/>
  <c r="A86" i="98" s="1"/>
  <c r="A87" i="98" s="1"/>
  <c r="A88" i="98" s="1"/>
  <c r="A89" i="98" s="1"/>
  <c r="A90" i="98" s="1"/>
  <c r="A91" i="98" s="1"/>
  <c r="A92" i="98" s="1"/>
  <c r="A93" i="98" s="1"/>
  <c r="A94" i="98" s="1"/>
  <c r="A95" i="98" s="1"/>
  <c r="A96" i="98" s="1"/>
  <c r="A97" i="98" s="1"/>
  <c r="A98" i="98" s="1"/>
  <c r="A99" i="98" s="1"/>
  <c r="A100" i="98" s="1"/>
  <c r="A101" i="98" s="1"/>
  <c r="A102" i="98" s="1"/>
  <c r="A103" i="98" s="1"/>
  <c r="A104" i="98" s="1"/>
  <c r="A105" i="98" s="1"/>
  <c r="A106" i="98" s="1"/>
  <c r="A107" i="98" s="1"/>
  <c r="A108" i="98" s="1"/>
  <c r="A109" i="98" s="1"/>
  <c r="A110" i="98" s="1"/>
  <c r="A111" i="98" s="1"/>
  <c r="A112" i="98" s="1"/>
  <c r="A113" i="98" s="1"/>
  <c r="A114" i="98" s="1"/>
  <c r="A115" i="98" s="1"/>
  <c r="A116" i="98" s="1"/>
  <c r="A117" i="98" s="1"/>
  <c r="A118" i="98" s="1"/>
  <c r="A119" i="98" s="1"/>
  <c r="A120" i="98" s="1"/>
  <c r="A121" i="98" s="1"/>
  <c r="A122" i="98" s="1"/>
  <c r="A123" i="98" s="1"/>
  <c r="A124" i="98" s="1"/>
  <c r="A125" i="98" s="1"/>
  <c r="A126" i="98" s="1"/>
  <c r="A127" i="98" s="1"/>
  <c r="A128" i="98" s="1"/>
  <c r="A129" i="98" s="1"/>
  <c r="A130" i="98" s="1"/>
  <c r="A131" i="98" s="1"/>
  <c r="A132" i="98" s="1"/>
  <c r="A133" i="98" s="1"/>
  <c r="A134" i="98" s="1"/>
  <c r="A135" i="98" s="1"/>
  <c r="A136" i="98" s="1"/>
  <c r="A137" i="98" s="1"/>
  <c r="A138" i="98" s="1"/>
  <c r="A139" i="98" s="1"/>
  <c r="A140" i="98" s="1"/>
  <c r="A141" i="98" s="1"/>
  <c r="A142" i="98" s="1"/>
  <c r="A143" i="98" s="1"/>
  <c r="A144" i="98" s="1"/>
  <c r="A145" i="98" s="1"/>
  <c r="A146" i="98" s="1"/>
  <c r="A147" i="98" s="1"/>
  <c r="A148" i="98" s="1"/>
  <c r="A149" i="98" s="1"/>
  <c r="A150" i="98" s="1"/>
  <c r="A151" i="98" s="1"/>
  <c r="A152" i="98" s="1"/>
  <c r="A153" i="98" s="1"/>
  <c r="A154" i="98" s="1"/>
  <c r="A155" i="98" s="1"/>
  <c r="A156" i="98" s="1"/>
  <c r="A157" i="98" s="1"/>
  <c r="A158" i="98" s="1"/>
  <c r="A159" i="98" s="1"/>
  <c r="A160" i="98" s="1"/>
  <c r="A161" i="98" s="1"/>
  <c r="A162" i="98" s="1"/>
  <c r="A163" i="98" s="1"/>
  <c r="A164" i="98" s="1"/>
  <c r="A165" i="98" s="1"/>
  <c r="A166" i="98" s="1"/>
  <c r="A167" i="98" s="1"/>
  <c r="A168" i="98" s="1"/>
  <c r="A169" i="98" s="1"/>
  <c r="A170" i="98" s="1"/>
  <c r="A171" i="98" s="1"/>
  <c r="A172" i="98" s="1"/>
  <c r="A173" i="98" s="1"/>
  <c r="A174" i="98" s="1"/>
  <c r="A175" i="98" s="1"/>
  <c r="A176" i="98" s="1"/>
  <c r="A177" i="98" s="1"/>
  <c r="A178" i="98" s="1"/>
  <c r="A179" i="98" s="1"/>
  <c r="A180" i="98" s="1"/>
  <c r="A181" i="98" s="1"/>
  <c r="A182" i="98" s="1"/>
  <c r="A183" i="98" s="1"/>
  <c r="A184" i="98" s="1"/>
  <c r="A185" i="98" s="1"/>
  <c r="A186" i="98" s="1"/>
  <c r="A187" i="98" s="1"/>
  <c r="A188" i="98" s="1"/>
  <c r="A189" i="98" s="1"/>
  <c r="A190" i="98" s="1"/>
  <c r="A191" i="98" s="1"/>
  <c r="A192" i="98" s="1"/>
  <c r="A193" i="98" s="1"/>
  <c r="A194" i="98" s="1"/>
  <c r="A195" i="98" s="1"/>
  <c r="A196" i="98" s="1"/>
  <c r="A197" i="98" s="1"/>
  <c r="A198" i="98" s="1"/>
  <c r="A199" i="98" s="1"/>
  <c r="A200" i="98" s="1"/>
  <c r="B177" i="98" l="1"/>
  <c r="B178" i="98" s="1"/>
  <c r="B179" i="98" s="1"/>
  <c r="B180" i="98" s="1"/>
  <c r="H49" i="98"/>
  <c r="H32" i="98"/>
  <c r="H39" i="98"/>
  <c r="B56" i="98"/>
  <c r="B57" i="98"/>
  <c r="H124" i="98"/>
  <c r="H153" i="98"/>
  <c r="H31" i="98"/>
  <c r="H43" i="98"/>
  <c r="H50" i="98"/>
  <c r="H157" i="98"/>
  <c r="H29" i="98"/>
  <c r="H144" i="98"/>
  <c r="H175" i="98"/>
  <c r="H192" i="98"/>
  <c r="B54" i="98"/>
  <c r="B59" i="98" s="1"/>
  <c r="B60" i="98" s="1"/>
  <c r="B61" i="98" s="1"/>
  <c r="B62" i="98" s="1"/>
  <c r="B58" i="98"/>
  <c r="H121" i="98"/>
  <c r="H165" i="98"/>
  <c r="H120" i="98"/>
  <c r="H131" i="98"/>
  <c r="H138" i="98"/>
  <c r="H51" i="98"/>
  <c r="H62" i="98"/>
  <c r="H150" i="98"/>
  <c r="H154" i="98"/>
  <c r="H158" i="98"/>
  <c r="H190" i="98"/>
  <c r="H194" i="98"/>
  <c r="H137" i="98"/>
  <c r="H152" i="98"/>
  <c r="H156" i="98"/>
  <c r="H167" i="98"/>
  <c r="H168" i="98"/>
  <c r="H174" i="98"/>
  <c r="H180" i="98"/>
  <c r="H198" i="98"/>
  <c r="H200" i="98"/>
  <c r="H186" i="98"/>
  <c r="H16" i="98" l="1"/>
  <c r="H21" i="98"/>
  <c r="H19" i="98"/>
  <c r="H15" i="98"/>
  <c r="H14" i="98"/>
  <c r="H18" i="98"/>
  <c r="K23" i="72" l="1"/>
  <c r="D35" i="33"/>
  <c r="D28" i="33"/>
  <c r="K19" i="72"/>
  <c r="D23" i="33"/>
  <c r="D19" i="33"/>
  <c r="K15" i="72"/>
  <c r="K14" i="72"/>
  <c r="D13" i="33"/>
  <c r="K11" i="72" l="1"/>
  <c r="K21" i="72"/>
  <c r="D30" i="33"/>
  <c r="K16" i="72"/>
  <c r="K12" i="72"/>
  <c r="K27" i="72"/>
  <c r="K18" i="72"/>
  <c r="D18" i="33"/>
  <c r="D24" i="33"/>
  <c r="C21" i="83"/>
  <c r="E54" i="105" l="1"/>
  <c r="E55" i="105" s="1"/>
  <c r="K5" i="72"/>
  <c r="E57" i="105" l="1"/>
  <c r="E58" i="105"/>
  <c r="A8" i="72"/>
  <c r="A9" i="72" s="1"/>
  <c r="A10" i="72" s="1"/>
  <c r="A11" i="72" s="1"/>
  <c r="A12" i="72" s="1"/>
  <c r="A13" i="72" s="1"/>
  <c r="A14" i="72" s="1"/>
  <c r="A15" i="72" s="1"/>
  <c r="A16" i="72" s="1"/>
  <c r="A17" i="72" s="1"/>
  <c r="A19" i="72" s="1"/>
  <c r="A20" i="72" s="1"/>
  <c r="A21" i="72" s="1"/>
  <c r="A22" i="72" s="1"/>
  <c r="A23" i="72" s="1"/>
  <c r="A24" i="72" s="1"/>
  <c r="A25" i="72" s="1"/>
  <c r="A26" i="72" s="1"/>
  <c r="A27" i="72" s="1"/>
  <c r="A28" i="72" s="1"/>
  <c r="A29" i="72" s="1"/>
  <c r="A30" i="72" s="1"/>
  <c r="A31" i="72" s="1"/>
  <c r="A9" i="33"/>
  <c r="A10" i="33" s="1"/>
  <c r="A11" i="33" s="1"/>
  <c r="A12" i="33" s="1"/>
  <c r="A13" i="33" s="1"/>
  <c r="A14" i="33" s="1"/>
  <c r="A15" i="33" s="1"/>
  <c r="A16" i="33" s="1"/>
  <c r="A17" i="33" s="1"/>
  <c r="A18" i="33" s="1"/>
  <c r="A19" i="33" s="1"/>
  <c r="A20" i="33" s="1"/>
  <c r="A21" i="33" s="1"/>
  <c r="A22" i="33" s="1"/>
  <c r="A24" i="33" s="1"/>
  <c r="A25" i="33" s="1"/>
  <c r="A26" i="33" s="1"/>
  <c r="A27" i="33" s="1"/>
  <c r="A28" i="33" s="1"/>
  <c r="A29" i="33" s="1"/>
  <c r="A30" i="33" s="1"/>
  <c r="A31" i="33" s="1"/>
  <c r="A32" i="33" s="1"/>
  <c r="A33" i="33" s="1"/>
  <c r="A34" i="33" s="1"/>
  <c r="A35" i="33" s="1"/>
  <c r="A36" i="33" s="1"/>
  <c r="A37" i="33" s="1"/>
  <c r="E23" i="105" l="1"/>
  <c r="E10" i="105"/>
  <c r="E8" i="105"/>
  <c r="E16" i="105"/>
  <c r="E14" i="105"/>
  <c r="E12" i="105"/>
  <c r="E13" i="105"/>
  <c r="E9" i="105"/>
  <c r="E18" i="105"/>
  <c r="E17" i="105"/>
  <c r="E7" i="105"/>
  <c r="E15" i="105"/>
  <c r="E11" i="105"/>
  <c r="E22" i="105"/>
  <c r="D23" i="105"/>
  <c r="F23" i="105" s="1"/>
  <c r="D13" i="105"/>
  <c r="F13" i="105" s="1"/>
  <c r="D15" i="105"/>
  <c r="D18" i="105"/>
  <c r="F18" i="105" s="1"/>
  <c r="D11" i="105"/>
  <c r="F11" i="105" s="1"/>
  <c r="D10" i="105"/>
  <c r="D9" i="105"/>
  <c r="D7" i="105"/>
  <c r="D8" i="105"/>
  <c r="D16" i="105"/>
  <c r="F16" i="105" s="1"/>
  <c r="D14" i="105"/>
  <c r="F14" i="105" s="1"/>
  <c r="D12" i="105"/>
  <c r="D17" i="105"/>
  <c r="D22" i="105"/>
  <c r="G23" i="72"/>
  <c r="G19" i="72"/>
  <c r="G15" i="72"/>
  <c r="G12" i="72"/>
  <c r="G10" i="72"/>
  <c r="G21" i="72"/>
  <c r="G18" i="72"/>
  <c r="G16" i="72"/>
  <c r="G14" i="72"/>
  <c r="G11" i="72"/>
  <c r="G9" i="72"/>
  <c r="G7" i="72"/>
  <c r="E18" i="72"/>
  <c r="E23" i="72"/>
  <c r="E19" i="72"/>
  <c r="E15" i="72"/>
  <c r="E12" i="72"/>
  <c r="E10" i="72"/>
  <c r="E21" i="72"/>
  <c r="E16" i="72"/>
  <c r="E14" i="72"/>
  <c r="E11" i="72"/>
  <c r="E9" i="72"/>
  <c r="F8" i="105" l="1"/>
  <c r="F12" i="105"/>
  <c r="F9" i="105"/>
  <c r="F15" i="105"/>
  <c r="F17" i="105"/>
  <c r="F22" i="105"/>
  <c r="F10" i="105"/>
  <c r="E20" i="105"/>
  <c r="F7" i="105"/>
  <c r="D20" i="105"/>
  <c r="H9" i="72"/>
  <c r="J9" i="72" s="1"/>
  <c r="H21" i="72"/>
  <c r="J21" i="72" s="1"/>
  <c r="I11" i="98" s="1"/>
  <c r="H15" i="72"/>
  <c r="J15" i="72" s="1"/>
  <c r="L15" i="72" s="1"/>
  <c r="G18" i="33" s="1"/>
  <c r="H18" i="72"/>
  <c r="J18" i="72" s="1"/>
  <c r="L18" i="72" s="1"/>
  <c r="G23" i="33" s="1"/>
  <c r="H14" i="72"/>
  <c r="J14" i="72" s="1"/>
  <c r="L14" i="72" s="1"/>
  <c r="G17" i="33" s="1"/>
  <c r="H10" i="72"/>
  <c r="J10" i="72" s="1"/>
  <c r="H19" i="72"/>
  <c r="J19" i="72" s="1"/>
  <c r="L19" i="72" s="1"/>
  <c r="G24" i="33" s="1"/>
  <c r="H11" i="72"/>
  <c r="J11" i="72" s="1"/>
  <c r="L11" i="72" s="1"/>
  <c r="G12" i="33" s="1"/>
  <c r="H16" i="72"/>
  <c r="J16" i="72" s="1"/>
  <c r="L16" i="72" s="1"/>
  <c r="G19" i="33" s="1"/>
  <c r="H12" i="72"/>
  <c r="J12" i="72" s="1"/>
  <c r="L12" i="72" s="1"/>
  <c r="G13" i="33" s="1"/>
  <c r="H23" i="72"/>
  <c r="J23" i="72" s="1"/>
  <c r="L23" i="72" s="1"/>
  <c r="G30" i="33" s="1"/>
  <c r="E25" i="72"/>
  <c r="G25" i="72"/>
  <c r="H7" i="72"/>
  <c r="J7" i="72" s="1"/>
  <c r="F20" i="105" l="1"/>
  <c r="L21" i="72"/>
  <c r="G28" i="33" s="1"/>
  <c r="H25" i="72"/>
  <c r="J25" i="72" l="1"/>
  <c r="D21" i="33" l="1"/>
  <c r="G21" i="33" l="1"/>
  <c r="D26" i="33"/>
  <c r="F21" i="33"/>
  <c r="F26" i="33" l="1"/>
  <c r="G26" i="33"/>
  <c r="L10" i="72" l="1"/>
  <c r="G11" i="33" s="1"/>
  <c r="C16" i="83" l="1"/>
  <c r="K9" i="72"/>
  <c r="L9" i="72" s="1"/>
  <c r="G10" i="33" s="1"/>
  <c r="D8" i="33" l="1"/>
  <c r="K7" i="72"/>
  <c r="K25" i="72" s="1"/>
  <c r="C10" i="83"/>
  <c r="D15" i="33"/>
  <c r="C31" i="83" l="1"/>
  <c r="C35" i="83" s="1"/>
  <c r="D32" i="33"/>
  <c r="F15" i="33"/>
  <c r="G15" i="33"/>
  <c r="L7" i="72"/>
  <c r="G8" i="33" s="1"/>
  <c r="F54" i="105" l="1"/>
  <c r="F55" i="105" s="1"/>
  <c r="F32" i="33"/>
  <c r="D37" i="33"/>
  <c r="K31" i="72"/>
  <c r="L25" i="72"/>
  <c r="G32" i="33" s="1"/>
  <c r="K35" i="72" l="1"/>
  <c r="K36" i="72" s="1"/>
  <c r="F57" i="105"/>
  <c r="F58" i="105"/>
  <c r="J23" i="105" l="1"/>
  <c r="J18" i="105"/>
  <c r="J13" i="105"/>
  <c r="J11" i="105"/>
  <c r="J10" i="105"/>
  <c r="J14" i="105"/>
  <c r="J15" i="105"/>
  <c r="J17" i="105"/>
  <c r="J16" i="105"/>
  <c r="J8" i="105"/>
  <c r="J7" i="105"/>
  <c r="J9" i="105"/>
  <c r="J12" i="105"/>
  <c r="J22" i="105"/>
  <c r="I23" i="105"/>
  <c r="I11" i="105"/>
  <c r="I14" i="105"/>
  <c r="I15" i="105"/>
  <c r="I10" i="105"/>
  <c r="I7" i="105"/>
  <c r="I13" i="105"/>
  <c r="I17" i="105"/>
  <c r="I9" i="105"/>
  <c r="I18" i="105"/>
  <c r="I8" i="105"/>
  <c r="I16" i="105"/>
  <c r="I12" i="105"/>
  <c r="I22" i="105"/>
  <c r="K16" i="105" l="1"/>
  <c r="L16" i="105" s="1"/>
  <c r="M16" i="105" s="1"/>
  <c r="K11" i="105"/>
  <c r="L11" i="105" s="1"/>
  <c r="M11" i="105" s="1"/>
  <c r="K23" i="105"/>
  <c r="L23" i="105" s="1"/>
  <c r="M23" i="105" s="1"/>
  <c r="K14" i="105"/>
  <c r="L14" i="105" s="1"/>
  <c r="M14" i="105" s="1"/>
  <c r="K18" i="105"/>
  <c r="L18" i="105" s="1"/>
  <c r="M18" i="105" s="1"/>
  <c r="K8" i="105"/>
  <c r="L8" i="105" s="1"/>
  <c r="M8" i="105" s="1"/>
  <c r="K12" i="105"/>
  <c r="L12" i="105" s="1"/>
  <c r="M12" i="105" s="1"/>
  <c r="K10" i="105"/>
  <c r="L10" i="105" s="1"/>
  <c r="M10" i="105" s="1"/>
  <c r="K17" i="105"/>
  <c r="L17" i="105" s="1"/>
  <c r="M17" i="105" s="1"/>
  <c r="K13" i="105"/>
  <c r="L13" i="105" s="1"/>
  <c r="M13" i="105" s="1"/>
  <c r="K22" i="105"/>
  <c r="L22" i="105" s="1"/>
  <c r="M22" i="105" s="1"/>
  <c r="K7" i="105"/>
  <c r="I20" i="105"/>
  <c r="K9" i="105"/>
  <c r="L9" i="105" s="1"/>
  <c r="M9" i="105" s="1"/>
  <c r="J20" i="105"/>
  <c r="K15" i="105"/>
  <c r="L15" i="105" s="1"/>
  <c r="M15" i="105" s="1"/>
  <c r="L7" i="105" l="1"/>
  <c r="M7" i="105" s="1"/>
  <c r="K20" i="105"/>
  <c r="L20" i="105" s="1"/>
  <c r="M20" i="105" s="1"/>
  <c r="D29" i="83" l="1"/>
  <c r="E35" i="33" s="1"/>
  <c r="H35" i="33" l="1"/>
  <c r="I35" i="33"/>
  <c r="J35" i="33" l="1"/>
  <c r="H83" i="98" l="1"/>
  <c r="H91" i="98"/>
  <c r="H99" i="98"/>
  <c r="H115" i="98"/>
  <c r="H101" i="98"/>
  <c r="H72" i="98"/>
  <c r="H67" i="98"/>
  <c r="H70" i="98"/>
  <c r="H82" i="98"/>
  <c r="H108" i="98"/>
  <c r="H112" i="98"/>
  <c r="H116" i="98"/>
  <c r="H87" i="98"/>
  <c r="H102" i="98"/>
  <c r="H113" i="98"/>
  <c r="H78" i="98"/>
  <c r="H106" i="98"/>
  <c r="H81" i="98"/>
  <c r="H105" i="98"/>
  <c r="H84" i="98"/>
  <c r="H93" i="98"/>
  <c r="H97" i="98"/>
  <c r="H109" i="98"/>
  <c r="H71" i="98"/>
  <c r="H92" i="98"/>
  <c r="H103" i="98"/>
  <c r="H75" i="98"/>
  <c r="H77" i="98"/>
  <c r="H66" i="98"/>
  <c r="H88" i="98"/>
  <c r="H95" i="98"/>
  <c r="H111" i="98"/>
  <c r="H79" i="98"/>
  <c r="H73" i="98"/>
  <c r="H69" i="98"/>
  <c r="H86" i="98"/>
  <c r="H68" i="98"/>
  <c r="H89" i="98"/>
  <c r="H85" i="98"/>
  <c r="H94" i="98"/>
  <c r="H98" i="98"/>
  <c r="H110" i="98"/>
  <c r="H114" i="98"/>
  <c r="H76" i="98"/>
  <c r="H96" i="98"/>
  <c r="H104" i="98"/>
  <c r="G17" i="98" l="1"/>
  <c r="H65" i="98"/>
  <c r="G22" i="98" l="1"/>
  <c r="H10" i="98"/>
  <c r="J11" i="98" s="1"/>
  <c r="J10" i="98" s="1"/>
  <c r="H17" i="98"/>
  <c r="H22" i="98" s="1"/>
  <c r="F191" i="98" l="1"/>
  <c r="I191" i="98" s="1"/>
  <c r="F67" i="98"/>
  <c r="I67" i="98" s="1"/>
  <c r="F193" i="98"/>
  <c r="I193" i="98" s="1"/>
  <c r="F79" i="98"/>
  <c r="I79" i="98" s="1"/>
  <c r="F168" i="98"/>
  <c r="I168" i="98" s="1"/>
  <c r="F56" i="98"/>
  <c r="I56" i="98" s="1"/>
  <c r="F152" i="98"/>
  <c r="I152" i="98" s="1"/>
  <c r="F29" i="98"/>
  <c r="I29" i="98" s="1"/>
  <c r="F61" i="98"/>
  <c r="I61" i="98" s="1"/>
  <c r="F158" i="98"/>
  <c r="I158" i="98" s="1"/>
  <c r="F38" i="98"/>
  <c r="I38" i="98" s="1"/>
  <c r="F164" i="98"/>
  <c r="I164" i="98" s="1"/>
  <c r="F68" i="98"/>
  <c r="I68" i="98" s="1"/>
  <c r="F36" i="98"/>
  <c r="I36" i="98" s="1"/>
  <c r="F132" i="98"/>
  <c r="I132" i="98" s="1"/>
  <c r="F197" i="98"/>
  <c r="I197" i="98" s="1"/>
  <c r="F39" i="98"/>
  <c r="I39" i="98" s="1"/>
  <c r="F91" i="98"/>
  <c r="I91" i="98" s="1"/>
  <c r="F97" i="98"/>
  <c r="I97" i="98" s="1"/>
  <c r="F127" i="98"/>
  <c r="I127" i="98" s="1"/>
  <c r="F105" i="98"/>
  <c r="I105" i="98" s="1"/>
  <c r="F113" i="98"/>
  <c r="I113" i="98" s="1"/>
  <c r="F141" i="98"/>
  <c r="I141" i="98" s="1"/>
  <c r="F156" i="98"/>
  <c r="I156" i="98" s="1"/>
  <c r="F171" i="98"/>
  <c r="I171" i="98" s="1"/>
  <c r="F161" i="98"/>
  <c r="I161" i="98" s="1"/>
  <c r="I20" i="98" s="1"/>
  <c r="F126" i="98"/>
  <c r="I126" i="98" s="1"/>
  <c r="F77" i="98"/>
  <c r="I77" i="98" s="1"/>
  <c r="F109" i="98"/>
  <c r="I109" i="98" s="1"/>
  <c r="F86" i="98"/>
  <c r="I86" i="98" s="1"/>
  <c r="F116" i="98"/>
  <c r="I116" i="98" s="1"/>
  <c r="F83" i="98"/>
  <c r="I83" i="98" s="1"/>
  <c r="F180" i="98"/>
  <c r="I180" i="98" s="1"/>
  <c r="F172" i="98"/>
  <c r="I172" i="98" s="1"/>
  <c r="F78" i="98"/>
  <c r="I78" i="98" s="1"/>
  <c r="F157" i="98"/>
  <c r="I157" i="98" s="1"/>
  <c r="F88" i="98"/>
  <c r="I88" i="98" s="1"/>
  <c r="F69" i="98"/>
  <c r="I69" i="98" s="1"/>
  <c r="F135" i="98"/>
  <c r="I135" i="98" s="1"/>
  <c r="F138" i="98"/>
  <c r="I138" i="98" s="1"/>
  <c r="F30" i="98"/>
  <c r="I30" i="98" s="1"/>
  <c r="F199" i="98"/>
  <c r="I199" i="98" s="1"/>
  <c r="F73" i="98"/>
  <c r="I73" i="98" s="1"/>
  <c r="F76" i="98"/>
  <c r="I76" i="98" s="1"/>
  <c r="F134" i="98"/>
  <c r="I134" i="98" s="1"/>
  <c r="F75" i="98"/>
  <c r="I75" i="98" s="1"/>
  <c r="F37" i="98"/>
  <c r="I37" i="98" s="1"/>
  <c r="F122" i="98"/>
  <c r="I122" i="98" s="1"/>
  <c r="F165" i="98"/>
  <c r="I165" i="98" s="1"/>
  <c r="F31" i="98"/>
  <c r="I31" i="98" s="1"/>
  <c r="F177" i="98"/>
  <c r="I177" i="98" s="1"/>
  <c r="F40" i="98"/>
  <c r="I40" i="98" s="1"/>
  <c r="F84" i="98"/>
  <c r="I84" i="98" s="1"/>
  <c r="F194" i="98"/>
  <c r="I194" i="98" s="1"/>
  <c r="F103" i="98"/>
  <c r="I103" i="98" s="1"/>
  <c r="F169" i="98"/>
  <c r="I169" i="98" s="1"/>
  <c r="F95" i="98"/>
  <c r="I95" i="98" s="1"/>
  <c r="F94" i="98"/>
  <c r="I94" i="98" s="1"/>
  <c r="F51" i="98"/>
  <c r="I51" i="98" s="1"/>
  <c r="F175" i="98"/>
  <c r="I175" i="98" s="1"/>
  <c r="F96" i="98"/>
  <c r="I96" i="98" s="1"/>
  <c r="F101" i="98"/>
  <c r="I101" i="98" s="1"/>
  <c r="F44" i="98"/>
  <c r="I44" i="98" s="1"/>
  <c r="F49" i="98"/>
  <c r="I49" i="98" s="1"/>
  <c r="F178" i="98"/>
  <c r="I178" i="98" s="1"/>
  <c r="F182" i="98"/>
  <c r="I182" i="98" s="1"/>
  <c r="F50" i="98"/>
  <c r="I50" i="98" s="1"/>
  <c r="F196" i="98"/>
  <c r="I196" i="98" s="1"/>
  <c r="F121" i="98"/>
  <c r="I121" i="98" s="1"/>
  <c r="F58" i="98"/>
  <c r="I58" i="98" s="1"/>
  <c r="F146" i="98"/>
  <c r="I146" i="98" s="1"/>
  <c r="F189" i="98"/>
  <c r="I189" i="98" s="1"/>
  <c r="F166" i="98"/>
  <c r="I166" i="98" s="1"/>
  <c r="F102" i="98"/>
  <c r="I102" i="98" s="1"/>
  <c r="F99" i="98"/>
  <c r="I99" i="98" s="1"/>
  <c r="F186" i="98"/>
  <c r="I186" i="98" s="1"/>
  <c r="F192" i="98"/>
  <c r="I192" i="98" s="1"/>
  <c r="F115" i="98"/>
  <c r="I115" i="98" s="1"/>
  <c r="F150" i="98"/>
  <c r="I150" i="98" s="1"/>
  <c r="F111" i="98"/>
  <c r="I111" i="98" s="1"/>
  <c r="F198" i="98"/>
  <c r="I198" i="98" s="1"/>
  <c r="F108" i="98"/>
  <c r="I108" i="98" s="1"/>
  <c r="F93" i="98"/>
  <c r="I93" i="98" s="1"/>
  <c r="F137" i="98"/>
  <c r="I137" i="98" s="1"/>
  <c r="F148" i="98"/>
  <c r="I148" i="98" s="1"/>
  <c r="F57" i="98"/>
  <c r="I57" i="98" s="1"/>
  <c r="F65" i="98"/>
  <c r="I65" i="98" s="1"/>
  <c r="F87" i="98"/>
  <c r="I87" i="98" s="1"/>
  <c r="F42" i="98"/>
  <c r="I42" i="98" s="1"/>
  <c r="F66" i="98"/>
  <c r="I66" i="98" s="1"/>
  <c r="F143" i="98"/>
  <c r="I143" i="98" s="1"/>
  <c r="F89" i="98"/>
  <c r="I89" i="98" s="1"/>
  <c r="F98" i="98"/>
  <c r="I98" i="98" s="1"/>
  <c r="F72" i="98"/>
  <c r="I72" i="98" s="1"/>
  <c r="F71" i="98"/>
  <c r="I71" i="98" s="1"/>
  <c r="F155" i="98"/>
  <c r="I155" i="98" s="1"/>
  <c r="F136" i="98"/>
  <c r="I136" i="98" s="1"/>
  <c r="F25" i="98"/>
  <c r="I25" i="98" s="1"/>
  <c r="F174" i="98"/>
  <c r="I174" i="98" s="1"/>
  <c r="F124" i="98"/>
  <c r="I124" i="98" s="1"/>
  <c r="F114" i="98"/>
  <c r="I114" i="98" s="1"/>
  <c r="F183" i="98"/>
  <c r="I183" i="98" s="1"/>
  <c r="F179" i="98"/>
  <c r="I179" i="98" s="1"/>
  <c r="F33" i="98"/>
  <c r="I33" i="98" s="1"/>
  <c r="F130" i="98"/>
  <c r="I130" i="98" s="1"/>
  <c r="F188" i="98"/>
  <c r="I188" i="98" s="1"/>
  <c r="F153" i="98"/>
  <c r="I153" i="98" s="1"/>
  <c r="F47" i="98"/>
  <c r="I47" i="98" s="1"/>
  <c r="F167" i="98"/>
  <c r="I167" i="98" s="1"/>
  <c r="F173" i="98"/>
  <c r="I173" i="98" s="1"/>
  <c r="F154" i="98"/>
  <c r="I154" i="98" s="1"/>
  <c r="F43" i="98"/>
  <c r="I43" i="98" s="1"/>
  <c r="F52" i="98"/>
  <c r="I52" i="98" s="1"/>
  <c r="F110" i="98"/>
  <c r="I110" i="98" s="1"/>
  <c r="F92" i="98"/>
  <c r="I92" i="98" s="1"/>
  <c r="F54" i="98"/>
  <c r="I54" i="98" s="1"/>
  <c r="F187" i="98"/>
  <c r="I187" i="98" s="1"/>
  <c r="F142" i="98"/>
  <c r="I142" i="98" s="1"/>
  <c r="F70" i="98"/>
  <c r="I70" i="98" s="1"/>
  <c r="F151" i="98"/>
  <c r="I151" i="98" s="1"/>
  <c r="F133" i="98"/>
  <c r="I133" i="98" s="1"/>
  <c r="F104" i="98"/>
  <c r="I104" i="98" s="1"/>
  <c r="F106" i="98"/>
  <c r="I106" i="98" s="1"/>
  <c r="F32" i="98"/>
  <c r="I32" i="98" s="1"/>
  <c r="F41" i="98"/>
  <c r="I41" i="98" s="1"/>
  <c r="F48" i="98"/>
  <c r="I48" i="98" s="1"/>
  <c r="F123" i="98"/>
  <c r="I123" i="98" s="1"/>
  <c r="F125" i="98"/>
  <c r="I125" i="98" s="1"/>
  <c r="F195" i="98"/>
  <c r="I195" i="98" s="1"/>
  <c r="F59" i="98"/>
  <c r="I59" i="98" s="1"/>
  <c r="F62" i="98"/>
  <c r="I62" i="98" s="1"/>
  <c r="F27" i="98"/>
  <c r="I27" i="98" s="1"/>
  <c r="F82" i="98"/>
  <c r="I82" i="98" s="1"/>
  <c r="F200" i="98"/>
  <c r="I200" i="98" s="1"/>
  <c r="F120" i="98"/>
  <c r="I120" i="98" s="1"/>
  <c r="F60" i="98"/>
  <c r="I60" i="98" s="1"/>
  <c r="F190" i="98"/>
  <c r="I190" i="98" s="1"/>
  <c r="F145" i="98"/>
  <c r="I145" i="98" s="1"/>
  <c r="F81" i="98"/>
  <c r="I81" i="98" s="1"/>
  <c r="F119" i="98"/>
  <c r="I119" i="98" s="1"/>
  <c r="F112" i="98"/>
  <c r="I112" i="98" s="1"/>
  <c r="F144" i="98"/>
  <c r="I144" i="98" s="1"/>
  <c r="F53" i="98"/>
  <c r="I53" i="98" s="1"/>
  <c r="F28" i="98"/>
  <c r="I28" i="98" s="1"/>
  <c r="F85" i="98"/>
  <c r="I85" i="98" s="1"/>
  <c r="F131" i="98"/>
  <c r="I131" i="98" s="1"/>
  <c r="I17" i="98" l="1"/>
  <c r="I19" i="98"/>
  <c r="I18" i="98"/>
  <c r="I21" i="98"/>
  <c r="I14" i="98"/>
  <c r="I10" i="98"/>
  <c r="I12" i="98" s="1"/>
  <c r="I15" i="98"/>
  <c r="I16" i="98"/>
  <c r="I22" i="98" l="1"/>
  <c r="D27" i="83" l="1"/>
  <c r="E28" i="33" s="1"/>
  <c r="H28" i="33" l="1"/>
  <c r="I28" i="33"/>
  <c r="J28" i="33" l="1"/>
  <c r="K28" i="33" l="1"/>
  <c r="D33" i="83" l="1"/>
  <c r="E30" i="33" s="1"/>
  <c r="H30" i="33" l="1"/>
  <c r="I30" i="33"/>
  <c r="J30" i="33" l="1"/>
  <c r="K30" i="33" l="1"/>
  <c r="D24" i="83"/>
  <c r="E24" i="33" s="1"/>
  <c r="D23" i="83" l="1"/>
  <c r="H24" i="33"/>
  <c r="I24" i="33"/>
  <c r="J24" i="33" l="1"/>
  <c r="E23" i="33"/>
  <c r="D25" i="83"/>
  <c r="K24" i="33" l="1"/>
  <c r="E26" i="33"/>
  <c r="H23" i="33"/>
  <c r="I23" i="33"/>
  <c r="H26" i="33" l="1"/>
  <c r="J23" i="33"/>
  <c r="I26" i="33"/>
  <c r="D20" i="83"/>
  <c r="E19" i="33" s="1"/>
  <c r="D15" i="83"/>
  <c r="E13" i="33" s="1"/>
  <c r="D19" i="83" l="1"/>
  <c r="E18" i="33" s="1"/>
  <c r="H13" i="33"/>
  <c r="I13" i="33"/>
  <c r="H19" i="33"/>
  <c r="I19" i="33"/>
  <c r="K23" i="33"/>
  <c r="J26" i="33"/>
  <c r="J13" i="33" l="1"/>
  <c r="H18" i="33"/>
  <c r="I18" i="33"/>
  <c r="J19" i="33"/>
  <c r="K26" i="33"/>
  <c r="K19" i="33" l="1"/>
  <c r="K13" i="33"/>
  <c r="J18" i="33"/>
  <c r="K18" i="33" l="1"/>
  <c r="D10" i="83" l="1"/>
  <c r="E8" i="33"/>
  <c r="H8" i="33" l="1"/>
  <c r="I8" i="33"/>
  <c r="J8" i="33" l="1"/>
  <c r="K8" i="33" l="1"/>
  <c r="D18" i="83" l="1"/>
  <c r="D21" i="83" l="1"/>
  <c r="E17" i="33"/>
  <c r="E21" i="33" l="1"/>
  <c r="H17" i="33"/>
  <c r="I17" i="33"/>
  <c r="D14" i="83"/>
  <c r="E12" i="33" s="1"/>
  <c r="H21" i="33" l="1"/>
  <c r="I21" i="33"/>
  <c r="J17" i="33"/>
  <c r="I12" i="33"/>
  <c r="H12" i="33"/>
  <c r="K17" i="33" l="1"/>
  <c r="J21" i="33"/>
  <c r="J12" i="33"/>
  <c r="K12" i="33" l="1"/>
  <c r="K21" i="33"/>
  <c r="D13" i="83" l="1"/>
  <c r="E11" i="33" s="1"/>
  <c r="H11" i="33" l="1"/>
  <c r="I11" i="33"/>
  <c r="J11" i="33" l="1"/>
  <c r="K11" i="33" l="1"/>
  <c r="D12" i="83"/>
  <c r="E10" i="33" l="1"/>
  <c r="D16" i="83"/>
  <c r="D31" i="83" l="1"/>
  <c r="D35" i="83" s="1"/>
  <c r="I10" i="33"/>
  <c r="H10" i="33"/>
  <c r="E15" i="33"/>
  <c r="E32" i="33" l="1"/>
  <c r="H15" i="33"/>
  <c r="J10" i="33"/>
  <c r="I15" i="33"/>
  <c r="E37" i="33" l="1"/>
  <c r="H32" i="33"/>
  <c r="I32" i="33"/>
  <c r="J15" i="33"/>
  <c r="K10" i="33"/>
  <c r="J32" i="33" l="1"/>
  <c r="H37" i="33"/>
  <c r="I37" i="33"/>
  <c r="K15" i="33"/>
  <c r="K32" i="33" l="1"/>
  <c r="J37" i="33"/>
</calcChain>
</file>

<file path=xl/comments1.xml><?xml version="1.0" encoding="utf-8"?>
<comments xmlns="http://schemas.openxmlformats.org/spreadsheetml/2006/main">
  <authors>
    <author>Chun Chang</author>
  </authors>
  <commentList>
    <comment ref="J14" authorId="0" shapeId="0">
      <text>
        <r>
          <rPr>
            <b/>
            <sz val="9"/>
            <color indexed="81"/>
            <rFont val="Tahoma"/>
            <family val="2"/>
          </rPr>
          <t>Chun Chang:</t>
        </r>
        <r>
          <rPr>
            <sz val="9"/>
            <color indexed="81"/>
            <rFont val="Tahoma"/>
            <family val="2"/>
          </rPr>
          <t xml:space="preserve">
This is to be used as the energy allocation factor in 2019 GRC.  04/29/19</t>
        </r>
      </text>
    </comment>
    <comment ref="B17" authorId="0" shapeId="0">
      <text>
        <r>
          <rPr>
            <b/>
            <sz val="9"/>
            <color indexed="81"/>
            <rFont val="Tahoma"/>
            <family val="2"/>
          </rPr>
          <t>Chun Chang:</t>
        </r>
        <r>
          <rPr>
            <sz val="9"/>
            <color indexed="81"/>
            <rFont val="Tahoma"/>
            <family val="2"/>
          </rPr>
          <t xml:space="preserve">
Reflects schedule 40 rate migrations anticipated after 2019 GRC.  04/29/19</t>
        </r>
      </text>
    </comment>
  </commentList>
</comments>
</file>

<file path=xl/sharedStrings.xml><?xml version="1.0" encoding="utf-8"?>
<sst xmlns="http://schemas.openxmlformats.org/spreadsheetml/2006/main" count="861" uniqueCount="438">
  <si>
    <t>Line No.</t>
  </si>
  <si>
    <t>Residential</t>
  </si>
  <si>
    <t>Sec Gen Svc - Small</t>
  </si>
  <si>
    <t>Sec Gen Svc - Medium</t>
  </si>
  <si>
    <t>Sec Gen Svc - Large</t>
  </si>
  <si>
    <t>Sec Irrigation Svc</t>
  </si>
  <si>
    <t>Pri Gen Svc</t>
  </si>
  <si>
    <t>Pri Irrigation Svc</t>
  </si>
  <si>
    <t>Pri Interruptible Svc</t>
  </si>
  <si>
    <t>Lights</t>
  </si>
  <si>
    <t>Subtotal</t>
  </si>
  <si>
    <t>Transportation</t>
  </si>
  <si>
    <t>Total</t>
  </si>
  <si>
    <t>Puget Sound Energy</t>
  </si>
  <si>
    <t>a</t>
  </si>
  <si>
    <t>b</t>
  </si>
  <si>
    <t>c</t>
  </si>
  <si>
    <t>CUSTOMER CLASS</t>
  </si>
  <si>
    <t>SCHEDULE</t>
  </si>
  <si>
    <t>Increase / Decrease 
$</t>
  </si>
  <si>
    <t>Increase / Decrease
%</t>
  </si>
  <si>
    <t>Secondary Service Total</t>
  </si>
  <si>
    <t>Primary Service Total</t>
  </si>
  <si>
    <t>HV Interruptible Svc</t>
  </si>
  <si>
    <t>HV Gen Svc</t>
  </si>
  <si>
    <t>High Voltage Service Total</t>
  </si>
  <si>
    <t>Small Firm Resale</t>
  </si>
  <si>
    <t>005</t>
  </si>
  <si>
    <t>Excluded Schedules</t>
  </si>
  <si>
    <t>Schedule</t>
  </si>
  <si>
    <t>Lamp Type</t>
  </si>
  <si>
    <t>$ / kWh</t>
  </si>
  <si>
    <t>Mercury Vapor</t>
  </si>
  <si>
    <t>Sodium Vapor</t>
  </si>
  <si>
    <t>kWh</t>
  </si>
  <si>
    <t>Residential Customer Impacts</t>
  </si>
  <si>
    <t>Month</t>
  </si>
  <si>
    <t>$ Difference</t>
  </si>
  <si>
    <t>% Difference</t>
  </si>
  <si>
    <t>January</t>
  </si>
  <si>
    <t>February</t>
  </si>
  <si>
    <t>March</t>
  </si>
  <si>
    <t>April</t>
  </si>
  <si>
    <t>May</t>
  </si>
  <si>
    <t>June</t>
  </si>
  <si>
    <t>July</t>
  </si>
  <si>
    <t>August</t>
  </si>
  <si>
    <t>September</t>
  </si>
  <si>
    <t>October</t>
  </si>
  <si>
    <t>November</t>
  </si>
  <si>
    <t>December</t>
  </si>
  <si>
    <t>Annual Total</t>
  </si>
  <si>
    <t>Customer Monthly Charge:</t>
  </si>
  <si>
    <t>per Month</t>
  </si>
  <si>
    <t>Energy Charge:</t>
  </si>
  <si>
    <t>Schedule 7 first 600 kWh</t>
  </si>
  <si>
    <t>Schedule 7 over 600 kWh</t>
  </si>
  <si>
    <t>Schedule 95 - Power Cost Adjustment Clause</t>
  </si>
  <si>
    <t>Schedule 120 - Conservation Rider</t>
  </si>
  <si>
    <t>Schedule 129 - Low Income</t>
  </si>
  <si>
    <t>Schedule 194 - BPA Exchange Credit</t>
  </si>
  <si>
    <t>Rate Spread &amp; Rate Design</t>
  </si>
  <si>
    <t>Electronic Workpapers</t>
  </si>
  <si>
    <t>50-59</t>
  </si>
  <si>
    <t>Campus Rate</t>
  </si>
  <si>
    <t>Customer Class</t>
  </si>
  <si>
    <t>Firm Resale - Small</t>
  </si>
  <si>
    <t>d</t>
  </si>
  <si>
    <t>g = f - e</t>
  </si>
  <si>
    <t>h = g / e</t>
  </si>
  <si>
    <t>Total Secondary Voltage</t>
  </si>
  <si>
    <t>Total Primary Voltage</t>
  </si>
  <si>
    <t>Total High Voltage</t>
  </si>
  <si>
    <t>Year</t>
  </si>
  <si>
    <t>Schedule 95A - Wind Power Production Credit</t>
  </si>
  <si>
    <t>Schedule 137 - Renewable Energy Credit</t>
  </si>
  <si>
    <t>Schedule 140 - Property Tax Rider</t>
  </si>
  <si>
    <t>Schedule 142 - Decoupling Rider</t>
  </si>
  <si>
    <t>Subtotal Base Monthly Charge</t>
  </si>
  <si>
    <t>Subtotal Base First 600 kWh Charge</t>
  </si>
  <si>
    <t>Subtotal Base Over 600 kWh Charge</t>
  </si>
  <si>
    <t>8 &amp; 24</t>
  </si>
  <si>
    <t>11, 25 &amp; 7A</t>
  </si>
  <si>
    <t>10 &amp; 31</t>
  </si>
  <si>
    <t>12, 26 &amp; 26P</t>
  </si>
  <si>
    <t>HV - Interruptible Svc</t>
  </si>
  <si>
    <t>HV - General Svc</t>
  </si>
  <si>
    <t>e = 
b + (a * c)</t>
  </si>
  <si>
    <t>f = 
b + (a * d)</t>
  </si>
  <si>
    <t>e = b + d</t>
  </si>
  <si>
    <t>f</t>
  </si>
  <si>
    <t>g = e * Revenue Requirement</t>
  </si>
  <si>
    <t>j</t>
  </si>
  <si>
    <t xml:space="preserve">Typical Residential </t>
  </si>
  <si>
    <t>Residential Schedule 7 Rates</t>
  </si>
  <si>
    <t>One Phase Basic Charge</t>
  </si>
  <si>
    <t>Other Electric Charges and Credits</t>
  </si>
  <si>
    <t>Subtotal Other Charges</t>
  </si>
  <si>
    <t>Total Block 1 Energy Charge</t>
  </si>
  <si>
    <t>Total Block 2 Energy Charge</t>
  </si>
  <si>
    <t>Forecast kWh</t>
  </si>
  <si>
    <t>Forecast Customer Count</t>
  </si>
  <si>
    <t>Average Use per Customer</t>
  </si>
  <si>
    <t>Average</t>
  </si>
  <si>
    <t>Net of Conservation</t>
  </si>
  <si>
    <t>Date</t>
  </si>
  <si>
    <t>Losses</t>
  </si>
  <si>
    <t>Customers</t>
  </si>
  <si>
    <t>Tariff</t>
  </si>
  <si>
    <t>Annual kWh Delivered Sales (Normalized)</t>
  </si>
  <si>
    <t>Estimated Annual Proforma Base Revenue</t>
  </si>
  <si>
    <t>Schedule 120
Conservation</t>
  </si>
  <si>
    <t>Schedule 129
Low Income</t>
  </si>
  <si>
    <t>Schedule 140
Property Tax</t>
  </si>
  <si>
    <t>Schedule 142
Decoupling</t>
  </si>
  <si>
    <t>Schedule 194
BPA Res &amp; Farm Credit</t>
  </si>
  <si>
    <t>449-459</t>
  </si>
  <si>
    <t>All Sales</t>
  </si>
  <si>
    <t>Schedules</t>
  </si>
  <si>
    <t>8/24</t>
  </si>
  <si>
    <t>7A/11/25</t>
  </si>
  <si>
    <t>12/26</t>
  </si>
  <si>
    <t>10/31</t>
  </si>
  <si>
    <t>b = 75% * a / ∑(a)</t>
  </si>
  <si>
    <t>d = 25% * c / ∑(c)</t>
  </si>
  <si>
    <t>e</t>
  </si>
  <si>
    <t>h</t>
  </si>
  <si>
    <t>i</t>
  </si>
  <si>
    <t>k</t>
  </si>
  <si>
    <t>l</t>
  </si>
  <si>
    <t>g</t>
  </si>
  <si>
    <t>Wattage (W)</t>
  </si>
  <si>
    <t>Demand-Related</t>
  </si>
  <si>
    <t>Energy-Related</t>
  </si>
  <si>
    <t>(a)</t>
  </si>
  <si>
    <t>(b)</t>
  </si>
  <si>
    <t>(d)</t>
  </si>
  <si>
    <t>(e)</t>
  </si>
  <si>
    <t>(f)</t>
  </si>
  <si>
    <t>= (a) * (AA)</t>
  </si>
  <si>
    <t>= (a) * (d)</t>
  </si>
  <si>
    <t>= (b) * (d)</t>
  </si>
  <si>
    <t>AA</t>
  </si>
  <si>
    <t>Total Lamp Revenue Requirement Based on Inventory</t>
  </si>
  <si>
    <t>Schedule 129 Lighting Revenue Requirement to Collect</t>
  </si>
  <si>
    <t>Difference Due to Rounding</t>
  </si>
  <si>
    <t>Schedule 50</t>
  </si>
  <si>
    <t>Schedule 51</t>
  </si>
  <si>
    <t>Schedule 52</t>
  </si>
  <si>
    <t>Schedule 53</t>
  </si>
  <si>
    <t>Schedule 54</t>
  </si>
  <si>
    <t>Schedule 55-56</t>
  </si>
  <si>
    <t>Schedule 57</t>
  </si>
  <si>
    <t>Schedule 58-59</t>
  </si>
  <si>
    <t>All Lighting</t>
  </si>
  <si>
    <t>Sch 50E</t>
  </si>
  <si>
    <t>003</t>
  </si>
  <si>
    <t>Compact Flourescent</t>
  </si>
  <si>
    <t>50E-A</t>
  </si>
  <si>
    <t>50E-B</t>
  </si>
  <si>
    <t>Sch 51E</t>
  </si>
  <si>
    <t>51E</t>
  </si>
  <si>
    <t>Light Emitting Diode</t>
  </si>
  <si>
    <t>30.01 - 60</t>
  </si>
  <si>
    <t>60.01 - 90</t>
  </si>
  <si>
    <t>90.01 - 120</t>
  </si>
  <si>
    <t>120.01 - 150</t>
  </si>
  <si>
    <t>150.01 - 180</t>
  </si>
  <si>
    <t>180.01 - 210</t>
  </si>
  <si>
    <t>210.01 - 240</t>
  </si>
  <si>
    <t>240.01 - 270</t>
  </si>
  <si>
    <t>270.01 - 300</t>
  </si>
  <si>
    <t>Sch 52E</t>
  </si>
  <si>
    <t xml:space="preserve">52E </t>
  </si>
  <si>
    <t>Metal Halide</t>
  </si>
  <si>
    <t>Sch 53E</t>
  </si>
  <si>
    <t>53E - Company Owned</t>
  </si>
  <si>
    <t>53E - Customer Owned</t>
  </si>
  <si>
    <t>Sch 54E</t>
  </si>
  <si>
    <t>54E</t>
  </si>
  <si>
    <t>Sch 55 &amp; 56</t>
  </si>
  <si>
    <t>55E &amp; 56E</t>
  </si>
  <si>
    <t>Sch 57</t>
  </si>
  <si>
    <t>57E</t>
  </si>
  <si>
    <t>Per W charge</t>
  </si>
  <si>
    <t>Sch 58 &amp; 59</t>
  </si>
  <si>
    <t>58E &amp; 59E - Directional</t>
  </si>
  <si>
    <t>58E &amp; 59E - Horizontal</t>
  </si>
  <si>
    <t>58E &amp; 59E</t>
  </si>
  <si>
    <t>300.01 - 400</t>
  </si>
  <si>
    <t>400.01 - 500</t>
  </si>
  <si>
    <t>500.01 - 600</t>
  </si>
  <si>
    <t>600.01 - 700</t>
  </si>
  <si>
    <t>700.01 - 800</t>
  </si>
  <si>
    <t>800.01 - 900</t>
  </si>
  <si>
    <t>Load Research Allocation Factors</t>
  </si>
  <si>
    <t>Electric Cost of Service Allocation Factors</t>
  </si>
  <si>
    <t>Load Research Data</t>
  </si>
  <si>
    <t>ENERGY_1</t>
  </si>
  <si>
    <t>ENERGY_2</t>
  </si>
  <si>
    <t>DEM_2A</t>
  </si>
  <si>
    <t>DEM_2B</t>
  </si>
  <si>
    <t>Energy - All Rate Schedules</t>
  </si>
  <si>
    <t>Energy - Exclude Transportation</t>
  </si>
  <si>
    <t>4 CP Demand - Exclude Interruptible</t>
  </si>
  <si>
    <t>4 CP Demand - Exclude Interruptible &amp; Transportation</t>
  </si>
  <si>
    <t>Energy</t>
  </si>
  <si>
    <t>4 CP  Demand</t>
  </si>
  <si>
    <t>Firm Resale</t>
  </si>
  <si>
    <t>Check</t>
  </si>
  <si>
    <t>Monthly CP by Class</t>
  </si>
  <si>
    <t>with losses</t>
  </si>
  <si>
    <t>YearMo</t>
  </si>
  <si>
    <t>Hour</t>
  </si>
  <si>
    <t>_24</t>
  </si>
  <si>
    <t>_25</t>
  </si>
  <si>
    <t>_26</t>
  </si>
  <si>
    <t>_29</t>
  </si>
  <si>
    <t>_31</t>
  </si>
  <si>
    <t>_35</t>
  </si>
  <si>
    <t>_43</t>
  </si>
  <si>
    <t>_46</t>
  </si>
  <si>
    <t>_49</t>
  </si>
  <si>
    <t>_5</t>
  </si>
  <si>
    <t>_7</t>
  </si>
  <si>
    <t>System</t>
  </si>
  <si>
    <t>NET GPI</t>
  </si>
  <si>
    <t>TEMP ADJ</t>
  </si>
  <si>
    <t>TEMP ADJUSTED</t>
  </si>
  <si>
    <t>TEMP ADJ GPI</t>
  </si>
  <si>
    <t>(1b)</t>
  </si>
  <si>
    <t>(2b)</t>
  </si>
  <si>
    <t>(3b)</t>
  </si>
  <si>
    <t>(4b)</t>
  </si>
  <si>
    <t>(5b)</t>
  </si>
  <si>
    <t>(6b)</t>
  </si>
  <si>
    <t>(7b)</t>
  </si>
  <si>
    <t>(8b)</t>
  </si>
  <si>
    <t>(9b)</t>
  </si>
  <si>
    <t>(10b)</t>
  </si>
  <si>
    <t xml:space="preserve"> </t>
  </si>
  <si>
    <t>Annual kWh</t>
  </si>
  <si>
    <t>Temperature</t>
  </si>
  <si>
    <t>Annual</t>
  </si>
  <si>
    <t>Temp Adj</t>
  </si>
  <si>
    <t>Percent</t>
  </si>
  <si>
    <t>Billed kWh</t>
  </si>
  <si>
    <t>(incl. losses</t>
  </si>
  <si>
    <t>Adjusted</t>
  </si>
  <si>
    <t>Class</t>
  </si>
  <si>
    <t>actual kWh</t>
  </si>
  <si>
    <t>Difference</t>
  </si>
  <si>
    <t>GPI kWh</t>
  </si>
  <si>
    <t>&amp; misc. usage)</t>
  </si>
  <si>
    <t>on temp adj</t>
  </si>
  <si>
    <t>Incl Losses</t>
  </si>
  <si>
    <t>Allocation</t>
  </si>
  <si>
    <t>(not incl. Losses)</t>
  </si>
  <si>
    <t>(calendar view)</t>
  </si>
  <si>
    <t>11a</t>
  </si>
  <si>
    <t>7b-4b</t>
  </si>
  <si>
    <t>4b/(1-5b)</t>
  </si>
  <si>
    <t>(7b/sum(7b) *B8</t>
  </si>
  <si>
    <t>10a</t>
  </si>
  <si>
    <t>8b+9b</t>
  </si>
  <si>
    <t>============</t>
  </si>
  <si>
    <t>===============</t>
  </si>
  <si>
    <t>===================</t>
  </si>
  <si>
    <t>07</t>
  </si>
  <si>
    <t>Small Resale (05)</t>
  </si>
  <si>
    <t>50-54,57-58</t>
  </si>
  <si>
    <t>Transportation Schedules:</t>
  </si>
  <si>
    <t>449 HV</t>
  </si>
  <si>
    <t>449 PV</t>
  </si>
  <si>
    <t>Total Transp.</t>
  </si>
  <si>
    <t>Delivery</t>
  </si>
  <si>
    <t>% of Total</t>
  </si>
  <si>
    <t>% of Annual</t>
  </si>
  <si>
    <t>Voltage Level</t>
  </si>
  <si>
    <t>Energy Losses</t>
  </si>
  <si>
    <t>KWH LOSSES</t>
  </si>
  <si>
    <t>High Voltage (Sch 46,49)</t>
  </si>
  <si>
    <t>MISC USAGE</t>
  </si>
  <si>
    <t>Primary (Sch 05,31,35,40,43)</t>
  </si>
  <si>
    <t>KWH BILLED</t>
  </si>
  <si>
    <t>Secondary (7,24,25,26,29,Lighting)</t>
  </si>
  <si>
    <t>Total (not incl. transportation)</t>
  </si>
  <si>
    <t>(1a)</t>
  </si>
  <si>
    <t>(2a)</t>
  </si>
  <si>
    <t>(3a)</t>
  </si>
  <si>
    <t>(4a)</t>
  </si>
  <si>
    <t>(5a)</t>
  </si>
  <si>
    <t>(6a)</t>
  </si>
  <si>
    <t>(7a)</t>
  </si>
  <si>
    <t>(8a)</t>
  </si>
  <si>
    <t>(9a)</t>
  </si>
  <si>
    <t>(10a)</t>
  </si>
  <si>
    <t>(11a)</t>
  </si>
  <si>
    <t>Ave Monthly</t>
  </si>
  <si>
    <t>Misc. Use</t>
  </si>
  <si>
    <t>Coincident</t>
  </si>
  <si>
    <t>Annual Loss</t>
  </si>
  <si>
    <t>Coincident kW</t>
  </si>
  <si>
    <t>kW</t>
  </si>
  <si>
    <t>Load Factor</t>
  </si>
  <si>
    <t>kW Losses</t>
  </si>
  <si>
    <t>kWh Losses</t>
  </si>
  <si>
    <t>(2a/sum(2a)</t>
  </si>
  <si>
    <t>(SAS Output)</t>
  </si>
  <si>
    <t>(5/4)</t>
  </si>
  <si>
    <t>8/sum(8)</t>
  </si>
  <si>
    <t>(2+3+9)</t>
  </si>
  <si>
    <t>(9/(2+3))</t>
  </si>
  <si>
    <t>*misc use)</t>
  </si>
  <si>
    <t>*total kWh losses</t>
  </si>
  <si>
    <t>=================</t>
  </si>
  <si>
    <t>50-54,57-59</t>
  </si>
  <si>
    <t>Column K (11a) is used as an input for LINECST2 and SUBCSTA4 allocation programs.</t>
  </si>
  <si>
    <t>Data in 4a and 7a are calculated in Losses.sas program -- for system schedules (non-transportation)</t>
  </si>
  <si>
    <t>Data in 4a and 7a are calculated in 'Avg CP kW and Losses OFFSYS' sheet for off-system schedules (transportation)</t>
  </si>
  <si>
    <t>Secondary Volt.</t>
  </si>
  <si>
    <t>Primary Volt.</t>
  </si>
  <si>
    <t>Transm. Volt.</t>
  </si>
  <si>
    <t>8, 24</t>
  </si>
  <si>
    <t>7A, 11, 25</t>
  </si>
  <si>
    <t>12, 26, 26P</t>
  </si>
  <si>
    <t>10, 31</t>
  </si>
  <si>
    <t>Transportation/Special Contract</t>
  </si>
  <si>
    <t>449 / 459 / SC</t>
  </si>
  <si>
    <t>2020 Revenue Requirement</t>
  </si>
  <si>
    <t>$ per kWh Proposed Eff 1-1-2020</t>
  </si>
  <si>
    <t>Special Contract</t>
  </si>
  <si>
    <t>SC</t>
  </si>
  <si>
    <t>m</t>
  </si>
  <si>
    <t>449-459-SC</t>
  </si>
  <si>
    <t>Schedule 141X
Excess Def Tax</t>
  </si>
  <si>
    <t>Schedule 141Y
Temp Fed Tax Cr</t>
  </si>
  <si>
    <t>i = g / h</t>
  </si>
  <si>
    <t>Current Annual Base Lamp Demand &amp; Energy Cost @ 1-1-2020</t>
  </si>
  <si>
    <t>Advice No. 2020-xx</t>
  </si>
  <si>
    <t>Effective January 1, 2021 to December 31, 2021</t>
  </si>
  <si>
    <t>TEMPERATURE ADJUSTED ANNUAL ENERGY ALLOCATIONS BY RATE SCHEDULE</t>
  </si>
  <si>
    <t>12 MONTHS ENDED DECEMBER 31, 2018</t>
  </si>
  <si>
    <t>DELIVERED KWH (Cal View)</t>
  </si>
  <si>
    <t>TEMP ADJ DELIVERED KWH</t>
  </si>
  <si>
    <t>Note:  Annual actual kWh includes the impacts of schedule 40 rate migrations anticipated during the rate year on Schedules 24, 25, 26, 31 &amp; Special Contract.</t>
  </si>
  <si>
    <t>ANNUAL ENERGY LOSS ALLOCATIONS BY RATE SCHEDULE</t>
  </si>
  <si>
    <t>Annual Actual</t>
  </si>
  <si>
    <t>Delivered kWh</t>
  </si>
  <si>
    <t>((2+3)/8760)</t>
  </si>
  <si>
    <t>(6*7*8784)</t>
  </si>
  <si>
    <t>calendar view</t>
  </si>
  <si>
    <t>_449-459</t>
  </si>
  <si>
    <t>18:00</t>
  </si>
  <si>
    <t>08:00</t>
  </si>
  <si>
    <t>4 CP</t>
  </si>
  <si>
    <t>12 NCP</t>
  </si>
  <si>
    <t>Twelve Months ended December 30, 2018</t>
  </si>
  <si>
    <t>2019 GRC</t>
  </si>
  <si>
    <t>7A, 11, 25 &amp; 29</t>
  </si>
  <si>
    <t>12 &amp; 26</t>
  </si>
  <si>
    <t>46 &amp;49</t>
  </si>
  <si>
    <t>Lighting (50-59)</t>
  </si>
  <si>
    <t>Retail Wheeling (449-459)</t>
  </si>
  <si>
    <t>F20 Final Electric Load Forecast - CETA Conservation</t>
  </si>
  <si>
    <t>Schedule 95
PCA / PCORC</t>
  </si>
  <si>
    <t>Schedule 141Z (Unprotected)
EDIT</t>
  </si>
  <si>
    <t>kWh
Source: F2020 January 2021 to December 2021</t>
  </si>
  <si>
    <t>Estimated Net Revenue @
Rates Effective
10-15-2020
(*Note 1)</t>
  </si>
  <si>
    <t>75%
2019 GRC Energy
(Docket No.
UE-190529)</t>
  </si>
  <si>
    <t>2019 GRC 4CP Demand
Allocator
(Docket No.
UE-190529)</t>
  </si>
  <si>
    <t>25%
2019 GRC Demand
(Docket No.
UE-190529)</t>
  </si>
  <si>
    <t>2019 GRC Weighted Allocation (Docket No. UE-190573)</t>
  </si>
  <si>
    <t>Test Year ended December 2021 (F2020)</t>
  </si>
  <si>
    <t>January 1, 2021 Rate Impacts</t>
  </si>
  <si>
    <t>Annual Lamp Inventory @ 9/30/2020</t>
  </si>
  <si>
    <t>Test Year Ending December 31, 2021</t>
  </si>
  <si>
    <t>Current Base Lamp Demand &amp; Energy Charges from COS Effective 
10-15-2020</t>
  </si>
  <si>
    <t>Month No.</t>
  </si>
  <si>
    <t>Schedule 141Z - EDIT Rider</t>
  </si>
  <si>
    <t>Schedule 141Y - Tax Over Collection Rider</t>
  </si>
  <si>
    <t>Schedule 141X EDIT Rider - Over 600 kWh</t>
  </si>
  <si>
    <t>Schedule 141X EDIT Rider - First 600 kWh</t>
  </si>
  <si>
    <t>Present Rates Effective 10/15/2020</t>
  </si>
  <si>
    <t>Bill</t>
  </si>
  <si>
    <t>Over 600 kWh</t>
  </si>
  <si>
    <t>First 600 kWh</t>
  </si>
  <si>
    <t>Basic Charge</t>
  </si>
  <si>
    <t>Proposed Customer Bill in Notice</t>
  </si>
  <si>
    <t>Current Customer Bill in Notice</t>
  </si>
  <si>
    <t>Test Year Ended December 31, 2021</t>
  </si>
  <si>
    <t>Average Residential Usage Test Year Ended December 31, 2021</t>
  </si>
  <si>
    <t>Schedule No. 137</t>
  </si>
  <si>
    <t>Statement of Proforma and Proposed Revenues for Renewable Energy Credit</t>
  </si>
  <si>
    <t>Sch 137
Effective
Jan 1, 2020
$ per kWh</t>
  </si>
  <si>
    <t>Proposed 
Sch 137
Effective
January 1, 2021
$ per kWh</t>
  </si>
  <si>
    <t>Revenue Including
Sch 137
Eff 1-1-20</t>
  </si>
  <si>
    <t>Revenue
Including
Proposed
Sch 137
Effective 1-1-21</t>
  </si>
  <si>
    <t>Allocation of REC Revenue Requirement to Rate Schedule</t>
  </si>
  <si>
    <t>Statement of Proforma and Proposed Revenues for Renewable Energy Credit (REC)</t>
  </si>
  <si>
    <t>Renewable Energy Credit (REC)</t>
  </si>
  <si>
    <t>Schedule 95A
Federal Incentive Credit</t>
  </si>
  <si>
    <t>Estimated Net Annual Proforma Base Revenue (Excluding Sch 137)</t>
  </si>
  <si>
    <t>Annual kWh Delivered Sales 01/01/20 to 12/31/20 (F2019)</t>
  </si>
  <si>
    <t>Annual Estimated Revenue @ Rates Effective 12/31/19 (Excluding Sch 137)</t>
  </si>
  <si>
    <t>Sch 137
Effective
1-1-19
$ per kWh</t>
  </si>
  <si>
    <t>Proposed Sch 137
Effective
1-1-20
$ per kWh</t>
  </si>
  <si>
    <t>Estimated Revenue Including Sch 137 Effective January 1, 2019</t>
  </si>
  <si>
    <t>Estimated Revenue
Including
Proposed
Sch 137, Effective January 1, 2020</t>
  </si>
  <si>
    <t xml:space="preserve">e = 
b +  (a * c) </t>
  </si>
  <si>
    <t>8 / 24</t>
  </si>
  <si>
    <t>11 / 25 / 7A</t>
  </si>
  <si>
    <t>12 / 26</t>
  </si>
  <si>
    <t>10 / 31</t>
  </si>
  <si>
    <t>Transportation and Special Contract</t>
  </si>
  <si>
    <t>Revenue Requirement for Schedule 137</t>
  </si>
  <si>
    <t>REC</t>
  </si>
  <si>
    <t>Description</t>
  </si>
  <si>
    <t>Sched 137</t>
  </si>
  <si>
    <t>Allocation b/w</t>
  </si>
  <si>
    <t>Prin and Int</t>
  </si>
  <si>
    <t>New net proceeds to be passed back</t>
  </si>
  <si>
    <t>Over / under pass back of proceeds from prior rate period</t>
  </si>
  <si>
    <t>Over / under pass back of interest from prior rate period</t>
  </si>
  <si>
    <t>Gross up for revenue sensitive items</t>
  </si>
  <si>
    <t>Revenue Requirement</t>
  </si>
  <si>
    <t>*Note 1:  Estimated Net Revenue Includes Base Tariff Revenue plus the following rider / tracker schedules:   Sch 95 (PCA/PCORC), Sch 95a (Fed Inc Tracker), Sch 120 (DSM), Sch 129 (Low Income), Sch 140 (Property Tax), Sch 141X (Protected Excess Def Tax), Sch 141Y (Temp Fed Tax Cr),  Sch 141Z (Unprotected EDIT), Sch 142 (Decoupling\, Sch 194 (Residential Exchange Benefit).  
Sch 137 (REC) revenue is excluded.</t>
  </si>
  <si>
    <t>b = 
∑ (c to m)</t>
  </si>
  <si>
    <t>2019 GRC Energy
Allocator
(Docket No.
UE-190529)</t>
  </si>
  <si>
    <t>Residential Sch 7</t>
  </si>
  <si>
    <t>Load (kWh)</t>
  </si>
  <si>
    <t>To Be Effective January 1, 2021</t>
  </si>
  <si>
    <t>Interest not in rates to be passed back through Oct 2020</t>
  </si>
  <si>
    <t>Proposed Rates Effective 01/01/2021</t>
  </si>
  <si>
    <t>Proposed Annual Schedule 137 Lamp Revenue @ 1-1-2020</t>
  </si>
  <si>
    <t>Schedule 137 Revenue Requirement Ratio to Base Demand &amp; Energy Light Charge Cost</t>
  </si>
  <si>
    <t>Proposed Schedule 137 Lamp Charge Effective 
1-1-2020</t>
  </si>
  <si>
    <t>2021 Schedule 137 Lighting Workpapers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</si>
</sst>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
    <numFmt numFmtId="167" formatCode="_(&quot;$&quot;* #,##0.000000_);_(&quot;$&quot;* \(#,##0.000000\);_(&quot;$&quot;* &quot;-&quot;??_);_(@_)"/>
    <numFmt numFmtId="168" formatCode="_(&quot;$&quot;* #,##0.00000_);_(&quot;$&quot;* \(#,##0.00000\);_(&quot;$&quot;* &quot;-&quot;??_);_(@_)"/>
    <numFmt numFmtId="169" formatCode="_(* #,##0.000000_);_(* \(#,##0.000000\);_(* &quot;-&quot;??_);_(@_)"/>
    <numFmt numFmtId="170" formatCode="&quot;$&quot;#,##0.00"/>
    <numFmt numFmtId="171" formatCode="mmmm\ dd\,\ yyyy"/>
    <numFmt numFmtId="172" formatCode="#,##0.0000"/>
    <numFmt numFmtId="173" formatCode="0.00000"/>
    <numFmt numFmtId="174" formatCode="[$-409]mmm\-yy;@"/>
    <numFmt numFmtId="175" formatCode="_(&quot;$&quot;* #,##0.000000_);_(&quot;$&quot;* \(#,##0.000000\);_(&quot;$&quot;* &quot;-&quot;??????_);_(@_)"/>
    <numFmt numFmtId="176" formatCode="0.000%"/>
    <numFmt numFmtId="177" formatCode="#,##0.000000_);[Red]\(#,##0.000000\)"/>
  </numFmts>
  <fonts count="28" x14ac:knownFonts="1">
    <font>
      <sz val="10"/>
      <name val="Arial"/>
    </font>
    <font>
      <sz val="11"/>
      <color theme="1"/>
      <name val="Calibri"/>
      <family val="2"/>
      <scheme val="minor"/>
    </font>
    <font>
      <sz val="10"/>
      <name val="Arial"/>
      <family val="2"/>
    </font>
    <font>
      <sz val="8"/>
      <name val="Arial"/>
      <family val="2"/>
    </font>
    <font>
      <b/>
      <sz val="10"/>
      <name val="Arial"/>
      <family val="2"/>
    </font>
    <font>
      <b/>
      <sz val="8"/>
      <name val="Arial"/>
      <family val="2"/>
    </font>
    <font>
      <b/>
      <sz val="22"/>
      <name val="Arial"/>
      <family val="2"/>
    </font>
    <font>
      <sz val="10"/>
      <name val="Times New Roman"/>
      <family val="1"/>
    </font>
    <font>
      <sz val="8"/>
      <name val="Arial"/>
      <family val="2"/>
    </font>
    <font>
      <sz val="11"/>
      <name val="Calibri"/>
      <family val="2"/>
      <scheme val="minor"/>
    </font>
    <font>
      <sz val="12"/>
      <name val="Arial"/>
      <family val="2"/>
    </font>
    <font>
      <b/>
      <sz val="11"/>
      <name val="Calibri"/>
      <family val="2"/>
      <scheme val="minor"/>
    </font>
    <font>
      <sz val="9"/>
      <name val="Times New Roman"/>
      <family val="1"/>
    </font>
    <font>
      <sz val="24"/>
      <name val="Calibri"/>
      <family val="2"/>
    </font>
    <font>
      <sz val="16"/>
      <name val="Calibri"/>
      <family val="2"/>
    </font>
    <font>
      <b/>
      <sz val="10"/>
      <name val="Calibri"/>
      <family val="2"/>
    </font>
    <font>
      <sz val="10"/>
      <name val="Arial"/>
      <family val="2"/>
    </font>
    <font>
      <sz val="11"/>
      <color rgb="FF0070C0"/>
      <name val="Calibri"/>
      <family val="2"/>
      <scheme val="minor"/>
    </font>
    <font>
      <b/>
      <sz val="10"/>
      <color rgb="FFFF0000"/>
      <name val="Arial"/>
      <family val="2"/>
    </font>
    <font>
      <b/>
      <sz val="9"/>
      <color indexed="81"/>
      <name val="Tahoma"/>
      <family val="2"/>
    </font>
    <font>
      <sz val="9"/>
      <color indexed="81"/>
      <name val="Tahoma"/>
      <family val="2"/>
    </font>
    <font>
      <i/>
      <sz val="9"/>
      <name val="Arial"/>
      <family val="2"/>
    </font>
    <font>
      <sz val="10"/>
      <color rgb="FFFF0000"/>
      <name val="Arial"/>
      <family val="2"/>
    </font>
    <font>
      <sz val="8"/>
      <color rgb="FFFF0000"/>
      <name val="Arial"/>
      <family val="2"/>
    </font>
    <font>
      <sz val="8"/>
      <color rgb="FF0070C0"/>
      <name val="Arial"/>
      <family val="2"/>
    </font>
    <font>
      <sz val="10"/>
      <color rgb="FF008080"/>
      <name val="Arial"/>
      <family val="2"/>
    </font>
    <font>
      <b/>
      <sz val="10"/>
      <color rgb="FF008080"/>
      <name val="Arial"/>
      <family val="2"/>
    </font>
    <font>
      <sz val="10"/>
      <color rgb="FF3333FF"/>
      <name val="Arial"/>
      <family val="2"/>
    </font>
  </fonts>
  <fills count="12">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indexed="42"/>
        <bgColor indexed="64"/>
      </patternFill>
    </fill>
    <fill>
      <patternFill patternType="solid">
        <fgColor indexed="47"/>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79998168889431442"/>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4" fontId="16"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411">
    <xf numFmtId="0" fontId="0" fillId="0" borderId="0" xfId="0"/>
    <xf numFmtId="0" fontId="7" fillId="0" borderId="0" xfId="0" applyFont="1" applyFill="1" applyAlignment="1">
      <alignment horizontal="center"/>
    </xf>
    <xf numFmtId="0" fontId="6" fillId="0" borderId="0" xfId="0" applyFont="1" applyFill="1" applyAlignment="1">
      <alignment horizontal="center"/>
    </xf>
    <xf numFmtId="0" fontId="6" fillId="0" borderId="0" xfId="0" quotePrefix="1" applyFont="1" applyFill="1" applyAlignment="1">
      <alignment horizontal="center"/>
    </xf>
    <xf numFmtId="0" fontId="7" fillId="0" borderId="0" xfId="0" applyFont="1" applyFill="1"/>
    <xf numFmtId="0" fontId="7" fillId="0" borderId="0" xfId="0" applyFont="1" applyFill="1" applyAlignment="1">
      <alignment horizontal="center" wrapText="1"/>
    </xf>
    <xf numFmtId="171" fontId="6" fillId="0" borderId="0" xfId="0" quotePrefix="1" applyNumberFormat="1" applyFont="1" applyFill="1" applyAlignment="1">
      <alignment horizontal="center"/>
    </xf>
    <xf numFmtId="0" fontId="2" fillId="0" borderId="7" xfId="0" applyFont="1" applyFill="1" applyBorder="1" applyAlignment="1">
      <alignment horizontal="centerContinuous"/>
    </xf>
    <xf numFmtId="0" fontId="2" fillId="0" borderId="8" xfId="0" applyFont="1" applyFill="1" applyBorder="1" applyAlignment="1">
      <alignment horizontal="centerContinuous"/>
    </xf>
    <xf numFmtId="0" fontId="2" fillId="0" borderId="9" xfId="0" applyFont="1" applyFill="1" applyBorder="1" applyAlignment="1">
      <alignment horizontal="centerContinuous"/>
    </xf>
    <xf numFmtId="0" fontId="2" fillId="0" borderId="10" xfId="0" applyFont="1" applyFill="1" applyBorder="1" applyAlignment="1">
      <alignment horizontal="centerContinuous"/>
    </xf>
    <xf numFmtId="0" fontId="2" fillId="0" borderId="0" xfId="0" applyFont="1" applyFill="1" applyBorder="1" applyAlignment="1">
      <alignment horizontal="centerContinuous"/>
    </xf>
    <xf numFmtId="0" fontId="2" fillId="0" borderId="11" xfId="0" applyFont="1" applyFill="1" applyBorder="1" applyAlignment="1">
      <alignment horizontal="centerContinuous"/>
    </xf>
    <xf numFmtId="0" fontId="2" fillId="0" borderId="1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11" xfId="0" applyFont="1" applyFill="1" applyBorder="1"/>
    <xf numFmtId="0" fontId="2" fillId="0" borderId="10" xfId="0" applyFont="1" applyFill="1" applyBorder="1" applyAlignment="1">
      <alignment horizontal="center" wrapText="1"/>
    </xf>
    <xf numFmtId="0" fontId="2" fillId="0" borderId="0" xfId="0" applyFont="1" applyFill="1" applyBorder="1" applyAlignment="1">
      <alignment horizontal="center" wrapText="1"/>
    </xf>
    <xf numFmtId="164" fontId="2" fillId="0" borderId="0" xfId="0" quotePrefix="1" applyNumberFormat="1" applyFont="1" applyFill="1" applyBorder="1" applyAlignment="1">
      <alignment horizontal="center" wrapText="1"/>
    </xf>
    <xf numFmtId="0" fontId="2" fillId="0" borderId="0" xfId="0" quotePrefix="1" applyFont="1" applyFill="1" applyBorder="1" applyAlignment="1">
      <alignment horizontal="center" wrapText="1"/>
    </xf>
    <xf numFmtId="0" fontId="2" fillId="0" borderId="11" xfId="0" quotePrefix="1" applyFont="1" applyFill="1" applyBorder="1" applyAlignment="1">
      <alignment horizontal="center" wrapText="1"/>
    </xf>
    <xf numFmtId="0" fontId="2" fillId="0" borderId="12" xfId="0" applyFont="1" applyFill="1" applyBorder="1" applyAlignment="1">
      <alignment horizontal="center" wrapText="1"/>
    </xf>
    <xf numFmtId="0" fontId="2" fillId="0" borderId="4" xfId="0" applyFont="1" applyFill="1" applyBorder="1" applyAlignment="1">
      <alignment horizontal="center" wrapText="1"/>
    </xf>
    <xf numFmtId="0" fontId="2" fillId="0" borderId="4" xfId="0" quotePrefix="1" applyFont="1" applyFill="1" applyBorder="1" applyAlignment="1">
      <alignment horizontal="center" wrapText="1"/>
    </xf>
    <xf numFmtId="164" fontId="2" fillId="0" borderId="4" xfId="0" quotePrefix="1" applyNumberFormat="1" applyFont="1" applyFill="1" applyBorder="1" applyAlignment="1">
      <alignment horizontal="center" wrapText="1"/>
    </xf>
    <xf numFmtId="0" fontId="2" fillId="0" borderId="13" xfId="0" applyFont="1" applyFill="1" applyBorder="1" applyAlignment="1">
      <alignment horizontal="center" wrapText="1"/>
    </xf>
    <xf numFmtId="0" fontId="2" fillId="0" borderId="10" xfId="0" applyFont="1" applyFill="1" applyBorder="1" applyAlignment="1">
      <alignment horizontal="center" vertical="top" wrapText="1"/>
    </xf>
    <xf numFmtId="0" fontId="2" fillId="0" borderId="0" xfId="0" applyFont="1" applyFill="1" applyBorder="1" applyAlignment="1">
      <alignment horizontal="center" vertical="top" wrapText="1"/>
    </xf>
    <xf numFmtId="164" fontId="2" fillId="0" borderId="0" xfId="0" quotePrefix="1" applyNumberFormat="1" applyFont="1" applyFill="1" applyBorder="1" applyAlignment="1">
      <alignment horizontal="center" vertical="top" wrapText="1"/>
    </xf>
    <xf numFmtId="164" fontId="2" fillId="0" borderId="0" xfId="0" applyNumberFormat="1" applyFont="1" applyFill="1" applyBorder="1" applyAlignment="1">
      <alignment horizontal="center" vertical="top" wrapText="1"/>
    </xf>
    <xf numFmtId="0" fontId="2" fillId="0" borderId="11" xfId="0" quotePrefix="1" applyFont="1" applyFill="1" applyBorder="1" applyAlignment="1">
      <alignment horizontal="center" vertical="top" wrapText="1"/>
    </xf>
    <xf numFmtId="165" fontId="2" fillId="0" borderId="0" xfId="0" applyNumberFormat="1" applyFont="1" applyFill="1" applyBorder="1"/>
    <xf numFmtId="167" fontId="2" fillId="0" borderId="0" xfId="0" applyNumberFormat="1" applyFont="1" applyFill="1" applyBorder="1"/>
    <xf numFmtId="10" fontId="2" fillId="0" borderId="11" xfId="0" applyNumberFormat="1" applyFont="1" applyFill="1" applyBorder="1"/>
    <xf numFmtId="166" fontId="2" fillId="0" borderId="0" xfId="0" applyNumberFormat="1" applyFont="1" applyFill="1" applyBorder="1"/>
    <xf numFmtId="0" fontId="2" fillId="0" borderId="0" xfId="0" quotePrefix="1" applyFont="1" applyFill="1" applyBorder="1" applyAlignment="1">
      <alignment horizontal="left" indent="1"/>
    </xf>
    <xf numFmtId="0" fontId="2" fillId="0" borderId="0" xfId="0" applyFont="1" applyFill="1" applyBorder="1" applyAlignment="1">
      <alignment horizontal="left" indent="1"/>
    </xf>
    <xf numFmtId="0" fontId="2" fillId="0" borderId="0" xfId="0" quotePrefix="1" applyFont="1" applyFill="1" applyBorder="1" applyAlignment="1">
      <alignment horizontal="center"/>
    </xf>
    <xf numFmtId="0" fontId="2" fillId="0" borderId="0" xfId="0" quotePrefix="1" applyFont="1" applyFill="1" applyBorder="1" applyAlignment="1">
      <alignment horizontal="left"/>
    </xf>
    <xf numFmtId="0" fontId="2" fillId="0" borderId="0" xfId="0" applyFont="1" applyFill="1" applyBorder="1" applyAlignment="1">
      <alignment horizontal="left"/>
    </xf>
    <xf numFmtId="0" fontId="2" fillId="0" borderId="0" xfId="0" quotePrefix="1" applyFont="1" applyFill="1" applyBorder="1" applyAlignment="1"/>
    <xf numFmtId="0" fontId="2" fillId="0" borderId="12" xfId="0" applyFont="1" applyFill="1" applyBorder="1" applyAlignment="1">
      <alignment horizontal="center"/>
    </xf>
    <xf numFmtId="0" fontId="2" fillId="0" borderId="4" xfId="0" applyFont="1" applyFill="1" applyBorder="1"/>
    <xf numFmtId="0" fontId="2" fillId="0" borderId="4" xfId="0" applyFont="1" applyFill="1" applyBorder="1" applyAlignment="1">
      <alignment horizontal="center"/>
    </xf>
    <xf numFmtId="164" fontId="2" fillId="0" borderId="4" xfId="0" applyNumberFormat="1" applyFont="1" applyFill="1" applyBorder="1"/>
    <xf numFmtId="165" fontId="2" fillId="0" borderId="4" xfId="0" applyNumberFormat="1" applyFont="1" applyFill="1" applyBorder="1"/>
    <xf numFmtId="0" fontId="2" fillId="0" borderId="13" xfId="0" applyFont="1" applyFill="1" applyBorder="1"/>
    <xf numFmtId="164" fontId="7" fillId="0" borderId="0" xfId="0" applyNumberFormat="1" applyFont="1" applyFill="1"/>
    <xf numFmtId="0" fontId="7" fillId="0" borderId="6" xfId="0" applyFont="1" applyFill="1" applyBorder="1" applyAlignment="1">
      <alignment horizontal="center" wrapText="1"/>
    </xf>
    <xf numFmtId="0" fontId="7" fillId="0" borderId="6" xfId="0" quotePrefix="1" applyFont="1" applyFill="1" applyBorder="1" applyAlignment="1">
      <alignment horizontal="center" wrapText="1"/>
    </xf>
    <xf numFmtId="0" fontId="7" fillId="0" borderId="0" xfId="0" applyFont="1" applyFill="1" applyBorder="1" applyAlignment="1">
      <alignment horizontal="center"/>
    </xf>
    <xf numFmtId="0" fontId="7" fillId="0" borderId="0" xfId="0" quotePrefix="1" applyFont="1" applyFill="1" applyBorder="1" applyAlignment="1">
      <alignment horizontal="center"/>
    </xf>
    <xf numFmtId="0" fontId="7" fillId="0" borderId="0" xfId="0" applyFont="1" applyFill="1" applyBorder="1"/>
    <xf numFmtId="0" fontId="7" fillId="0" borderId="0" xfId="0" quotePrefix="1" applyFont="1" applyFill="1" applyBorder="1" applyAlignment="1">
      <alignment horizontal="left"/>
    </xf>
    <xf numFmtId="0" fontId="7" fillId="0" borderId="0" xfId="0" quotePrefix="1" applyFont="1" applyFill="1" applyBorder="1" applyAlignment="1">
      <alignment horizontal="left" indent="1"/>
    </xf>
    <xf numFmtId="0" fontId="7" fillId="0" borderId="0" xfId="0" quotePrefix="1" applyFont="1" applyFill="1" applyBorder="1" applyAlignment="1">
      <alignment horizontal="right" wrapText="1"/>
    </xf>
    <xf numFmtId="0" fontId="7" fillId="0" borderId="0" xfId="0" applyFont="1" applyFill="1" applyBorder="1" applyAlignment="1">
      <alignment horizontal="center" wrapText="1"/>
    </xf>
    <xf numFmtId="0" fontId="7" fillId="0" borderId="0" xfId="0" quotePrefix="1" applyFont="1" applyFill="1" applyBorder="1" applyAlignment="1">
      <alignment horizontal="center" wrapText="1"/>
    </xf>
    <xf numFmtId="164" fontId="7" fillId="0" borderId="0" xfId="0" applyNumberFormat="1" applyFont="1" applyFill="1" applyBorder="1" applyAlignment="1"/>
    <xf numFmtId="164" fontId="7" fillId="0" borderId="0" xfId="0" applyNumberFormat="1" applyFont="1" applyFill="1" applyBorder="1" applyAlignment="1">
      <alignment horizontal="center"/>
    </xf>
    <xf numFmtId="0" fontId="7" fillId="0" borderId="0" xfId="0" applyNumberFormat="1" applyFont="1" applyFill="1" applyBorder="1"/>
    <xf numFmtId="0" fontId="7" fillId="0" borderId="0" xfId="0" applyFont="1" applyFill="1" applyBorder="1" applyAlignment="1"/>
    <xf numFmtId="164" fontId="7" fillId="0" borderId="0" xfId="0" applyNumberFormat="1" applyFont="1" applyFill="1" applyBorder="1"/>
    <xf numFmtId="0" fontId="7" fillId="0" borderId="0" xfId="0" applyFont="1" applyFill="1" applyBorder="1" applyAlignment="1">
      <alignment horizontal="left"/>
    </xf>
    <xf numFmtId="0" fontId="7" fillId="0" borderId="0" xfId="0" applyFont="1" applyFill="1" applyBorder="1" applyAlignment="1">
      <alignment horizontal="left" indent="1"/>
    </xf>
    <xf numFmtId="164" fontId="12" fillId="0" borderId="0" xfId="0" applyNumberFormat="1" applyFont="1" applyFill="1" applyBorder="1"/>
    <xf numFmtId="0" fontId="2" fillId="0" borderId="6" xfId="0" quotePrefix="1" applyFont="1" applyFill="1" applyBorder="1" applyAlignment="1">
      <alignment horizontal="center" wrapText="1"/>
    </xf>
    <xf numFmtId="0" fontId="2" fillId="0" borderId="0" xfId="0" applyFont="1" applyFill="1" applyAlignment="1">
      <alignment horizontal="center"/>
    </xf>
    <xf numFmtId="0" fontId="2" fillId="0" borderId="0" xfId="0" applyFont="1" applyFill="1"/>
    <xf numFmtId="164" fontId="2" fillId="0" borderId="0" xfId="0" applyNumberFormat="1" applyFont="1" applyFill="1" applyBorder="1"/>
    <xf numFmtId="0" fontId="2" fillId="0" borderId="0" xfId="0" applyFont="1" applyFill="1" applyAlignment="1">
      <alignment horizontal="left"/>
    </xf>
    <xf numFmtId="0" fontId="2" fillId="0" borderId="0" xfId="0" quotePrefix="1" applyFont="1" applyFill="1" applyAlignment="1">
      <alignment horizontal="center"/>
    </xf>
    <xf numFmtId="0" fontId="2" fillId="0" borderId="11" xfId="0" applyFont="1" applyFill="1" applyBorder="1" applyAlignment="1">
      <alignment horizontal="center"/>
    </xf>
    <xf numFmtId="0" fontId="9" fillId="0" borderId="0" xfId="0" applyFont="1" applyFill="1"/>
    <xf numFmtId="164" fontId="9" fillId="0" borderId="0" xfId="0" applyNumberFormat="1" applyFont="1" applyFill="1"/>
    <xf numFmtId="0" fontId="15" fillId="0" borderId="32" xfId="0" applyFont="1" applyFill="1" applyBorder="1" applyAlignment="1">
      <alignment horizontal="center"/>
    </xf>
    <xf numFmtId="14" fontId="2" fillId="0" borderId="0" xfId="0" applyNumberFormat="1" applyFont="1" applyFill="1"/>
    <xf numFmtId="164" fontId="2" fillId="0" borderId="33" xfId="0" applyNumberFormat="1" applyFont="1" applyFill="1" applyBorder="1"/>
    <xf numFmtId="164" fontId="2" fillId="0" borderId="27" xfId="0" applyNumberFormat="1" applyFont="1" applyFill="1" applyBorder="1"/>
    <xf numFmtId="0" fontId="15" fillId="0" borderId="20" xfId="0" applyFont="1" applyFill="1" applyBorder="1" applyAlignment="1">
      <alignment horizontal="center"/>
    </xf>
    <xf numFmtId="0" fontId="2" fillId="0" borderId="33" xfId="0" applyFont="1" applyFill="1" applyBorder="1"/>
    <xf numFmtId="164" fontId="2" fillId="0" borderId="0" xfId="0" applyNumberFormat="1" applyFont="1" applyFill="1"/>
    <xf numFmtId="0" fontId="7" fillId="0" borderId="0" xfId="0" quotePrefix="1" applyFont="1" applyFill="1" applyAlignment="1">
      <alignment horizontal="center"/>
    </xf>
    <xf numFmtId="0" fontId="7" fillId="0" borderId="0" xfId="0" quotePrefix="1" applyFont="1" applyFill="1" applyAlignment="1">
      <alignment horizontal="center" wrapText="1"/>
    </xf>
    <xf numFmtId="0" fontId="7" fillId="0" borderId="0" xfId="0" quotePrefix="1" applyFont="1" applyFill="1" applyAlignment="1">
      <alignment horizontal="left"/>
    </xf>
    <xf numFmtId="41" fontId="7" fillId="0" borderId="0" xfId="0" applyNumberFormat="1" applyFont="1" applyFill="1"/>
    <xf numFmtId="165" fontId="7" fillId="0" borderId="0" xfId="0" applyNumberFormat="1" applyFont="1" applyFill="1"/>
    <xf numFmtId="170" fontId="7" fillId="0" borderId="0" xfId="0" applyNumberFormat="1" applyFont="1" applyFill="1" applyBorder="1"/>
    <xf numFmtId="0" fontId="2" fillId="0" borderId="6" xfId="0" applyFont="1" applyFill="1" applyBorder="1" applyAlignment="1">
      <alignment horizontal="center" wrapText="1"/>
    </xf>
    <xf numFmtId="17" fontId="2" fillId="0" borderId="6" xfId="0" quotePrefix="1" applyNumberFormat="1" applyFont="1" applyFill="1" applyBorder="1" applyAlignment="1">
      <alignment horizontal="center" wrapText="1"/>
    </xf>
    <xf numFmtId="164" fontId="2"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5" fontId="2" fillId="0" borderId="0" xfId="0" applyNumberFormat="1" applyFont="1" applyFill="1"/>
    <xf numFmtId="0" fontId="2" fillId="0" borderId="0" xfId="0" applyFont="1" applyFill="1" applyAlignment="1">
      <alignment horizontal="left" indent="1"/>
    </xf>
    <xf numFmtId="164" fontId="2" fillId="0" borderId="2" xfId="0" applyNumberFormat="1" applyFont="1" applyFill="1" applyBorder="1"/>
    <xf numFmtId="165" fontId="2" fillId="0" borderId="2" xfId="0" applyNumberFormat="1" applyFont="1" applyFill="1" applyBorder="1"/>
    <xf numFmtId="0" fontId="2" fillId="0" borderId="0" xfId="0" quotePrefix="1" applyFont="1" applyFill="1" applyAlignment="1">
      <alignment horizontal="left"/>
    </xf>
    <xf numFmtId="0" fontId="2" fillId="0" borderId="0" xfId="0" quotePrefix="1" applyFont="1" applyFill="1" applyAlignment="1">
      <alignment horizontal="left" indent="1"/>
    </xf>
    <xf numFmtId="164" fontId="2" fillId="0" borderId="5" xfId="0" applyNumberFormat="1" applyFont="1" applyFill="1" applyBorder="1"/>
    <xf numFmtId="165" fontId="2" fillId="0" borderId="5" xfId="0" applyNumberFormat="1" applyFont="1" applyFill="1" applyBorder="1"/>
    <xf numFmtId="0" fontId="2" fillId="0" borderId="13" xfId="0" quotePrefix="1" applyFont="1" applyFill="1" applyBorder="1" applyAlignment="1">
      <alignment horizontal="center" wrapText="1"/>
    </xf>
    <xf numFmtId="169" fontId="2" fillId="0" borderId="0" xfId="0" applyNumberFormat="1" applyFont="1" applyFill="1" applyBorder="1"/>
    <xf numFmtId="167" fontId="2" fillId="0" borderId="11" xfId="0" applyNumberFormat="1" applyFont="1" applyFill="1" applyBorder="1" applyAlignment="1">
      <alignment horizontal="center"/>
    </xf>
    <xf numFmtId="16" fontId="2" fillId="0" borderId="0" xfId="0" applyNumberFormat="1" applyFont="1" applyFill="1" applyBorder="1"/>
    <xf numFmtId="166" fontId="2" fillId="0" borderId="11" xfId="0" applyNumberFormat="1" applyFont="1" applyFill="1" applyBorder="1" applyAlignment="1">
      <alignment horizontal="center"/>
    </xf>
    <xf numFmtId="165" fontId="2" fillId="0" borderId="11" xfId="0" applyNumberFormat="1" applyFont="1" applyFill="1" applyBorder="1"/>
    <xf numFmtId="44" fontId="9" fillId="0" borderId="0" xfId="0" applyNumberFormat="1" applyFont="1" applyFill="1"/>
    <xf numFmtId="0" fontId="11" fillId="0" borderId="20" xfId="0" applyFont="1" applyFill="1" applyBorder="1" applyAlignment="1">
      <alignment horizontal="center"/>
    </xf>
    <xf numFmtId="169" fontId="11" fillId="0" borderId="27" xfId="0" applyNumberFormat="1" applyFont="1" applyFill="1" applyBorder="1" applyAlignment="1">
      <alignment horizontal="center"/>
    </xf>
    <xf numFmtId="169" fontId="9" fillId="0" borderId="0" xfId="0" applyNumberFormat="1" applyFont="1" applyFill="1"/>
    <xf numFmtId="165" fontId="9" fillId="0" borderId="0" xfId="0" applyNumberFormat="1" applyFont="1" applyFill="1"/>
    <xf numFmtId="0" fontId="9" fillId="0" borderId="0" xfId="0" applyFont="1" applyFill="1" applyAlignment="1">
      <alignment horizontal="center"/>
    </xf>
    <xf numFmtId="168" fontId="9" fillId="0" borderId="0" xfId="0" applyNumberFormat="1" applyFont="1" applyFill="1"/>
    <xf numFmtId="0" fontId="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11" xfId="0" quotePrefix="1" applyFont="1" applyFill="1" applyBorder="1" applyAlignment="1">
      <alignment horizontal="center" vertical="center" wrapText="1"/>
    </xf>
    <xf numFmtId="0" fontId="2" fillId="0" borderId="0" xfId="0" applyFont="1" applyFill="1" applyAlignment="1">
      <alignment horizontal="center"/>
    </xf>
    <xf numFmtId="169" fontId="17" fillId="2" borderId="0" xfId="0" applyNumberFormat="1" applyFont="1" applyFill="1"/>
    <xf numFmtId="0" fontId="2" fillId="0" borderId="0" xfId="0" applyFont="1" applyFill="1" applyBorder="1" applyAlignment="1">
      <alignment horizontal="center"/>
    </xf>
    <xf numFmtId="165" fontId="2" fillId="0" borderId="0" xfId="1" applyNumberFormat="1" applyFont="1" applyFill="1" applyBorder="1" applyAlignment="1">
      <alignment horizontal="center" wrapText="1"/>
    </xf>
    <xf numFmtId="165" fontId="2" fillId="0" borderId="0" xfId="1" applyNumberFormat="1" applyFont="1" applyFill="1" applyBorder="1"/>
    <xf numFmtId="165" fontId="2" fillId="0" borderId="0" xfId="0" applyNumberFormat="1" applyFont="1" applyFill="1" applyBorder="1" applyAlignment="1">
      <alignment horizontal="center" wrapText="1"/>
    </xf>
    <xf numFmtId="0" fontId="2" fillId="0" borderId="0" xfId="0" applyFont="1" applyFill="1" applyAlignment="1">
      <alignment horizontal="center"/>
    </xf>
    <xf numFmtId="0" fontId="10" fillId="0" borderId="0" xfId="2" applyFont="1" applyAlignment="1">
      <alignment horizontal="centerContinuous"/>
    </xf>
    <xf numFmtId="0" fontId="10" fillId="0" borderId="0" xfId="2" applyFont="1" applyAlignment="1"/>
    <xf numFmtId="0" fontId="2" fillId="3" borderId="7" xfId="2" applyFont="1" applyFill="1" applyBorder="1" applyAlignment="1"/>
    <xf numFmtId="3" fontId="2" fillId="4" borderId="9" xfId="2" applyNumberFormat="1" applyFont="1" applyFill="1" applyBorder="1" applyAlignment="1"/>
    <xf numFmtId="0" fontId="2" fillId="3" borderId="7" xfId="2" applyFont="1" applyFill="1" applyBorder="1" applyAlignment="1">
      <alignment horizontal="left"/>
    </xf>
    <xf numFmtId="0" fontId="10" fillId="5" borderId="8" xfId="2" applyFont="1" applyFill="1" applyBorder="1" applyAlignment="1">
      <alignment horizontal="center"/>
    </xf>
    <xf numFmtId="3" fontId="2" fillId="0" borderId="9" xfId="2" applyNumberFormat="1" applyFont="1" applyBorder="1" applyAlignment="1">
      <alignment horizontal="right"/>
    </xf>
    <xf numFmtId="0" fontId="2" fillId="3" borderId="10" xfId="2" applyFont="1" applyFill="1" applyBorder="1" applyAlignment="1"/>
    <xf numFmtId="3" fontId="2" fillId="0" borderId="24" xfId="2" applyNumberFormat="1" applyFont="1" applyBorder="1" applyAlignment="1"/>
    <xf numFmtId="0" fontId="2" fillId="3" borderId="10" xfId="2" applyFont="1" applyFill="1" applyBorder="1" applyAlignment="1">
      <alignment horizontal="left"/>
    </xf>
    <xf numFmtId="0" fontId="10" fillId="5" borderId="0" xfId="2" applyFont="1" applyFill="1" applyBorder="1" applyAlignment="1">
      <alignment horizontal="center"/>
    </xf>
    <xf numFmtId="3" fontId="2" fillId="0" borderId="11" xfId="2" applyNumberFormat="1" applyFont="1" applyBorder="1" applyAlignment="1">
      <alignment horizontal="right"/>
    </xf>
    <xf numFmtId="0" fontId="2" fillId="3" borderId="12" xfId="2" applyFont="1" applyFill="1" applyBorder="1" applyAlignment="1"/>
    <xf numFmtId="3" fontId="2" fillId="4" borderId="13" xfId="2" applyNumberFormat="1" applyFont="1" applyFill="1" applyBorder="1" applyAlignment="1"/>
    <xf numFmtId="0" fontId="2" fillId="3" borderId="12" xfId="2" applyFont="1" applyFill="1" applyBorder="1" applyAlignment="1">
      <alignment horizontal="left"/>
    </xf>
    <xf numFmtId="0" fontId="10" fillId="5" borderId="4" xfId="2" applyFont="1" applyFill="1" applyBorder="1" applyAlignment="1">
      <alignment horizontal="center"/>
    </xf>
    <xf numFmtId="3" fontId="2" fillId="0" borderId="13" xfId="2" applyNumberFormat="1" applyFont="1" applyBorder="1" applyAlignment="1">
      <alignment horizontal="right"/>
    </xf>
    <xf numFmtId="0" fontId="2" fillId="0" borderId="0" xfId="2" applyFont="1"/>
    <xf numFmtId="0" fontId="2" fillId="0" borderId="0" xfId="2" applyFont="1" applyAlignment="1">
      <alignment horizontal="center"/>
    </xf>
    <xf numFmtId="0" fontId="2" fillId="0" borderId="0" xfId="2" applyFont="1" applyAlignment="1">
      <alignment horizontal="center" wrapText="1"/>
    </xf>
    <xf numFmtId="0" fontId="2" fillId="0" borderId="0" xfId="2" applyFont="1" applyFill="1" applyAlignment="1">
      <alignment horizontal="center"/>
    </xf>
    <xf numFmtId="0" fontId="2" fillId="3" borderId="7" xfId="2" quotePrefix="1" applyFont="1" applyFill="1" applyBorder="1" applyAlignment="1">
      <alignment horizontal="center"/>
    </xf>
    <xf numFmtId="0" fontId="2" fillId="3" borderId="8" xfId="2" quotePrefix="1" applyFont="1" applyFill="1" applyBorder="1" applyAlignment="1">
      <alignment horizontal="center"/>
    </xf>
    <xf numFmtId="0" fontId="2" fillId="0" borderId="9" xfId="2" quotePrefix="1" applyFont="1" applyFill="1" applyBorder="1" applyAlignment="1">
      <alignment horizontal="center"/>
    </xf>
    <xf numFmtId="0" fontId="4" fillId="3" borderId="10" xfId="2" applyFont="1" applyFill="1" applyBorder="1" applyAlignment="1">
      <alignment horizontal="center"/>
    </xf>
    <xf numFmtId="0" fontId="4" fillId="3" borderId="0" xfId="2" applyFont="1" applyFill="1" applyBorder="1" applyAlignment="1">
      <alignment horizontal="center"/>
    </xf>
    <xf numFmtId="0" fontId="4" fillId="0" borderId="11" xfId="2" applyFont="1" applyFill="1" applyBorder="1" applyAlignment="1">
      <alignment horizontal="center"/>
    </xf>
    <xf numFmtId="0" fontId="2" fillId="3" borderId="10" xfId="2" applyFont="1" applyFill="1" applyBorder="1"/>
    <xf numFmtId="0" fontId="2" fillId="3" borderId="0" xfId="2" applyFont="1" applyFill="1" applyBorder="1"/>
    <xf numFmtId="0" fontId="2" fillId="3" borderId="0" xfId="2" applyFont="1" applyFill="1" applyBorder="1" applyAlignment="1">
      <alignment horizontal="center"/>
    </xf>
    <xf numFmtId="0" fontId="3" fillId="3" borderId="10" xfId="2" applyFont="1" applyFill="1" applyBorder="1" applyAlignment="1">
      <alignment horizontal="center"/>
    </xf>
    <xf numFmtId="0" fontId="3" fillId="3" borderId="0" xfId="2" applyFont="1" applyFill="1" applyBorder="1" applyAlignment="1">
      <alignment horizontal="center" wrapText="1"/>
    </xf>
    <xf numFmtId="0" fontId="3" fillId="3" borderId="0" xfId="2" applyFont="1" applyFill="1" applyBorder="1" applyAlignment="1">
      <alignment horizontal="center"/>
    </xf>
    <xf numFmtId="0" fontId="3" fillId="3" borderId="0" xfId="2" quotePrefix="1" applyFont="1" applyFill="1" applyBorder="1" applyAlignment="1">
      <alignment horizontal="center"/>
    </xf>
    <xf numFmtId="0" fontId="3" fillId="0" borderId="11" xfId="2" quotePrefix="1" applyFont="1" applyFill="1" applyBorder="1" applyAlignment="1">
      <alignment horizontal="center"/>
    </xf>
    <xf numFmtId="0" fontId="5" fillId="0" borderId="10" xfId="2" quotePrefix="1" applyFont="1" applyBorder="1" applyAlignment="1">
      <alignment horizontal="center"/>
    </xf>
    <xf numFmtId="0" fontId="5" fillId="0" borderId="0" xfId="2" quotePrefix="1" applyFont="1" applyBorder="1" applyAlignment="1">
      <alignment horizontal="right"/>
    </xf>
    <xf numFmtId="0" fontId="5" fillId="0" borderId="11" xfId="2" quotePrefix="1" applyFont="1" applyFill="1" applyBorder="1" applyAlignment="1">
      <alignment horizontal="right"/>
    </xf>
    <xf numFmtId="0" fontId="3" fillId="0" borderId="28" xfId="2" quotePrefix="1" applyFont="1" applyBorder="1" applyAlignment="1">
      <alignment horizontal="center"/>
    </xf>
    <xf numFmtId="41" fontId="3" fillId="0" borderId="2" xfId="2" applyNumberFormat="1" applyFont="1" applyFill="1" applyBorder="1" applyAlignment="1">
      <alignment horizontal="right"/>
    </xf>
    <xf numFmtId="41" fontId="3" fillId="6" borderId="2" xfId="2" applyNumberFormat="1" applyFont="1" applyFill="1" applyBorder="1" applyAlignment="1">
      <alignment horizontal="right"/>
    </xf>
    <xf numFmtId="10" fontId="3" fillId="0" borderId="2" xfId="2" applyNumberFormat="1" applyFont="1" applyBorder="1" applyAlignment="1">
      <alignment horizontal="right"/>
    </xf>
    <xf numFmtId="37" fontId="3" fillId="0" borderId="2" xfId="2" applyNumberFormat="1" applyFont="1" applyBorder="1" applyAlignment="1">
      <alignment horizontal="right"/>
    </xf>
    <xf numFmtId="37" fontId="3" fillId="0" borderId="29" xfId="2" applyNumberFormat="1" applyFont="1" applyFill="1" applyBorder="1" applyAlignment="1">
      <alignment horizontal="right"/>
    </xf>
    <xf numFmtId="0" fontId="3" fillId="0" borderId="28" xfId="2" applyFont="1" applyBorder="1" applyAlignment="1">
      <alignment horizontal="center"/>
    </xf>
    <xf numFmtId="0" fontId="5" fillId="0" borderId="0" xfId="2" quotePrefix="1" applyFont="1" applyFill="1" applyBorder="1" applyAlignment="1">
      <alignment horizontal="right"/>
    </xf>
    <xf numFmtId="0" fontId="3" fillId="0" borderId="10" xfId="2" applyFont="1" applyBorder="1" applyAlignment="1">
      <alignment horizontal="center"/>
    </xf>
    <xf numFmtId="3" fontId="3" fillId="0" borderId="0" xfId="2" applyNumberFormat="1" applyFont="1" applyBorder="1" applyAlignment="1">
      <alignment horizontal="right"/>
    </xf>
    <xf numFmtId="3" fontId="3" fillId="0" borderId="0" xfId="2" applyNumberFormat="1" applyFont="1" applyFill="1" applyBorder="1" applyAlignment="1">
      <alignment horizontal="right"/>
    </xf>
    <xf numFmtId="3" fontId="3" fillId="0" borderId="0" xfId="2" quotePrefix="1" applyNumberFormat="1" applyFont="1" applyBorder="1" applyAlignment="1">
      <alignment horizontal="right"/>
    </xf>
    <xf numFmtId="3" fontId="3" fillId="0" borderId="11" xfId="2" applyNumberFormat="1" applyFont="1" applyFill="1" applyBorder="1" applyAlignment="1">
      <alignment horizontal="right"/>
    </xf>
    <xf numFmtId="0" fontId="3" fillId="0" borderId="12" xfId="2" applyFont="1" applyBorder="1" applyAlignment="1">
      <alignment horizontal="center"/>
    </xf>
    <xf numFmtId="0" fontId="3" fillId="0" borderId="4" xfId="2" applyFont="1" applyBorder="1" applyAlignment="1">
      <alignment horizontal="center"/>
    </xf>
    <xf numFmtId="0" fontId="3" fillId="0" borderId="4" xfId="2" applyFont="1" applyFill="1" applyBorder="1" applyAlignment="1">
      <alignment horizontal="center"/>
    </xf>
    <xf numFmtId="3" fontId="3" fillId="0" borderId="4" xfId="2" applyNumberFormat="1" applyFont="1" applyBorder="1" applyAlignment="1">
      <alignment horizontal="center"/>
    </xf>
    <xf numFmtId="0" fontId="3" fillId="0" borderId="13" xfId="2" applyFont="1" applyFill="1" applyBorder="1" applyAlignment="1">
      <alignment horizontal="center"/>
    </xf>
    <xf numFmtId="0" fontId="4" fillId="0" borderId="0" xfId="2" applyFont="1" applyAlignment="1">
      <alignment horizontal="left"/>
    </xf>
    <xf numFmtId="0" fontId="3" fillId="0" borderId="17" xfId="2" applyFont="1" applyBorder="1" applyAlignment="1">
      <alignment horizontal="center"/>
    </xf>
    <xf numFmtId="41" fontId="3" fillId="0" borderId="18" xfId="2" applyNumberFormat="1" applyFont="1" applyFill="1" applyBorder="1" applyAlignment="1">
      <alignment horizontal="right"/>
    </xf>
    <xf numFmtId="3" fontId="3" fillId="0" borderId="18" xfId="2" applyNumberFormat="1" applyFont="1" applyBorder="1" applyAlignment="1">
      <alignment horizontal="right"/>
    </xf>
    <xf numFmtId="10" fontId="3" fillId="0" borderId="18" xfId="2" applyNumberFormat="1" applyFont="1" applyBorder="1" applyAlignment="1">
      <alignment horizontal="right"/>
    </xf>
    <xf numFmtId="37" fontId="3" fillId="0" borderId="18" xfId="2" applyNumberFormat="1" applyFont="1" applyBorder="1" applyAlignment="1">
      <alignment horizontal="right"/>
    </xf>
    <xf numFmtId="37" fontId="3" fillId="0" borderId="19" xfId="2" applyNumberFormat="1" applyFont="1" applyFill="1" applyBorder="1" applyAlignment="1">
      <alignment horizontal="right"/>
    </xf>
    <xf numFmtId="3" fontId="3" fillId="0" borderId="2" xfId="2" applyNumberFormat="1" applyFont="1" applyBorder="1" applyAlignment="1">
      <alignment horizontal="right"/>
    </xf>
    <xf numFmtId="37" fontId="3" fillId="0" borderId="22" xfId="2" applyNumberFormat="1" applyFont="1" applyBorder="1" applyAlignment="1">
      <alignment horizontal="right"/>
    </xf>
    <xf numFmtId="41" fontId="3" fillId="0" borderId="0" xfId="2" applyNumberFormat="1" applyFont="1" applyFill="1" applyBorder="1" applyAlignment="1">
      <alignment horizontal="right"/>
    </xf>
    <xf numFmtId="10" fontId="3" fillId="0" borderId="0" xfId="2" applyNumberFormat="1" applyFont="1" applyBorder="1" applyAlignment="1">
      <alignment horizontal="right"/>
    </xf>
    <xf numFmtId="0" fontId="3" fillId="0" borderId="10" xfId="2" quotePrefix="1" applyFont="1" applyBorder="1" applyAlignment="1">
      <alignment horizontal="center"/>
    </xf>
    <xf numFmtId="0" fontId="3" fillId="0" borderId="0" xfId="2" quotePrefix="1" applyFont="1" applyBorder="1" applyAlignment="1">
      <alignment horizontal="center"/>
    </xf>
    <xf numFmtId="0" fontId="3" fillId="0" borderId="11" xfId="2" quotePrefix="1" applyFont="1" applyBorder="1" applyAlignment="1">
      <alignment horizontal="center"/>
    </xf>
    <xf numFmtId="37" fontId="3" fillId="0" borderId="0" xfId="2" applyNumberFormat="1" applyFont="1" applyBorder="1" applyAlignment="1">
      <alignment horizontal="right"/>
    </xf>
    <xf numFmtId="37" fontId="3" fillId="0" borderId="0" xfId="2" quotePrefix="1" applyNumberFormat="1" applyFont="1" applyBorder="1" applyAlignment="1">
      <alignment horizontal="right"/>
    </xf>
    <xf numFmtId="37" fontId="3" fillId="0" borderId="11" xfId="2" applyNumberFormat="1" applyFont="1" applyFill="1" applyBorder="1" applyAlignment="1">
      <alignment horizontal="right"/>
    </xf>
    <xf numFmtId="3" fontId="3" fillId="0" borderId="4" xfId="2" applyNumberFormat="1" applyFont="1" applyBorder="1" applyAlignment="1">
      <alignment horizontal="right"/>
    </xf>
    <xf numFmtId="3" fontId="3" fillId="0" borderId="4" xfId="2" quotePrefix="1" applyNumberFormat="1" applyFont="1" applyBorder="1" applyAlignment="1">
      <alignment horizontal="right"/>
    </xf>
    <xf numFmtId="3" fontId="3" fillId="0" borderId="13" xfId="2" applyNumberFormat="1" applyFont="1" applyFill="1" applyBorder="1" applyAlignment="1">
      <alignment horizontal="right"/>
    </xf>
    <xf numFmtId="0" fontId="3" fillId="0" borderId="0" xfId="2" applyFont="1" applyBorder="1" applyAlignment="1">
      <alignment horizontal="center"/>
    </xf>
    <xf numFmtId="0" fontId="18" fillId="0" borderId="0" xfId="2" applyFont="1" applyBorder="1" applyAlignment="1">
      <alignment horizontal="left"/>
    </xf>
    <xf numFmtId="0" fontId="4" fillId="0" borderId="0" xfId="2" applyFont="1" applyAlignment="1">
      <alignment horizontal="center"/>
    </xf>
    <xf numFmtId="0" fontId="1" fillId="0" borderId="0" xfId="3" applyFill="1"/>
    <xf numFmtId="0" fontId="2" fillId="0" borderId="0" xfId="2" applyFont="1" applyAlignment="1">
      <alignment horizontal="centerContinuous"/>
    </xf>
    <xf numFmtId="0" fontId="2" fillId="0" borderId="0" xfId="2" applyFont="1" applyAlignment="1">
      <alignment horizontal="left"/>
    </xf>
    <xf numFmtId="0" fontId="2" fillId="0" borderId="0" xfId="2" applyFont="1" applyAlignment="1"/>
    <xf numFmtId="0" fontId="4" fillId="3" borderId="7" xfId="2" applyFont="1" applyFill="1" applyBorder="1" applyAlignment="1">
      <alignment horizontal="centerContinuous"/>
    </xf>
    <xf numFmtId="0" fontId="4" fillId="3" borderId="8" xfId="2" applyFont="1" applyFill="1" applyBorder="1" applyAlignment="1">
      <alignment horizontal="centerContinuous"/>
    </xf>
    <xf numFmtId="0" fontId="4" fillId="3" borderId="8" xfId="2" applyFont="1" applyFill="1" applyBorder="1" applyAlignment="1">
      <alignment horizontal="center"/>
    </xf>
    <xf numFmtId="0" fontId="4" fillId="3" borderId="9" xfId="2" applyFont="1" applyFill="1" applyBorder="1" applyAlignment="1">
      <alignment horizontal="center"/>
    </xf>
    <xf numFmtId="3" fontId="2" fillId="0" borderId="9" xfId="2" applyNumberFormat="1" applyFont="1" applyBorder="1"/>
    <xf numFmtId="3" fontId="2" fillId="0" borderId="0" xfId="2" applyNumberFormat="1" applyFont="1" applyAlignment="1"/>
    <xf numFmtId="0" fontId="4" fillId="3" borderId="10" xfId="2" applyFont="1" applyFill="1" applyBorder="1" applyAlignment="1">
      <alignment horizontal="centerContinuous"/>
    </xf>
    <xf numFmtId="0" fontId="4" fillId="3" borderId="0" xfId="2" applyFont="1" applyFill="1" applyBorder="1" applyAlignment="1">
      <alignment horizontal="centerContinuous"/>
    </xf>
    <xf numFmtId="0" fontId="4" fillId="3" borderId="11" xfId="2" applyFont="1" applyFill="1" applyBorder="1" applyAlignment="1">
      <alignment horizontal="center"/>
    </xf>
    <xf numFmtId="3" fontId="2" fillId="4" borderId="11" xfId="2" applyNumberFormat="1" applyFont="1" applyFill="1" applyBorder="1" applyAlignment="1"/>
    <xf numFmtId="0" fontId="2" fillId="3" borderId="0" xfId="2" applyFont="1" applyFill="1" applyBorder="1" applyAlignment="1"/>
    <xf numFmtId="10" fontId="2" fillId="0" borderId="0" xfId="2" applyNumberFormat="1" applyFont="1" applyBorder="1" applyAlignment="1"/>
    <xf numFmtId="10" fontId="2" fillId="0" borderId="11" xfId="2" applyNumberFormat="1" applyFont="1" applyBorder="1" applyAlignment="1"/>
    <xf numFmtId="37" fontId="2" fillId="0" borderId="24" xfId="2" applyNumberFormat="1" applyFont="1" applyBorder="1" applyAlignment="1"/>
    <xf numFmtId="0" fontId="2" fillId="3" borderId="30" xfId="2" applyFont="1" applyFill="1" applyBorder="1" applyAlignment="1"/>
    <xf numFmtId="3" fontId="2" fillId="0" borderId="31" xfId="2" applyNumberFormat="1" applyFont="1" applyBorder="1" applyAlignment="1"/>
    <xf numFmtId="172" fontId="2" fillId="0" borderId="0" xfId="2" applyNumberFormat="1" applyFont="1" applyAlignment="1"/>
    <xf numFmtId="0" fontId="2" fillId="3" borderId="23" xfId="2" applyFont="1" applyFill="1" applyBorder="1" applyAlignment="1"/>
    <xf numFmtId="0" fontId="2" fillId="3" borderId="22" xfId="2" applyFont="1" applyFill="1" applyBorder="1" applyAlignment="1"/>
    <xf numFmtId="10" fontId="2" fillId="0" borderId="22" xfId="2" applyNumberFormat="1" applyFont="1" applyBorder="1" applyAlignment="1"/>
    <xf numFmtId="10" fontId="2" fillId="0" borderId="24" xfId="2" applyNumberFormat="1" applyFont="1" applyBorder="1" applyAlignment="1"/>
    <xf numFmtId="0" fontId="2" fillId="3" borderId="4" xfId="2" applyFont="1" applyFill="1" applyBorder="1" applyAlignment="1">
      <alignment horizontal="centerContinuous"/>
    </xf>
    <xf numFmtId="10" fontId="2" fillId="0" borderId="4" xfId="2" applyNumberFormat="1" applyFont="1" applyBorder="1" applyAlignment="1"/>
    <xf numFmtId="10" fontId="2" fillId="0" borderId="13" xfId="2" applyNumberFormat="1" applyFont="1" applyBorder="1" applyAlignment="1">
      <alignment horizontal="right"/>
    </xf>
    <xf numFmtId="0" fontId="2" fillId="0" borderId="0" xfId="2" applyFont="1" applyFill="1" applyAlignment="1">
      <alignment horizontal="center" wrapText="1"/>
    </xf>
    <xf numFmtId="0" fontId="3" fillId="3" borderId="7" xfId="2" quotePrefix="1" applyFont="1" applyFill="1" applyBorder="1" applyAlignment="1">
      <alignment horizontal="center"/>
    </xf>
    <xf numFmtId="0" fontId="3" fillId="3" borderId="8" xfId="2" quotePrefix="1" applyFont="1" applyFill="1" applyBorder="1" applyAlignment="1">
      <alignment horizontal="center"/>
    </xf>
    <xf numFmtId="0" fontId="3" fillId="3" borderId="9" xfId="2" quotePrefix="1" applyFont="1" applyFill="1" applyBorder="1" applyAlignment="1">
      <alignment horizontal="center"/>
    </xf>
    <xf numFmtId="0" fontId="5" fillId="3" borderId="10" xfId="2" applyFont="1" applyFill="1" applyBorder="1" applyAlignment="1">
      <alignment horizontal="center"/>
    </xf>
    <xf numFmtId="0" fontId="5" fillId="3" borderId="0" xfId="2" applyFont="1" applyFill="1" applyBorder="1" applyAlignment="1">
      <alignment horizontal="center"/>
    </xf>
    <xf numFmtId="0" fontId="5" fillId="3" borderId="11" xfId="2" applyFont="1" applyFill="1" applyBorder="1" applyAlignment="1">
      <alignment horizontal="center"/>
    </xf>
    <xf numFmtId="0" fontId="2" fillId="3" borderId="11" xfId="2" applyFont="1" applyFill="1" applyBorder="1" applyAlignment="1">
      <alignment horizontal="center"/>
    </xf>
    <xf numFmtId="0" fontId="3" fillId="3" borderId="11" xfId="2" quotePrefix="1" applyFont="1" applyFill="1" applyBorder="1" applyAlignment="1">
      <alignment horizontal="center"/>
    </xf>
    <xf numFmtId="0" fontId="5" fillId="0" borderId="11" xfId="2" quotePrefix="1" applyFont="1" applyBorder="1" applyAlignment="1">
      <alignment horizontal="right"/>
    </xf>
    <xf numFmtId="3" fontId="3" fillId="0" borderId="2" xfId="2" applyNumberFormat="1" applyFont="1" applyFill="1" applyBorder="1" applyAlignment="1">
      <alignment horizontal="right"/>
    </xf>
    <xf numFmtId="3" fontId="3" fillId="7" borderId="2" xfId="2" applyNumberFormat="1" applyFont="1" applyFill="1" applyBorder="1" applyAlignment="1">
      <alignment horizontal="right"/>
    </xf>
    <xf numFmtId="173" fontId="3" fillId="0" borderId="2" xfId="2" applyNumberFormat="1" applyFont="1" applyBorder="1" applyAlignment="1">
      <alignment horizontal="right"/>
    </xf>
    <xf numFmtId="10" fontId="3" fillId="0" borderId="29" xfId="2" applyNumberFormat="1" applyFont="1" applyBorder="1" applyAlignment="1">
      <alignment horizontal="right"/>
    </xf>
    <xf numFmtId="173" fontId="3" fillId="0" borderId="0" xfId="2" applyNumberFormat="1" applyFont="1" applyBorder="1" applyAlignment="1">
      <alignment horizontal="right"/>
    </xf>
    <xf numFmtId="10" fontId="3" fillId="0" borderId="11" xfId="2" applyNumberFormat="1" applyFont="1" applyBorder="1" applyAlignment="1">
      <alignment horizontal="right"/>
    </xf>
    <xf numFmtId="0" fontId="3" fillId="0" borderId="13" xfId="2" applyFont="1" applyBorder="1" applyAlignment="1">
      <alignment horizontal="center"/>
    </xf>
    <xf numFmtId="3" fontId="3" fillId="0" borderId="0" xfId="2" applyNumberFormat="1" applyFont="1" applyBorder="1" applyAlignment="1">
      <alignment horizontal="center"/>
    </xf>
    <xf numFmtId="0" fontId="5" fillId="0" borderId="10" xfId="2" applyFont="1" applyBorder="1" applyAlignment="1">
      <alignment horizontal="left"/>
    </xf>
    <xf numFmtId="0" fontId="3" fillId="0" borderId="0" xfId="2" applyFont="1" applyFill="1" applyBorder="1" applyAlignment="1">
      <alignment horizontal="center"/>
    </xf>
    <xf numFmtId="3" fontId="3" fillId="0" borderId="18" xfId="2" applyNumberFormat="1" applyFont="1" applyFill="1" applyBorder="1" applyAlignment="1">
      <alignment horizontal="right"/>
    </xf>
    <xf numFmtId="3" fontId="3" fillId="8" borderId="18" xfId="2" applyNumberFormat="1" applyFont="1" applyFill="1" applyBorder="1" applyAlignment="1">
      <alignment horizontal="right"/>
    </xf>
    <xf numFmtId="173" fontId="3" fillId="0" borderId="18" xfId="2" applyNumberFormat="1" applyFont="1" applyFill="1" applyBorder="1" applyAlignment="1">
      <alignment horizontal="right"/>
    </xf>
    <xf numFmtId="10" fontId="3" fillId="0" borderId="19" xfId="2" applyNumberFormat="1" applyFont="1" applyBorder="1" applyAlignment="1">
      <alignment horizontal="right"/>
    </xf>
    <xf numFmtId="3" fontId="3" fillId="8" borderId="2" xfId="2" applyNumberFormat="1" applyFont="1" applyFill="1" applyBorder="1" applyAlignment="1">
      <alignment horizontal="right"/>
    </xf>
    <xf numFmtId="173" fontId="3" fillId="0" borderId="2" xfId="2" applyNumberFormat="1" applyFont="1" applyFill="1" applyBorder="1" applyAlignment="1">
      <alignment horizontal="right"/>
    </xf>
    <xf numFmtId="0" fontId="3" fillId="0" borderId="0" xfId="2" quotePrefix="1" applyFont="1" applyBorder="1" applyAlignment="1">
      <alignment horizontal="right"/>
    </xf>
    <xf numFmtId="0" fontId="3" fillId="0" borderId="11" xfId="2" quotePrefix="1" applyFont="1" applyBorder="1" applyAlignment="1">
      <alignment horizontal="right"/>
    </xf>
    <xf numFmtId="0" fontId="21" fillId="0" borderId="0" xfId="2" applyFont="1" applyBorder="1" applyAlignment="1">
      <alignment horizontal="left"/>
    </xf>
    <xf numFmtId="0" fontId="21" fillId="0" borderId="0" xfId="2" applyFont="1" applyAlignment="1">
      <alignment horizontal="left"/>
    </xf>
    <xf numFmtId="0" fontId="22" fillId="0" borderId="0" xfId="2" applyFont="1" applyAlignment="1">
      <alignment horizontal="center"/>
    </xf>
    <xf numFmtId="164" fontId="23" fillId="0" borderId="0" xfId="4" applyNumberFormat="1" applyFont="1" applyFill="1" applyBorder="1" applyAlignment="1">
      <alignment horizontal="right"/>
    </xf>
    <xf numFmtId="10" fontId="23" fillId="0" borderId="0" xfId="2" applyNumberFormat="1" applyFont="1" applyFill="1" applyBorder="1" applyAlignment="1">
      <alignment horizontal="right"/>
    </xf>
    <xf numFmtId="0" fontId="22" fillId="0" borderId="22" xfId="2" applyFont="1" applyBorder="1" applyAlignment="1">
      <alignment horizontal="center"/>
    </xf>
    <xf numFmtId="164" fontId="23" fillId="0" borderId="22" xfId="4" applyNumberFormat="1" applyFont="1" applyFill="1" applyBorder="1" applyAlignment="1">
      <alignment horizontal="right"/>
    </xf>
    <xf numFmtId="10" fontId="23" fillId="0" borderId="22" xfId="2" applyNumberFormat="1" applyFont="1" applyFill="1" applyBorder="1" applyAlignment="1">
      <alignment horizontal="right"/>
    </xf>
    <xf numFmtId="174" fontId="1" fillId="0" borderId="0" xfId="3" applyNumberFormat="1" applyFill="1"/>
    <xf numFmtId="14" fontId="1" fillId="0" borderId="0" xfId="3" applyNumberFormat="1" applyFill="1"/>
    <xf numFmtId="164" fontId="0" fillId="0" borderId="0" xfId="4" applyNumberFormat="1" applyFont="1" applyFill="1"/>
    <xf numFmtId="164" fontId="1" fillId="0" borderId="0" xfId="3" applyNumberFormat="1" applyFill="1"/>
    <xf numFmtId="0" fontId="2" fillId="0" borderId="0" xfId="3" applyFont="1"/>
    <xf numFmtId="0" fontId="2" fillId="0" borderId="7" xfId="3" applyFont="1" applyBorder="1" applyAlignment="1">
      <alignment horizontal="center"/>
    </xf>
    <xf numFmtId="0" fontId="2" fillId="0" borderId="8" xfId="3" quotePrefix="1" applyFont="1" applyBorder="1" applyAlignment="1">
      <alignment horizontal="center"/>
    </xf>
    <xf numFmtId="0" fontId="2" fillId="0" borderId="0" xfId="3" applyFont="1" applyAlignment="1">
      <alignment horizontal="center" wrapText="1"/>
    </xf>
    <xf numFmtId="0" fontId="2" fillId="0" borderId="25" xfId="3" applyFont="1" applyFill="1" applyBorder="1" applyAlignment="1">
      <alignment horizontal="center" wrapText="1"/>
    </xf>
    <xf numFmtId="0" fontId="2" fillId="0" borderId="1" xfId="3" quotePrefix="1" applyFont="1" applyFill="1" applyBorder="1" applyAlignment="1">
      <alignment horizontal="center" wrapText="1"/>
    </xf>
    <xf numFmtId="0" fontId="2" fillId="0" borderId="26" xfId="3" quotePrefix="1" applyFont="1" applyFill="1" applyBorder="1" applyAlignment="1">
      <alignment horizontal="center" wrapText="1"/>
    </xf>
    <xf numFmtId="0" fontId="2" fillId="0" borderId="8" xfId="3" applyFont="1" applyBorder="1" applyAlignment="1">
      <alignment horizontal="right"/>
    </xf>
    <xf numFmtId="164" fontId="2" fillId="0" borderId="10" xfId="3" applyNumberFormat="1" applyFont="1" applyFill="1" applyBorder="1"/>
    <xf numFmtId="164" fontId="2" fillId="0" borderId="0" xfId="3" applyNumberFormat="1" applyFont="1" applyFill="1" applyBorder="1"/>
    <xf numFmtId="164" fontId="2" fillId="0" borderId="11" xfId="3" applyNumberFormat="1" applyFont="1" applyFill="1" applyBorder="1"/>
    <xf numFmtId="0" fontId="2" fillId="0" borderId="10" xfId="3" applyFont="1" applyBorder="1" applyAlignment="1">
      <alignment horizontal="center"/>
    </xf>
    <xf numFmtId="0" fontId="2" fillId="0" borderId="0" xfId="3" applyFont="1" applyBorder="1" applyAlignment="1">
      <alignment horizontal="right"/>
    </xf>
    <xf numFmtId="0" fontId="2" fillId="0" borderId="0" xfId="3" quotePrefix="1" applyFont="1" applyBorder="1" applyAlignment="1">
      <alignment horizontal="right"/>
    </xf>
    <xf numFmtId="0" fontId="2" fillId="0" borderId="0" xfId="3" applyFont="1" applyBorder="1"/>
    <xf numFmtId="0" fontId="2" fillId="0" borderId="12" xfId="3" applyFont="1" applyBorder="1"/>
    <xf numFmtId="0" fontId="2" fillId="0" borderId="4" xfId="3" applyFont="1" applyBorder="1"/>
    <xf numFmtId="0" fontId="2" fillId="0" borderId="12" xfId="3" applyFont="1" applyFill="1" applyBorder="1"/>
    <xf numFmtId="0" fontId="2" fillId="0" borderId="4" xfId="3" applyFont="1" applyFill="1" applyBorder="1"/>
    <xf numFmtId="0" fontId="2" fillId="0" borderId="13" xfId="3" applyFont="1" applyFill="1" applyBorder="1"/>
    <xf numFmtId="165" fontId="2" fillId="0" borderId="0" xfId="1" applyNumberFormat="1" applyFont="1" applyFill="1"/>
    <xf numFmtId="165" fontId="2" fillId="0" borderId="2" xfId="1" applyNumberFormat="1" applyFont="1" applyFill="1" applyBorder="1"/>
    <xf numFmtId="165" fontId="2" fillId="0" borderId="5" xfId="1" applyNumberFormat="1" applyFont="1" applyFill="1" applyBorder="1"/>
    <xf numFmtId="17" fontId="2" fillId="0" borderId="22" xfId="0" quotePrefix="1" applyNumberFormat="1" applyFont="1" applyFill="1" applyBorder="1" applyAlignment="1">
      <alignment horizontal="center" wrapText="1"/>
    </xf>
    <xf numFmtId="0" fontId="3" fillId="0" borderId="0" xfId="0" applyFont="1"/>
    <xf numFmtId="164" fontId="3" fillId="9" borderId="13" xfId="0" applyNumberFormat="1" applyFont="1" applyFill="1" applyBorder="1"/>
    <xf numFmtId="164" fontId="3" fillId="9" borderId="4" xfId="0" applyNumberFormat="1" applyFont="1" applyFill="1" applyBorder="1"/>
    <xf numFmtId="0" fontId="3" fillId="9" borderId="4" xfId="0" applyFont="1" applyFill="1" applyBorder="1"/>
    <xf numFmtId="164" fontId="3" fillId="9" borderId="11" xfId="0" applyNumberFormat="1" applyFont="1" applyFill="1" applyBorder="1"/>
    <xf numFmtId="0" fontId="3" fillId="9" borderId="0" xfId="0" applyFont="1" applyFill="1" applyBorder="1"/>
    <xf numFmtId="164" fontId="3" fillId="9" borderId="0" xfId="0" applyNumberFormat="1" applyFont="1" applyFill="1" applyBorder="1"/>
    <xf numFmtId="0" fontId="24" fillId="9" borderId="0" xfId="0" applyFont="1" applyFill="1" applyBorder="1"/>
    <xf numFmtId="0" fontId="3" fillId="0" borderId="0" xfId="0" applyFont="1" applyAlignment="1">
      <alignment horizontal="center" wrapText="1"/>
    </xf>
    <xf numFmtId="0" fontId="3" fillId="9" borderId="1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26" xfId="0" quotePrefix="1" applyFont="1" applyFill="1" applyBorder="1" applyAlignment="1">
      <alignment horizontal="centerContinuous"/>
    </xf>
    <xf numFmtId="0" fontId="3" fillId="9" borderId="1" xfId="0" quotePrefix="1" applyFont="1" applyFill="1" applyBorder="1" applyAlignment="1">
      <alignment horizontal="centerContinuous"/>
    </xf>
    <xf numFmtId="0" fontId="3" fillId="9" borderId="34" xfId="0" quotePrefix="1" applyFont="1" applyFill="1" applyBorder="1" applyAlignment="1">
      <alignment horizontal="centerContinuous"/>
    </xf>
    <xf numFmtId="44" fontId="3" fillId="0" borderId="0" xfId="0" applyNumberFormat="1" applyFont="1"/>
    <xf numFmtId="175" fontId="3" fillId="0" borderId="0" xfId="0" applyNumberFormat="1" applyFont="1"/>
    <xf numFmtId="0" fontId="3" fillId="0" borderId="0" xfId="0" applyFont="1" applyFill="1"/>
    <xf numFmtId="167" fontId="3" fillId="0" borderId="16" xfId="0" applyNumberFormat="1" applyFont="1" applyFill="1" applyBorder="1"/>
    <xf numFmtId="167" fontId="3" fillId="0" borderId="15" xfId="0" applyNumberFormat="1" applyFont="1" applyFill="1" applyBorder="1"/>
    <xf numFmtId="167" fontId="3" fillId="0" borderId="21" xfId="0" quotePrefix="1" applyNumberFormat="1" applyFont="1" applyFill="1" applyBorder="1" applyAlignment="1"/>
    <xf numFmtId="167" fontId="3" fillId="0" borderId="15" xfId="0" quotePrefix="1" applyNumberFormat="1" applyFont="1" applyFill="1" applyBorder="1" applyAlignment="1"/>
    <xf numFmtId="0" fontId="3" fillId="0" borderId="0" xfId="0" quotePrefix="1" applyFont="1" applyAlignment="1">
      <alignment horizontal="left" indent="2"/>
    </xf>
    <xf numFmtId="0" fontId="3" fillId="0" borderId="14" xfId="0" applyFont="1" applyFill="1" applyBorder="1"/>
    <xf numFmtId="167" fontId="3" fillId="0" borderId="21" xfId="0" applyNumberFormat="1" applyFont="1" applyFill="1" applyBorder="1"/>
    <xf numFmtId="167" fontId="3" fillId="0" borderId="14" xfId="0" applyNumberFormat="1" applyFont="1" applyFill="1" applyBorder="1"/>
    <xf numFmtId="0" fontId="3" fillId="0" borderId="14" xfId="0" quotePrefix="1" applyFont="1" applyBorder="1" applyAlignment="1">
      <alignment horizontal="center" wrapText="1"/>
    </xf>
    <xf numFmtId="0" fontId="3" fillId="10" borderId="3" xfId="0" quotePrefix="1" applyFont="1" applyFill="1" applyBorder="1" applyAlignment="1">
      <alignment horizontal="center" wrapText="1"/>
    </xf>
    <xf numFmtId="0" fontId="3" fillId="0" borderId="22" xfId="0" applyFont="1" applyBorder="1"/>
    <xf numFmtId="0" fontId="3" fillId="0" borderId="22" xfId="0" quotePrefix="1" applyFont="1" applyBorder="1" applyAlignment="1">
      <alignment horizontal="left"/>
    </xf>
    <xf numFmtId="176" fontId="3" fillId="0" borderId="5" xfId="5" applyNumberFormat="1" applyFont="1" applyBorder="1"/>
    <xf numFmtId="44" fontId="3" fillId="0" borderId="5" xfId="0" applyNumberFormat="1" applyFont="1" applyBorder="1"/>
    <xf numFmtId="0" fontId="3" fillId="0" borderId="0" xfId="0" applyFont="1" applyBorder="1" applyAlignment="1"/>
    <xf numFmtId="164" fontId="3" fillId="0" borderId="5" xfId="0" applyNumberFormat="1" applyFont="1" applyBorder="1"/>
    <xf numFmtId="0" fontId="3" fillId="0" borderId="0" xfId="0" applyFont="1" applyAlignment="1">
      <alignment horizontal="left"/>
    </xf>
    <xf numFmtId="164" fontId="3" fillId="0" borderId="5" xfId="0" applyNumberFormat="1" applyFont="1" applyFill="1" applyBorder="1"/>
    <xf numFmtId="0" fontId="3" fillId="0" borderId="0" xfId="0" applyFont="1" applyFill="1" applyAlignment="1">
      <alignment horizontal="left"/>
    </xf>
    <xf numFmtId="176" fontId="3" fillId="0" borderId="0" xfId="5" applyNumberFormat="1" applyFont="1"/>
    <xf numFmtId="44" fontId="3" fillId="0" borderId="5" xfId="6" applyFont="1" applyBorder="1"/>
    <xf numFmtId="0" fontId="3" fillId="0" borderId="0" xfId="0" quotePrefix="1" applyFont="1" applyAlignment="1">
      <alignment horizontal="left"/>
    </xf>
    <xf numFmtId="44" fontId="3" fillId="0" borderId="0" xfId="6" applyFont="1"/>
    <xf numFmtId="164" fontId="3" fillId="0" borderId="0" xfId="0" applyNumberFormat="1" applyFont="1"/>
    <xf numFmtId="0" fontId="3" fillId="0" borderId="22" xfId="0" applyFont="1" applyBorder="1" applyAlignment="1">
      <alignment horizontal="center" wrapText="1"/>
    </xf>
    <xf numFmtId="0" fontId="3" fillId="0" borderId="22" xfId="0" quotePrefix="1" applyFont="1" applyBorder="1" applyAlignment="1">
      <alignment horizontal="center" wrapText="1"/>
    </xf>
    <xf numFmtId="0" fontId="3" fillId="0" borderId="0" xfId="0" applyFont="1" applyAlignment="1"/>
    <xf numFmtId="0" fontId="3" fillId="0" borderId="0" xfId="0" quotePrefix="1" applyFont="1" applyBorder="1" applyAlignment="1">
      <alignment horizontal="center"/>
    </xf>
    <xf numFmtId="0" fontId="3"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xf numFmtId="0" fontId="5" fillId="0" borderId="0" xfId="0" applyFont="1" applyAlignment="1">
      <alignment horizontal="centerContinuous"/>
    </xf>
    <xf numFmtId="164" fontId="3" fillId="0" borderId="0" xfId="0" applyNumberFormat="1" applyFont="1" applyBorder="1"/>
    <xf numFmtId="0" fontId="3" fillId="0" borderId="0" xfId="0" applyFont="1" applyBorder="1"/>
    <xf numFmtId="37" fontId="3" fillId="0" borderId="0" xfId="0" applyNumberFormat="1" applyFont="1" applyBorder="1"/>
    <xf numFmtId="164" fontId="3" fillId="0" borderId="0" xfId="0" applyNumberFormat="1" applyFont="1" applyFill="1" applyBorder="1"/>
    <xf numFmtId="0" fontId="2" fillId="0" borderId="0" xfId="0" applyFont="1" applyFill="1" applyBorder="1" applyAlignment="1">
      <alignment horizontal="center"/>
    </xf>
    <xf numFmtId="0" fontId="2" fillId="0" borderId="0" xfId="0" applyFont="1" applyFill="1" applyAlignment="1">
      <alignment horizontal="center"/>
    </xf>
    <xf numFmtId="167" fontId="3" fillId="11" borderId="16" xfId="0" quotePrefix="1" applyNumberFormat="1" applyFont="1" applyFill="1" applyBorder="1" applyAlignment="1"/>
    <xf numFmtId="164" fontId="4" fillId="0" borderId="4" xfId="0" quotePrefix="1" applyNumberFormat="1" applyFont="1" applyFill="1" applyBorder="1" applyAlignment="1">
      <alignment horizontal="center" wrapText="1"/>
    </xf>
    <xf numFmtId="0" fontId="4" fillId="0" borderId="13" xfId="0" applyFont="1" applyFill="1" applyBorder="1" applyAlignment="1">
      <alignment horizontal="center" wrapText="1"/>
    </xf>
    <xf numFmtId="0" fontId="4" fillId="0" borderId="0" xfId="0" applyFont="1" applyFill="1" applyBorder="1" applyAlignment="1">
      <alignment horizontal="center" vertical="top" wrapText="1"/>
    </xf>
    <xf numFmtId="0" fontId="4" fillId="0" borderId="11" xfId="0" quotePrefix="1" applyFont="1" applyFill="1" applyBorder="1" applyAlignment="1">
      <alignment horizontal="center" vertical="top" wrapText="1"/>
    </xf>
    <xf numFmtId="0" fontId="4" fillId="0" borderId="0" xfId="0" applyFont="1" applyFill="1" applyBorder="1"/>
    <xf numFmtId="0" fontId="4" fillId="0" borderId="11" xfId="0" applyFont="1" applyFill="1" applyBorder="1"/>
    <xf numFmtId="164" fontId="25" fillId="0" borderId="0" xfId="0" applyNumberFormat="1" applyFont="1" applyFill="1" applyBorder="1"/>
    <xf numFmtId="165" fontId="25" fillId="0" borderId="0" xfId="0" applyNumberFormat="1" applyFont="1" applyFill="1" applyBorder="1"/>
    <xf numFmtId="167" fontId="25" fillId="0" borderId="0" xfId="0" applyNumberFormat="1" applyFont="1" applyFill="1" applyBorder="1"/>
    <xf numFmtId="167" fontId="26" fillId="0" borderId="0" xfId="0" applyNumberFormat="1" applyFont="1" applyFill="1" applyBorder="1"/>
    <xf numFmtId="10" fontId="4" fillId="0" borderId="11" xfId="0" applyNumberFormat="1" applyFont="1" applyFill="1" applyBorder="1"/>
    <xf numFmtId="167" fontId="4" fillId="0" borderId="0" xfId="0" applyNumberFormat="1" applyFont="1" applyFill="1" applyBorder="1"/>
    <xf numFmtId="166" fontId="4" fillId="0" borderId="0" xfId="0" applyNumberFormat="1" applyFont="1" applyFill="1" applyBorder="1"/>
    <xf numFmtId="0" fontId="0" fillId="0" borderId="0" xfId="0" applyAlignment="1">
      <alignment horizontal="center"/>
    </xf>
    <xf numFmtId="0" fontId="0" fillId="0" borderId="22" xfId="0" applyBorder="1" applyAlignment="1">
      <alignment horizontal="center"/>
    </xf>
    <xf numFmtId="42" fontId="27" fillId="0" borderId="0" xfId="0" applyNumberFormat="1" applyFont="1" applyFill="1"/>
    <xf numFmtId="42" fontId="27" fillId="0" borderId="0" xfId="0" applyNumberFormat="1" applyFont="1"/>
    <xf numFmtId="10" fontId="27" fillId="0" borderId="0" xfId="5" applyNumberFormat="1" applyFont="1"/>
    <xf numFmtId="41" fontId="27" fillId="0" borderId="0" xfId="0" applyNumberFormat="1" applyFont="1" applyFill="1"/>
    <xf numFmtId="0" fontId="27" fillId="0" borderId="0" xfId="0" applyFont="1"/>
    <xf numFmtId="41" fontId="27" fillId="0" borderId="0" xfId="0" applyNumberFormat="1" applyFont="1"/>
    <xf numFmtId="41" fontId="27" fillId="0" borderId="2" xfId="0" applyNumberFormat="1" applyFont="1" applyBorder="1"/>
    <xf numFmtId="164" fontId="27" fillId="0" borderId="2" xfId="0" applyNumberFormat="1" applyFont="1" applyBorder="1"/>
    <xf numFmtId="9" fontId="27" fillId="0" borderId="2" xfId="0" applyNumberFormat="1" applyFont="1" applyBorder="1"/>
    <xf numFmtId="177" fontId="27" fillId="0" borderId="0" xfId="0" applyNumberFormat="1" applyFont="1" applyFill="1"/>
    <xf numFmtId="42" fontId="27" fillId="0" borderId="5" xfId="0" applyNumberFormat="1" applyFont="1" applyBorder="1"/>
    <xf numFmtId="0" fontId="2" fillId="0" borderId="33" xfId="0" quotePrefix="1" applyFont="1" applyFill="1" applyBorder="1" applyAlignment="1">
      <alignment horizontal="center"/>
    </xf>
    <xf numFmtId="0" fontId="2" fillId="0" borderId="25" xfId="0" quotePrefix="1" applyFont="1" applyFill="1" applyBorder="1" applyAlignment="1">
      <alignment horizontal="left" vertical="center" wrapText="1"/>
    </xf>
    <xf numFmtId="0" fontId="2" fillId="0" borderId="1" xfId="0" quotePrefix="1" applyFont="1" applyFill="1" applyBorder="1" applyAlignment="1">
      <alignment horizontal="left" vertical="center" wrapText="1"/>
    </xf>
    <xf numFmtId="0" fontId="2" fillId="0" borderId="26" xfId="0" quotePrefix="1" applyFont="1" applyFill="1" applyBorder="1" applyAlignment="1">
      <alignment horizontal="left" vertical="center" wrapText="1"/>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0" xfId="0" applyFont="1" applyFill="1" applyBorder="1" applyAlignment="1">
      <alignment horizontal="center"/>
    </xf>
    <xf numFmtId="0" fontId="2" fillId="0" borderId="11" xfId="0" applyFont="1" applyFill="1" applyBorder="1" applyAlignment="1">
      <alignment horizontal="center"/>
    </xf>
    <xf numFmtId="0" fontId="7" fillId="0" borderId="0" xfId="0" applyFont="1" applyFill="1" applyAlignment="1">
      <alignment horizontal="center"/>
    </xf>
    <xf numFmtId="0" fontId="7" fillId="0" borderId="0" xfId="0" quotePrefix="1" applyFont="1" applyFill="1" applyAlignment="1">
      <alignment horizontal="center"/>
    </xf>
    <xf numFmtId="0" fontId="3" fillId="0" borderId="0" xfId="0" quotePrefix="1" applyFont="1" applyFill="1" applyAlignment="1">
      <alignment horizontal="left" indent="3"/>
    </xf>
    <xf numFmtId="0" fontId="3" fillId="0" borderId="0" xfId="0" quotePrefix="1" applyFont="1" applyAlignment="1">
      <alignment horizontal="left" indent="1"/>
    </xf>
    <xf numFmtId="0" fontId="3" fillId="0" borderId="0" xfId="0" quotePrefix="1" applyFont="1" applyFill="1" applyAlignment="1">
      <alignment horizontal="left" indent="2"/>
    </xf>
    <xf numFmtId="0" fontId="3" fillId="0" borderId="0" xfId="0" quotePrefix="1" applyFont="1" applyAlignment="1">
      <alignment horizontal="left" indent="3"/>
    </xf>
    <xf numFmtId="0" fontId="3" fillId="0" borderId="0" xfId="0" quotePrefix="1" applyFont="1" applyAlignment="1">
      <alignment horizontal="left" indent="2"/>
    </xf>
    <xf numFmtId="0" fontId="3" fillId="11" borderId="0" xfId="0" quotePrefix="1" applyFont="1" applyFill="1" applyAlignment="1">
      <alignment horizontal="left" indent="2"/>
    </xf>
    <xf numFmtId="0" fontId="3" fillId="0" borderId="22" xfId="0" quotePrefix="1" applyFont="1" applyBorder="1" applyAlignment="1">
      <alignment horizontal="center"/>
    </xf>
    <xf numFmtId="0" fontId="2" fillId="0" borderId="0" xfId="0" applyFont="1" applyFill="1" applyAlignment="1">
      <alignment horizontal="center"/>
    </xf>
    <xf numFmtId="0" fontId="2" fillId="0" borderId="0" xfId="0" quotePrefix="1" applyFont="1" applyFill="1" applyAlignment="1">
      <alignment horizontal="center"/>
    </xf>
    <xf numFmtId="0" fontId="14" fillId="2" borderId="0" xfId="0" quotePrefix="1" applyFont="1" applyFill="1" applyAlignment="1">
      <alignment horizontal="left"/>
    </xf>
    <xf numFmtId="0" fontId="14" fillId="2" borderId="0" xfId="0" applyFont="1" applyFill="1" applyAlignment="1">
      <alignment horizontal="left"/>
    </xf>
    <xf numFmtId="0" fontId="13" fillId="0" borderId="0" xfId="0" quotePrefix="1" applyFont="1" applyFill="1" applyAlignment="1">
      <alignment horizontal="left" vertical="center" wrapText="1"/>
    </xf>
    <xf numFmtId="0" fontId="13" fillId="0" borderId="0" xfId="0" applyFont="1" applyFill="1" applyAlignment="1">
      <alignment horizontal="left" vertical="center" wrapText="1"/>
    </xf>
    <xf numFmtId="0" fontId="14" fillId="0" borderId="0" xfId="0" applyFont="1" applyFill="1" applyAlignment="1">
      <alignment horizontal="left"/>
    </xf>
    <xf numFmtId="0" fontId="2" fillId="0" borderId="25" xfId="3" applyFont="1" applyFill="1" applyBorder="1" applyAlignment="1">
      <alignment horizontal="center"/>
    </xf>
    <xf numFmtId="0" fontId="2" fillId="0" borderId="26" xfId="3" applyFont="1" applyFill="1" applyBorder="1" applyAlignment="1">
      <alignment horizontal="center"/>
    </xf>
    <xf numFmtId="0" fontId="2" fillId="0" borderId="0" xfId="3" applyFont="1" applyAlignment="1">
      <alignment horizontal="center"/>
    </xf>
    <xf numFmtId="0" fontId="2" fillId="0" borderId="0" xfId="3" quotePrefix="1" applyFont="1" applyAlignment="1">
      <alignment horizontal="center"/>
    </xf>
    <xf numFmtId="0" fontId="2" fillId="0" borderId="25" xfId="3" applyFont="1" applyBorder="1" applyAlignment="1">
      <alignment horizontal="center"/>
    </xf>
    <xf numFmtId="0" fontId="2" fillId="0" borderId="1" xfId="3" applyFont="1" applyBorder="1" applyAlignment="1">
      <alignment horizontal="center"/>
    </xf>
    <xf numFmtId="0" fontId="2" fillId="0" borderId="26" xfId="3" applyFont="1" applyBorder="1" applyAlignment="1">
      <alignment horizontal="center"/>
    </xf>
    <xf numFmtId="0" fontId="2" fillId="0" borderId="0" xfId="2" applyFont="1" applyAlignment="1">
      <alignment horizontal="left" wrapText="1"/>
    </xf>
  </cellXfs>
  <cellStyles count="7">
    <cellStyle name="Comma 2" xfId="4"/>
    <cellStyle name="Currency" xfId="1" builtinId="4"/>
    <cellStyle name="Currency 2 12" xfId="6"/>
    <cellStyle name="Normal" xfId="0" builtinId="0"/>
    <cellStyle name="Normal 2" xfId="3"/>
    <cellStyle name="Normal_Energy and Demand Allocations_TYE 09-30-2003_WEATHER ADJUSTEDV5" xfId="2"/>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533400</xdr:colOff>
      <xdr:row>7</xdr:row>
      <xdr:rowOff>777240</xdr:rowOff>
    </xdr:from>
    <xdr:to>
      <xdr:col>26</xdr:col>
      <xdr:colOff>528335</xdr:colOff>
      <xdr:row>24</xdr:row>
      <xdr:rowOff>47625</xdr:rowOff>
    </xdr:to>
    <xdr:pic>
      <xdr:nvPicPr>
        <xdr:cNvPr id="2" name="Pictur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993880" y="2080260"/>
          <a:ext cx="9748535" cy="3049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125474</xdr:rowOff>
    </xdr:from>
    <xdr:ext cx="4690371" cy="1094274"/>
    <xdr:sp macro="" textlink="">
      <xdr:nvSpPr>
        <xdr:cNvPr id="2" name="Rectangle 1"/>
        <xdr:cNvSpPr/>
      </xdr:nvSpPr>
      <xdr:spPr>
        <a:xfrm rot="21148150">
          <a:off x="10538505" y="449324"/>
          <a:ext cx="4690371" cy="1094274"/>
        </a:xfrm>
        <a:prstGeom prst="rect">
          <a:avLst/>
        </a:prstGeom>
        <a:noFill/>
      </xdr:spPr>
      <xdr:txBody>
        <a:bodyPr wrap="square" lIns="91440" tIns="45720" rIns="91440" bIns="45720">
          <a:spAutoFit/>
        </a:bodyPr>
        <a:lstStyle/>
        <a:p>
          <a:pPr algn="ctr"/>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Schedule 137 Rates </a:t>
          </a:r>
        </a:p>
        <a:p>
          <a:pPr algn="ctr"/>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effective</a:t>
          </a:r>
          <a:r>
            <a:rPr lang="en-US" sz="32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1-1-20</a:t>
          </a:r>
          <a:endPar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15"/>
  <sheetViews>
    <sheetView zoomScaleNormal="100" workbookViewId="0">
      <selection activeCell="A5" sqref="A5"/>
    </sheetView>
  </sheetViews>
  <sheetFormatPr defaultColWidth="9.140625" defaultRowHeight="27.75" x14ac:dyDescent="0.4"/>
  <cols>
    <col min="1" max="1" width="97.28515625" style="2" bestFit="1" customWidth="1"/>
    <col min="2" max="16384" width="9.140625" style="69"/>
  </cols>
  <sheetData>
    <row r="1" spans="1:1" x14ac:dyDescent="0.4">
      <c r="A1" s="2" t="s">
        <v>13</v>
      </c>
    </row>
    <row r="2" spans="1:1" x14ac:dyDescent="0.4">
      <c r="A2" s="3"/>
    </row>
    <row r="3" spans="1:1" x14ac:dyDescent="0.4">
      <c r="A3" s="3"/>
    </row>
    <row r="4" spans="1:1" x14ac:dyDescent="0.4">
      <c r="A4" s="3" t="s">
        <v>339</v>
      </c>
    </row>
    <row r="5" spans="1:1" x14ac:dyDescent="0.4">
      <c r="A5" s="3" t="s">
        <v>400</v>
      </c>
    </row>
    <row r="6" spans="1:1" x14ac:dyDescent="0.4">
      <c r="A6" s="6" t="s">
        <v>340</v>
      </c>
    </row>
    <row r="8" spans="1:1" x14ac:dyDescent="0.4">
      <c r="A8" s="3" t="s">
        <v>62</v>
      </c>
    </row>
    <row r="9" spans="1:1" x14ac:dyDescent="0.4">
      <c r="A9" s="2" t="s">
        <v>61</v>
      </c>
    </row>
    <row r="11" spans="1:1" x14ac:dyDescent="0.4">
      <c r="A11" s="3" t="s">
        <v>392</v>
      </c>
    </row>
    <row r="12" spans="1:1" x14ac:dyDescent="0.4">
      <c r="A12" s="3"/>
    </row>
    <row r="13" spans="1:1" x14ac:dyDescent="0.4">
      <c r="A13" s="3"/>
    </row>
    <row r="14" spans="1:1" x14ac:dyDescent="0.4">
      <c r="A14" s="3"/>
    </row>
    <row r="15" spans="1:1" x14ac:dyDescent="0.4">
      <c r="A15" s="3"/>
    </row>
  </sheetData>
  <phoneticPr fontId="3" type="noConversion"/>
  <printOptions horizontalCentered="1"/>
  <pageMargins left="0.7" right="0.7" top="0.75" bottom="0.75" header="0.3" footer="0.3"/>
  <pageSetup fitToHeight="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workbookViewId="0">
      <selection activeCell="F18" sqref="F18"/>
    </sheetView>
  </sheetViews>
  <sheetFormatPr defaultColWidth="8.85546875" defaultRowHeight="15" x14ac:dyDescent="0.25"/>
  <cols>
    <col min="1" max="1" width="18.85546875" style="203" bestFit="1" customWidth="1"/>
    <col min="2" max="2" width="10.7109375" style="203" bestFit="1" customWidth="1"/>
    <col min="3" max="3" width="5.5703125" style="203" bestFit="1" customWidth="1"/>
    <col min="4" max="4" width="10.5703125" style="203" bestFit="1" customWidth="1"/>
    <col min="5" max="7" width="9" style="203" bestFit="1" customWidth="1"/>
    <col min="8" max="8" width="7" style="203" bestFit="1" customWidth="1"/>
    <col min="9" max="9" width="9" style="203" bestFit="1" customWidth="1"/>
    <col min="10" max="10" width="7" style="203" bestFit="1" customWidth="1"/>
    <col min="11" max="15" width="8" style="203" bestFit="1" customWidth="1"/>
    <col min="16" max="16" width="7" style="203" bestFit="1" customWidth="1"/>
    <col min="17" max="17" width="10.5703125" style="203" bestFit="1" customWidth="1"/>
    <col min="18" max="18" width="9" style="203" bestFit="1" customWidth="1"/>
    <col min="19" max="19" width="10" style="203" bestFit="1" customWidth="1"/>
    <col min="20" max="16384" width="8.85546875" style="203"/>
  </cols>
  <sheetData>
    <row r="1" spans="1:18" x14ac:dyDescent="0.25">
      <c r="A1" s="203" t="s">
        <v>210</v>
      </c>
    </row>
    <row r="2" spans="1:18" x14ac:dyDescent="0.25">
      <c r="A2" s="203" t="s">
        <v>211</v>
      </c>
    </row>
    <row r="4" spans="1:18" x14ac:dyDescent="0.25">
      <c r="A4" s="203" t="s">
        <v>212</v>
      </c>
      <c r="B4" s="203" t="s">
        <v>105</v>
      </c>
      <c r="C4" s="203" t="s">
        <v>213</v>
      </c>
      <c r="D4" s="203" t="s">
        <v>224</v>
      </c>
      <c r="E4" s="203" t="s">
        <v>214</v>
      </c>
      <c r="F4" s="203" t="s">
        <v>215</v>
      </c>
      <c r="G4" s="203" t="s">
        <v>216</v>
      </c>
      <c r="H4" s="203" t="s">
        <v>217</v>
      </c>
      <c r="I4" s="203" t="s">
        <v>218</v>
      </c>
      <c r="J4" s="203" t="s">
        <v>219</v>
      </c>
      <c r="K4" s="203" t="s">
        <v>220</v>
      </c>
      <c r="L4" s="203" t="s">
        <v>332</v>
      </c>
      <c r="M4" s="203" t="s">
        <v>221</v>
      </c>
      <c r="N4" s="203" t="s">
        <v>222</v>
      </c>
      <c r="O4" s="203" t="s">
        <v>9</v>
      </c>
      <c r="P4" s="203" t="s">
        <v>223</v>
      </c>
      <c r="Q4" s="203" t="s">
        <v>225</v>
      </c>
      <c r="R4" s="203" t="s">
        <v>352</v>
      </c>
    </row>
    <row r="5" spans="1:18" x14ac:dyDescent="0.25">
      <c r="A5" s="267">
        <v>43101</v>
      </c>
      <c r="B5" s="268">
        <v>43102</v>
      </c>
      <c r="C5" s="203" t="s">
        <v>353</v>
      </c>
      <c r="D5" s="269">
        <v>2451658.627491157</v>
      </c>
      <c r="E5" s="269">
        <v>471173.08485940099</v>
      </c>
      <c r="F5" s="269">
        <v>438464.57535427733</v>
      </c>
      <c r="G5" s="269">
        <v>238160.17031604124</v>
      </c>
      <c r="H5" s="269">
        <v>456.83185222461861</v>
      </c>
      <c r="I5" s="269">
        <v>193014.15414325823</v>
      </c>
      <c r="J5" s="269">
        <v>8.0893858558904288</v>
      </c>
      <c r="K5" s="269">
        <v>19555.05291473525</v>
      </c>
      <c r="L5" s="269">
        <v>52055.058981791277</v>
      </c>
      <c r="M5" s="269">
        <v>6439.8343590015247</v>
      </c>
      <c r="N5" s="269">
        <v>64000.526689762642</v>
      </c>
      <c r="O5" s="269">
        <v>17544.428690664128</v>
      </c>
      <c r="P5" s="269">
        <v>1469.5649618292723</v>
      </c>
      <c r="Q5" s="269">
        <f>SUM(D5:P5)</f>
        <v>3953999.9999999995</v>
      </c>
      <c r="R5" s="269">
        <v>246981.3839242247</v>
      </c>
    </row>
    <row r="6" spans="1:18" x14ac:dyDescent="0.25">
      <c r="A6" s="267">
        <v>43132</v>
      </c>
      <c r="B6" s="268">
        <v>43154</v>
      </c>
      <c r="C6" s="203" t="s">
        <v>354</v>
      </c>
      <c r="D6" s="269">
        <v>2343427.6222602087</v>
      </c>
      <c r="E6" s="269">
        <v>532239.13259806007</v>
      </c>
      <c r="F6" s="269">
        <v>577208.51150491962</v>
      </c>
      <c r="G6" s="269">
        <v>337597.36057761702</v>
      </c>
      <c r="H6" s="269">
        <v>382.37580548877025</v>
      </c>
      <c r="I6" s="269">
        <v>214695.13704874928</v>
      </c>
      <c r="J6" s="269">
        <v>6.2226045045310983</v>
      </c>
      <c r="K6" s="269">
        <v>52645.553975916373</v>
      </c>
      <c r="L6" s="269">
        <v>61961.575252897703</v>
      </c>
      <c r="M6" s="269">
        <v>14276.874772038684</v>
      </c>
      <c r="N6" s="269">
        <v>69414.016391389465</v>
      </c>
      <c r="O6" s="269">
        <v>556.08839544154216</v>
      </c>
      <c r="P6" s="269">
        <v>1589.5288127673646</v>
      </c>
      <c r="Q6" s="269">
        <f t="shared" ref="Q6:Q16" si="0">SUM(D6:P6)</f>
        <v>4205999.9999999991</v>
      </c>
      <c r="R6" s="269">
        <v>251302.72100123111</v>
      </c>
    </row>
    <row r="7" spans="1:18" x14ac:dyDescent="0.25">
      <c r="A7" s="267">
        <v>43160</v>
      </c>
      <c r="B7" s="268">
        <v>43166</v>
      </c>
      <c r="C7" s="203" t="s">
        <v>354</v>
      </c>
      <c r="D7" s="269">
        <v>2008111.3276105835</v>
      </c>
      <c r="E7" s="269">
        <v>492291.24856311874</v>
      </c>
      <c r="F7" s="269">
        <v>526061.12433508027</v>
      </c>
      <c r="G7" s="269">
        <v>266037.83728892903</v>
      </c>
      <c r="H7" s="269">
        <v>462.95685566451311</v>
      </c>
      <c r="I7" s="269">
        <v>202111.59800062128</v>
      </c>
      <c r="J7" s="269">
        <v>6.8448649549842084</v>
      </c>
      <c r="K7" s="269">
        <v>42139.97802975103</v>
      </c>
      <c r="L7" s="269">
        <v>57604.221243931002</v>
      </c>
      <c r="M7" s="269">
        <v>9619.0970854188818</v>
      </c>
      <c r="N7" s="269">
        <v>68598.047546642905</v>
      </c>
      <c r="O7" s="269">
        <v>556.08839544154216</v>
      </c>
      <c r="P7" s="269">
        <v>1399.6301798619861</v>
      </c>
      <c r="Q7" s="269">
        <f t="shared" si="0"/>
        <v>3675000.0000000005</v>
      </c>
      <c r="R7" s="269">
        <v>246381.07596868131</v>
      </c>
    </row>
    <row r="8" spans="1:18" x14ac:dyDescent="0.25">
      <c r="A8" s="267">
        <v>43191</v>
      </c>
      <c r="B8" s="268">
        <v>43192</v>
      </c>
      <c r="C8" s="203" t="s">
        <v>354</v>
      </c>
      <c r="D8" s="269">
        <v>1752781.0204252896</v>
      </c>
      <c r="E8" s="269">
        <v>465136.24136914639</v>
      </c>
      <c r="F8" s="269">
        <v>528042.23916680645</v>
      </c>
      <c r="G8" s="269">
        <v>280934.64731822733</v>
      </c>
      <c r="H8" s="269">
        <v>464.74255771112968</v>
      </c>
      <c r="I8" s="269">
        <v>207665.99904258319</v>
      </c>
      <c r="J8" s="269">
        <v>7.4671254054373186</v>
      </c>
      <c r="K8" s="269">
        <v>41018.785779592225</v>
      </c>
      <c r="L8" s="269">
        <v>54789.720135451149</v>
      </c>
      <c r="M8" s="269">
        <v>8922.1941444571348</v>
      </c>
      <c r="N8" s="269">
        <v>71484.943808789132</v>
      </c>
      <c r="O8" s="269">
        <v>556.08839544154216</v>
      </c>
      <c r="P8" s="269">
        <v>1195.9107310993754</v>
      </c>
      <c r="Q8" s="269">
        <f t="shared" si="0"/>
        <v>3412999.9999999995</v>
      </c>
      <c r="R8" s="269">
        <v>248363.95589107269</v>
      </c>
    </row>
    <row r="9" spans="1:18" x14ac:dyDescent="0.25">
      <c r="A9" s="267">
        <v>43221</v>
      </c>
      <c r="B9" s="268">
        <v>43234</v>
      </c>
      <c r="C9" s="203" t="s">
        <v>353</v>
      </c>
      <c r="D9" s="269">
        <v>1378717.395216984</v>
      </c>
      <c r="E9" s="269">
        <v>395968.69264537859</v>
      </c>
      <c r="F9" s="269">
        <v>481009.72731474403</v>
      </c>
      <c r="G9" s="269">
        <v>318699.87351684464</v>
      </c>
      <c r="H9" s="269">
        <v>3122.0778422315298</v>
      </c>
      <c r="I9" s="269">
        <v>196914.03478317583</v>
      </c>
      <c r="J9" s="269">
        <v>1006.1951483826786</v>
      </c>
      <c r="K9" s="269">
        <v>11913.885300986569</v>
      </c>
      <c r="L9" s="269">
        <v>52739.806203819906</v>
      </c>
      <c r="M9" s="269">
        <v>5103.8721236086249</v>
      </c>
      <c r="N9" s="269">
        <v>71799.657838975429</v>
      </c>
      <c r="O9" s="269">
        <v>556.08839544154216</v>
      </c>
      <c r="P9" s="269">
        <v>448.69366942663618</v>
      </c>
      <c r="Q9" s="269">
        <f t="shared" si="0"/>
        <v>2918000</v>
      </c>
      <c r="R9" s="269">
        <v>183833.6142165793</v>
      </c>
    </row>
    <row r="10" spans="1:18" x14ac:dyDescent="0.25">
      <c r="A10" s="267">
        <v>43252</v>
      </c>
      <c r="B10" s="268">
        <v>43271</v>
      </c>
      <c r="C10" s="203" t="s">
        <v>353</v>
      </c>
      <c r="D10" s="269">
        <v>1692502.8158108443</v>
      </c>
      <c r="E10" s="269">
        <v>366929.83622786414</v>
      </c>
      <c r="F10" s="269">
        <v>428936.81992204918</v>
      </c>
      <c r="G10" s="269">
        <v>311833.03431395942</v>
      </c>
      <c r="H10" s="269">
        <v>4239.9594160984116</v>
      </c>
      <c r="I10" s="269">
        <v>200794.8737103228</v>
      </c>
      <c r="J10" s="269">
        <v>1001.217064779054</v>
      </c>
      <c r="K10" s="269">
        <v>9340.5828198340023</v>
      </c>
      <c r="L10" s="269">
        <v>55378.810934293055</v>
      </c>
      <c r="M10" s="269">
        <v>15966.281844442419</v>
      </c>
      <c r="N10" s="269">
        <v>73143.018176882964</v>
      </c>
      <c r="O10" s="269">
        <v>556.08839544154216</v>
      </c>
      <c r="P10" s="269">
        <v>376.66136318950726</v>
      </c>
      <c r="Q10" s="269">
        <f t="shared" si="0"/>
        <v>3161000.0000000005</v>
      </c>
      <c r="R10" s="269">
        <v>259632.62403940671</v>
      </c>
    </row>
    <row r="11" spans="1:18" x14ac:dyDescent="0.25">
      <c r="A11" s="267">
        <v>43282</v>
      </c>
      <c r="B11" s="268">
        <v>43311</v>
      </c>
      <c r="C11" s="203" t="s">
        <v>353</v>
      </c>
      <c r="D11" s="269">
        <v>1818838.1549716657</v>
      </c>
      <c r="E11" s="269">
        <v>397272.08625105734</v>
      </c>
      <c r="F11" s="269">
        <v>494405.52119706746</v>
      </c>
      <c r="G11" s="269">
        <v>346920.79413661058</v>
      </c>
      <c r="H11" s="269">
        <v>6257.2842516803221</v>
      </c>
      <c r="I11" s="269">
        <v>195859.14025093245</v>
      </c>
      <c r="J11" s="269">
        <v>1031.0855664008031</v>
      </c>
      <c r="K11" s="269">
        <v>8033.2059016026396</v>
      </c>
      <c r="L11" s="269">
        <v>54611.515031562725</v>
      </c>
      <c r="M11" s="269">
        <v>11043.046409330593</v>
      </c>
      <c r="N11" s="269">
        <v>71784.367927799613</v>
      </c>
      <c r="O11" s="269">
        <v>556.08839544154216</v>
      </c>
      <c r="P11" s="269">
        <v>387.70970884848151</v>
      </c>
      <c r="Q11" s="269">
        <f t="shared" si="0"/>
        <v>3407000</v>
      </c>
      <c r="R11" s="269">
        <v>257680.47075978349</v>
      </c>
    </row>
    <row r="12" spans="1:18" x14ac:dyDescent="0.25">
      <c r="A12" s="267">
        <v>43313</v>
      </c>
      <c r="B12" s="268">
        <v>43320</v>
      </c>
      <c r="C12" s="203" t="s">
        <v>353</v>
      </c>
      <c r="D12" s="269">
        <v>1828728.2047145315</v>
      </c>
      <c r="E12" s="269">
        <v>420739.90609414969</v>
      </c>
      <c r="F12" s="269">
        <v>484734.95603208034</v>
      </c>
      <c r="G12" s="269">
        <v>341196.00308751146</v>
      </c>
      <c r="H12" s="269">
        <v>5821.9154766956208</v>
      </c>
      <c r="I12" s="269">
        <v>195865.66514143188</v>
      </c>
      <c r="J12" s="269">
        <v>993.12767892316333</v>
      </c>
      <c r="K12" s="269">
        <v>8345.6760093930188</v>
      </c>
      <c r="L12" s="269">
        <v>52821.078358531355</v>
      </c>
      <c r="M12" s="269">
        <v>9217.4186691644773</v>
      </c>
      <c r="N12" s="269">
        <v>73606.725627516527</v>
      </c>
      <c r="O12" s="269">
        <v>556.08839544154216</v>
      </c>
      <c r="P12" s="269">
        <v>373.23471462986294</v>
      </c>
      <c r="Q12" s="269">
        <f t="shared" si="0"/>
        <v>3423000.0000000005</v>
      </c>
      <c r="R12" s="269">
        <v>260392.15406710896</v>
      </c>
    </row>
    <row r="13" spans="1:18" x14ac:dyDescent="0.25">
      <c r="A13" s="267">
        <v>43344</v>
      </c>
      <c r="B13" s="268">
        <v>43349</v>
      </c>
      <c r="C13" s="203" t="s">
        <v>353</v>
      </c>
      <c r="D13" s="269">
        <v>1364998.1957095929</v>
      </c>
      <c r="E13" s="269">
        <v>373206.04483403865</v>
      </c>
      <c r="F13" s="269">
        <v>433343.58555821673</v>
      </c>
      <c r="G13" s="269">
        <v>305221.57078587112</v>
      </c>
      <c r="H13" s="269">
        <v>3722.0862203853967</v>
      </c>
      <c r="I13" s="269">
        <v>203805.62614141303</v>
      </c>
      <c r="J13" s="269">
        <v>1279.3674861315938</v>
      </c>
      <c r="K13" s="269">
        <v>9626.8960996480964</v>
      </c>
      <c r="L13" s="269">
        <v>47766.035437212267</v>
      </c>
      <c r="M13" s="269">
        <v>13746.702426444421</v>
      </c>
      <c r="N13" s="269">
        <v>70300.009792391793</v>
      </c>
      <c r="O13" s="269">
        <v>556.08839544154216</v>
      </c>
      <c r="P13" s="269">
        <v>427.7911132128059</v>
      </c>
      <c r="Q13" s="269">
        <f t="shared" si="0"/>
        <v>2828000</v>
      </c>
      <c r="R13" s="269">
        <v>249755.20128844332</v>
      </c>
    </row>
    <row r="14" spans="1:18" x14ac:dyDescent="0.25">
      <c r="A14" s="267">
        <v>43374</v>
      </c>
      <c r="B14" s="268">
        <v>43395</v>
      </c>
      <c r="C14" s="203" t="s">
        <v>354</v>
      </c>
      <c r="D14" s="269">
        <v>1496843.050387464</v>
      </c>
      <c r="E14" s="269">
        <v>433591.00624138175</v>
      </c>
      <c r="F14" s="269">
        <v>475343.30139727745</v>
      </c>
      <c r="G14" s="269">
        <v>275861.27861203719</v>
      </c>
      <c r="H14" s="269">
        <v>256.26275914950008</v>
      </c>
      <c r="I14" s="269">
        <v>193220.86924616757</v>
      </c>
      <c r="J14" s="269">
        <v>3.7335627027186593</v>
      </c>
      <c r="K14" s="269">
        <v>36987.071644323245</v>
      </c>
      <c r="L14" s="269">
        <v>44680.007910175977</v>
      </c>
      <c r="M14" s="269">
        <v>5062.2963664050121</v>
      </c>
      <c r="N14" s="269">
        <v>68232.436363230212</v>
      </c>
      <c r="O14" s="269">
        <v>9050.2585430528325</v>
      </c>
      <c r="P14" s="269">
        <v>868.42696663252082</v>
      </c>
      <c r="Q14" s="269">
        <f t="shared" si="0"/>
        <v>3040000.0000000005</v>
      </c>
      <c r="R14" s="269">
        <v>251758.17259761583</v>
      </c>
    </row>
    <row r="15" spans="1:18" x14ac:dyDescent="0.25">
      <c r="A15" s="267">
        <v>43405</v>
      </c>
      <c r="B15" s="268">
        <v>43423</v>
      </c>
      <c r="C15" s="203" t="s">
        <v>354</v>
      </c>
      <c r="D15" s="269">
        <v>1933373.3384301127</v>
      </c>
      <c r="E15" s="269">
        <v>514088.62283850287</v>
      </c>
      <c r="F15" s="269">
        <v>544794.37035335705</v>
      </c>
      <c r="G15" s="269">
        <v>277229.6342685406</v>
      </c>
      <c r="H15" s="269">
        <v>660.31719537533365</v>
      </c>
      <c r="I15" s="269">
        <v>193183.44278496929</v>
      </c>
      <c r="J15" s="269">
        <v>6.8448649549842084</v>
      </c>
      <c r="K15" s="269">
        <v>48160.552265055245</v>
      </c>
      <c r="L15" s="269">
        <v>47468.220885865114</v>
      </c>
      <c r="M15" s="269">
        <v>7442.1725211630765</v>
      </c>
      <c r="N15" s="269">
        <v>72482.046340634697</v>
      </c>
      <c r="O15" s="269">
        <v>3953.7564544860588</v>
      </c>
      <c r="P15" s="269">
        <v>1156.6807969832053</v>
      </c>
      <c r="Q15" s="269">
        <f t="shared" si="0"/>
        <v>3643999.9999999995</v>
      </c>
      <c r="R15" s="269">
        <v>253325.03854828654</v>
      </c>
    </row>
    <row r="16" spans="1:18" x14ac:dyDescent="0.25">
      <c r="A16" s="267">
        <v>43435</v>
      </c>
      <c r="B16" s="268">
        <v>43440</v>
      </c>
      <c r="C16" s="203" t="s">
        <v>354</v>
      </c>
      <c r="D16" s="269">
        <v>2217437.3132827613</v>
      </c>
      <c r="E16" s="269">
        <v>545002.46069820691</v>
      </c>
      <c r="F16" s="269">
        <v>645263.90588749177</v>
      </c>
      <c r="G16" s="269">
        <v>306912.50545756845</v>
      </c>
      <c r="H16" s="269">
        <v>344.78716851985956</v>
      </c>
      <c r="I16" s="269">
        <v>218486.63686010128</v>
      </c>
      <c r="J16" s="269">
        <v>6.8448649549842084</v>
      </c>
      <c r="K16" s="269">
        <v>53322.772324906691</v>
      </c>
      <c r="L16" s="269">
        <v>49699.733612431985</v>
      </c>
      <c r="M16" s="269">
        <v>11430.411526214701</v>
      </c>
      <c r="N16" s="269">
        <v>72411.932208972255</v>
      </c>
      <c r="O16" s="269">
        <v>10182.81456839712</v>
      </c>
      <c r="P16" s="269">
        <v>1497.8815394721507</v>
      </c>
      <c r="Q16" s="269">
        <f t="shared" si="0"/>
        <v>4132000</v>
      </c>
      <c r="R16" s="269">
        <v>255750.24483616717</v>
      </c>
    </row>
    <row r="18" spans="1:18" x14ac:dyDescent="0.25">
      <c r="A18" s="267" t="s">
        <v>355</v>
      </c>
      <c r="D18" s="270">
        <f>AVERAGE(D5:D6,D15:D16)</f>
        <v>2236474.2253660602</v>
      </c>
      <c r="E18" s="270">
        <f t="shared" ref="E18:O18" si="1">AVERAGE(E5:E6,E15:E16)</f>
        <v>515625.82524854271</v>
      </c>
      <c r="F18" s="270">
        <f t="shared" si="1"/>
        <v>551432.84077501134</v>
      </c>
      <c r="G18" s="270">
        <f t="shared" si="1"/>
        <v>289974.91765494185</v>
      </c>
      <c r="H18" s="270">
        <f t="shared" si="1"/>
        <v>461.07800540214549</v>
      </c>
      <c r="I18" s="270">
        <f t="shared" si="1"/>
        <v>204844.84270926949</v>
      </c>
      <c r="J18" s="270">
        <f t="shared" si="1"/>
        <v>7.0004300675974864</v>
      </c>
      <c r="K18" s="270">
        <f t="shared" si="1"/>
        <v>43420.982870153392</v>
      </c>
      <c r="L18" s="270">
        <f t="shared" si="1"/>
        <v>52796.147183246518</v>
      </c>
      <c r="M18" s="270">
        <f t="shared" si="1"/>
        <v>9897.3232946044973</v>
      </c>
      <c r="N18" s="270">
        <f t="shared" si="1"/>
        <v>69577.130407689765</v>
      </c>
      <c r="O18" s="270">
        <f t="shared" si="1"/>
        <v>8059.2720272472116</v>
      </c>
      <c r="P18" s="270">
        <f>AVERAGE(P5:P6,P15:P16)</f>
        <v>1428.4140277629981</v>
      </c>
      <c r="Q18" s="270">
        <f>AVERAGE(Q5:Q6,Q15:Q16)</f>
        <v>3983999.9999999995</v>
      </c>
      <c r="R18" s="270">
        <f>AVERAGE(R5:R6,R15:R16)</f>
        <v>251839.84707747737</v>
      </c>
    </row>
    <row r="20" spans="1:18" x14ac:dyDescent="0.25">
      <c r="A20" s="267" t="s">
        <v>356</v>
      </c>
      <c r="D20" s="270"/>
      <c r="E20" s="270"/>
      <c r="F20" s="270"/>
      <c r="G20" s="270"/>
      <c r="H20" s="270"/>
      <c r="I20" s="270"/>
      <c r="J20" s="270"/>
      <c r="K20" s="270"/>
      <c r="L20" s="270"/>
      <c r="M20" s="270"/>
      <c r="N20" s="270"/>
      <c r="O20" s="270"/>
      <c r="P20" s="270"/>
      <c r="Q20" s="269"/>
      <c r="R20" s="270"/>
    </row>
  </sheetData>
  <printOptions horizontalCentered="1"/>
  <pageMargins left="0.25" right="0.25" top="0.75" bottom="0.75" header="0.3" footer="0.3"/>
  <pageSetup scale="86" orientation="landscape" r:id="rId1"/>
  <headerFooter>
    <oddFooter>&amp;L&amp;"Times New Roman,Regular"&amp;F
&amp;A&amp;R&amp;"Times New Roman,Regular"Page &amp;P of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0"/>
  <sheetViews>
    <sheetView zoomScale="80" zoomScaleNormal="80" workbookViewId="0">
      <selection activeCell="J31" sqref="J31"/>
    </sheetView>
  </sheetViews>
  <sheetFormatPr defaultColWidth="8.85546875" defaultRowHeight="15" x14ac:dyDescent="0.25"/>
  <cols>
    <col min="1" max="1" width="20.7109375" style="203" customWidth="1"/>
    <col min="2" max="2" width="13.7109375" style="203" bestFit="1" customWidth="1"/>
    <col min="3" max="3" width="13" style="203" bestFit="1" customWidth="1"/>
    <col min="4" max="4" width="18.7109375" style="203" bestFit="1" customWidth="1"/>
    <col min="5" max="6" width="13.5703125" style="203" bestFit="1" customWidth="1"/>
    <col min="7" max="7" width="13" style="203" bestFit="1" customWidth="1"/>
    <col min="8" max="8" width="22.7109375" style="203" bestFit="1" customWidth="1"/>
    <col min="9" max="9" width="16.140625" style="203" bestFit="1" customWidth="1"/>
    <col min="10" max="10" width="26.7109375" style="203" bestFit="1" customWidth="1"/>
    <col min="11" max="11" width="14.7109375" style="203" bestFit="1" customWidth="1"/>
    <col min="12" max="12" width="22.7109375" style="203" bestFit="1" customWidth="1"/>
    <col min="13" max="13" width="8.85546875" style="203"/>
    <col min="14" max="15" width="11.28515625" style="203" bestFit="1" customWidth="1"/>
    <col min="16" max="16" width="10.28515625" style="203" bestFit="1" customWidth="1"/>
    <col min="17" max="16384" width="8.85546875" style="203"/>
  </cols>
  <sheetData>
    <row r="1" spans="1:10" x14ac:dyDescent="0.25">
      <c r="A1" s="202"/>
      <c r="B1" s="142"/>
      <c r="C1" s="142"/>
      <c r="D1" s="142"/>
      <c r="E1" s="142"/>
      <c r="F1" s="142"/>
      <c r="G1" s="142"/>
      <c r="H1" s="142"/>
      <c r="I1" s="142"/>
      <c r="J1" s="142"/>
    </row>
    <row r="2" spans="1:10" x14ac:dyDescent="0.25">
      <c r="A2" s="202"/>
      <c r="B2" s="142"/>
      <c r="C2" s="142"/>
      <c r="D2" s="142"/>
      <c r="E2" s="142"/>
      <c r="F2" s="142"/>
      <c r="G2" s="142"/>
      <c r="H2" s="142"/>
      <c r="I2" s="142"/>
      <c r="J2" s="142"/>
    </row>
    <row r="3" spans="1:10" ht="15.75" x14ac:dyDescent="0.25">
      <c r="A3" s="124" t="s">
        <v>341</v>
      </c>
      <c r="B3" s="124"/>
      <c r="C3" s="124"/>
      <c r="D3" s="124"/>
      <c r="E3" s="124"/>
      <c r="F3" s="124"/>
      <c r="G3" s="124"/>
      <c r="H3" s="124"/>
      <c r="I3" s="124"/>
      <c r="J3" s="124"/>
    </row>
    <row r="4" spans="1:10" ht="15.75" x14ac:dyDescent="0.25">
      <c r="A4" s="124" t="s">
        <v>342</v>
      </c>
      <c r="B4" s="124"/>
      <c r="C4" s="124"/>
      <c r="D4" s="124"/>
      <c r="E4" s="124"/>
      <c r="F4" s="124"/>
      <c r="G4" s="124"/>
      <c r="H4" s="124"/>
      <c r="I4" s="124"/>
      <c r="J4" s="124"/>
    </row>
    <row r="5" spans="1:10" ht="15.75" x14ac:dyDescent="0.25">
      <c r="A5" s="125"/>
      <c r="B5" s="125"/>
      <c r="C5" s="125"/>
      <c r="D5" s="125"/>
      <c r="E5" s="125"/>
      <c r="F5" s="125"/>
      <c r="G5" s="125"/>
      <c r="H5" s="125"/>
      <c r="I5" s="124"/>
      <c r="J5" s="124"/>
    </row>
    <row r="6" spans="1:10" ht="15.75" x14ac:dyDescent="0.25">
      <c r="A6" s="125"/>
      <c r="B6" s="125"/>
      <c r="C6" s="125"/>
      <c r="D6" s="125"/>
      <c r="E6" s="125"/>
      <c r="F6" s="125"/>
      <c r="G6" s="125"/>
      <c r="H6" s="125"/>
      <c r="I6" s="124"/>
      <c r="J6" s="124"/>
    </row>
    <row r="7" spans="1:10" ht="16.5" thickBot="1" x14ac:dyDescent="0.3">
      <c r="A7" s="125"/>
      <c r="B7" s="125"/>
      <c r="C7" s="125"/>
      <c r="D7" s="125"/>
      <c r="E7" s="125"/>
      <c r="F7" s="125"/>
      <c r="G7" s="125"/>
      <c r="H7" s="125"/>
      <c r="I7" s="124"/>
      <c r="J7" s="124"/>
    </row>
    <row r="8" spans="1:10" ht="15.75" x14ac:dyDescent="0.25">
      <c r="A8" s="126" t="s">
        <v>226</v>
      </c>
      <c r="B8" s="127">
        <v>22233671792</v>
      </c>
      <c r="C8" s="125"/>
      <c r="D8" s="125"/>
      <c r="E8" s="125"/>
      <c r="F8" s="125"/>
      <c r="G8" s="125"/>
      <c r="H8" s="128" t="s">
        <v>343</v>
      </c>
      <c r="I8" s="129"/>
      <c r="J8" s="130">
        <v>20367606876.28373</v>
      </c>
    </row>
    <row r="9" spans="1:10" ht="15.75" x14ac:dyDescent="0.25">
      <c r="A9" s="131" t="s">
        <v>227</v>
      </c>
      <c r="B9" s="132">
        <v>145584174.35660648</v>
      </c>
      <c r="C9" s="125"/>
      <c r="D9" s="125"/>
      <c r="E9" s="125"/>
      <c r="F9" s="125"/>
      <c r="G9" s="125"/>
      <c r="H9" s="133" t="s">
        <v>228</v>
      </c>
      <c r="I9" s="134"/>
      <c r="J9" s="135">
        <v>135700317.96310043</v>
      </c>
    </row>
    <row r="10" spans="1:10" ht="16.5" thickBot="1" x14ac:dyDescent="0.3">
      <c r="A10" s="136" t="s">
        <v>229</v>
      </c>
      <c r="B10" s="137">
        <v>22379255966.356606</v>
      </c>
      <c r="C10" s="125"/>
      <c r="D10" s="125"/>
      <c r="E10" s="125"/>
      <c r="F10" s="125"/>
      <c r="G10" s="125"/>
      <c r="H10" s="138" t="s">
        <v>344</v>
      </c>
      <c r="I10" s="139"/>
      <c r="J10" s="140">
        <v>20503307194.24683</v>
      </c>
    </row>
    <row r="11" spans="1:10" ht="15.75" x14ac:dyDescent="0.25">
      <c r="A11" s="124"/>
      <c r="B11" s="124"/>
      <c r="C11" s="124"/>
      <c r="D11" s="124"/>
      <c r="E11" s="124"/>
      <c r="F11" s="124"/>
      <c r="G11" s="124"/>
      <c r="H11" s="141"/>
      <c r="I11" s="141"/>
      <c r="J11" s="124"/>
    </row>
    <row r="12" spans="1:10" ht="15.75" x14ac:dyDescent="0.25">
      <c r="A12" s="124"/>
      <c r="B12" s="124"/>
      <c r="C12" s="124"/>
      <c r="D12" s="124"/>
      <c r="E12" s="124"/>
      <c r="F12" s="124"/>
      <c r="G12" s="124"/>
      <c r="H12" s="124"/>
      <c r="I12" s="124"/>
      <c r="J12" s="124"/>
    </row>
    <row r="13" spans="1:10" ht="15.75" thickBot="1" x14ac:dyDescent="0.3">
      <c r="A13" s="142"/>
      <c r="B13" s="143"/>
      <c r="C13" s="142"/>
      <c r="D13" s="143"/>
      <c r="E13" s="142"/>
      <c r="F13" s="142"/>
      <c r="G13" s="142"/>
      <c r="H13" s="142"/>
      <c r="I13" s="142"/>
      <c r="J13" s="144"/>
    </row>
    <row r="14" spans="1:10" x14ac:dyDescent="0.25">
      <c r="A14" s="145" t="s">
        <v>230</v>
      </c>
      <c r="B14" s="146" t="s">
        <v>231</v>
      </c>
      <c r="C14" s="146" t="s">
        <v>232</v>
      </c>
      <c r="D14" s="146" t="s">
        <v>233</v>
      </c>
      <c r="E14" s="146" t="s">
        <v>234</v>
      </c>
      <c r="F14" s="146" t="s">
        <v>235</v>
      </c>
      <c r="G14" s="146" t="s">
        <v>236</v>
      </c>
      <c r="H14" s="146" t="s">
        <v>237</v>
      </c>
      <c r="I14" s="146" t="s">
        <v>238</v>
      </c>
      <c r="J14" s="147" t="s">
        <v>239</v>
      </c>
    </row>
    <row r="15" spans="1:10" x14ac:dyDescent="0.25">
      <c r="A15" s="148"/>
      <c r="B15" s="149"/>
      <c r="C15" s="149"/>
      <c r="D15" s="149"/>
      <c r="E15" s="149"/>
      <c r="F15" s="149" t="s">
        <v>240</v>
      </c>
      <c r="G15" s="149" t="s">
        <v>240</v>
      </c>
      <c r="H15" s="149" t="s">
        <v>240</v>
      </c>
      <c r="I15" s="149" t="s">
        <v>241</v>
      </c>
      <c r="J15" s="150" t="s">
        <v>242</v>
      </c>
    </row>
    <row r="16" spans="1:10" x14ac:dyDescent="0.25">
      <c r="A16" s="148"/>
      <c r="B16" s="149" t="s">
        <v>243</v>
      </c>
      <c r="C16" s="149" t="s">
        <v>244</v>
      </c>
      <c r="D16" s="149" t="s">
        <v>244</v>
      </c>
      <c r="E16" s="149" t="s">
        <v>245</v>
      </c>
      <c r="F16" s="149" t="s">
        <v>241</v>
      </c>
      <c r="G16" s="149" t="s">
        <v>246</v>
      </c>
      <c r="H16" s="149" t="s">
        <v>244</v>
      </c>
      <c r="I16" s="149" t="s">
        <v>247</v>
      </c>
      <c r="J16" s="150" t="s">
        <v>248</v>
      </c>
    </row>
    <row r="17" spans="1:10" x14ac:dyDescent="0.25">
      <c r="A17" s="148" t="s">
        <v>249</v>
      </c>
      <c r="B17" s="149" t="s">
        <v>250</v>
      </c>
      <c r="C17" s="149" t="s">
        <v>243</v>
      </c>
      <c r="D17" s="149" t="s">
        <v>34</v>
      </c>
      <c r="E17" s="149" t="s">
        <v>241</v>
      </c>
      <c r="F17" s="149" t="s">
        <v>106</v>
      </c>
      <c r="G17" s="149" t="s">
        <v>251</v>
      </c>
      <c r="H17" s="149" t="s">
        <v>252</v>
      </c>
      <c r="I17" s="149" t="s">
        <v>253</v>
      </c>
      <c r="J17" s="150" t="s">
        <v>241</v>
      </c>
    </row>
    <row r="18" spans="1:10" x14ac:dyDescent="0.25">
      <c r="A18" s="151"/>
      <c r="B18" s="152"/>
      <c r="C18" s="149" t="s">
        <v>34</v>
      </c>
      <c r="D18" s="149" t="s">
        <v>251</v>
      </c>
      <c r="E18" s="149" t="s">
        <v>106</v>
      </c>
      <c r="F18" s="149" t="s">
        <v>254</v>
      </c>
      <c r="G18" s="149" t="s">
        <v>255</v>
      </c>
      <c r="H18" s="149" t="s">
        <v>251</v>
      </c>
      <c r="I18" s="149" t="s">
        <v>256</v>
      </c>
      <c r="J18" s="150" t="s">
        <v>256</v>
      </c>
    </row>
    <row r="19" spans="1:10" x14ac:dyDescent="0.25">
      <c r="A19" s="151"/>
      <c r="B19" s="152"/>
      <c r="C19" s="153"/>
      <c r="D19" s="149" t="s">
        <v>257</v>
      </c>
      <c r="E19" s="149"/>
      <c r="F19" s="152"/>
      <c r="G19" s="149"/>
      <c r="H19" s="149"/>
      <c r="I19" s="149"/>
      <c r="J19" s="150"/>
    </row>
    <row r="20" spans="1:10" x14ac:dyDescent="0.25">
      <c r="A20" s="154"/>
      <c r="B20" s="155" t="s">
        <v>258</v>
      </c>
      <c r="C20" s="156"/>
      <c r="D20" s="156"/>
      <c r="E20" s="156" t="s">
        <v>259</v>
      </c>
      <c r="F20" s="157" t="s">
        <v>260</v>
      </c>
      <c r="G20" s="157" t="s">
        <v>261</v>
      </c>
      <c r="H20" s="157" t="s">
        <v>262</v>
      </c>
      <c r="I20" s="156" t="s">
        <v>263</v>
      </c>
      <c r="J20" s="158" t="s">
        <v>264</v>
      </c>
    </row>
    <row r="21" spans="1:10" x14ac:dyDescent="0.25">
      <c r="A21" s="159" t="s">
        <v>265</v>
      </c>
      <c r="B21" s="160" t="s">
        <v>265</v>
      </c>
      <c r="C21" s="160" t="s">
        <v>265</v>
      </c>
      <c r="D21" s="160" t="s">
        <v>265</v>
      </c>
      <c r="E21" s="160" t="s">
        <v>265</v>
      </c>
      <c r="F21" s="160" t="s">
        <v>265</v>
      </c>
      <c r="G21" s="160" t="s">
        <v>265</v>
      </c>
      <c r="H21" s="160" t="s">
        <v>265</v>
      </c>
      <c r="I21" s="160" t="s">
        <v>266</v>
      </c>
      <c r="J21" s="161" t="s">
        <v>267</v>
      </c>
    </row>
    <row r="22" spans="1:10" x14ac:dyDescent="0.25">
      <c r="A22" s="162" t="s">
        <v>268</v>
      </c>
      <c r="B22" s="163">
        <v>10497389420.552736</v>
      </c>
      <c r="C22" s="163">
        <v>10625472918.689331</v>
      </c>
      <c r="D22" s="164">
        <v>128083498.13659537</v>
      </c>
      <c r="E22" s="165">
        <v>7.6394329101422034E-2</v>
      </c>
      <c r="F22" s="166">
        <v>10594188.859395742</v>
      </c>
      <c r="G22" s="166">
        <v>138677686.99599111</v>
      </c>
      <c r="H22" s="166">
        <v>137498609.64961803</v>
      </c>
      <c r="I22" s="166">
        <v>11338653637.512157</v>
      </c>
      <c r="J22" s="167">
        <v>11476152247.161776</v>
      </c>
    </row>
    <row r="23" spans="1:10" x14ac:dyDescent="0.25">
      <c r="A23" s="168">
        <v>24</v>
      </c>
      <c r="B23" s="163">
        <v>2690721829.5087838</v>
      </c>
      <c r="C23" s="163">
        <v>2700129196.7702866</v>
      </c>
      <c r="D23" s="164">
        <v>9407367.2615028732</v>
      </c>
      <c r="E23" s="165">
        <v>7.6248550578070895E-2</v>
      </c>
      <c r="F23" s="166">
        <v>776505.54041789658</v>
      </c>
      <c r="G23" s="166">
        <v>10183872.80192077</v>
      </c>
      <c r="H23" s="166">
        <v>10097286.603526527</v>
      </c>
      <c r="I23" s="166">
        <v>2905858339.8067904</v>
      </c>
      <c r="J23" s="167">
        <v>2915955626.4103169</v>
      </c>
    </row>
    <row r="24" spans="1:10" x14ac:dyDescent="0.25">
      <c r="A24" s="168">
        <v>25</v>
      </c>
      <c r="B24" s="163">
        <v>2986356397.9411645</v>
      </c>
      <c r="C24" s="163">
        <v>2987721690.5601029</v>
      </c>
      <c r="D24" s="164">
        <v>1365292.6189382095</v>
      </c>
      <c r="E24" s="165">
        <v>7.6027086368391728E-2</v>
      </c>
      <c r="F24" s="166">
        <v>112340.11119456706</v>
      </c>
      <c r="G24" s="166">
        <v>1477632.7301327765</v>
      </c>
      <c r="H24" s="166">
        <v>1465069.4741678184</v>
      </c>
      <c r="I24" s="166">
        <v>3224057072.0137458</v>
      </c>
      <c r="J24" s="167">
        <v>3225522141.4879136</v>
      </c>
    </row>
    <row r="25" spans="1:10" x14ac:dyDescent="0.25">
      <c r="A25" s="168">
        <v>26</v>
      </c>
      <c r="B25" s="163">
        <v>1946174476.2870584</v>
      </c>
      <c r="C25" s="163">
        <v>1941301363.9308119</v>
      </c>
      <c r="D25" s="164">
        <v>-4873112.3562464509</v>
      </c>
      <c r="E25" s="165">
        <v>7.552808828744316E-2</v>
      </c>
      <c r="F25" s="166">
        <v>-398126.60137547925</v>
      </c>
      <c r="G25" s="166">
        <v>-5271238.9576219302</v>
      </c>
      <c r="H25" s="166">
        <v>-5226421.376820839</v>
      </c>
      <c r="I25" s="166">
        <v>2097996727.9043887</v>
      </c>
      <c r="J25" s="167">
        <v>2092770306.5275679</v>
      </c>
    </row>
    <row r="26" spans="1:10" x14ac:dyDescent="0.25">
      <c r="A26" s="168">
        <v>29</v>
      </c>
      <c r="B26" s="163">
        <v>16475530.158172358</v>
      </c>
      <c r="C26" s="163">
        <v>16009313.796828577</v>
      </c>
      <c r="D26" s="164">
        <v>-466216.36134378111</v>
      </c>
      <c r="E26" s="165">
        <v>7.3631662253881694E-2</v>
      </c>
      <c r="F26" s="166">
        <v>-37056.842572168098</v>
      </c>
      <c r="G26" s="166">
        <v>-503273.20391594921</v>
      </c>
      <c r="H26" s="166">
        <v>-498994.23123744584</v>
      </c>
      <c r="I26" s="166">
        <v>17742812.703756321</v>
      </c>
      <c r="J26" s="167">
        <v>17243818.472518876</v>
      </c>
    </row>
    <row r="27" spans="1:10" x14ac:dyDescent="0.25">
      <c r="A27" s="162">
        <v>31</v>
      </c>
      <c r="B27" s="163">
        <v>1408684085.0035303</v>
      </c>
      <c r="C27" s="163">
        <v>1407978352.242965</v>
      </c>
      <c r="D27" s="164">
        <v>-705732.76056518452</v>
      </c>
      <c r="E27" s="165">
        <v>3.6410112930760248E-2</v>
      </c>
      <c r="F27" s="166">
        <v>-26666.748848173767</v>
      </c>
      <c r="G27" s="166">
        <v>-732399.50941335829</v>
      </c>
      <c r="H27" s="166">
        <v>-726172.4393723862</v>
      </c>
      <c r="I27" s="166">
        <v>1456756022.4940898</v>
      </c>
      <c r="J27" s="167">
        <v>1456029850.0547175</v>
      </c>
    </row>
    <row r="28" spans="1:10" x14ac:dyDescent="0.25">
      <c r="A28" s="162">
        <v>35</v>
      </c>
      <c r="B28" s="163">
        <v>4443660</v>
      </c>
      <c r="C28" s="163">
        <v>4443660</v>
      </c>
      <c r="D28" s="164">
        <v>0</v>
      </c>
      <c r="E28" s="165">
        <v>3.577352608043876E-2</v>
      </c>
      <c r="F28" s="166">
        <v>0</v>
      </c>
      <c r="G28" s="166">
        <v>0</v>
      </c>
      <c r="H28" s="166">
        <v>0</v>
      </c>
      <c r="I28" s="166">
        <v>4597572.0317007378</v>
      </c>
      <c r="J28" s="167">
        <v>4597572.0317007378</v>
      </c>
    </row>
    <row r="29" spans="1:10" x14ac:dyDescent="0.25">
      <c r="A29" s="162">
        <v>40</v>
      </c>
      <c r="B29" s="163">
        <v>0</v>
      </c>
      <c r="C29" s="163">
        <v>0</v>
      </c>
      <c r="D29" s="164">
        <v>0</v>
      </c>
      <c r="E29" s="165">
        <v>3.6447350534266516E-2</v>
      </c>
      <c r="F29" s="166">
        <v>0</v>
      </c>
      <c r="G29" s="166">
        <v>0</v>
      </c>
      <c r="H29" s="166">
        <v>0</v>
      </c>
      <c r="I29" s="166">
        <v>0</v>
      </c>
      <c r="J29" s="167">
        <v>0</v>
      </c>
    </row>
    <row r="30" spans="1:10" x14ac:dyDescent="0.25">
      <c r="A30" s="168">
        <v>43</v>
      </c>
      <c r="B30" s="163">
        <v>119697408.13428572</v>
      </c>
      <c r="C30" s="163">
        <v>122500713.32397975</v>
      </c>
      <c r="D30" s="164">
        <v>2803305.1896940321</v>
      </c>
      <c r="E30" s="165">
        <v>3.7026438277086147E-2</v>
      </c>
      <c r="F30" s="166">
        <v>107787.38971019397</v>
      </c>
      <c r="G30" s="166">
        <v>2911092.579404226</v>
      </c>
      <c r="H30" s="166">
        <v>2886341.6379375607</v>
      </c>
      <c r="I30" s="166">
        <v>124004415.54399861</v>
      </c>
      <c r="J30" s="167">
        <v>126890757.18193617</v>
      </c>
    </row>
    <row r="31" spans="1:10" x14ac:dyDescent="0.25">
      <c r="A31" s="168">
        <v>46</v>
      </c>
      <c r="B31" s="163">
        <v>78351492</v>
      </c>
      <c r="C31" s="163">
        <v>78351492</v>
      </c>
      <c r="D31" s="164">
        <v>0</v>
      </c>
      <c r="E31" s="165">
        <v>1.7696784210330874E-2</v>
      </c>
      <c r="F31" s="166">
        <v>0</v>
      </c>
      <c r="G31" s="166">
        <v>0</v>
      </c>
      <c r="H31" s="166">
        <v>0</v>
      </c>
      <c r="I31" s="166">
        <v>79573505.048999339</v>
      </c>
      <c r="J31" s="167">
        <v>79573505.048999339</v>
      </c>
    </row>
    <row r="32" spans="1:10" x14ac:dyDescent="0.25">
      <c r="A32" s="168">
        <v>49</v>
      </c>
      <c r="B32" s="163">
        <v>542259321.40199995</v>
      </c>
      <c r="C32" s="163">
        <v>542259321.40199995</v>
      </c>
      <c r="D32" s="164">
        <v>0</v>
      </c>
      <c r="E32" s="165">
        <v>1.7587491040799316E-2</v>
      </c>
      <c r="F32" s="166">
        <v>0</v>
      </c>
      <c r="G32" s="166">
        <v>0</v>
      </c>
      <c r="H32" s="166">
        <v>0</v>
      </c>
      <c r="I32" s="166">
        <v>550655414.21762562</v>
      </c>
      <c r="J32" s="167">
        <v>550655414.21762562</v>
      </c>
    </row>
    <row r="33" spans="1:10" x14ac:dyDescent="0.25">
      <c r="A33" s="168" t="s">
        <v>269</v>
      </c>
      <c r="B33" s="163">
        <v>7084150</v>
      </c>
      <c r="C33" s="163">
        <v>7170066.2345252717</v>
      </c>
      <c r="D33" s="164">
        <v>85916.234525271488</v>
      </c>
      <c r="E33" s="165">
        <v>3.6959891695881389E-2</v>
      </c>
      <c r="F33" s="166">
        <v>3297.3234402083763</v>
      </c>
      <c r="G33" s="166">
        <v>89213.557965479864</v>
      </c>
      <c r="H33" s="166">
        <v>88455.038787196492</v>
      </c>
      <c r="I33" s="166">
        <v>7338548.0971957911</v>
      </c>
      <c r="J33" s="167">
        <v>7427003.1359829875</v>
      </c>
    </row>
    <row r="34" spans="1:10" x14ac:dyDescent="0.25">
      <c r="A34" s="162" t="s">
        <v>270</v>
      </c>
      <c r="B34" s="163">
        <v>69969105.295999989</v>
      </c>
      <c r="C34" s="163">
        <v>69969105.295999989</v>
      </c>
      <c r="D34" s="164">
        <v>0</v>
      </c>
      <c r="E34" s="165">
        <v>8.0178490041609624E-2</v>
      </c>
      <c r="F34" s="166">
        <v>0</v>
      </c>
      <c r="G34" s="166">
        <v>0</v>
      </c>
      <c r="H34" s="166">
        <v>0</v>
      </c>
      <c r="I34" s="166">
        <v>75887375.026475519</v>
      </c>
      <c r="J34" s="167">
        <v>75887375.026475519</v>
      </c>
    </row>
    <row r="35" spans="1:10" x14ac:dyDescent="0.25">
      <c r="A35" s="159" t="s">
        <v>265</v>
      </c>
      <c r="B35" s="160" t="s">
        <v>265</v>
      </c>
      <c r="C35" s="169" t="s">
        <v>265</v>
      </c>
      <c r="D35" s="160" t="s">
        <v>265</v>
      </c>
      <c r="E35" s="160" t="s">
        <v>265</v>
      </c>
      <c r="F35" s="160" t="s">
        <v>265</v>
      </c>
      <c r="G35" s="160" t="s">
        <v>265</v>
      </c>
      <c r="H35" s="160" t="s">
        <v>265</v>
      </c>
      <c r="I35" s="160" t="s">
        <v>266</v>
      </c>
      <c r="J35" s="161" t="s">
        <v>267</v>
      </c>
    </row>
    <row r="36" spans="1:10" x14ac:dyDescent="0.25">
      <c r="A36" s="170" t="s">
        <v>12</v>
      </c>
      <c r="B36" s="171">
        <v>20367606876.28373</v>
      </c>
      <c r="C36" s="172">
        <v>20503307194.24683</v>
      </c>
      <c r="D36" s="171">
        <v>135700317.96310043</v>
      </c>
      <c r="E36" s="171">
        <v>0</v>
      </c>
      <c r="F36" s="171">
        <v>11132269.031362789</v>
      </c>
      <c r="G36" s="171">
        <v>146832586.99446315</v>
      </c>
      <c r="H36" s="171">
        <v>145584174.35660648</v>
      </c>
      <c r="I36" s="173">
        <v>21883121442.400917</v>
      </c>
      <c r="J36" s="174">
        <v>22028705616.757526</v>
      </c>
    </row>
    <row r="37" spans="1:10" ht="15.75" thickBot="1" x14ac:dyDescent="0.3">
      <c r="A37" s="175"/>
      <c r="B37" s="176"/>
      <c r="C37" s="177"/>
      <c r="D37" s="178"/>
      <c r="E37" s="176"/>
      <c r="F37" s="176"/>
      <c r="G37" s="176"/>
      <c r="H37" s="178"/>
      <c r="I37" s="176"/>
      <c r="J37" s="179"/>
    </row>
    <row r="38" spans="1:10" x14ac:dyDescent="0.25">
      <c r="A38" s="142"/>
      <c r="B38" s="142"/>
      <c r="C38" s="144"/>
      <c r="D38" s="142"/>
      <c r="E38" s="142"/>
      <c r="F38" s="142"/>
      <c r="G38" s="142"/>
      <c r="H38" s="142"/>
      <c r="I38" s="142"/>
      <c r="J38" s="144"/>
    </row>
    <row r="39" spans="1:10" x14ac:dyDescent="0.25">
      <c r="A39" s="142"/>
      <c r="B39" s="142"/>
      <c r="C39" s="144"/>
      <c r="D39" s="142"/>
      <c r="E39" s="142"/>
      <c r="F39" s="142"/>
      <c r="G39" s="142"/>
      <c r="H39" s="142"/>
      <c r="I39" s="142"/>
      <c r="J39" s="144"/>
    </row>
    <row r="40" spans="1:10" ht="15.75" thickBot="1" x14ac:dyDescent="0.3">
      <c r="A40" s="180" t="s">
        <v>271</v>
      </c>
      <c r="B40" s="142"/>
      <c r="C40" s="144"/>
      <c r="D40" s="142"/>
      <c r="E40" s="142"/>
      <c r="F40" s="142"/>
      <c r="G40" s="142"/>
      <c r="H40" s="142"/>
      <c r="I40" s="142"/>
      <c r="J40" s="144"/>
    </row>
    <row r="41" spans="1:10" x14ac:dyDescent="0.25">
      <c r="A41" s="181">
        <v>459</v>
      </c>
      <c r="B41" s="182">
        <v>293153938.24000144</v>
      </c>
      <c r="C41" s="182">
        <v>293153938.24000144</v>
      </c>
      <c r="D41" s="183">
        <v>0</v>
      </c>
      <c r="E41" s="184">
        <v>1.6945222666027646E-2</v>
      </c>
      <c r="F41" s="185">
        <v>0</v>
      </c>
      <c r="G41" s="185">
        <v>0</v>
      </c>
      <c r="H41" s="185">
        <v>0</v>
      </c>
      <c r="I41" s="185">
        <v>298207124.36292702</v>
      </c>
      <c r="J41" s="186">
        <v>298207124.36292702</v>
      </c>
    </row>
    <row r="42" spans="1:10" x14ac:dyDescent="0.25">
      <c r="A42" s="168" t="s">
        <v>272</v>
      </c>
      <c r="B42" s="163">
        <v>1661664054.6089966</v>
      </c>
      <c r="C42" s="163">
        <v>1661664054.6089966</v>
      </c>
      <c r="D42" s="187">
        <v>0</v>
      </c>
      <c r="E42" s="165">
        <v>1.6911502274592646E-2</v>
      </c>
      <c r="F42" s="166">
        <v>0</v>
      </c>
      <c r="G42" s="166">
        <v>0</v>
      </c>
      <c r="H42" s="188">
        <v>0</v>
      </c>
      <c r="I42" s="166">
        <v>1690248699.3323834</v>
      </c>
      <c r="J42" s="167">
        <v>1690248699.3323834</v>
      </c>
    </row>
    <row r="43" spans="1:10" x14ac:dyDescent="0.25">
      <c r="A43" s="168" t="s">
        <v>273</v>
      </c>
      <c r="B43" s="163">
        <v>74975062.919999987</v>
      </c>
      <c r="C43" s="163">
        <v>74975062.919999987</v>
      </c>
      <c r="D43" s="187">
        <v>0</v>
      </c>
      <c r="E43" s="165">
        <v>3.5004476029850982E-2</v>
      </c>
      <c r="F43" s="166">
        <v>0</v>
      </c>
      <c r="G43" s="166">
        <v>0</v>
      </c>
      <c r="H43" s="188">
        <v>0</v>
      </c>
      <c r="I43" s="166">
        <v>77694726.097319439</v>
      </c>
      <c r="J43" s="167">
        <v>77694726.097319439</v>
      </c>
    </row>
    <row r="44" spans="1:10" x14ac:dyDescent="0.25">
      <c r="A44" s="170" t="s">
        <v>331</v>
      </c>
      <c r="B44" s="189">
        <v>336220536</v>
      </c>
      <c r="C44" s="189">
        <v>335767916</v>
      </c>
      <c r="D44" s="163">
        <v>-452620</v>
      </c>
      <c r="E44" s="190">
        <v>3.6447350534266516E-2</v>
      </c>
      <c r="F44" s="166">
        <v>-16496.799798819709</v>
      </c>
      <c r="G44" s="166">
        <v>-469116.7997988197</v>
      </c>
      <c r="H44" s="188">
        <v>-469116.7997988197</v>
      </c>
      <c r="I44" s="166">
        <v>350550349.59907383</v>
      </c>
      <c r="J44" s="167">
        <v>350081232.79927498</v>
      </c>
    </row>
    <row r="45" spans="1:10" x14ac:dyDescent="0.25">
      <c r="A45" s="191" t="s">
        <v>265</v>
      </c>
      <c r="B45" s="192" t="s">
        <v>265</v>
      </c>
      <c r="C45" s="192" t="s">
        <v>265</v>
      </c>
      <c r="D45" s="192" t="s">
        <v>265</v>
      </c>
      <c r="E45" s="192" t="s">
        <v>265</v>
      </c>
      <c r="F45" s="192" t="s">
        <v>265</v>
      </c>
      <c r="G45" s="192" t="s">
        <v>265</v>
      </c>
      <c r="H45" s="192" t="s">
        <v>265</v>
      </c>
      <c r="I45" s="192" t="s">
        <v>265</v>
      </c>
      <c r="J45" s="193" t="s">
        <v>265</v>
      </c>
    </row>
    <row r="46" spans="1:10" x14ac:dyDescent="0.25">
      <c r="A46" s="170" t="s">
        <v>274</v>
      </c>
      <c r="B46" s="194">
        <v>2366013591.7689981</v>
      </c>
      <c r="C46" s="194">
        <v>2365560971.7689981</v>
      </c>
      <c r="D46" s="194">
        <v>-452620</v>
      </c>
      <c r="E46" s="194"/>
      <c r="F46" s="194">
        <v>-16496.799798819709</v>
      </c>
      <c r="G46" s="194">
        <v>-469116.7997988197</v>
      </c>
      <c r="H46" s="194">
        <v>-469116.7997988197</v>
      </c>
      <c r="I46" s="195">
        <v>2416700899.3917036</v>
      </c>
      <c r="J46" s="196">
        <v>2416231782.5919046</v>
      </c>
    </row>
    <row r="47" spans="1:10" ht="15.75" thickBot="1" x14ac:dyDescent="0.3">
      <c r="A47" s="175"/>
      <c r="B47" s="197"/>
      <c r="C47" s="197"/>
      <c r="D47" s="197"/>
      <c r="E47" s="197"/>
      <c r="F47" s="197"/>
      <c r="G47" s="197"/>
      <c r="H47" s="197"/>
      <c r="I47" s="198"/>
      <c r="J47" s="199"/>
    </row>
    <row r="48" spans="1:10" x14ac:dyDescent="0.25">
      <c r="A48" s="200"/>
      <c r="B48" s="171"/>
      <c r="C48" s="171"/>
      <c r="D48" s="171"/>
      <c r="E48" s="171"/>
      <c r="F48" s="171"/>
      <c r="G48" s="171"/>
      <c r="H48" s="171"/>
      <c r="I48" s="173"/>
      <c r="J48" s="171"/>
    </row>
    <row r="49" spans="1:11" x14ac:dyDescent="0.25">
      <c r="A49" s="201" t="s">
        <v>345</v>
      </c>
      <c r="B49" s="171"/>
      <c r="C49" s="171"/>
      <c r="D49" s="171"/>
      <c r="E49" s="171"/>
      <c r="F49" s="171"/>
      <c r="G49" s="171"/>
      <c r="H49" s="171"/>
      <c r="I49" s="173"/>
      <c r="J49" s="171"/>
    </row>
    <row r="50" spans="1:11" x14ac:dyDescent="0.25">
      <c r="A50" s="201"/>
      <c r="B50" s="171"/>
      <c r="C50" s="171"/>
      <c r="D50" s="171"/>
      <c r="E50" s="171"/>
      <c r="F50" s="171"/>
      <c r="G50" s="171"/>
      <c r="H50" s="171"/>
      <c r="I50" s="173"/>
      <c r="J50" s="171"/>
    </row>
    <row r="55" spans="1:11" ht="15.75" x14ac:dyDescent="0.25">
      <c r="A55" s="124" t="s">
        <v>346</v>
      </c>
      <c r="B55" s="204"/>
      <c r="C55" s="204"/>
      <c r="D55" s="204"/>
      <c r="E55" s="204"/>
      <c r="F55" s="204"/>
      <c r="G55" s="204"/>
      <c r="H55" s="204"/>
      <c r="I55" s="204"/>
      <c r="J55" s="204"/>
      <c r="K55" s="204"/>
    </row>
    <row r="56" spans="1:11" ht="15.75" x14ac:dyDescent="0.25">
      <c r="A56" s="124" t="s">
        <v>342</v>
      </c>
      <c r="B56" s="204"/>
      <c r="C56" s="204"/>
      <c r="D56" s="204"/>
      <c r="E56" s="204"/>
      <c r="F56" s="204"/>
      <c r="G56" s="204"/>
      <c r="H56" s="204"/>
      <c r="I56" s="204"/>
      <c r="J56" s="204"/>
      <c r="K56" s="204"/>
    </row>
    <row r="57" spans="1:11" ht="15.75" x14ac:dyDescent="0.25">
      <c r="A57" s="124"/>
      <c r="B57" s="204"/>
      <c r="C57" s="204"/>
      <c r="D57" s="204"/>
      <c r="E57" s="204"/>
      <c r="F57" s="204"/>
      <c r="G57" s="204"/>
      <c r="H57" s="204"/>
      <c r="I57" s="204"/>
      <c r="J57" s="204"/>
      <c r="K57" s="204"/>
    </row>
    <row r="58" spans="1:11" ht="15.75" thickBot="1" x14ac:dyDescent="0.3">
      <c r="A58" s="204"/>
      <c r="B58" s="204"/>
      <c r="C58" s="204"/>
      <c r="D58" s="204"/>
      <c r="E58" s="204"/>
      <c r="F58" s="204"/>
      <c r="G58" s="204"/>
      <c r="H58" s="204"/>
      <c r="I58" s="204"/>
      <c r="J58" s="204"/>
      <c r="K58" s="204"/>
    </row>
    <row r="59" spans="1:11" ht="15.75" thickBot="1" x14ac:dyDescent="0.3">
      <c r="A59" s="205"/>
      <c r="B59" s="206"/>
      <c r="C59" s="204"/>
      <c r="D59" s="204"/>
      <c r="E59" s="204"/>
      <c r="F59" s="204"/>
      <c r="G59" s="204"/>
      <c r="H59" s="207" t="s">
        <v>275</v>
      </c>
      <c r="I59" s="208"/>
      <c r="J59" s="209" t="s">
        <v>276</v>
      </c>
      <c r="K59" s="210" t="s">
        <v>277</v>
      </c>
    </row>
    <row r="60" spans="1:11" x14ac:dyDescent="0.25">
      <c r="A60" s="126" t="s">
        <v>226</v>
      </c>
      <c r="B60" s="211">
        <v>22233671792</v>
      </c>
      <c r="C60" s="212"/>
      <c r="D60" s="212"/>
      <c r="E60" s="212"/>
      <c r="F60" s="212"/>
      <c r="G60" s="204"/>
      <c r="H60" s="213" t="s">
        <v>278</v>
      </c>
      <c r="I60" s="214"/>
      <c r="J60" s="149" t="s">
        <v>246</v>
      </c>
      <c r="K60" s="215" t="s">
        <v>279</v>
      </c>
    </row>
    <row r="61" spans="1:11" x14ac:dyDescent="0.25">
      <c r="A61" s="131" t="s">
        <v>280</v>
      </c>
      <c r="B61" s="216">
        <v>1578590697.2319999</v>
      </c>
      <c r="C61" s="206"/>
      <c r="D61" s="206"/>
      <c r="E61" s="206"/>
      <c r="F61" s="206"/>
      <c r="G61" s="204"/>
      <c r="H61" s="131" t="s">
        <v>281</v>
      </c>
      <c r="I61" s="217"/>
      <c r="J61" s="218">
        <v>2.9975001023434478E-2</v>
      </c>
      <c r="K61" s="219">
        <v>7.0270541510746446E-3</v>
      </c>
    </row>
    <row r="62" spans="1:11" x14ac:dyDescent="0.25">
      <c r="A62" s="131" t="s">
        <v>282</v>
      </c>
      <c r="B62" s="220">
        <v>-49198937.771789551</v>
      </c>
      <c r="C62" s="212"/>
      <c r="D62" s="212"/>
      <c r="E62" s="204"/>
      <c r="F62" s="206"/>
      <c r="G62" s="204"/>
      <c r="H62" s="131" t="s">
        <v>283</v>
      </c>
      <c r="I62" s="217"/>
      <c r="J62" s="218">
        <v>9.3142292757198042E-2</v>
      </c>
      <c r="K62" s="219">
        <v>4.6114107807676039E-2</v>
      </c>
    </row>
    <row r="63" spans="1:11" ht="15.75" thickBot="1" x14ac:dyDescent="0.3">
      <c r="A63" s="221" t="s">
        <v>284</v>
      </c>
      <c r="B63" s="222">
        <v>20704280032.539791</v>
      </c>
      <c r="C63" s="223"/>
      <c r="D63" s="206"/>
      <c r="E63" s="212"/>
      <c r="F63" s="206"/>
      <c r="G63" s="204"/>
      <c r="H63" s="224" t="s">
        <v>285</v>
      </c>
      <c r="I63" s="225"/>
      <c r="J63" s="226">
        <v>0.87688270621936737</v>
      </c>
      <c r="K63" s="227">
        <v>0.9468588380412496</v>
      </c>
    </row>
    <row r="64" spans="1:11" ht="15.75" thickBot="1" x14ac:dyDescent="0.3">
      <c r="A64" s="206"/>
      <c r="B64" s="204"/>
      <c r="C64" s="204"/>
      <c r="D64" s="204"/>
      <c r="E64" s="212"/>
      <c r="F64" s="206"/>
      <c r="G64" s="204"/>
      <c r="H64" s="136" t="s">
        <v>286</v>
      </c>
      <c r="I64" s="228"/>
      <c r="J64" s="229">
        <v>0.99999999999999989</v>
      </c>
      <c r="K64" s="230">
        <v>1.0000000000000002</v>
      </c>
    </row>
    <row r="65" spans="1:11" x14ac:dyDescent="0.25">
      <c r="A65" s="205"/>
      <c r="B65" s="205"/>
      <c r="C65" s="205"/>
      <c r="D65" s="205"/>
      <c r="E65" s="205"/>
      <c r="F65" s="205"/>
      <c r="G65" s="205"/>
      <c r="H65" s="410"/>
      <c r="I65" s="410"/>
      <c r="J65" s="205"/>
      <c r="K65" s="205"/>
    </row>
    <row r="66" spans="1:11" x14ac:dyDescent="0.25">
      <c r="A66" s="204"/>
      <c r="B66" s="204"/>
      <c r="C66" s="204"/>
      <c r="D66" s="204"/>
      <c r="E66" s="204"/>
      <c r="F66" s="206"/>
      <c r="G66" s="204"/>
      <c r="H66" s="205"/>
      <c r="I66" s="204"/>
      <c r="J66" s="204"/>
      <c r="K66" s="204"/>
    </row>
    <row r="67" spans="1:11" ht="15.75" thickBot="1" x14ac:dyDescent="0.3">
      <c r="A67" s="142"/>
      <c r="B67" s="142"/>
      <c r="C67" s="143"/>
      <c r="D67" s="231"/>
      <c r="E67" s="142"/>
      <c r="F67" s="142"/>
      <c r="G67" s="231"/>
      <c r="H67" s="142"/>
      <c r="I67" s="142"/>
      <c r="J67" s="142"/>
      <c r="K67" s="142"/>
    </row>
    <row r="68" spans="1:11" x14ac:dyDescent="0.25">
      <c r="A68" s="232" t="s">
        <v>287</v>
      </c>
      <c r="B68" s="233" t="s">
        <v>288</v>
      </c>
      <c r="C68" s="233" t="s">
        <v>289</v>
      </c>
      <c r="D68" s="233" t="s">
        <v>290</v>
      </c>
      <c r="E68" s="233" t="s">
        <v>291</v>
      </c>
      <c r="F68" s="233" t="s">
        <v>292</v>
      </c>
      <c r="G68" s="233" t="s">
        <v>293</v>
      </c>
      <c r="H68" s="233" t="s">
        <v>294</v>
      </c>
      <c r="I68" s="233" t="s">
        <v>295</v>
      </c>
      <c r="J68" s="233" t="s">
        <v>296</v>
      </c>
      <c r="K68" s="234" t="s">
        <v>297</v>
      </c>
    </row>
    <row r="69" spans="1:11" x14ac:dyDescent="0.25">
      <c r="A69" s="235"/>
      <c r="B69" s="236"/>
      <c r="C69" s="236"/>
      <c r="D69" s="236"/>
      <c r="E69" s="236"/>
      <c r="F69" s="236" t="s">
        <v>298</v>
      </c>
      <c r="G69" s="236" t="s">
        <v>298</v>
      </c>
      <c r="H69" s="236" t="s">
        <v>298</v>
      </c>
      <c r="I69" s="236"/>
      <c r="J69" s="236" t="s">
        <v>241</v>
      </c>
      <c r="K69" s="237" t="s">
        <v>245</v>
      </c>
    </row>
    <row r="70" spans="1:11" x14ac:dyDescent="0.25">
      <c r="A70" s="235"/>
      <c r="B70" s="236" t="s">
        <v>347</v>
      </c>
      <c r="C70" s="236" t="s">
        <v>299</v>
      </c>
      <c r="D70" s="236" t="s">
        <v>298</v>
      </c>
      <c r="E70" s="236" t="s">
        <v>103</v>
      </c>
      <c r="F70" s="236" t="s">
        <v>300</v>
      </c>
      <c r="G70" s="236" t="s">
        <v>300</v>
      </c>
      <c r="H70" s="236" t="s">
        <v>300</v>
      </c>
      <c r="I70" s="236" t="s">
        <v>301</v>
      </c>
      <c r="J70" s="236" t="s">
        <v>247</v>
      </c>
      <c r="K70" s="237" t="s">
        <v>241</v>
      </c>
    </row>
    <row r="71" spans="1:11" x14ac:dyDescent="0.25">
      <c r="A71" s="235" t="s">
        <v>249</v>
      </c>
      <c r="B71" s="236" t="s">
        <v>348</v>
      </c>
      <c r="C71" s="236" t="s">
        <v>256</v>
      </c>
      <c r="D71" s="236" t="s">
        <v>302</v>
      </c>
      <c r="E71" s="236" t="s">
        <v>303</v>
      </c>
      <c r="F71" s="236" t="s">
        <v>304</v>
      </c>
      <c r="G71" s="236" t="s">
        <v>305</v>
      </c>
      <c r="H71" s="236" t="s">
        <v>306</v>
      </c>
      <c r="I71" s="236" t="s">
        <v>256</v>
      </c>
      <c r="J71" s="236" t="s">
        <v>253</v>
      </c>
      <c r="K71" s="237" t="s">
        <v>106</v>
      </c>
    </row>
    <row r="72" spans="1:11" x14ac:dyDescent="0.25">
      <c r="A72" s="151"/>
      <c r="B72" s="152"/>
      <c r="C72" s="152"/>
      <c r="D72" s="152"/>
      <c r="E72" s="152"/>
      <c r="F72" s="152"/>
      <c r="G72" s="152"/>
      <c r="H72" s="152"/>
      <c r="I72" s="152"/>
      <c r="J72" s="236" t="s">
        <v>256</v>
      </c>
      <c r="K72" s="238"/>
    </row>
    <row r="73" spans="1:11" x14ac:dyDescent="0.25">
      <c r="A73" s="154"/>
      <c r="B73" s="156">
        <v>0</v>
      </c>
      <c r="C73" s="157" t="s">
        <v>307</v>
      </c>
      <c r="D73" s="156" t="s">
        <v>308</v>
      </c>
      <c r="E73" s="157" t="s">
        <v>349</v>
      </c>
      <c r="F73" s="157" t="s">
        <v>309</v>
      </c>
      <c r="G73" s="156" t="s">
        <v>308</v>
      </c>
      <c r="H73" s="157" t="s">
        <v>350</v>
      </c>
      <c r="I73" s="156" t="s">
        <v>310</v>
      </c>
      <c r="J73" s="157" t="s">
        <v>311</v>
      </c>
      <c r="K73" s="239" t="s">
        <v>312</v>
      </c>
    </row>
    <row r="74" spans="1:11" x14ac:dyDescent="0.25">
      <c r="A74" s="154"/>
      <c r="B74" s="156" t="s">
        <v>351</v>
      </c>
      <c r="C74" s="157" t="s">
        <v>313</v>
      </c>
      <c r="D74" s="156"/>
      <c r="E74" s="157"/>
      <c r="F74" s="157"/>
      <c r="G74" s="156"/>
      <c r="H74" s="157"/>
      <c r="I74" s="156" t="s">
        <v>314</v>
      </c>
      <c r="J74" s="157"/>
      <c r="K74" s="239"/>
    </row>
    <row r="75" spans="1:11" x14ac:dyDescent="0.25">
      <c r="A75" s="159" t="s">
        <v>265</v>
      </c>
      <c r="B75" s="160" t="s">
        <v>265</v>
      </c>
      <c r="C75" s="160" t="s">
        <v>265</v>
      </c>
      <c r="D75" s="160" t="s">
        <v>265</v>
      </c>
      <c r="E75" s="160" t="s">
        <v>265</v>
      </c>
      <c r="F75" s="160" t="s">
        <v>265</v>
      </c>
      <c r="G75" s="160" t="s">
        <v>265</v>
      </c>
      <c r="H75" s="160" t="s">
        <v>265</v>
      </c>
      <c r="I75" s="160" t="s">
        <v>315</v>
      </c>
      <c r="J75" s="160" t="s">
        <v>265</v>
      </c>
      <c r="K75" s="240" t="s">
        <v>265</v>
      </c>
    </row>
    <row r="76" spans="1:11" x14ac:dyDescent="0.25">
      <c r="A76" s="162" t="s">
        <v>268</v>
      </c>
      <c r="B76" s="241">
        <v>10497389420.49617</v>
      </c>
      <c r="C76" s="187">
        <v>-24944620.535152167</v>
      </c>
      <c r="D76" s="242">
        <v>1626541.6907758305</v>
      </c>
      <c r="E76" s="187">
        <v>1195484.5662055956</v>
      </c>
      <c r="F76" s="243">
        <v>0.73498550512736716</v>
      </c>
      <c r="G76" s="242">
        <v>251673.71992420664</v>
      </c>
      <c r="H76" s="187">
        <v>1620394456.8122025</v>
      </c>
      <c r="I76" s="187">
        <v>866208837.55113983</v>
      </c>
      <c r="J76" s="187">
        <v>11338653637.512157</v>
      </c>
      <c r="K76" s="244">
        <v>7.6394329101422034E-2</v>
      </c>
    </row>
    <row r="77" spans="1:11" x14ac:dyDescent="0.25">
      <c r="A77" s="168">
        <v>24</v>
      </c>
      <c r="B77" s="241">
        <v>2689866724.7775373</v>
      </c>
      <c r="C77" s="187">
        <v>-6391846.7775140246</v>
      </c>
      <c r="D77" s="242">
        <v>383616.17135738832</v>
      </c>
      <c r="E77" s="187">
        <v>306332.74863013963</v>
      </c>
      <c r="F77" s="243">
        <v>0.79853971626433562</v>
      </c>
      <c r="G77" s="242">
        <v>59234.060525990433</v>
      </c>
      <c r="H77" s="187">
        <v>414354568.99793386</v>
      </c>
      <c r="I77" s="187">
        <v>221500134.14128894</v>
      </c>
      <c r="J77" s="187">
        <v>2904975012.1413121</v>
      </c>
      <c r="K77" s="244">
        <v>7.6248550578070895E-2</v>
      </c>
    </row>
    <row r="78" spans="1:11" x14ac:dyDescent="0.25">
      <c r="A78" s="168">
        <v>25</v>
      </c>
      <c r="B78" s="241">
        <v>2979551170.6691647</v>
      </c>
      <c r="C78" s="187">
        <v>-7080214.9315613108</v>
      </c>
      <c r="D78" s="242">
        <v>432908.50216168351</v>
      </c>
      <c r="E78" s="187">
        <v>339323.16846319672</v>
      </c>
      <c r="F78" s="243">
        <v>0.78382190871470947</v>
      </c>
      <c r="G78" s="242">
        <v>66635.147110322345</v>
      </c>
      <c r="H78" s="187">
        <v>457535572.5925653</v>
      </c>
      <c r="I78" s="187">
        <v>244583258.60567498</v>
      </c>
      <c r="J78" s="187">
        <v>3217054214.3432779</v>
      </c>
      <c r="K78" s="244">
        <v>7.6027086368391728E-2</v>
      </c>
    </row>
    <row r="79" spans="1:11" x14ac:dyDescent="0.25">
      <c r="A79" s="168">
        <v>26</v>
      </c>
      <c r="B79" s="241">
        <v>1901973153.8160584</v>
      </c>
      <c r="C79" s="187">
        <v>-4519599.7489960399</v>
      </c>
      <c r="D79" s="242">
        <v>256067.09075776031</v>
      </c>
      <c r="E79" s="187">
        <v>216604.28699395689</v>
      </c>
      <c r="F79" s="243">
        <v>0.84588881122121518</v>
      </c>
      <c r="G79" s="242">
        <v>39135.120706198133</v>
      </c>
      <c r="H79" s="187">
        <v>289990696.0050028</v>
      </c>
      <c r="I79" s="187">
        <v>155019355.09043258</v>
      </c>
      <c r="J79" s="187">
        <v>2052472909.157495</v>
      </c>
      <c r="K79" s="244">
        <v>7.552808828744316E-2</v>
      </c>
    </row>
    <row r="80" spans="1:11" x14ac:dyDescent="0.25">
      <c r="A80" s="168">
        <v>29</v>
      </c>
      <c r="B80" s="241">
        <v>16475530.202172358</v>
      </c>
      <c r="C80" s="187">
        <v>-39150.29085290456</v>
      </c>
      <c r="D80" s="242">
        <v>1926.7026364139044</v>
      </c>
      <c r="E80" s="187">
        <v>1876.2990766346409</v>
      </c>
      <c r="F80" s="243">
        <v>0.97383947121540371</v>
      </c>
      <c r="G80" s="242">
        <v>286.47962012725094</v>
      </c>
      <c r="H80" s="187">
        <v>2443910.0171815148</v>
      </c>
      <c r="I80" s="187">
        <v>1306432.792436867</v>
      </c>
      <c r="J80" s="187">
        <v>17742812.703756321</v>
      </c>
      <c r="K80" s="244">
        <v>7.3631662253881694E-2</v>
      </c>
    </row>
    <row r="81" spans="1:11" x14ac:dyDescent="0.25">
      <c r="A81" s="162">
        <v>31</v>
      </c>
      <c r="B81" s="241">
        <v>1297584516.8405302</v>
      </c>
      <c r="C81" s="187">
        <v>-3083409.7972661373</v>
      </c>
      <c r="D81" s="242">
        <v>169381.15576487154</v>
      </c>
      <c r="E81" s="187">
        <v>147774.09897754155</v>
      </c>
      <c r="F81" s="243">
        <v>0.87243529724567426</v>
      </c>
      <c r="G81" s="242">
        <v>11972.725430804838</v>
      </c>
      <c r="H81" s="187">
        <v>91501951.645769939</v>
      </c>
      <c r="I81" s="187">
        <v>48913891.821544841</v>
      </c>
      <c r="J81" s="187">
        <v>1343414998.8648088</v>
      </c>
      <c r="K81" s="244">
        <v>3.6410112930760248E-2</v>
      </c>
    </row>
    <row r="82" spans="1:11" x14ac:dyDescent="0.25">
      <c r="A82" s="162">
        <v>35</v>
      </c>
      <c r="B82" s="241">
        <v>4443660</v>
      </c>
      <c r="C82" s="187">
        <v>-10559.331282005071</v>
      </c>
      <c r="D82" s="242">
        <v>430.7000000000001</v>
      </c>
      <c r="E82" s="187">
        <v>506.06172017328714</v>
      </c>
      <c r="F82" s="243">
        <v>1.1749749713798165</v>
      </c>
      <c r="G82" s="242">
        <v>29.892050561080193</v>
      </c>
      <c r="H82" s="187">
        <v>307672.32257180562</v>
      </c>
      <c r="I82" s="187">
        <v>164471.36298274217</v>
      </c>
      <c r="J82" s="187">
        <v>4597572.0317007378</v>
      </c>
      <c r="K82" s="244">
        <v>3.577352608043876E-2</v>
      </c>
    </row>
    <row r="83" spans="1:11" x14ac:dyDescent="0.25">
      <c r="A83" s="162">
        <v>40</v>
      </c>
      <c r="B83" s="241">
        <v>499634378.34003699</v>
      </c>
      <c r="C83" s="187">
        <v>-1187265.6595624122</v>
      </c>
      <c r="D83" s="242">
        <v>67652.62769578585</v>
      </c>
      <c r="E83" s="187">
        <v>56900.355328821301</v>
      </c>
      <c r="F83" s="243">
        <v>0.84106644881091119</v>
      </c>
      <c r="G83" s="242">
        <v>4787.109062591654</v>
      </c>
      <c r="H83" s="187">
        <v>35270184.937457755</v>
      </c>
      <c r="I83" s="187">
        <v>18854264.630719971</v>
      </c>
      <c r="J83" s="187">
        <v>517301377.31119454</v>
      </c>
      <c r="K83" s="244">
        <v>3.6447350534266516E-2</v>
      </c>
    </row>
    <row r="84" spans="1:11" x14ac:dyDescent="0.25">
      <c r="A84" s="168">
        <v>43</v>
      </c>
      <c r="B84" s="241">
        <v>119697406.93726367</v>
      </c>
      <c r="C84" s="187">
        <v>-284433.23149105441</v>
      </c>
      <c r="D84" s="242">
        <v>23873.502004593163</v>
      </c>
      <c r="E84" s="187">
        <v>13631.618002942079</v>
      </c>
      <c r="F84" s="243">
        <v>0.57099364811745723</v>
      </c>
      <c r="G84" s="242">
        <v>1717.1642671213274</v>
      </c>
      <c r="H84" s="187">
        <v>8589091.4302727878</v>
      </c>
      <c r="I84" s="187">
        <v>4591441.8382260064</v>
      </c>
      <c r="J84" s="187">
        <v>124004415.54399861</v>
      </c>
      <c r="K84" s="244">
        <v>3.7026438277086147E-2</v>
      </c>
    </row>
    <row r="85" spans="1:11" x14ac:dyDescent="0.25">
      <c r="A85" s="168">
        <v>46</v>
      </c>
      <c r="B85" s="241">
        <v>78351494.123954177</v>
      </c>
      <c r="C85" s="187">
        <v>-186184.22266665444</v>
      </c>
      <c r="D85" s="242">
        <v>9747.4433333333327</v>
      </c>
      <c r="E85" s="187">
        <v>8922.9805823387578</v>
      </c>
      <c r="F85" s="243">
        <v>0.91541753844568041</v>
      </c>
      <c r="G85" s="242">
        <v>328.50171941937214</v>
      </c>
      <c r="H85" s="187">
        <v>2634274.221806644</v>
      </c>
      <c r="I85" s="187">
        <v>1408195.1477118155</v>
      </c>
      <c r="J85" s="187">
        <v>79573505.048999339</v>
      </c>
      <c r="K85" s="244">
        <v>1.7696784210330874E-2</v>
      </c>
    </row>
    <row r="86" spans="1:11" x14ac:dyDescent="0.25">
      <c r="A86" s="168">
        <v>49</v>
      </c>
      <c r="B86" s="241">
        <v>542259321.04090011</v>
      </c>
      <c r="C86" s="187">
        <v>-1288553.9873946265</v>
      </c>
      <c r="D86" s="242">
        <v>69168.869083333324</v>
      </c>
      <c r="E86" s="187">
        <v>61754.653773231228</v>
      </c>
      <c r="F86" s="243">
        <v>0.89280993880108706</v>
      </c>
      <c r="G86" s="242">
        <v>2316.428070316711</v>
      </c>
      <c r="H86" s="187">
        <v>18116818.832382068</v>
      </c>
      <c r="I86" s="187">
        <v>9684647.1641201265</v>
      </c>
      <c r="J86" s="187">
        <v>550655414.21762562</v>
      </c>
      <c r="K86" s="244">
        <v>1.7587491040799316E-2</v>
      </c>
    </row>
    <row r="87" spans="1:11" x14ac:dyDescent="0.25">
      <c r="A87" s="168" t="s">
        <v>269</v>
      </c>
      <c r="B87" s="241">
        <v>7084150</v>
      </c>
      <c r="C87" s="187">
        <v>-16833.84568158145</v>
      </c>
      <c r="D87" s="242">
        <v>831.0577259435554</v>
      </c>
      <c r="E87" s="187">
        <v>806.77125049297013</v>
      </c>
      <c r="F87" s="243">
        <v>0.97077642780709217</v>
      </c>
      <c r="G87" s="242">
        <v>59.66445045864188</v>
      </c>
      <c r="H87" s="187">
        <v>507386.57664982701</v>
      </c>
      <c r="I87" s="187">
        <v>271231.9428773729</v>
      </c>
      <c r="J87" s="187">
        <v>7338548.0971957911</v>
      </c>
      <c r="K87" s="244">
        <v>3.6959891695881389E-2</v>
      </c>
    </row>
    <row r="88" spans="1:11" x14ac:dyDescent="0.25">
      <c r="A88" s="162" t="s">
        <v>316</v>
      </c>
      <c r="B88" s="241">
        <v>69969105.295999989</v>
      </c>
      <c r="C88" s="187">
        <v>-166265.41236862389</v>
      </c>
      <c r="D88" s="242">
        <v>2661.2756900677418</v>
      </c>
      <c r="E88" s="187">
        <v>7968.3607173095161</v>
      </c>
      <c r="F88" s="243">
        <v>2.9941883687768871</v>
      </c>
      <c r="G88" s="242">
        <v>433.95262242340772</v>
      </c>
      <c r="H88" s="187">
        <v>11382182.437225064</v>
      </c>
      <c r="I88" s="187">
        <v>6084535.142844162</v>
      </c>
      <c r="J88" s="187">
        <v>75887375.026475519</v>
      </c>
      <c r="K88" s="244">
        <v>8.0178490041609624E-2</v>
      </c>
    </row>
    <row r="89" spans="1:11" x14ac:dyDescent="0.25">
      <c r="A89" s="159" t="s">
        <v>265</v>
      </c>
      <c r="B89" s="160" t="s">
        <v>265</v>
      </c>
      <c r="C89" s="160" t="s">
        <v>265</v>
      </c>
      <c r="D89" s="160" t="s">
        <v>265</v>
      </c>
      <c r="E89" s="160" t="s">
        <v>265</v>
      </c>
      <c r="F89" s="160" t="s">
        <v>265</v>
      </c>
      <c r="G89" s="160" t="s">
        <v>265</v>
      </c>
      <c r="H89" s="160" t="s">
        <v>265</v>
      </c>
      <c r="I89" s="160" t="s">
        <v>315</v>
      </c>
      <c r="J89" s="160" t="s">
        <v>265</v>
      </c>
      <c r="K89" s="240" t="s">
        <v>265</v>
      </c>
    </row>
    <row r="90" spans="1:11" x14ac:dyDescent="0.25">
      <c r="A90" s="170" t="s">
        <v>12</v>
      </c>
      <c r="B90" s="171">
        <v>20704280032.539791</v>
      </c>
      <c r="C90" s="194">
        <v>-49198937.771789551</v>
      </c>
      <c r="D90" s="171">
        <v>3044806.7889870051</v>
      </c>
      <c r="E90" s="171">
        <v>2357885.9697223743</v>
      </c>
      <c r="F90" s="245">
        <v>0.77439592497323395</v>
      </c>
      <c r="G90" s="171">
        <v>438609.9655605419</v>
      </c>
      <c r="H90" s="171">
        <v>2953028766.829021</v>
      </c>
      <c r="I90" s="171">
        <v>1578590697.2319999</v>
      </c>
      <c r="J90" s="171">
        <v>22233671791.999989</v>
      </c>
      <c r="K90" s="246">
        <v>7.0999999999999994E-2</v>
      </c>
    </row>
    <row r="91" spans="1:11" ht="15.75" thickBot="1" x14ac:dyDescent="0.3">
      <c r="A91" s="175"/>
      <c r="B91" s="176"/>
      <c r="C91" s="176"/>
      <c r="D91" s="176"/>
      <c r="E91" s="176"/>
      <c r="F91" s="176"/>
      <c r="G91" s="176"/>
      <c r="H91" s="178"/>
      <c r="I91" s="176"/>
      <c r="J91" s="176"/>
      <c r="K91" s="247"/>
    </row>
    <row r="92" spans="1:11" x14ac:dyDescent="0.25">
      <c r="A92" s="170"/>
      <c r="B92" s="200"/>
      <c r="C92" s="200"/>
      <c r="D92" s="200"/>
      <c r="E92" s="200"/>
      <c r="F92" s="200"/>
      <c r="G92" s="200"/>
      <c r="H92" s="248"/>
      <c r="I92" s="200"/>
      <c r="J92" s="200"/>
      <c r="K92" s="200"/>
    </row>
    <row r="93" spans="1:11" x14ac:dyDescent="0.25">
      <c r="A93" s="170"/>
      <c r="B93" s="200"/>
      <c r="C93" s="200"/>
      <c r="D93" s="200"/>
      <c r="E93" s="200"/>
      <c r="F93" s="200"/>
      <c r="G93" s="200"/>
      <c r="H93" s="248"/>
      <c r="I93" s="200"/>
      <c r="J93" s="200"/>
      <c r="K93" s="200"/>
    </row>
    <row r="94" spans="1:11" ht="15.75" thickBot="1" x14ac:dyDescent="0.3">
      <c r="A94" s="249" t="s">
        <v>271</v>
      </c>
      <c r="B94" s="200"/>
      <c r="C94" s="200"/>
      <c r="D94" s="231"/>
      <c r="E94" s="250"/>
      <c r="F94" s="250"/>
      <c r="G94" s="231"/>
      <c r="H94" s="248"/>
      <c r="I94" s="200"/>
      <c r="J94" s="200"/>
      <c r="K94" s="200"/>
    </row>
    <row r="95" spans="1:11" x14ac:dyDescent="0.25">
      <c r="A95" s="181">
        <v>459</v>
      </c>
      <c r="B95" s="251">
        <v>293153938.24000144</v>
      </c>
      <c r="C95" s="183"/>
      <c r="D95" s="252">
        <v>34976.057500000003</v>
      </c>
      <c r="E95" s="251">
        <v>33465.061442922539</v>
      </c>
      <c r="F95" s="253">
        <v>0.95679913160374164</v>
      </c>
      <c r="G95" s="252">
        <v>602.89324255624524</v>
      </c>
      <c r="H95" s="183">
        <v>5053186.1229255954</v>
      </c>
      <c r="I95" s="183">
        <v>5053186.1229255954</v>
      </c>
      <c r="J95" s="183">
        <v>298207124.36292702</v>
      </c>
      <c r="K95" s="254">
        <v>1.6945222666027646E-2</v>
      </c>
    </row>
    <row r="96" spans="1:11" x14ac:dyDescent="0.25">
      <c r="A96" s="168" t="s">
        <v>272</v>
      </c>
      <c r="B96" s="241">
        <v>1661664054.6089966</v>
      </c>
      <c r="C96" s="187"/>
      <c r="D96" s="255">
        <v>198654.46691666663</v>
      </c>
      <c r="E96" s="187">
        <v>189687.67746678044</v>
      </c>
      <c r="F96" s="256">
        <v>0.95486238195868178</v>
      </c>
      <c r="G96" s="255">
        <v>3417.3377848405798</v>
      </c>
      <c r="H96" s="187">
        <v>28584644.723386865</v>
      </c>
      <c r="I96" s="187">
        <v>28584644.723386865</v>
      </c>
      <c r="J96" s="187">
        <v>1690248699.3323834</v>
      </c>
      <c r="K96" s="244">
        <v>1.6911502274592646E-2</v>
      </c>
    </row>
    <row r="97" spans="1:11" x14ac:dyDescent="0.25">
      <c r="A97" s="168" t="s">
        <v>273</v>
      </c>
      <c r="B97" s="241">
        <v>74975062.919999987</v>
      </c>
      <c r="C97" s="187"/>
      <c r="D97" s="255">
        <v>8915.4699999999993</v>
      </c>
      <c r="E97" s="187">
        <v>8558.7971369863008</v>
      </c>
      <c r="F97" s="256">
        <v>0.95999393604445993</v>
      </c>
      <c r="G97" s="255">
        <v>323.40186887696836</v>
      </c>
      <c r="H97" s="187">
        <v>2719663.1773194559</v>
      </c>
      <c r="I97" s="187">
        <v>2719663.1773194559</v>
      </c>
      <c r="J97" s="187">
        <v>77694726.097319439</v>
      </c>
      <c r="K97" s="244">
        <v>3.5004476029850982E-2</v>
      </c>
    </row>
    <row r="98" spans="1:11" x14ac:dyDescent="0.25">
      <c r="A98" s="191" t="s">
        <v>265</v>
      </c>
      <c r="B98" s="257" t="s">
        <v>265</v>
      </c>
      <c r="C98" s="257"/>
      <c r="D98" s="257" t="s">
        <v>265</v>
      </c>
      <c r="E98" s="257" t="s">
        <v>265</v>
      </c>
      <c r="F98" s="257" t="s">
        <v>265</v>
      </c>
      <c r="G98" s="257" t="s">
        <v>265</v>
      </c>
      <c r="H98" s="257" t="s">
        <v>265</v>
      </c>
      <c r="I98" s="257" t="s">
        <v>315</v>
      </c>
      <c r="J98" s="257" t="s">
        <v>265</v>
      </c>
      <c r="K98" s="258" t="s">
        <v>265</v>
      </c>
    </row>
    <row r="99" spans="1:11" x14ac:dyDescent="0.25">
      <c r="A99" s="170" t="s">
        <v>274</v>
      </c>
      <c r="B99" s="171">
        <v>2029793055.7689981</v>
      </c>
      <c r="C99" s="194"/>
      <c r="D99" s="171">
        <v>242545.99441666662</v>
      </c>
      <c r="E99" s="171">
        <v>231711.53604668929</v>
      </c>
      <c r="F99" s="245">
        <v>0.95533029355510624</v>
      </c>
      <c r="G99" s="171">
        <v>4343.6328962737934</v>
      </c>
      <c r="H99" s="171">
        <v>36357494.023631915</v>
      </c>
      <c r="I99" s="171">
        <v>36357494.023631915</v>
      </c>
      <c r="J99" s="171">
        <v>2066150549.7926297</v>
      </c>
      <c r="K99" s="246">
        <v>1.7911921572644103E-2</v>
      </c>
    </row>
    <row r="100" spans="1:11" ht="15.75" thickBot="1" x14ac:dyDescent="0.3">
      <c r="A100" s="175"/>
      <c r="B100" s="176"/>
      <c r="C100" s="176"/>
      <c r="D100" s="176"/>
      <c r="E100" s="176"/>
      <c r="F100" s="176"/>
      <c r="G100" s="176"/>
      <c r="H100" s="178"/>
      <c r="I100" s="176"/>
      <c r="J100" s="176"/>
      <c r="K100" s="247"/>
    </row>
    <row r="101" spans="1:11" x14ac:dyDescent="0.25">
      <c r="A101" s="200"/>
      <c r="B101" s="200"/>
      <c r="C101" s="200"/>
      <c r="D101" s="200"/>
      <c r="E101" s="200"/>
      <c r="F101" s="200"/>
      <c r="G101" s="200"/>
      <c r="H101" s="248"/>
      <c r="I101" s="200"/>
      <c r="J101" s="200"/>
      <c r="K101" s="200"/>
    </row>
    <row r="102" spans="1:11" x14ac:dyDescent="0.25">
      <c r="A102" s="259" t="s">
        <v>317</v>
      </c>
      <c r="B102" s="200"/>
      <c r="C102" s="200"/>
      <c r="D102" s="200"/>
      <c r="E102" s="200"/>
      <c r="F102" s="200"/>
      <c r="G102" s="200"/>
      <c r="H102" s="248"/>
      <c r="I102" s="200"/>
      <c r="J102" s="200"/>
      <c r="K102" s="200"/>
    </row>
    <row r="103" spans="1:11" x14ac:dyDescent="0.25">
      <c r="A103" s="260" t="s">
        <v>318</v>
      </c>
      <c r="B103" s="142"/>
      <c r="C103" s="142"/>
      <c r="D103" s="142"/>
      <c r="E103" s="142"/>
      <c r="F103" s="142"/>
      <c r="G103" s="142"/>
      <c r="H103" s="142"/>
      <c r="I103" s="142"/>
      <c r="J103" s="142"/>
      <c r="K103" s="142"/>
    </row>
    <row r="104" spans="1:11" x14ac:dyDescent="0.25">
      <c r="A104" s="260" t="s">
        <v>319</v>
      </c>
      <c r="B104" s="142"/>
      <c r="C104" s="142"/>
      <c r="D104" s="142"/>
      <c r="E104" s="142"/>
      <c r="F104" s="142"/>
      <c r="G104" s="142"/>
      <c r="H104" s="142"/>
      <c r="I104" s="142"/>
      <c r="J104" s="142"/>
      <c r="K104" s="142"/>
    </row>
    <row r="105" spans="1:11" x14ac:dyDescent="0.25">
      <c r="A105" s="142"/>
      <c r="B105" s="142"/>
      <c r="C105" s="142"/>
      <c r="D105" s="142"/>
      <c r="E105" s="142"/>
      <c r="F105" s="142"/>
      <c r="G105" s="142"/>
      <c r="H105" s="142"/>
      <c r="I105" s="142"/>
      <c r="J105" s="142"/>
      <c r="K105" s="142"/>
    </row>
    <row r="106" spans="1:11" x14ac:dyDescent="0.25">
      <c r="A106" s="142"/>
      <c r="B106" s="142"/>
      <c r="C106" s="142"/>
      <c r="D106" s="142"/>
      <c r="E106" s="142"/>
      <c r="F106" s="142"/>
      <c r="G106" s="142"/>
      <c r="H106" s="142"/>
      <c r="I106" s="142"/>
      <c r="J106" s="142"/>
      <c r="K106" s="142"/>
    </row>
    <row r="107" spans="1:11" x14ac:dyDescent="0.25">
      <c r="A107" s="261" t="s">
        <v>320</v>
      </c>
      <c r="B107" s="262">
        <v>18155225105.257103</v>
      </c>
      <c r="C107" s="262">
        <v>-43141697.696445078</v>
      </c>
      <c r="D107" s="262">
        <v>2703721.4333791439</v>
      </c>
      <c r="E107" s="262">
        <v>2061940.2786385084</v>
      </c>
      <c r="F107" s="262">
        <v>0.76263044453565265</v>
      </c>
      <c r="G107" s="262">
        <v>417398.48050926824</v>
      </c>
      <c r="H107" s="262">
        <v>2796101386.8621106</v>
      </c>
      <c r="I107" s="262">
        <v>1494702553.3238175</v>
      </c>
      <c r="J107" s="262">
        <v>19606785960.884476</v>
      </c>
      <c r="K107" s="263">
        <v>7.6233940448258472E-2</v>
      </c>
    </row>
    <row r="108" spans="1:11" x14ac:dyDescent="0.25">
      <c r="A108" s="261" t="s">
        <v>321</v>
      </c>
      <c r="B108" s="262">
        <v>1928444112.117831</v>
      </c>
      <c r="C108" s="262">
        <v>-4582501.8652831903</v>
      </c>
      <c r="D108" s="262">
        <v>262169.04319119413</v>
      </c>
      <c r="E108" s="262">
        <v>219018.85362620078</v>
      </c>
      <c r="F108" s="262">
        <v>0.83541081342115264</v>
      </c>
      <c r="G108" s="262">
        <v>18566.555261537538</v>
      </c>
      <c r="H108" s="262">
        <v>136176286.91272208</v>
      </c>
      <c r="I108" s="262">
        <v>72795301.596350923</v>
      </c>
      <c r="J108" s="262">
        <v>1996656911.8488986</v>
      </c>
      <c r="K108" s="263">
        <v>3.6458592943212603E-2</v>
      </c>
    </row>
    <row r="109" spans="1:11" x14ac:dyDescent="0.25">
      <c r="A109" s="264" t="s">
        <v>322</v>
      </c>
      <c r="B109" s="265">
        <v>620610815.16485429</v>
      </c>
      <c r="C109" s="265">
        <v>-1474738.210061281</v>
      </c>
      <c r="D109" s="265">
        <v>78916.312416666653</v>
      </c>
      <c r="E109" s="265">
        <v>70484.526064980979</v>
      </c>
      <c r="F109" s="265">
        <v>0.89315534274882147</v>
      </c>
      <c r="G109" s="265">
        <v>2644.929789736083</v>
      </c>
      <c r="H109" s="265">
        <v>20751093.054188713</v>
      </c>
      <c r="I109" s="265">
        <v>11092842.311831942</v>
      </c>
      <c r="J109" s="265">
        <v>630228919.26662493</v>
      </c>
      <c r="K109" s="266">
        <v>1.7601290535414163E-2</v>
      </c>
    </row>
    <row r="110" spans="1:11" x14ac:dyDescent="0.25">
      <c r="A110" s="261" t="s">
        <v>12</v>
      </c>
      <c r="B110" s="262">
        <v>20704280032.539791</v>
      </c>
      <c r="C110" s="262">
        <v>-49198937.771789551</v>
      </c>
      <c r="D110" s="262">
        <v>3044806.7889870047</v>
      </c>
      <c r="E110" s="262">
        <v>2351443.6583296899</v>
      </c>
      <c r="F110" s="262"/>
      <c r="G110" s="262">
        <v>438609.9655605419</v>
      </c>
      <c r="H110" s="262">
        <v>2953028766.8290215</v>
      </c>
      <c r="I110" s="262">
        <v>1578590697.2320004</v>
      </c>
      <c r="J110" s="262">
        <v>22233671792</v>
      </c>
      <c r="K110" s="261"/>
    </row>
  </sheetData>
  <mergeCells count="1">
    <mergeCell ref="H65:I65"/>
  </mergeCells>
  <printOptions horizontalCentered="1"/>
  <pageMargins left="0.25" right="0.25" top="0.75" bottom="0.75" header="0.3" footer="0.3"/>
  <pageSetup scale="60" fitToHeight="0" orientation="landscape" r:id="rId1"/>
  <headerFooter>
    <oddFooter>&amp;L&amp;"Times New Roman,Regular"&amp;F
&amp;A&amp;R&amp;"Times New Roman,Regular"Page &amp;P of &amp;N</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pane xSplit="1" ySplit="6" topLeftCell="B7" activePane="bottomRight" state="frozen"/>
      <selection activeCell="L8" sqref="L8"/>
      <selection pane="topRight" activeCell="L8" sqref="L8"/>
      <selection pane="bottomLeft" activeCell="L8" sqref="L8"/>
      <selection pane="bottomRight" activeCell="F11" sqref="F11"/>
    </sheetView>
  </sheetViews>
  <sheetFormatPr defaultColWidth="9.140625" defaultRowHeight="12.75" x14ac:dyDescent="0.2"/>
  <cols>
    <col min="1" max="1" width="7.85546875" style="14" bestFit="1" customWidth="1"/>
    <col min="2" max="2" width="33" style="14" bestFit="1" customWidth="1"/>
    <col min="3" max="3" width="13.140625" style="14" bestFit="1" customWidth="1"/>
    <col min="4" max="5" width="15" style="14" bestFit="1" customWidth="1"/>
    <col min="6" max="7" width="11.28515625" style="14" bestFit="1" customWidth="1"/>
    <col min="8" max="9" width="15" style="14" bestFit="1" customWidth="1"/>
    <col min="10" max="10" width="10.28515625" style="14" bestFit="1" customWidth="1"/>
    <col min="11" max="11" width="8.7109375" style="14" bestFit="1" customWidth="1"/>
    <col min="12" max="16384" width="9.140625" style="14"/>
  </cols>
  <sheetData>
    <row r="1" spans="1:11" x14ac:dyDescent="0.2">
      <c r="A1" s="7" t="s">
        <v>13</v>
      </c>
      <c r="B1" s="8"/>
      <c r="C1" s="8"/>
      <c r="D1" s="8"/>
      <c r="E1" s="8"/>
      <c r="F1" s="8"/>
      <c r="G1" s="8"/>
      <c r="H1" s="8"/>
      <c r="I1" s="8"/>
      <c r="J1" s="8"/>
      <c r="K1" s="9"/>
    </row>
    <row r="2" spans="1:11" x14ac:dyDescent="0.2">
      <c r="A2" s="10" t="s">
        <v>393</v>
      </c>
      <c r="B2" s="11"/>
      <c r="C2" s="11"/>
      <c r="D2" s="11"/>
      <c r="E2" s="11"/>
      <c r="F2" s="11"/>
      <c r="G2" s="11"/>
      <c r="H2" s="11"/>
      <c r="I2" s="11"/>
      <c r="J2" s="11"/>
      <c r="K2" s="12"/>
    </row>
    <row r="3" spans="1:11" x14ac:dyDescent="0.2">
      <c r="A3" s="13"/>
      <c r="C3" s="348"/>
      <c r="D3" s="70"/>
      <c r="E3" s="70"/>
      <c r="F3" s="70"/>
      <c r="I3" s="70"/>
      <c r="K3" s="16"/>
    </row>
    <row r="4" spans="1:11" x14ac:dyDescent="0.2">
      <c r="A4" s="27"/>
      <c r="B4" s="28"/>
      <c r="C4" s="28"/>
      <c r="D4" s="29"/>
      <c r="E4" s="29"/>
      <c r="F4" s="30"/>
      <c r="G4" s="28"/>
      <c r="H4" s="29"/>
      <c r="I4" s="29"/>
      <c r="J4" s="28"/>
      <c r="K4" s="31"/>
    </row>
    <row r="5" spans="1:11" x14ac:dyDescent="0.2">
      <c r="A5" s="17"/>
      <c r="B5" s="18"/>
      <c r="C5" s="18"/>
      <c r="D5" s="19"/>
      <c r="E5" s="19"/>
      <c r="F5" s="19"/>
      <c r="G5" s="20"/>
      <c r="H5" s="19"/>
      <c r="I5" s="19"/>
      <c r="J5" s="20"/>
      <c r="K5" s="21"/>
    </row>
    <row r="6" spans="1:11" ht="90" thickBot="1" x14ac:dyDescent="0.25">
      <c r="A6" s="22" t="s">
        <v>0</v>
      </c>
      <c r="B6" s="23" t="s">
        <v>17</v>
      </c>
      <c r="C6" s="23" t="s">
        <v>18</v>
      </c>
      <c r="D6" s="24" t="s">
        <v>403</v>
      </c>
      <c r="E6" s="25" t="s">
        <v>404</v>
      </c>
      <c r="F6" s="25" t="s">
        <v>405</v>
      </c>
      <c r="G6" s="351" t="s">
        <v>406</v>
      </c>
      <c r="H6" s="25" t="s">
        <v>407</v>
      </c>
      <c r="I6" s="25" t="s">
        <v>408</v>
      </c>
      <c r="J6" s="23" t="s">
        <v>19</v>
      </c>
      <c r="K6" s="352" t="s">
        <v>20</v>
      </c>
    </row>
    <row r="7" spans="1:11" ht="25.5" x14ac:dyDescent="0.2">
      <c r="A7" s="27"/>
      <c r="B7" s="28"/>
      <c r="C7" s="28"/>
      <c r="D7" s="29" t="s">
        <v>14</v>
      </c>
      <c r="E7" s="29" t="s">
        <v>15</v>
      </c>
      <c r="F7" s="30" t="s">
        <v>16</v>
      </c>
      <c r="G7" s="353" t="s">
        <v>67</v>
      </c>
      <c r="H7" s="29" t="s">
        <v>409</v>
      </c>
      <c r="I7" s="29" t="s">
        <v>88</v>
      </c>
      <c r="J7" s="28" t="s">
        <v>68</v>
      </c>
      <c r="K7" s="354" t="s">
        <v>69</v>
      </c>
    </row>
    <row r="8" spans="1:11" x14ac:dyDescent="0.2">
      <c r="A8" s="13"/>
      <c r="C8" s="348"/>
      <c r="D8" s="70"/>
      <c r="E8" s="70"/>
      <c r="F8" s="70"/>
      <c r="G8" s="355"/>
      <c r="I8" s="70"/>
      <c r="K8" s="356"/>
    </row>
    <row r="9" spans="1:11" x14ac:dyDescent="0.2">
      <c r="A9" s="13">
        <v>1</v>
      </c>
      <c r="B9" s="14" t="s">
        <v>1</v>
      </c>
      <c r="C9" s="348">
        <v>7</v>
      </c>
      <c r="D9" s="357">
        <v>10870508000</v>
      </c>
      <c r="E9" s="358">
        <v>1100277000</v>
      </c>
      <c r="F9" s="359">
        <v>-7.2999999999999999E-5</v>
      </c>
      <c r="G9" s="360">
        <v>-8.2000000000000001E-5</v>
      </c>
      <c r="H9" s="32">
        <v>1099483452.9159999</v>
      </c>
      <c r="I9" s="32">
        <v>1099385618.3440001</v>
      </c>
      <c r="J9" s="32">
        <v>-97834.571999788284</v>
      </c>
      <c r="K9" s="361">
        <v>-8.8982305045442827E-5</v>
      </c>
    </row>
    <row r="10" spans="1:11" x14ac:dyDescent="0.2">
      <c r="A10" s="13">
        <v>2</v>
      </c>
      <c r="C10" s="348"/>
      <c r="D10" s="357"/>
      <c r="E10" s="358"/>
      <c r="F10" s="359"/>
      <c r="G10" s="360"/>
      <c r="H10" s="35"/>
      <c r="I10" s="32"/>
      <c r="J10" s="32"/>
      <c r="K10" s="361"/>
    </row>
    <row r="11" spans="1:11" x14ac:dyDescent="0.2">
      <c r="A11" s="13">
        <v>3</v>
      </c>
      <c r="B11" s="36" t="s">
        <v>2</v>
      </c>
      <c r="C11" s="38" t="s">
        <v>410</v>
      </c>
      <c r="D11" s="357">
        <v>2879589000</v>
      </c>
      <c r="E11" s="358">
        <v>295990000</v>
      </c>
      <c r="F11" s="359">
        <v>-6.3E-5</v>
      </c>
      <c r="G11" s="360">
        <v>-7.6000000000000004E-5</v>
      </c>
      <c r="H11" s="32">
        <v>295808585.89300001</v>
      </c>
      <c r="I11" s="32">
        <v>295771151.236</v>
      </c>
      <c r="J11" s="32">
        <v>-37434.657000005245</v>
      </c>
      <c r="K11" s="361">
        <v>-1.2655027198414762E-4</v>
      </c>
    </row>
    <row r="12" spans="1:11" x14ac:dyDescent="0.2">
      <c r="A12" s="13">
        <v>4</v>
      </c>
      <c r="B12" s="37" t="s">
        <v>3</v>
      </c>
      <c r="C12" s="38" t="s">
        <v>411</v>
      </c>
      <c r="D12" s="357">
        <v>3047605000</v>
      </c>
      <c r="E12" s="358">
        <v>280705000</v>
      </c>
      <c r="F12" s="359">
        <v>-6.0000000000000002E-5</v>
      </c>
      <c r="G12" s="360">
        <v>-7.2000000000000002E-5</v>
      </c>
      <c r="H12" s="32">
        <v>280522143.69999999</v>
      </c>
      <c r="I12" s="32">
        <v>280485572.44</v>
      </c>
      <c r="J12" s="32">
        <v>-36571.259999990463</v>
      </c>
      <c r="K12" s="361">
        <v>-1.3036853175876564E-4</v>
      </c>
    </row>
    <row r="13" spans="1:11" x14ac:dyDescent="0.2">
      <c r="A13" s="13">
        <v>5</v>
      </c>
      <c r="B13" s="37" t="s">
        <v>4</v>
      </c>
      <c r="C13" s="38" t="s">
        <v>412</v>
      </c>
      <c r="D13" s="357">
        <v>1799669000</v>
      </c>
      <c r="E13" s="358">
        <v>155578000</v>
      </c>
      <c r="F13" s="359">
        <v>-6.4999999999999994E-5</v>
      </c>
      <c r="G13" s="360">
        <v>-7.8999999999999996E-5</v>
      </c>
      <c r="H13" s="32">
        <v>155461021.51499999</v>
      </c>
      <c r="I13" s="32">
        <v>155435826.14899999</v>
      </c>
      <c r="J13" s="32">
        <v>-25195.365999996662</v>
      </c>
      <c r="K13" s="361">
        <v>-1.6206870220240792E-4</v>
      </c>
    </row>
    <row r="14" spans="1:11" x14ac:dyDescent="0.2">
      <c r="A14" s="13">
        <v>6</v>
      </c>
      <c r="B14" s="37" t="s">
        <v>5</v>
      </c>
      <c r="C14" s="348">
        <v>29</v>
      </c>
      <c r="D14" s="357">
        <v>15098000</v>
      </c>
      <c r="E14" s="358">
        <v>1118000</v>
      </c>
      <c r="F14" s="359">
        <v>-4.8999999999999998E-5</v>
      </c>
      <c r="G14" s="360">
        <v>-5.8999999999999998E-5</v>
      </c>
      <c r="H14" s="32">
        <v>1117260.1980000001</v>
      </c>
      <c r="I14" s="32">
        <v>1117109.2180000001</v>
      </c>
      <c r="J14" s="32">
        <v>-150.97999999998137</v>
      </c>
      <c r="K14" s="361">
        <v>-1.3513414356857036E-4</v>
      </c>
    </row>
    <row r="15" spans="1:11" x14ac:dyDescent="0.2">
      <c r="A15" s="13">
        <v>7</v>
      </c>
      <c r="C15" s="348"/>
      <c r="D15" s="70"/>
      <c r="E15" s="32"/>
      <c r="F15" s="33"/>
      <c r="G15" s="362"/>
      <c r="H15" s="35"/>
      <c r="I15" s="32"/>
      <c r="J15" s="32"/>
      <c r="K15" s="361"/>
    </row>
    <row r="16" spans="1:11" x14ac:dyDescent="0.2">
      <c r="A16" s="13">
        <v>8</v>
      </c>
      <c r="B16" s="14" t="s">
        <v>21</v>
      </c>
      <c r="C16" s="348"/>
      <c r="D16" s="70">
        <v>7741961000</v>
      </c>
      <c r="E16" s="32">
        <v>733391000</v>
      </c>
      <c r="F16" s="33">
        <v>-6.225666778739909E-5</v>
      </c>
      <c r="G16" s="362">
        <v>-7.5089626129607226E-5</v>
      </c>
      <c r="H16" s="32">
        <v>732909011.30599988</v>
      </c>
      <c r="I16" s="32">
        <v>732809659.0430001</v>
      </c>
      <c r="J16" s="32">
        <v>-99352.262999992352</v>
      </c>
      <c r="K16" s="361">
        <v>-1.3555879579506407E-4</v>
      </c>
    </row>
    <row r="17" spans="1:11" x14ac:dyDescent="0.2">
      <c r="A17" s="13">
        <v>9</v>
      </c>
      <c r="C17" s="348"/>
      <c r="D17" s="70"/>
      <c r="E17" s="32"/>
      <c r="F17" s="33"/>
      <c r="G17" s="362"/>
      <c r="H17" s="35"/>
      <c r="I17" s="32"/>
      <c r="J17" s="32"/>
      <c r="K17" s="361"/>
    </row>
    <row r="18" spans="1:11" x14ac:dyDescent="0.2">
      <c r="A18" s="13">
        <v>10</v>
      </c>
      <c r="B18" s="37" t="s">
        <v>6</v>
      </c>
      <c r="C18" s="38" t="s">
        <v>413</v>
      </c>
      <c r="D18" s="357">
        <v>1326033000</v>
      </c>
      <c r="E18" s="358">
        <v>111113000</v>
      </c>
      <c r="F18" s="359">
        <v>-5.8999999999999998E-5</v>
      </c>
      <c r="G18" s="360">
        <v>-7.1000000000000005E-5</v>
      </c>
      <c r="H18" s="32">
        <v>111034764.053</v>
      </c>
      <c r="I18" s="32">
        <v>111018851.65700001</v>
      </c>
      <c r="J18" s="32">
        <v>-15912.395999997854</v>
      </c>
      <c r="K18" s="361">
        <v>-1.4331003569658979E-4</v>
      </c>
    </row>
    <row r="19" spans="1:11" x14ac:dyDescent="0.2">
      <c r="A19" s="13">
        <v>11</v>
      </c>
      <c r="B19" s="37" t="s">
        <v>7</v>
      </c>
      <c r="C19" s="348">
        <v>35</v>
      </c>
      <c r="D19" s="357">
        <v>4566000</v>
      </c>
      <c r="E19" s="358">
        <v>246000</v>
      </c>
      <c r="F19" s="359">
        <v>-4.3999999999999999E-5</v>
      </c>
      <c r="G19" s="360">
        <v>-5.5999999999999999E-5</v>
      </c>
      <c r="H19" s="32">
        <v>245799.09599999999</v>
      </c>
      <c r="I19" s="32">
        <v>245744.304</v>
      </c>
      <c r="J19" s="32">
        <v>-54.791999999986729</v>
      </c>
      <c r="K19" s="361">
        <v>-2.2291375717666077E-4</v>
      </c>
    </row>
    <row r="20" spans="1:11" x14ac:dyDescent="0.2">
      <c r="A20" s="13">
        <v>12</v>
      </c>
      <c r="B20" s="37" t="s">
        <v>8</v>
      </c>
      <c r="C20" s="348">
        <v>43</v>
      </c>
      <c r="D20" s="357">
        <v>118819000</v>
      </c>
      <c r="E20" s="358">
        <v>10722000</v>
      </c>
      <c r="F20" s="359">
        <v>-5.0000000000000002E-5</v>
      </c>
      <c r="G20" s="360">
        <v>-5.8999999999999998E-5</v>
      </c>
      <c r="H20" s="32">
        <v>10716059.050000001</v>
      </c>
      <c r="I20" s="32">
        <v>10714989.679</v>
      </c>
      <c r="J20" s="32">
        <v>-1069.371000001207</v>
      </c>
      <c r="K20" s="361">
        <v>-9.9791443385262689E-5</v>
      </c>
    </row>
    <row r="21" spans="1:11" x14ac:dyDescent="0.2">
      <c r="A21" s="13">
        <v>13</v>
      </c>
      <c r="B21" s="39"/>
      <c r="C21" s="348"/>
      <c r="D21" s="70"/>
      <c r="E21" s="32"/>
      <c r="F21" s="33"/>
      <c r="G21" s="362"/>
      <c r="H21" s="35"/>
      <c r="I21" s="32"/>
      <c r="J21" s="32"/>
      <c r="K21" s="361"/>
    </row>
    <row r="22" spans="1:11" x14ac:dyDescent="0.2">
      <c r="A22" s="13">
        <v>14</v>
      </c>
      <c r="B22" s="39" t="s">
        <v>22</v>
      </c>
      <c r="C22" s="348"/>
      <c r="D22" s="70">
        <v>1449418000</v>
      </c>
      <c r="E22" s="32">
        <v>122081000</v>
      </c>
      <c r="F22" s="33">
        <v>-5.8214953174308581E-5</v>
      </c>
      <c r="G22" s="362">
        <v>-6.9969022048849949E-5</v>
      </c>
      <c r="H22" s="32">
        <v>121996622.199</v>
      </c>
      <c r="I22" s="32">
        <v>121979585.64000002</v>
      </c>
      <c r="J22" s="32">
        <v>-17036.558999999048</v>
      </c>
      <c r="K22" s="361">
        <v>-1.396477926430548E-4</v>
      </c>
    </row>
    <row r="23" spans="1:11" x14ac:dyDescent="0.2">
      <c r="A23" s="13">
        <v>15</v>
      </c>
      <c r="B23" s="39"/>
      <c r="C23" s="348"/>
      <c r="D23" s="70"/>
      <c r="E23" s="32"/>
      <c r="F23" s="33"/>
      <c r="G23" s="362"/>
      <c r="H23" s="35"/>
      <c r="I23" s="32"/>
      <c r="J23" s="32"/>
      <c r="K23" s="361"/>
    </row>
    <row r="24" spans="1:11" x14ac:dyDescent="0.2">
      <c r="A24" s="13">
        <v>16</v>
      </c>
      <c r="B24" s="40" t="s">
        <v>64</v>
      </c>
      <c r="C24" s="348">
        <v>40</v>
      </c>
      <c r="D24" s="357">
        <v>128305000</v>
      </c>
      <c r="E24" s="358">
        <v>9510000</v>
      </c>
      <c r="F24" s="359">
        <v>-6.7000000000000002E-5</v>
      </c>
      <c r="G24" s="360">
        <v>-1E-4</v>
      </c>
      <c r="H24" s="32">
        <v>9501403.5649999995</v>
      </c>
      <c r="I24" s="32">
        <v>9497169.5</v>
      </c>
      <c r="J24" s="32">
        <v>-4234.0649999994785</v>
      </c>
      <c r="K24" s="361">
        <v>-4.4562521432058326E-4</v>
      </c>
    </row>
    <row r="25" spans="1:11" x14ac:dyDescent="0.2">
      <c r="A25" s="13">
        <v>17</v>
      </c>
      <c r="B25" s="39"/>
      <c r="C25" s="348"/>
      <c r="D25" s="357"/>
      <c r="E25" s="358"/>
      <c r="F25" s="359"/>
      <c r="G25" s="360"/>
      <c r="H25" s="35"/>
      <c r="I25" s="32"/>
      <c r="J25" s="32"/>
      <c r="K25" s="361"/>
    </row>
    <row r="26" spans="1:11" x14ac:dyDescent="0.2">
      <c r="A26" s="13">
        <v>18</v>
      </c>
      <c r="B26" s="37" t="s">
        <v>23</v>
      </c>
      <c r="C26" s="348">
        <v>46</v>
      </c>
      <c r="D26" s="357">
        <v>73310000</v>
      </c>
      <c r="E26" s="358">
        <v>5078000</v>
      </c>
      <c r="F26" s="359">
        <v>-3.8000000000000002E-5</v>
      </c>
      <c r="G26" s="360">
        <v>-4.5000000000000003E-5</v>
      </c>
      <c r="H26" s="32">
        <v>5075214.22</v>
      </c>
      <c r="I26" s="32">
        <v>5074701.05</v>
      </c>
      <c r="J26" s="32">
        <v>-513.16999999992549</v>
      </c>
      <c r="K26" s="361">
        <v>-1.0111297331601611E-4</v>
      </c>
    </row>
    <row r="27" spans="1:11" x14ac:dyDescent="0.2">
      <c r="A27" s="13">
        <v>19</v>
      </c>
      <c r="B27" s="36" t="s">
        <v>24</v>
      </c>
      <c r="C27" s="348">
        <v>49</v>
      </c>
      <c r="D27" s="357">
        <v>558581000</v>
      </c>
      <c r="E27" s="358">
        <v>38006000</v>
      </c>
      <c r="F27" s="359">
        <v>-5.8E-5</v>
      </c>
      <c r="G27" s="360">
        <v>-6.9999999999999994E-5</v>
      </c>
      <c r="H27" s="32">
        <v>37973602.302000001</v>
      </c>
      <c r="I27" s="32">
        <v>37966899.329999998</v>
      </c>
      <c r="J27" s="32">
        <v>-6702.972000002861</v>
      </c>
      <c r="K27" s="361">
        <v>-1.7651662190736715E-4</v>
      </c>
    </row>
    <row r="28" spans="1:11" x14ac:dyDescent="0.2">
      <c r="A28" s="13">
        <v>20</v>
      </c>
      <c r="C28" s="348"/>
      <c r="D28" s="70"/>
      <c r="E28" s="32"/>
      <c r="F28" s="33"/>
      <c r="G28" s="362"/>
      <c r="H28" s="35"/>
      <c r="I28" s="32"/>
      <c r="J28" s="32"/>
      <c r="K28" s="361"/>
    </row>
    <row r="29" spans="1:11" x14ac:dyDescent="0.2">
      <c r="A29" s="13">
        <v>21</v>
      </c>
      <c r="B29" s="40" t="s">
        <v>25</v>
      </c>
      <c r="C29" s="348"/>
      <c r="D29" s="70">
        <v>631891000</v>
      </c>
      <c r="E29" s="32">
        <v>43084000</v>
      </c>
      <c r="F29" s="33">
        <v>-5.5679663106453488E-5</v>
      </c>
      <c r="G29" s="362">
        <v>-6.7099578883066851E-5</v>
      </c>
      <c r="H29" s="70">
        <v>43048816.522</v>
      </c>
      <c r="I29" s="70">
        <v>43041600.379999995</v>
      </c>
      <c r="J29" s="32">
        <v>-7216.1420000027865</v>
      </c>
      <c r="K29" s="361">
        <v>-1.6762695430465536E-4</v>
      </c>
    </row>
    <row r="30" spans="1:11" x14ac:dyDescent="0.2">
      <c r="A30" s="13">
        <v>22</v>
      </c>
      <c r="C30" s="348"/>
      <c r="D30" s="70"/>
      <c r="E30" s="32"/>
      <c r="F30" s="33"/>
      <c r="G30" s="362"/>
      <c r="H30" s="35"/>
      <c r="I30" s="32"/>
      <c r="J30" s="32"/>
      <c r="K30" s="361"/>
    </row>
    <row r="31" spans="1:11" x14ac:dyDescent="0.2">
      <c r="A31" s="13">
        <v>23</v>
      </c>
      <c r="B31" s="14" t="s">
        <v>9</v>
      </c>
      <c r="C31" s="348" t="s">
        <v>63</v>
      </c>
      <c r="D31" s="357">
        <v>68364000</v>
      </c>
      <c r="E31" s="358">
        <v>16625000</v>
      </c>
      <c r="F31" s="359">
        <v>-7.4999999999999993E-5</v>
      </c>
      <c r="G31" s="360">
        <v>-8.7999999999999998E-5</v>
      </c>
      <c r="H31" s="32">
        <v>16619872.699999999</v>
      </c>
      <c r="I31" s="32">
        <v>16618983.968</v>
      </c>
      <c r="J31" s="32">
        <v>-888.73199999891222</v>
      </c>
      <c r="K31" s="361">
        <v>-5.347405579098763E-5</v>
      </c>
    </row>
    <row r="32" spans="1:11" x14ac:dyDescent="0.2">
      <c r="A32" s="13">
        <v>24</v>
      </c>
      <c r="C32" s="348"/>
      <c r="D32" s="357"/>
      <c r="E32" s="358"/>
      <c r="F32" s="359"/>
      <c r="G32" s="360"/>
      <c r="I32" s="32"/>
      <c r="J32" s="32"/>
      <c r="K32" s="361"/>
    </row>
    <row r="33" spans="1:11" x14ac:dyDescent="0.2">
      <c r="A33" s="13">
        <v>25</v>
      </c>
      <c r="B33" s="41" t="s">
        <v>26</v>
      </c>
      <c r="C33" s="38" t="s">
        <v>27</v>
      </c>
      <c r="D33" s="357">
        <v>7435000</v>
      </c>
      <c r="E33" s="358">
        <v>335000</v>
      </c>
      <c r="F33" s="359">
        <v>-7.2000000000000002E-5</v>
      </c>
      <c r="G33" s="360">
        <v>-7.6000000000000004E-5</v>
      </c>
      <c r="H33" s="32">
        <v>334464.68</v>
      </c>
      <c r="I33" s="32">
        <v>334434.94</v>
      </c>
      <c r="J33" s="32">
        <v>-29.739999999990687</v>
      </c>
      <c r="K33" s="361">
        <v>-8.8918208045138535E-5</v>
      </c>
    </row>
    <row r="34" spans="1:11" x14ac:dyDescent="0.2">
      <c r="A34" s="13">
        <v>26</v>
      </c>
      <c r="B34" s="41"/>
      <c r="C34" s="38"/>
      <c r="D34" s="70"/>
      <c r="E34" s="32"/>
      <c r="F34" s="33"/>
      <c r="G34" s="362"/>
      <c r="H34" s="35"/>
      <c r="I34" s="32"/>
      <c r="J34" s="32"/>
      <c r="K34" s="361"/>
    </row>
    <row r="35" spans="1:11" x14ac:dyDescent="0.2">
      <c r="A35" s="13">
        <v>27</v>
      </c>
      <c r="B35" s="37" t="s">
        <v>10</v>
      </c>
      <c r="C35" s="348"/>
      <c r="D35" s="70">
        <v>20897882000</v>
      </c>
      <c r="E35" s="32">
        <v>2025303000</v>
      </c>
      <c r="F35" s="33">
        <v>-6.7440141158802615E-5</v>
      </c>
      <c r="G35" s="362">
        <v>-7.8282965948415242E-5</v>
      </c>
      <c r="H35" s="32">
        <v>2023893643.8879998</v>
      </c>
      <c r="I35" s="32">
        <v>2023667051.8150003</v>
      </c>
      <c r="J35" s="32">
        <v>-226592.07299978085</v>
      </c>
      <c r="K35" s="361">
        <v>-1.1195848837416489E-4</v>
      </c>
    </row>
    <row r="36" spans="1:11" x14ac:dyDescent="0.2">
      <c r="A36" s="13">
        <v>28</v>
      </c>
      <c r="B36" s="40"/>
      <c r="C36" s="348"/>
      <c r="D36" s="70"/>
      <c r="E36" s="32"/>
      <c r="F36" s="35"/>
      <c r="G36" s="363"/>
      <c r="H36" s="35"/>
      <c r="I36" s="32"/>
      <c r="J36" s="32"/>
      <c r="K36" s="361"/>
    </row>
    <row r="37" spans="1:11" x14ac:dyDescent="0.2">
      <c r="A37" s="13">
        <v>29</v>
      </c>
      <c r="B37" s="40" t="s">
        <v>28</v>
      </c>
      <c r="C37" s="348"/>
      <c r="D37" s="70"/>
      <c r="E37" s="32"/>
      <c r="F37" s="32"/>
      <c r="G37" s="363"/>
      <c r="H37" s="35"/>
      <c r="I37" s="32"/>
      <c r="J37" s="32"/>
      <c r="K37" s="361"/>
    </row>
    <row r="38" spans="1:11" x14ac:dyDescent="0.2">
      <c r="A38" s="13">
        <v>30</v>
      </c>
      <c r="B38" s="37" t="s">
        <v>414</v>
      </c>
      <c r="C38" s="38" t="s">
        <v>328</v>
      </c>
      <c r="D38" s="357">
        <v>2514367000</v>
      </c>
      <c r="E38" s="358">
        <v>16527000</v>
      </c>
      <c r="F38" s="32"/>
      <c r="G38" s="363"/>
      <c r="H38" s="32">
        <v>16527000</v>
      </c>
      <c r="I38" s="32">
        <v>16527000</v>
      </c>
      <c r="J38" s="32">
        <v>0</v>
      </c>
      <c r="K38" s="361"/>
    </row>
    <row r="39" spans="1:11" x14ac:dyDescent="0.2">
      <c r="A39" s="13">
        <v>31</v>
      </c>
      <c r="B39" s="36"/>
      <c r="C39" s="348"/>
      <c r="D39" s="70"/>
      <c r="E39" s="32"/>
      <c r="F39" s="32"/>
      <c r="G39" s="363"/>
      <c r="H39" s="35"/>
      <c r="I39" s="32"/>
      <c r="J39" s="32"/>
      <c r="K39" s="361"/>
    </row>
    <row r="40" spans="1:11" x14ac:dyDescent="0.2">
      <c r="A40" s="13">
        <v>32</v>
      </c>
      <c r="B40" s="40"/>
      <c r="C40" s="348"/>
      <c r="D40" s="70"/>
      <c r="E40" s="32"/>
      <c r="F40" s="32"/>
      <c r="G40" s="35"/>
      <c r="H40" s="35"/>
      <c r="I40" s="32"/>
      <c r="J40" s="32"/>
      <c r="K40" s="361"/>
    </row>
    <row r="41" spans="1:11" x14ac:dyDescent="0.2">
      <c r="A41" s="13">
        <v>33</v>
      </c>
      <c r="B41" s="40" t="s">
        <v>12</v>
      </c>
      <c r="C41" s="348"/>
      <c r="D41" s="70">
        <v>23412249000</v>
      </c>
      <c r="E41" s="32">
        <v>2041830000</v>
      </c>
      <c r="F41" s="32"/>
      <c r="G41" s="35"/>
      <c r="H41" s="32">
        <v>2040420643.8879998</v>
      </c>
      <c r="I41" s="32">
        <v>2040194051.8150003</v>
      </c>
      <c r="J41" s="32">
        <v>-226592.07299978085</v>
      </c>
      <c r="K41" s="361"/>
    </row>
    <row r="42" spans="1:11" ht="13.5" thickBot="1" x14ac:dyDescent="0.25">
      <c r="A42" s="42"/>
      <c r="B42" s="43"/>
      <c r="C42" s="44"/>
      <c r="D42" s="45"/>
      <c r="E42" s="46"/>
      <c r="F42" s="46"/>
      <c r="G42" s="43"/>
      <c r="H42" s="43"/>
      <c r="I42" s="45"/>
      <c r="J42" s="43"/>
      <c r="K42" s="47"/>
    </row>
  </sheetData>
  <printOptions horizontalCentered="1"/>
  <pageMargins left="0.7" right="0.7" top="0.75" bottom="0.75" header="0.3" footer="0.3"/>
  <pageSetup scale="81" orientation="landscape" r:id="rId1"/>
  <headerFooter alignWithMargins="0">
    <oddFooter>&amp;L&amp;F
&amp;A&amp;RSchedule 95A Filing Eff 1-1-21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51"/>
  <sheetViews>
    <sheetView zoomScale="80" zoomScaleNormal="80" workbookViewId="0">
      <pane xSplit="3" ySplit="6" topLeftCell="D7" activePane="bottomRight" state="frozen"/>
      <selection activeCell="A4" sqref="A1:XFD1048576"/>
      <selection pane="topRight" activeCell="A4" sqref="A1:XFD1048576"/>
      <selection pane="bottomLeft" activeCell="A4" sqref="A1:XFD1048576"/>
      <selection pane="bottomRight" activeCell="E30" sqref="E30"/>
    </sheetView>
  </sheetViews>
  <sheetFormatPr defaultColWidth="9.140625" defaultRowHeight="12.75" x14ac:dyDescent="0.2"/>
  <cols>
    <col min="1" max="1" width="4.42578125" style="15" bestFit="1" customWidth="1"/>
    <col min="2" max="2" width="30.85546875" style="14" bestFit="1" customWidth="1"/>
    <col min="3" max="3" width="13.42578125" style="15" bestFit="1" customWidth="1"/>
    <col min="4" max="4" width="16.28515625" style="70" bestFit="1" customWidth="1"/>
    <col min="5" max="5" width="17.7109375" style="70" bestFit="1" customWidth="1"/>
    <col min="6" max="6" width="14.7109375" style="70" bestFit="1" customWidth="1"/>
    <col min="7" max="7" width="15.28515625" style="14" bestFit="1" customWidth="1"/>
    <col min="8" max="8" width="17.7109375" style="14" bestFit="1" customWidth="1"/>
    <col min="9" max="9" width="16.28515625" style="70" bestFit="1" customWidth="1"/>
    <col min="10" max="10" width="14.42578125" style="14" customWidth="1"/>
    <col min="11" max="11" width="10.5703125" style="14" customWidth="1"/>
    <col min="12" max="12" width="9.140625" style="14"/>
    <col min="13" max="13" width="17.7109375" style="14" bestFit="1" customWidth="1"/>
    <col min="14" max="14" width="15.5703125" style="14" bestFit="1" customWidth="1"/>
    <col min="15" max="16384" width="9.140625" style="14"/>
  </cols>
  <sheetData>
    <row r="1" spans="1:14" x14ac:dyDescent="0.2">
      <c r="A1" s="7" t="s">
        <v>13</v>
      </c>
      <c r="B1" s="8"/>
      <c r="C1" s="8"/>
      <c r="D1" s="8"/>
      <c r="E1" s="8"/>
      <c r="F1" s="8"/>
      <c r="G1" s="8"/>
      <c r="H1" s="8"/>
      <c r="I1" s="8"/>
      <c r="J1" s="8"/>
      <c r="K1" s="9"/>
    </row>
    <row r="2" spans="1:14" x14ac:dyDescent="0.2">
      <c r="A2" s="10" t="s">
        <v>399</v>
      </c>
      <c r="B2" s="11"/>
      <c r="C2" s="11"/>
      <c r="D2" s="11"/>
      <c r="E2" s="11"/>
      <c r="F2" s="11"/>
      <c r="G2" s="11"/>
      <c r="H2" s="11"/>
      <c r="I2" s="11"/>
      <c r="J2" s="11"/>
      <c r="K2" s="12"/>
    </row>
    <row r="3" spans="1:14" x14ac:dyDescent="0.2">
      <c r="A3" s="13"/>
      <c r="K3" s="16"/>
    </row>
    <row r="4" spans="1:14" s="18" customFormat="1" x14ac:dyDescent="0.2">
      <c r="A4" s="17"/>
      <c r="D4" s="19"/>
      <c r="E4" s="19"/>
      <c r="F4" s="19"/>
      <c r="G4" s="20"/>
      <c r="H4" s="19"/>
      <c r="I4" s="19"/>
      <c r="J4" s="20"/>
      <c r="K4" s="21"/>
    </row>
    <row r="5" spans="1:14" s="18" customFormat="1" ht="64.5" thickBot="1" x14ac:dyDescent="0.25">
      <c r="A5" s="22" t="s">
        <v>0</v>
      </c>
      <c r="B5" s="23" t="s">
        <v>17</v>
      </c>
      <c r="C5" s="23" t="s">
        <v>18</v>
      </c>
      <c r="D5" s="24" t="s">
        <v>367</v>
      </c>
      <c r="E5" s="25" t="s">
        <v>368</v>
      </c>
      <c r="F5" s="25" t="s">
        <v>394</v>
      </c>
      <c r="G5" s="25" t="s">
        <v>395</v>
      </c>
      <c r="H5" s="25" t="s">
        <v>396</v>
      </c>
      <c r="I5" s="25" t="s">
        <v>397</v>
      </c>
      <c r="J5" s="23" t="s">
        <v>19</v>
      </c>
      <c r="K5" s="26" t="s">
        <v>20</v>
      </c>
    </row>
    <row r="6" spans="1:14" s="28" customFormat="1" ht="25.5" x14ac:dyDescent="0.2">
      <c r="A6" s="27"/>
      <c r="D6" s="29" t="s">
        <v>14</v>
      </c>
      <c r="E6" s="29" t="s">
        <v>15</v>
      </c>
      <c r="F6" s="30" t="s">
        <v>16</v>
      </c>
      <c r="G6" s="28" t="s">
        <v>67</v>
      </c>
      <c r="H6" s="29" t="s">
        <v>87</v>
      </c>
      <c r="I6" s="29" t="s">
        <v>88</v>
      </c>
      <c r="J6" s="28" t="s">
        <v>68</v>
      </c>
      <c r="K6" s="31" t="s">
        <v>69</v>
      </c>
    </row>
    <row r="7" spans="1:14" x14ac:dyDescent="0.2">
      <c r="A7" s="13"/>
      <c r="K7" s="16"/>
      <c r="M7" s="18"/>
      <c r="N7" s="18"/>
    </row>
    <row r="8" spans="1:14" x14ac:dyDescent="0.2">
      <c r="A8" s="13">
        <v>1</v>
      </c>
      <c r="B8" s="14" t="s">
        <v>1</v>
      </c>
      <c r="C8" s="15">
        <v>7</v>
      </c>
      <c r="D8" s="70">
        <f>+'Estimated Proforma Net Revenue'!C9</f>
        <v>10966324000</v>
      </c>
      <c r="E8" s="32">
        <f>+'Estimated Proforma Net Revenue'!D9</f>
        <v>1174744000</v>
      </c>
      <c r="F8" s="33">
        <f>+'UE-190988 Sch 137 Eff 1-1-20'!G9</f>
        <v>-8.2000000000000001E-5</v>
      </c>
      <c r="G8" s="33">
        <f>ROUND(+'Peak Credit Spread'!L7,6)</f>
        <v>-4.3000000000000002E-5</v>
      </c>
      <c r="H8" s="32">
        <f>+E8+ROUND(F8,6)*D8</f>
        <v>1173844761.4319999</v>
      </c>
      <c r="I8" s="32">
        <f>+G8*$D8+$E8</f>
        <v>1174272448.0680001</v>
      </c>
      <c r="J8" s="32">
        <f>+I8-H8</f>
        <v>427686.6360001564</v>
      </c>
      <c r="K8" s="34">
        <f>+J8/H8</f>
        <v>3.6434684555597602E-4</v>
      </c>
      <c r="M8" s="120"/>
      <c r="N8" s="122"/>
    </row>
    <row r="9" spans="1:14" x14ac:dyDescent="0.2">
      <c r="A9" s="13">
        <f t="shared" ref="A9:A37" si="0">+A8+1</f>
        <v>2</v>
      </c>
      <c r="E9" s="32"/>
      <c r="F9" s="32"/>
      <c r="G9" s="32"/>
      <c r="H9" s="35"/>
      <c r="I9" s="32"/>
      <c r="J9" s="32"/>
      <c r="K9" s="34"/>
      <c r="M9" s="120"/>
      <c r="N9" s="18"/>
    </row>
    <row r="10" spans="1:14" x14ac:dyDescent="0.2">
      <c r="A10" s="13">
        <f t="shared" si="0"/>
        <v>3</v>
      </c>
      <c r="B10" s="36" t="s">
        <v>2</v>
      </c>
      <c r="C10" s="15" t="s">
        <v>81</v>
      </c>
      <c r="D10" s="70">
        <f>+'Estimated Proforma Net Revenue'!C12</f>
        <v>2695442000</v>
      </c>
      <c r="E10" s="32">
        <f>+'Estimated Proforma Net Revenue'!D12</f>
        <v>295441000</v>
      </c>
      <c r="F10" s="33">
        <f>+'UE-190988 Sch 137 Eff 1-1-20'!G11</f>
        <v>-7.6000000000000004E-5</v>
      </c>
      <c r="G10" s="33">
        <f>ROUND(+'Peak Credit Spread'!L9,6)</f>
        <v>-4.3999999999999999E-5</v>
      </c>
      <c r="H10" s="32">
        <f t="shared" ref="H10:H13" si="1">+E10+ROUND(F10,6)*D10</f>
        <v>295236146.40799999</v>
      </c>
      <c r="I10" s="32">
        <f t="shared" ref="I10:I13" si="2">+G10*$D10+$E10</f>
        <v>295322400.55199999</v>
      </c>
      <c r="J10" s="32">
        <f>+I10-H10</f>
        <v>86254.143999993801</v>
      </c>
      <c r="K10" s="34">
        <f>+J10/H10</f>
        <v>2.9215306136937363E-4</v>
      </c>
      <c r="M10" s="120"/>
      <c r="N10" s="122"/>
    </row>
    <row r="11" spans="1:14" x14ac:dyDescent="0.2">
      <c r="A11" s="13">
        <f t="shared" si="0"/>
        <v>4</v>
      </c>
      <c r="B11" s="37" t="s">
        <v>3</v>
      </c>
      <c r="C11" s="38" t="s">
        <v>82</v>
      </c>
      <c r="D11" s="70">
        <f>+'Estimated Proforma Net Revenue'!C13</f>
        <v>2864927000</v>
      </c>
      <c r="E11" s="32">
        <f>+'Estimated Proforma Net Revenue'!D13</f>
        <v>275850000</v>
      </c>
      <c r="F11" s="33">
        <f>+'UE-190988 Sch 137 Eff 1-1-20'!G12</f>
        <v>-7.2000000000000002E-5</v>
      </c>
      <c r="G11" s="33">
        <f>ROUND(+'Peak Credit Spread'!L10,6)</f>
        <v>-4.5000000000000003E-5</v>
      </c>
      <c r="H11" s="32">
        <f t="shared" si="1"/>
        <v>275643725.25599998</v>
      </c>
      <c r="I11" s="32">
        <f t="shared" si="2"/>
        <v>275721078.28500003</v>
      </c>
      <c r="J11" s="32">
        <f>+I11-H11</f>
        <v>77353.029000043869</v>
      </c>
      <c r="K11" s="34">
        <f>+J11/H11</f>
        <v>2.8062684513570336E-4</v>
      </c>
      <c r="M11" s="120"/>
      <c r="N11" s="122"/>
    </row>
    <row r="12" spans="1:14" x14ac:dyDescent="0.2">
      <c r="A12" s="13">
        <f t="shared" si="0"/>
        <v>5</v>
      </c>
      <c r="B12" s="37" t="s">
        <v>4</v>
      </c>
      <c r="C12" s="15" t="s">
        <v>84</v>
      </c>
      <c r="D12" s="70">
        <f>+'Estimated Proforma Net Revenue'!C14</f>
        <v>1692365000</v>
      </c>
      <c r="E12" s="32">
        <f>+'Estimated Proforma Net Revenue'!D14</f>
        <v>153058000</v>
      </c>
      <c r="F12" s="33">
        <f>+'UE-190988 Sch 137 Eff 1-1-20'!G13</f>
        <v>-7.8999999999999996E-5</v>
      </c>
      <c r="G12" s="33">
        <f>ROUND(+'Peak Credit Spread'!L11,6)</f>
        <v>-4.6999999999999997E-5</v>
      </c>
      <c r="H12" s="32">
        <f t="shared" si="1"/>
        <v>152924303.16499999</v>
      </c>
      <c r="I12" s="32">
        <f t="shared" si="2"/>
        <v>152978458.845</v>
      </c>
      <c r="J12" s="32">
        <f>+I12-H12</f>
        <v>54155.680000007153</v>
      </c>
      <c r="K12" s="34">
        <f>+J12/H12</f>
        <v>3.5413390075464369E-4</v>
      </c>
      <c r="M12" s="120"/>
      <c r="N12" s="122"/>
    </row>
    <row r="13" spans="1:14" x14ac:dyDescent="0.2">
      <c r="A13" s="13">
        <f t="shared" si="0"/>
        <v>6</v>
      </c>
      <c r="B13" s="37" t="s">
        <v>5</v>
      </c>
      <c r="C13" s="15">
        <v>29</v>
      </c>
      <c r="D13" s="70">
        <f>+'Estimated Proforma Net Revenue'!C15</f>
        <v>14610000</v>
      </c>
      <c r="E13" s="32">
        <f>+'Estimated Proforma Net Revenue'!D15</f>
        <v>1116000</v>
      </c>
      <c r="F13" s="33">
        <f>+'UE-190988 Sch 137 Eff 1-1-20'!G14</f>
        <v>-5.8999999999999998E-5</v>
      </c>
      <c r="G13" s="33">
        <f>ROUND(+'Peak Credit Spread'!L12,6)</f>
        <v>-3.6999999999999998E-5</v>
      </c>
      <c r="H13" s="32">
        <f t="shared" si="1"/>
        <v>1115138.01</v>
      </c>
      <c r="I13" s="32">
        <f t="shared" si="2"/>
        <v>1115459.43</v>
      </c>
      <c r="J13" s="32">
        <f>+I13-H13</f>
        <v>321.41999999992549</v>
      </c>
      <c r="K13" s="34">
        <f>+J13/H13</f>
        <v>2.8823338198285023E-4</v>
      </c>
      <c r="M13" s="120"/>
      <c r="N13" s="122"/>
    </row>
    <row r="14" spans="1:14" x14ac:dyDescent="0.2">
      <c r="A14" s="13">
        <f t="shared" si="0"/>
        <v>7</v>
      </c>
      <c r="E14" s="32"/>
      <c r="F14" s="35"/>
      <c r="G14" s="35"/>
      <c r="H14" s="35"/>
      <c r="I14" s="32"/>
      <c r="J14" s="32"/>
      <c r="K14" s="34"/>
      <c r="M14" s="120"/>
      <c r="N14" s="18"/>
    </row>
    <row r="15" spans="1:14" x14ac:dyDescent="0.2">
      <c r="A15" s="13">
        <f t="shared" si="0"/>
        <v>8</v>
      </c>
      <c r="B15" s="14" t="s">
        <v>21</v>
      </c>
      <c r="D15" s="70">
        <f>SUM(D10:D14)</f>
        <v>7267344000</v>
      </c>
      <c r="E15" s="32">
        <f>SUM(E10:E14)</f>
        <v>725465000</v>
      </c>
      <c r="F15" s="33">
        <f>SUMPRODUCT(D10:D13,F10:F13)/D15</f>
        <v>-7.5087564452707889E-5</v>
      </c>
      <c r="G15" s="33">
        <f>SUMPRODUCT(D10:D13,G10:G13)/D15</f>
        <v>-4.5078764401409918E-5</v>
      </c>
      <c r="H15" s="32">
        <f>SUM(H10:H14)</f>
        <v>724919312.83899999</v>
      </c>
      <c r="I15" s="32">
        <f>SUM(I10:I14)</f>
        <v>725137397.11199999</v>
      </c>
      <c r="J15" s="32">
        <f>SUM(J10:J13)</f>
        <v>218084.27300004475</v>
      </c>
      <c r="K15" s="34">
        <f>+J15/H15</f>
        <v>3.0083937500018006E-4</v>
      </c>
      <c r="M15" s="120"/>
      <c r="N15" s="18"/>
    </row>
    <row r="16" spans="1:14" x14ac:dyDescent="0.2">
      <c r="A16" s="13">
        <f t="shared" si="0"/>
        <v>9</v>
      </c>
      <c r="E16" s="32"/>
      <c r="F16" s="35"/>
      <c r="G16" s="35"/>
      <c r="H16" s="35"/>
      <c r="I16" s="32"/>
      <c r="J16" s="32"/>
      <c r="K16" s="34"/>
      <c r="M16" s="121"/>
      <c r="N16" s="18"/>
    </row>
    <row r="17" spans="1:14" x14ac:dyDescent="0.2">
      <c r="A17" s="13">
        <f t="shared" si="0"/>
        <v>10</v>
      </c>
      <c r="B17" s="37" t="s">
        <v>6</v>
      </c>
      <c r="C17" s="15" t="s">
        <v>83</v>
      </c>
      <c r="D17" s="70">
        <f>+'Estimated Proforma Net Revenue'!C18</f>
        <v>1291578000</v>
      </c>
      <c r="E17" s="32">
        <f>+'Estimated Proforma Net Revenue'!D18</f>
        <v>116728000</v>
      </c>
      <c r="F17" s="33">
        <f>+'UE-190988 Sch 137 Eff 1-1-20'!G18</f>
        <v>-7.1000000000000005E-5</v>
      </c>
      <c r="G17" s="33">
        <f>ROUND(+'Peak Credit Spread'!L14,6)</f>
        <v>-4.3000000000000002E-5</v>
      </c>
      <c r="H17" s="32">
        <f t="shared" ref="H17:H19" si="3">+E17+ROUND(F17,6)*D17</f>
        <v>116636297.962</v>
      </c>
      <c r="I17" s="32">
        <f t="shared" ref="I17:I19" si="4">+G17*$D17+$E17</f>
        <v>116672462.146</v>
      </c>
      <c r="J17" s="32">
        <f>+I17-H17</f>
        <v>36164.184000000358</v>
      </c>
      <c r="K17" s="34">
        <f>+J17/H17</f>
        <v>3.1005942945636544E-4</v>
      </c>
      <c r="M17" s="120"/>
      <c r="N17" s="122"/>
    </row>
    <row r="18" spans="1:14" x14ac:dyDescent="0.2">
      <c r="A18" s="13">
        <f t="shared" si="0"/>
        <v>11</v>
      </c>
      <c r="B18" s="37" t="s">
        <v>7</v>
      </c>
      <c r="C18" s="15">
        <v>35</v>
      </c>
      <c r="D18" s="70">
        <f>+'Estimated Proforma Net Revenue'!C19</f>
        <v>4335000</v>
      </c>
      <c r="E18" s="32">
        <f>+'Estimated Proforma Net Revenue'!D19</f>
        <v>254000</v>
      </c>
      <c r="F18" s="33">
        <f>+'UE-190988 Sch 137 Eff 1-1-20'!G19</f>
        <v>-5.5999999999999999E-5</v>
      </c>
      <c r="G18" s="33">
        <f>ROUND(+'Peak Credit Spread'!L15,6)</f>
        <v>-3.1999999999999999E-5</v>
      </c>
      <c r="H18" s="32">
        <f t="shared" si="3"/>
        <v>253757.24</v>
      </c>
      <c r="I18" s="32">
        <f t="shared" si="4"/>
        <v>253861.28</v>
      </c>
      <c r="J18" s="32">
        <f>+I18-H18</f>
        <v>104.04000000000815</v>
      </c>
      <c r="K18" s="34">
        <f>+J18/H18</f>
        <v>4.0999815414136814E-4</v>
      </c>
      <c r="M18" s="120"/>
      <c r="N18" s="122"/>
    </row>
    <row r="19" spans="1:14" x14ac:dyDescent="0.2">
      <c r="A19" s="13">
        <f t="shared" si="0"/>
        <v>12</v>
      </c>
      <c r="B19" s="37" t="s">
        <v>8</v>
      </c>
      <c r="C19" s="15">
        <v>43</v>
      </c>
      <c r="D19" s="70">
        <f>+'Estimated Proforma Net Revenue'!C20</f>
        <v>111277000</v>
      </c>
      <c r="E19" s="32">
        <f>+'Estimated Proforma Net Revenue'!D20</f>
        <v>10505000</v>
      </c>
      <c r="F19" s="33">
        <f>+'UE-190988 Sch 137 Eff 1-1-20'!G20</f>
        <v>-5.8999999999999998E-5</v>
      </c>
      <c r="G19" s="33">
        <f>ROUND(+'Peak Credit Spread'!L16,6)</f>
        <v>-3.4E-5</v>
      </c>
      <c r="H19" s="32">
        <f t="shared" si="3"/>
        <v>10498434.657</v>
      </c>
      <c r="I19" s="32">
        <f t="shared" si="4"/>
        <v>10501216.582</v>
      </c>
      <c r="J19" s="32">
        <f>+I19-H19</f>
        <v>2781.9250000007451</v>
      </c>
      <c r="K19" s="34">
        <f>+J19/H19</f>
        <v>2.6498474209637069E-4</v>
      </c>
      <c r="M19" s="120"/>
      <c r="N19" s="122"/>
    </row>
    <row r="20" spans="1:14" x14ac:dyDescent="0.2">
      <c r="A20" s="13">
        <f t="shared" si="0"/>
        <v>13</v>
      </c>
      <c r="B20" s="39"/>
      <c r="E20" s="32"/>
      <c r="F20" s="35"/>
      <c r="G20" s="35"/>
      <c r="H20" s="35"/>
      <c r="I20" s="32"/>
      <c r="J20" s="32"/>
      <c r="K20" s="34"/>
      <c r="M20" s="120"/>
      <c r="N20" s="18"/>
    </row>
    <row r="21" spans="1:14" x14ac:dyDescent="0.2">
      <c r="A21" s="13">
        <f t="shared" si="0"/>
        <v>14</v>
      </c>
      <c r="B21" s="39" t="s">
        <v>22</v>
      </c>
      <c r="D21" s="70">
        <f>SUM(D17:D20)</f>
        <v>1407190000</v>
      </c>
      <c r="E21" s="32">
        <f>SUM(E17:E20)</f>
        <v>127487000</v>
      </c>
      <c r="F21" s="33">
        <f>SUMPRODUCT(D17:D19,F17:F19)/D21</f>
        <v>-7.0004861461494169E-5</v>
      </c>
      <c r="G21" s="33">
        <f>SUMPRODUCT(D17:D19,G17:G19)/D21</f>
        <v>-4.225441624798357E-5</v>
      </c>
      <c r="H21" s="32">
        <f>SUM(H17:H20)</f>
        <v>127388489.859</v>
      </c>
      <c r="I21" s="32">
        <f>SUM(I17:I20)</f>
        <v>127427540.008</v>
      </c>
      <c r="J21" s="32">
        <f>SUM(J17:J20)</f>
        <v>39050.149000001111</v>
      </c>
      <c r="K21" s="34">
        <f>+J21/H21</f>
        <v>3.0654377835253238E-4</v>
      </c>
      <c r="M21" s="121"/>
      <c r="N21" s="18"/>
    </row>
    <row r="22" spans="1:14" x14ac:dyDescent="0.2">
      <c r="A22" s="13">
        <f t="shared" si="0"/>
        <v>15</v>
      </c>
      <c r="B22" s="39"/>
      <c r="E22" s="32"/>
      <c r="F22" s="35"/>
      <c r="G22" s="35"/>
      <c r="H22" s="35"/>
      <c r="I22" s="32"/>
      <c r="J22" s="32"/>
      <c r="K22" s="34"/>
      <c r="M22" s="121"/>
      <c r="N22" s="18"/>
    </row>
    <row r="23" spans="1:14" x14ac:dyDescent="0.2">
      <c r="A23" s="13">
        <f t="shared" si="0"/>
        <v>16</v>
      </c>
      <c r="B23" s="37" t="s">
        <v>23</v>
      </c>
      <c r="C23" s="15">
        <v>46</v>
      </c>
      <c r="D23" s="70">
        <f>+'Estimated Proforma Net Revenue'!C23</f>
        <v>65285000</v>
      </c>
      <c r="E23" s="32">
        <f>+'Estimated Proforma Net Revenue'!D23</f>
        <v>4640000</v>
      </c>
      <c r="F23" s="33">
        <f>+'UE-190988 Sch 137 Eff 1-1-20'!G26</f>
        <v>-4.5000000000000003E-5</v>
      </c>
      <c r="G23" s="33">
        <f>ROUND(+'Peak Credit Spread'!L18,6)</f>
        <v>-3.6999999999999998E-5</v>
      </c>
      <c r="H23" s="32">
        <f t="shared" ref="H23:H24" si="5">+E23+ROUND(F23,6)*D23</f>
        <v>4637062.1749999998</v>
      </c>
      <c r="I23" s="32">
        <f t="shared" ref="I23:I24" si="6">+G23*$D23+$E23</f>
        <v>4637584.4550000001</v>
      </c>
      <c r="J23" s="32">
        <f>+I23-H23</f>
        <v>522.28000000026077</v>
      </c>
      <c r="K23" s="34">
        <f>+J23/H23</f>
        <v>1.1263165778023254E-4</v>
      </c>
      <c r="M23" s="120"/>
      <c r="N23" s="122"/>
    </row>
    <row r="24" spans="1:14" x14ac:dyDescent="0.2">
      <c r="A24" s="13">
        <f t="shared" si="0"/>
        <v>17</v>
      </c>
      <c r="B24" s="36" t="s">
        <v>24</v>
      </c>
      <c r="C24" s="15">
        <v>49</v>
      </c>
      <c r="D24" s="70">
        <f>+'Estimated Proforma Net Revenue'!C24</f>
        <v>517424000</v>
      </c>
      <c r="E24" s="32">
        <f>+'Estimated Proforma Net Revenue'!D24</f>
        <v>36241000</v>
      </c>
      <c r="F24" s="33">
        <f>+'UE-190988 Sch 137 Eff 1-1-20'!G27</f>
        <v>-6.9999999999999994E-5</v>
      </c>
      <c r="G24" s="33">
        <f>ROUND(+'Peak Credit Spread'!L19,6)</f>
        <v>-4.0000000000000003E-5</v>
      </c>
      <c r="H24" s="32">
        <f t="shared" si="5"/>
        <v>36204780.32</v>
      </c>
      <c r="I24" s="32">
        <f t="shared" si="6"/>
        <v>36220303.039999999</v>
      </c>
      <c r="J24" s="32">
        <f>+I24-H24</f>
        <v>15522.719999998808</v>
      </c>
      <c r="K24" s="34">
        <f>+J24/H24</f>
        <v>4.2874780243933291E-4</v>
      </c>
      <c r="M24" s="120"/>
      <c r="N24" s="122"/>
    </row>
    <row r="25" spans="1:14" x14ac:dyDescent="0.2">
      <c r="A25" s="13">
        <f t="shared" si="0"/>
        <v>18</v>
      </c>
      <c r="E25" s="32"/>
      <c r="F25" s="35"/>
      <c r="G25" s="35"/>
      <c r="H25" s="35"/>
      <c r="I25" s="32"/>
      <c r="J25" s="32"/>
      <c r="K25" s="34"/>
      <c r="M25" s="120"/>
      <c r="N25" s="18"/>
    </row>
    <row r="26" spans="1:14" x14ac:dyDescent="0.2">
      <c r="A26" s="13">
        <f t="shared" si="0"/>
        <v>19</v>
      </c>
      <c r="B26" s="40" t="s">
        <v>25</v>
      </c>
      <c r="D26" s="70">
        <f>SUM(D23:D25)</f>
        <v>582709000</v>
      </c>
      <c r="E26" s="32">
        <f>SUM(E23:E25)</f>
        <v>40881000</v>
      </c>
      <c r="F26" s="33">
        <f>SUMPRODUCT(D23:D24,F23:F24)/D26</f>
        <v>-6.7199073637098445E-5</v>
      </c>
      <c r="G26" s="33">
        <f>SUMPRODUCT(D23:D24,G23:G24)/D26</f>
        <v>-3.9663888836451824E-5</v>
      </c>
      <c r="H26" s="70">
        <f>SUM(H23:H25)</f>
        <v>40841842.494999997</v>
      </c>
      <c r="I26" s="70">
        <f>SUM(I23:I25)</f>
        <v>40857887.494999997</v>
      </c>
      <c r="J26" s="32">
        <f>SUM(J23:J25)</f>
        <v>16044.999999999069</v>
      </c>
      <c r="K26" s="34">
        <f>+J26/H26</f>
        <v>3.9285690898894571E-4</v>
      </c>
      <c r="M26" s="120"/>
      <c r="N26" s="18"/>
    </row>
    <row r="27" spans="1:14" x14ac:dyDescent="0.2">
      <c r="A27" s="13">
        <f t="shared" si="0"/>
        <v>20</v>
      </c>
      <c r="E27" s="32"/>
      <c r="F27" s="35"/>
      <c r="G27" s="35"/>
      <c r="H27" s="35"/>
      <c r="I27" s="32"/>
      <c r="J27" s="32"/>
      <c r="K27" s="34"/>
      <c r="M27" s="121"/>
      <c r="N27" s="18"/>
    </row>
    <row r="28" spans="1:14" x14ac:dyDescent="0.2">
      <c r="A28" s="13">
        <f t="shared" si="0"/>
        <v>21</v>
      </c>
      <c r="B28" s="14" t="s">
        <v>9</v>
      </c>
      <c r="C28" s="15" t="s">
        <v>63</v>
      </c>
      <c r="D28" s="70">
        <f>+'Estimated Proforma Net Revenue'!C27</f>
        <v>63689000</v>
      </c>
      <c r="E28" s="32">
        <f>+'Estimated Proforma Net Revenue'!D27</f>
        <v>16106000</v>
      </c>
      <c r="F28" s="33">
        <f>+'UE-190988 Sch 137 Eff 1-1-20'!G31</f>
        <v>-8.7999999999999998E-5</v>
      </c>
      <c r="G28" s="33">
        <f>ROUND(+'Peak Credit Spread'!L21,6)</f>
        <v>-4.3000000000000002E-5</v>
      </c>
      <c r="H28" s="32">
        <f>+E28+ROUND(F28,6)*D28</f>
        <v>16100395.368000001</v>
      </c>
      <c r="I28" s="32">
        <f>+G28*$D28+$E28</f>
        <v>16103261.373</v>
      </c>
      <c r="J28" s="32">
        <f>+I28-H28</f>
        <v>2866.0049999989569</v>
      </c>
      <c r="K28" s="34">
        <f>+J28/H28</f>
        <v>1.78008361564538E-4</v>
      </c>
      <c r="M28" s="120"/>
      <c r="N28" s="122"/>
    </row>
    <row r="29" spans="1:14" x14ac:dyDescent="0.2">
      <c r="A29" s="13">
        <f t="shared" si="0"/>
        <v>22</v>
      </c>
      <c r="E29" s="32"/>
      <c r="F29" s="35"/>
      <c r="G29" s="35"/>
      <c r="I29" s="32"/>
      <c r="J29" s="32"/>
      <c r="K29" s="34"/>
      <c r="M29" s="120"/>
      <c r="N29" s="18"/>
    </row>
    <row r="30" spans="1:14" x14ac:dyDescent="0.2">
      <c r="A30" s="13">
        <f t="shared" si="0"/>
        <v>23</v>
      </c>
      <c r="B30" s="41" t="s">
        <v>26</v>
      </c>
      <c r="C30" s="38" t="s">
        <v>27</v>
      </c>
      <c r="D30" s="70">
        <f>+'Estimated Proforma Net Revenue'!C33</f>
        <v>7435000</v>
      </c>
      <c r="E30" s="32">
        <f>+'Estimated Proforma Net Revenue'!D33</f>
        <v>719000</v>
      </c>
      <c r="F30" s="33">
        <f>+'UE-190988 Sch 137 Eff 1-1-20'!G33</f>
        <v>-7.6000000000000004E-5</v>
      </c>
      <c r="G30" s="33">
        <f>ROUND(+'Peak Credit Spread'!L23,6)</f>
        <v>-4.1E-5</v>
      </c>
      <c r="H30" s="32">
        <f>+E30+ROUND(F30,6)*D30</f>
        <v>718434.94</v>
      </c>
      <c r="I30" s="32">
        <f>+G30*$D30+$E30</f>
        <v>718695.16500000004</v>
      </c>
      <c r="J30" s="32">
        <f>+I30-H30</f>
        <v>260.22500000009313</v>
      </c>
      <c r="K30" s="34">
        <f>+J30/H30</f>
        <v>3.6221094703452639E-4</v>
      </c>
      <c r="M30" s="18"/>
      <c r="N30" s="18"/>
    </row>
    <row r="31" spans="1:14" x14ac:dyDescent="0.2">
      <c r="A31" s="13">
        <f t="shared" si="0"/>
        <v>24</v>
      </c>
      <c r="B31" s="41"/>
      <c r="C31" s="38"/>
      <c r="E31" s="32"/>
      <c r="F31" s="35"/>
      <c r="G31" s="35"/>
      <c r="H31" s="35"/>
      <c r="I31" s="32"/>
      <c r="J31" s="32"/>
      <c r="K31" s="34"/>
      <c r="M31" s="18"/>
      <c r="N31" s="18"/>
    </row>
    <row r="32" spans="1:14" x14ac:dyDescent="0.2">
      <c r="A32" s="13">
        <f t="shared" si="0"/>
        <v>25</v>
      </c>
      <c r="B32" s="37" t="s">
        <v>10</v>
      </c>
      <c r="D32" s="70">
        <f>SUM(D28,D26,,D21,D15,D8,D30)</f>
        <v>20294691000</v>
      </c>
      <c r="E32" s="70">
        <f>SUM(E28,E26,,E21,E15,E8,E30)</f>
        <v>2085402000</v>
      </c>
      <c r="F32" s="33">
        <f>(F8*D8+F15*D15+F21*D21+F26*D26+F28*D28+F30*D30)/D32</f>
        <v>-7.828466405327382E-5</v>
      </c>
      <c r="G32" s="33">
        <f>+'Peak Credit Spread'!L25</f>
        <v>-4.364314306453832E-5</v>
      </c>
      <c r="H32" s="32">
        <f>SUM(H28,H26,H21,H15,H8,H30)</f>
        <v>2083813236.9330001</v>
      </c>
      <c r="I32" s="32">
        <f>SUM(I28,I26,I21,I15,I8,I30)</f>
        <v>2084517229.221</v>
      </c>
      <c r="J32" s="32">
        <f>SUM(J28,J26,J21,J15,J8,J30)</f>
        <v>703992.28800020041</v>
      </c>
      <c r="K32" s="34">
        <f>+J32/H32</f>
        <v>3.3783847588776764E-4</v>
      </c>
      <c r="M32" s="18"/>
      <c r="N32" s="18"/>
    </row>
    <row r="33" spans="1:14" x14ac:dyDescent="0.2">
      <c r="A33" s="13">
        <f t="shared" si="0"/>
        <v>26</v>
      </c>
      <c r="B33" s="40"/>
      <c r="E33" s="32"/>
      <c r="F33" s="35"/>
      <c r="G33" s="35"/>
      <c r="H33" s="35"/>
      <c r="I33" s="32"/>
      <c r="J33" s="32"/>
      <c r="K33" s="34"/>
      <c r="M33" s="18"/>
      <c r="N33" s="18"/>
    </row>
    <row r="34" spans="1:14" x14ac:dyDescent="0.2">
      <c r="A34" s="13">
        <f t="shared" si="0"/>
        <v>27</v>
      </c>
      <c r="B34" s="40" t="s">
        <v>28</v>
      </c>
      <c r="E34" s="32"/>
      <c r="F34" s="32"/>
      <c r="G34" s="35"/>
      <c r="H34" s="35"/>
      <c r="I34" s="32"/>
      <c r="J34" s="32"/>
      <c r="K34" s="34"/>
      <c r="M34" s="18"/>
      <c r="N34" s="18"/>
    </row>
    <row r="35" spans="1:14" x14ac:dyDescent="0.2">
      <c r="A35" s="13">
        <f t="shared" si="0"/>
        <v>28</v>
      </c>
      <c r="B35" s="37" t="s">
        <v>327</v>
      </c>
      <c r="C35" s="38" t="s">
        <v>328</v>
      </c>
      <c r="D35" s="70">
        <f>+'Estimated Proforma Net Revenue'!C29</f>
        <v>2468540000</v>
      </c>
      <c r="E35" s="32">
        <f>+'Estimated Proforma Net Revenue'!D29</f>
        <v>24687000</v>
      </c>
      <c r="F35" s="32"/>
      <c r="G35" s="35"/>
      <c r="H35" s="32">
        <f>+E35+ROUND(F35,6)*D35</f>
        <v>24687000</v>
      </c>
      <c r="I35" s="32">
        <f>+G35*$D35+$E35</f>
        <v>24687000</v>
      </c>
      <c r="J35" s="32">
        <f>+I35-H35</f>
        <v>0</v>
      </c>
      <c r="K35" s="34"/>
      <c r="M35" s="18"/>
      <c r="N35" s="18"/>
    </row>
    <row r="36" spans="1:14" x14ac:dyDescent="0.2">
      <c r="A36" s="13">
        <f t="shared" si="0"/>
        <v>29</v>
      </c>
      <c r="B36" s="40"/>
      <c r="E36" s="32"/>
      <c r="F36" s="32"/>
      <c r="G36" s="35"/>
      <c r="H36" s="35"/>
      <c r="I36" s="32"/>
      <c r="J36" s="32"/>
      <c r="K36" s="34"/>
      <c r="M36" s="18"/>
    </row>
    <row r="37" spans="1:14" x14ac:dyDescent="0.2">
      <c r="A37" s="13">
        <f t="shared" si="0"/>
        <v>30</v>
      </c>
      <c r="B37" s="40" t="s">
        <v>12</v>
      </c>
      <c r="D37" s="70">
        <f>SUM(D32:D35)</f>
        <v>22763231000</v>
      </c>
      <c r="E37" s="32">
        <f>SUM(E32:E35)</f>
        <v>2110089000</v>
      </c>
      <c r="F37" s="32"/>
      <c r="G37" s="35"/>
      <c r="H37" s="32">
        <f>SUM(H32:H35)</f>
        <v>2108500236.9330001</v>
      </c>
      <c r="I37" s="32">
        <f>SUM(I32:I35)</f>
        <v>2109204229.221</v>
      </c>
      <c r="J37" s="32">
        <f>SUM(J32:J35)</f>
        <v>703992.28800020041</v>
      </c>
      <c r="K37" s="34"/>
      <c r="M37" s="18"/>
    </row>
    <row r="38" spans="1:14" ht="13.5" thickBot="1" x14ac:dyDescent="0.25">
      <c r="A38" s="42"/>
      <c r="B38" s="43"/>
      <c r="C38" s="44"/>
      <c r="D38" s="45"/>
      <c r="E38" s="46"/>
      <c r="F38" s="46"/>
      <c r="G38" s="43"/>
      <c r="H38" s="43"/>
      <c r="I38" s="45"/>
      <c r="J38" s="43"/>
      <c r="K38" s="47"/>
      <c r="M38" s="122"/>
      <c r="N38" s="122"/>
    </row>
    <row r="39" spans="1:14" ht="13.5" thickBot="1" x14ac:dyDescent="0.25">
      <c r="J39" s="32"/>
    </row>
    <row r="40" spans="1:14" ht="42.6" customHeight="1" thickBot="1" x14ac:dyDescent="0.25">
      <c r="A40" s="378" t="s">
        <v>426</v>
      </c>
      <c r="B40" s="379"/>
      <c r="C40" s="379"/>
      <c r="D40" s="379"/>
      <c r="E40" s="379"/>
      <c r="F40" s="379"/>
      <c r="G40" s="379"/>
      <c r="H40" s="379"/>
      <c r="I40" s="379"/>
      <c r="J40" s="379"/>
      <c r="K40" s="380"/>
    </row>
    <row r="41" spans="1:14" x14ac:dyDescent="0.2">
      <c r="E41" s="32"/>
    </row>
    <row r="42" spans="1:14" x14ac:dyDescent="0.2">
      <c r="E42" s="32"/>
    </row>
    <row r="48" spans="1:14" x14ac:dyDescent="0.2">
      <c r="A48" s="119"/>
      <c r="C48" s="119"/>
    </row>
    <row r="49" spans="1:3" x14ac:dyDescent="0.2">
      <c r="A49" s="119"/>
      <c r="C49" s="119"/>
    </row>
    <row r="50" spans="1:3" x14ac:dyDescent="0.2">
      <c r="A50" s="119"/>
      <c r="C50" s="119"/>
    </row>
    <row r="51" spans="1:3" x14ac:dyDescent="0.2">
      <c r="A51" s="119"/>
      <c r="C51" s="119"/>
    </row>
  </sheetData>
  <mergeCells count="1">
    <mergeCell ref="A40:K40"/>
  </mergeCells>
  <phoneticPr fontId="3" type="noConversion"/>
  <printOptions horizontalCentered="1"/>
  <pageMargins left="0.7" right="0.7" top="0.75" bottom="0.75" header="0.3" footer="0.3"/>
  <pageSetup scale="71" orientation="landscape" r:id="rId1"/>
  <headerFooter alignWithMargins="0">
    <oddFooter>&amp;L&amp;F
&amp;A&amp;RSchedule 95A Filing Eff 1-1-21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36"/>
  <sheetViews>
    <sheetView zoomScale="80" zoomScaleNormal="80" workbookViewId="0">
      <selection activeCell="I25" sqref="I25"/>
    </sheetView>
  </sheetViews>
  <sheetFormatPr defaultColWidth="9.140625" defaultRowHeight="12.75" x14ac:dyDescent="0.2"/>
  <cols>
    <col min="1" max="1" width="8.28515625" style="15" bestFit="1" customWidth="1"/>
    <col min="2" max="2" width="29" style="14" bestFit="1" customWidth="1"/>
    <col min="3" max="3" width="9.42578125" style="14" bestFit="1" customWidth="1"/>
    <col min="4" max="4" width="15.7109375" style="70" bestFit="1" customWidth="1"/>
    <col min="5" max="5" width="10.28515625" style="14" bestFit="1" customWidth="1"/>
    <col min="6" max="6" width="11.7109375" style="70" bestFit="1" customWidth="1"/>
    <col min="7" max="8" width="10.28515625" style="14" bestFit="1" customWidth="1"/>
    <col min="9" max="9" width="14.7109375" style="14" bestFit="1" customWidth="1"/>
    <col min="10" max="10" width="14.28515625" style="14" bestFit="1" customWidth="1"/>
    <col min="11" max="11" width="15.7109375" style="14" bestFit="1" customWidth="1"/>
    <col min="12" max="12" width="16.7109375" style="14" bestFit="1" customWidth="1"/>
    <col min="13" max="13" width="10.7109375" style="14" bestFit="1" customWidth="1"/>
    <col min="14" max="14" width="13.85546875" style="14" customWidth="1"/>
    <col min="15" max="15" width="8.42578125" style="14" customWidth="1"/>
    <col min="16" max="16384" width="9.140625" style="14"/>
  </cols>
  <sheetData>
    <row r="1" spans="1:19" x14ac:dyDescent="0.2">
      <c r="A1" s="381" t="s">
        <v>13</v>
      </c>
      <c r="B1" s="382"/>
      <c r="C1" s="382"/>
      <c r="D1" s="382"/>
      <c r="E1" s="382"/>
      <c r="F1" s="382"/>
      <c r="G1" s="382"/>
      <c r="H1" s="382"/>
      <c r="I1" s="382"/>
      <c r="J1" s="382"/>
      <c r="K1" s="382"/>
      <c r="L1" s="383"/>
    </row>
    <row r="2" spans="1:19" x14ac:dyDescent="0.2">
      <c r="A2" s="384" t="s">
        <v>398</v>
      </c>
      <c r="B2" s="385"/>
      <c r="C2" s="385"/>
      <c r="D2" s="385"/>
      <c r="E2" s="385"/>
      <c r="F2" s="385"/>
      <c r="G2" s="385"/>
      <c r="H2" s="385"/>
      <c r="I2" s="385"/>
      <c r="J2" s="385"/>
      <c r="K2" s="385"/>
      <c r="L2" s="386"/>
    </row>
    <row r="3" spans="1:19" x14ac:dyDescent="0.2">
      <c r="A3" s="13"/>
      <c r="L3" s="16"/>
    </row>
    <row r="4" spans="1:19" ht="12.75" customHeight="1" x14ac:dyDescent="0.2">
      <c r="A4" s="13"/>
      <c r="L4" s="16"/>
    </row>
    <row r="5" spans="1:19" s="18" customFormat="1" ht="107.25" customHeight="1" thickBot="1" x14ac:dyDescent="0.25">
      <c r="A5" s="22" t="s">
        <v>0</v>
      </c>
      <c r="B5" s="23" t="s">
        <v>65</v>
      </c>
      <c r="C5" s="23" t="s">
        <v>118</v>
      </c>
      <c r="D5" s="25" t="s">
        <v>428</v>
      </c>
      <c r="E5" s="25" t="s">
        <v>369</v>
      </c>
      <c r="F5" s="25" t="s">
        <v>370</v>
      </c>
      <c r="G5" s="25" t="s">
        <v>371</v>
      </c>
      <c r="H5" s="24" t="s">
        <v>372</v>
      </c>
      <c r="I5" s="24" t="s">
        <v>329</v>
      </c>
      <c r="J5" s="24" t="s">
        <v>329</v>
      </c>
      <c r="K5" s="24" t="str">
        <f>+'Rate Impacts'!D5</f>
        <v>kWh
Source: F2020 January 2021 to December 2021</v>
      </c>
      <c r="L5" s="101" t="s">
        <v>330</v>
      </c>
    </row>
    <row r="6" spans="1:19" s="18" customFormat="1" ht="39" customHeight="1" x14ac:dyDescent="0.2">
      <c r="A6" s="17"/>
      <c r="D6" s="91" t="s">
        <v>14</v>
      </c>
      <c r="E6" s="92" t="s">
        <v>123</v>
      </c>
      <c r="F6" s="91" t="s">
        <v>16</v>
      </c>
      <c r="G6" s="92" t="s">
        <v>124</v>
      </c>
      <c r="H6" s="114" t="s">
        <v>89</v>
      </c>
      <c r="I6" s="114" t="s">
        <v>90</v>
      </c>
      <c r="J6" s="115" t="s">
        <v>91</v>
      </c>
      <c r="K6" s="114" t="s">
        <v>126</v>
      </c>
      <c r="L6" s="116" t="s">
        <v>337</v>
      </c>
      <c r="N6" s="14"/>
      <c r="O6" s="14"/>
      <c r="P6" s="14"/>
      <c r="Q6" s="14"/>
      <c r="R6" s="14"/>
      <c r="S6" s="14"/>
    </row>
    <row r="7" spans="1:19" x14ac:dyDescent="0.2">
      <c r="A7" s="13">
        <v>1</v>
      </c>
      <c r="B7" s="14" t="s">
        <v>1</v>
      </c>
      <c r="C7" s="15">
        <v>7</v>
      </c>
      <c r="D7" s="70">
        <f>+'UE-190529 LR Data Summary'!D9</f>
        <v>11476152247.161776</v>
      </c>
      <c r="E7" s="102">
        <f>+D7/D$25*0.75</f>
        <v>0.39072264776300736</v>
      </c>
      <c r="F7" s="70">
        <f>+'UE-190529 LR Data Summary'!F9</f>
        <v>2236474.2253660602</v>
      </c>
      <c r="G7" s="102">
        <f>+F7/F$25*0.25</f>
        <v>0.14418129406223315</v>
      </c>
      <c r="H7" s="102">
        <f>+G7+E7</f>
        <v>0.53490394182524048</v>
      </c>
      <c r="I7" s="102"/>
      <c r="J7" s="32">
        <f>+H7*($I$25)</f>
        <v>-473777.31393787311</v>
      </c>
      <c r="K7" s="70">
        <f>+'Estimated Proforma Net Revenue'!C9</f>
        <v>10966324000</v>
      </c>
      <c r="L7" s="103">
        <f>(+J7/K7)</f>
        <v>-4.3202928705906656E-5</v>
      </c>
    </row>
    <row r="8" spans="1:19" x14ac:dyDescent="0.2">
      <c r="A8" s="13">
        <f t="shared" ref="A8:A31" si="0">+A7+1</f>
        <v>2</v>
      </c>
      <c r="C8" s="104"/>
      <c r="E8" s="102"/>
      <c r="G8" s="102"/>
      <c r="H8" s="102"/>
      <c r="I8" s="102"/>
      <c r="J8" s="32"/>
      <c r="K8" s="70"/>
      <c r="L8" s="105"/>
    </row>
    <row r="9" spans="1:19" x14ac:dyDescent="0.2">
      <c r="A9" s="13">
        <f t="shared" si="0"/>
        <v>3</v>
      </c>
      <c r="B9" s="39" t="s">
        <v>2</v>
      </c>
      <c r="C9" s="38" t="s">
        <v>119</v>
      </c>
      <c r="D9" s="70">
        <f>+'UE-190529 LR Data Summary'!D10</f>
        <v>2915955626.4103169</v>
      </c>
      <c r="E9" s="102">
        <f>+D9/D$25*0.75</f>
        <v>9.927804011072186E-2</v>
      </c>
      <c r="F9" s="70">
        <f>'UE-190529 LR Data Summary'!F10</f>
        <v>515625.82524854271</v>
      </c>
      <c r="G9" s="102">
        <f>+F9/F$25*0.25</f>
        <v>3.3241428804784645E-2</v>
      </c>
      <c r="H9" s="102">
        <f>+G9+E9</f>
        <v>0.13251946891550651</v>
      </c>
      <c r="I9" s="102"/>
      <c r="J9" s="32">
        <f>+H9*($I$25)</f>
        <v>-117375.68770389556</v>
      </c>
      <c r="K9" s="70">
        <f>SUM('Estimated Proforma Net Revenue'!C12:C12)</f>
        <v>2695442000</v>
      </c>
      <c r="L9" s="103">
        <f t="shared" ref="L9:L12" si="1">(+J9/K9)</f>
        <v>-4.3545989008071983E-5</v>
      </c>
    </row>
    <row r="10" spans="1:19" x14ac:dyDescent="0.2">
      <c r="A10" s="13">
        <f t="shared" si="0"/>
        <v>4</v>
      </c>
      <c r="B10" s="14" t="s">
        <v>3</v>
      </c>
      <c r="C10" s="38" t="s">
        <v>120</v>
      </c>
      <c r="D10" s="70">
        <f>+'UE-190529 LR Data - Energy'!J24</f>
        <v>3225522141.4879136</v>
      </c>
      <c r="E10" s="102">
        <f>+D10/D$25*0.75</f>
        <v>0.10981769188815443</v>
      </c>
      <c r="F10" s="70">
        <f>'UE-190529 LR Data - Dem 4CP'!F18</f>
        <v>551432.84077501134</v>
      </c>
      <c r="G10" s="102">
        <f>+F10/F$25*0.25</f>
        <v>3.5549839863833498E-2</v>
      </c>
      <c r="H10" s="102">
        <f>+G10+E10</f>
        <v>0.14536753175198794</v>
      </c>
      <c r="I10" s="102"/>
      <c r="J10" s="32">
        <f>+H10*($I$25)</f>
        <v>-128755.52663198841</v>
      </c>
      <c r="K10" s="70">
        <f>SUM('Estimated Proforma Net Revenue'!C13:C13)</f>
        <v>2864927000</v>
      </c>
      <c r="L10" s="103">
        <f t="shared" si="1"/>
        <v>-4.4941992110789703E-5</v>
      </c>
    </row>
    <row r="11" spans="1:19" x14ac:dyDescent="0.2">
      <c r="A11" s="13">
        <f t="shared" si="0"/>
        <v>5</v>
      </c>
      <c r="B11" s="14" t="s">
        <v>4</v>
      </c>
      <c r="C11" s="38" t="s">
        <v>121</v>
      </c>
      <c r="D11" s="70">
        <f>+'UE-190529 LR Data Summary'!D12</f>
        <v>2092770306.5275679</v>
      </c>
      <c r="E11" s="102">
        <f>+D11/D$25*0.75</f>
        <v>7.1251473291362041E-2</v>
      </c>
      <c r="F11" s="70">
        <f>'UE-190529 LR Data Summary'!F12</f>
        <v>289974.91765494185</v>
      </c>
      <c r="G11" s="102">
        <f>+F11/F$25*0.25</f>
        <v>1.8694138478719036E-2</v>
      </c>
      <c r="H11" s="102">
        <f>+G11+E11</f>
        <v>8.9945611770081077E-2</v>
      </c>
      <c r="I11" s="102"/>
      <c r="J11" s="32">
        <f>+H11*($I$25)</f>
        <v>-79666.996282578009</v>
      </c>
      <c r="K11" s="70">
        <f>SUM('Estimated Proforma Net Revenue'!C14:C14)</f>
        <v>1692365000</v>
      </c>
      <c r="L11" s="103">
        <f t="shared" si="1"/>
        <v>-4.7074358239846611E-5</v>
      </c>
    </row>
    <row r="12" spans="1:19" x14ac:dyDescent="0.2">
      <c r="A12" s="13">
        <f t="shared" si="0"/>
        <v>6</v>
      </c>
      <c r="B12" s="14" t="s">
        <v>5</v>
      </c>
      <c r="C12" s="38">
        <v>29</v>
      </c>
      <c r="D12" s="70">
        <f>+'UE-190529 LR Data - Energy'!J26</f>
        <v>17243818.472518876</v>
      </c>
      <c r="E12" s="102">
        <f>+D12/D$25*0.75</f>
        <v>5.8709141060702894E-4</v>
      </c>
      <c r="F12" s="70">
        <f>'UE-190529 LR Data - Dem 4CP'!H18</f>
        <v>461.07800540214549</v>
      </c>
      <c r="G12" s="102">
        <f>+F12/F$25*0.25</f>
        <v>2.9724833279325449E-5</v>
      </c>
      <c r="H12" s="102">
        <f>+G12+E12</f>
        <v>6.1681624388635443E-4</v>
      </c>
      <c r="I12" s="102"/>
      <c r="J12" s="32">
        <f>+H12*($I$25)</f>
        <v>-546.32901418625408</v>
      </c>
      <c r="K12" s="70">
        <f>+'Estimated Proforma Net Revenue'!C15</f>
        <v>14610000</v>
      </c>
      <c r="L12" s="103">
        <f t="shared" si="1"/>
        <v>-3.7394183038073516E-5</v>
      </c>
    </row>
    <row r="13" spans="1:19" x14ac:dyDescent="0.2">
      <c r="A13" s="13">
        <f t="shared" si="0"/>
        <v>7</v>
      </c>
      <c r="C13" s="38"/>
      <c r="E13" s="102"/>
      <c r="G13" s="102"/>
      <c r="H13" s="102"/>
      <c r="I13" s="102"/>
      <c r="J13" s="32"/>
      <c r="K13" s="70"/>
      <c r="L13" s="105"/>
    </row>
    <row r="14" spans="1:19" x14ac:dyDescent="0.2">
      <c r="A14" s="13">
        <f t="shared" si="0"/>
        <v>8</v>
      </c>
      <c r="B14" s="14" t="s">
        <v>6</v>
      </c>
      <c r="C14" s="38" t="s">
        <v>122</v>
      </c>
      <c r="D14" s="70">
        <f>+'UE-190529 LR Data Summary'!D13</f>
        <v>1456029850.0547175</v>
      </c>
      <c r="E14" s="102">
        <f>+D14/D$25*0.75</f>
        <v>4.957269875676773E-2</v>
      </c>
      <c r="F14" s="70">
        <f>'UE-190529 LR Data Summary'!F13</f>
        <v>204844.84270926949</v>
      </c>
      <c r="G14" s="102">
        <f>+F14/F$25*0.25</f>
        <v>1.3205962388841259E-2</v>
      </c>
      <c r="H14" s="102">
        <f>+G14+E14</f>
        <v>6.2778661145608983E-2</v>
      </c>
      <c r="I14" s="102"/>
      <c r="J14" s="32">
        <f>+H14*($I$25)</f>
        <v>-55604.573315894486</v>
      </c>
      <c r="K14" s="70">
        <f>SUM('Estimated Proforma Net Revenue'!C18:C18)</f>
        <v>1291578000</v>
      </c>
      <c r="L14" s="103">
        <f t="shared" ref="L14:L16" si="2">(+J14/K14)</f>
        <v>-4.3051657209935817E-5</v>
      </c>
    </row>
    <row r="15" spans="1:19" x14ac:dyDescent="0.2">
      <c r="A15" s="13">
        <f t="shared" si="0"/>
        <v>9</v>
      </c>
      <c r="B15" s="14" t="s">
        <v>7</v>
      </c>
      <c r="C15" s="38">
        <v>35</v>
      </c>
      <c r="D15" s="70">
        <f>+'UE-190529 LR Data Summary'!D14</f>
        <v>4597572.0317007378</v>
      </c>
      <c r="E15" s="102">
        <f>+D15/D$25*0.75</f>
        <v>1.5653116818413872E-4</v>
      </c>
      <c r="F15" s="70">
        <f>'UE-190529 LR Data Summary'!F14</f>
        <v>7.0004300675974864</v>
      </c>
      <c r="G15" s="102">
        <f>+F15/F$25*0.25</f>
        <v>4.5130458231557189E-7</v>
      </c>
      <c r="H15" s="102">
        <f>+G15+E15</f>
        <v>1.5698247276645428E-4</v>
      </c>
      <c r="I15" s="102"/>
      <c r="J15" s="32">
        <f>+H15*($I$25)</f>
        <v>-139.04315984067873</v>
      </c>
      <c r="K15" s="70">
        <f>+'Estimated Proforma Net Revenue'!C19</f>
        <v>4335000</v>
      </c>
      <c r="L15" s="103">
        <f t="shared" si="2"/>
        <v>-3.2074546676050455E-5</v>
      </c>
    </row>
    <row r="16" spans="1:19" x14ac:dyDescent="0.2">
      <c r="A16" s="13">
        <f t="shared" si="0"/>
        <v>10</v>
      </c>
      <c r="B16" s="14" t="s">
        <v>8</v>
      </c>
      <c r="C16" s="38">
        <v>43</v>
      </c>
      <c r="D16" s="70">
        <f>+'UE-190529 LR Data Summary'!D15</f>
        <v>126890757.18193617</v>
      </c>
      <c r="E16" s="102">
        <f>+D16/D$25*0.75</f>
        <v>4.3201842878165531E-3</v>
      </c>
      <c r="F16" s="70">
        <f>'UE-190529 LR Data Summary'!F15</f>
        <v>0</v>
      </c>
      <c r="G16" s="102">
        <f>+F16/F$25*0.25</f>
        <v>0</v>
      </c>
      <c r="H16" s="102">
        <f>+G16+E16</f>
        <v>4.3201842878165531E-3</v>
      </c>
      <c r="I16" s="102"/>
      <c r="J16" s="32">
        <f>+H16*($I$25)</f>
        <v>-3826.4913520997115</v>
      </c>
      <c r="K16" s="70">
        <f>+'Estimated Proforma Net Revenue'!C20</f>
        <v>111277000</v>
      </c>
      <c r="L16" s="103">
        <f t="shared" si="2"/>
        <v>-3.4387082255090551E-5</v>
      </c>
    </row>
    <row r="17" spans="1:12" x14ac:dyDescent="0.2">
      <c r="A17" s="13">
        <f t="shared" si="0"/>
        <v>11</v>
      </c>
      <c r="C17" s="38"/>
      <c r="E17" s="102"/>
      <c r="G17" s="102"/>
      <c r="H17" s="102"/>
      <c r="I17" s="102"/>
      <c r="J17" s="32"/>
      <c r="K17" s="70"/>
      <c r="L17" s="105"/>
    </row>
    <row r="18" spans="1:12" x14ac:dyDescent="0.2">
      <c r="A18" s="13">
        <f t="shared" si="0"/>
        <v>12</v>
      </c>
      <c r="B18" s="39" t="s">
        <v>85</v>
      </c>
      <c r="C18" s="38">
        <v>46</v>
      </c>
      <c r="D18" s="70">
        <f>+'UE-190529 LR Data - Energy'!J31</f>
        <v>79573505.048999339</v>
      </c>
      <c r="E18" s="102">
        <f>+D18/D$25*0.75</f>
        <v>2.7091981628439414E-3</v>
      </c>
      <c r="F18" s="70">
        <v>0</v>
      </c>
      <c r="G18" s="102">
        <f>+F18/F$25*0.25</f>
        <v>0</v>
      </c>
      <c r="H18" s="102">
        <f>+G18+E18</f>
        <v>2.7091981628439414E-3</v>
      </c>
      <c r="I18" s="102"/>
      <c r="J18" s="32">
        <f>+H18*($I$25)</f>
        <v>-2399.6021119937391</v>
      </c>
      <c r="K18" s="70">
        <f>+'Estimated Proforma Net Revenue'!C23</f>
        <v>65285000</v>
      </c>
      <c r="L18" s="103">
        <f t="shared" ref="L18:L19" si="3">(+J18/K18)</f>
        <v>-3.6755795542524912E-5</v>
      </c>
    </row>
    <row r="19" spans="1:12" x14ac:dyDescent="0.2">
      <c r="A19" s="13">
        <f t="shared" si="0"/>
        <v>13</v>
      </c>
      <c r="B19" s="39" t="s">
        <v>86</v>
      </c>
      <c r="C19" s="38">
        <v>49</v>
      </c>
      <c r="D19" s="70">
        <f>+'UE-190529 LR Data - Energy'!J32</f>
        <v>550655414.21762562</v>
      </c>
      <c r="E19" s="102">
        <f>+D19/D$25*0.75</f>
        <v>1.8747881416557269E-2</v>
      </c>
      <c r="F19" s="70">
        <f>'UE-190529 LR Data - Dem 4CP'!N18</f>
        <v>69577.130407689765</v>
      </c>
      <c r="G19" s="102">
        <f>+F19/F$25*0.25</f>
        <v>4.4855069580225088E-3</v>
      </c>
      <c r="H19" s="102">
        <f>+G19+E19</f>
        <v>2.3233388374579778E-2</v>
      </c>
      <c r="I19" s="102"/>
      <c r="J19" s="32">
        <f>+H19*($I$25)</f>
        <v>-20578.372072232891</v>
      </c>
      <c r="K19" s="70">
        <f>+'Estimated Proforma Net Revenue'!C24</f>
        <v>517424000</v>
      </c>
      <c r="L19" s="103">
        <f t="shared" si="3"/>
        <v>-3.9770810925339547E-5</v>
      </c>
    </row>
    <row r="20" spans="1:12" x14ac:dyDescent="0.2">
      <c r="A20" s="13">
        <f t="shared" si="0"/>
        <v>14</v>
      </c>
      <c r="B20" s="39"/>
      <c r="C20" s="38"/>
      <c r="E20" s="102"/>
      <c r="G20" s="102"/>
      <c r="H20" s="102"/>
      <c r="I20" s="102"/>
      <c r="J20" s="32"/>
      <c r="K20" s="70"/>
      <c r="L20" s="105"/>
    </row>
    <row r="21" spans="1:12" x14ac:dyDescent="0.2">
      <c r="A21" s="13">
        <f t="shared" si="0"/>
        <v>15</v>
      </c>
      <c r="B21" s="14" t="s">
        <v>9</v>
      </c>
      <c r="C21" s="38" t="s">
        <v>63</v>
      </c>
      <c r="D21" s="70">
        <f>+'UE-190529 LR Data Summary'!D18</f>
        <v>75887375.026475519</v>
      </c>
      <c r="E21" s="102">
        <f>+D21/D$25*0.75</f>
        <v>2.5836983915459946E-3</v>
      </c>
      <c r="F21" s="70">
        <f>'UE-190529 LR Data Summary'!F18</f>
        <v>8059.2720272472116</v>
      </c>
      <c r="G21" s="102">
        <f>+F21/F$25*0.25</f>
        <v>5.1956613535211553E-4</v>
      </c>
      <c r="H21" s="102">
        <f>+G21+E21</f>
        <v>3.1032645268981099E-3</v>
      </c>
      <c r="I21" s="102"/>
      <c r="J21" s="32">
        <f>+H21*($I$25)</f>
        <v>-2748.6361887249309</v>
      </c>
      <c r="K21" s="70">
        <f>+'Estimated Proforma Net Revenue'!C27</f>
        <v>63689000</v>
      </c>
      <c r="L21" s="103">
        <f>(+J21/K21)</f>
        <v>-4.3157157259886808E-5</v>
      </c>
    </row>
    <row r="22" spans="1:12" x14ac:dyDescent="0.2">
      <c r="A22" s="13">
        <f t="shared" si="0"/>
        <v>16</v>
      </c>
      <c r="C22" s="38"/>
      <c r="E22" s="102"/>
      <c r="J22" s="32"/>
      <c r="L22" s="105"/>
    </row>
    <row r="23" spans="1:12" x14ac:dyDescent="0.2">
      <c r="A23" s="13">
        <f t="shared" si="0"/>
        <v>17</v>
      </c>
      <c r="B23" s="39" t="s">
        <v>66</v>
      </c>
      <c r="C23" s="38">
        <v>5</v>
      </c>
      <c r="D23" s="70">
        <f>+'UE-190529 LR Data Summary'!D20</f>
        <v>7427003.1359829875</v>
      </c>
      <c r="E23" s="102">
        <f>+D23/D$25*0.75</f>
        <v>2.5286335243183223E-4</v>
      </c>
      <c r="F23" s="70">
        <f>'UE-190529 LR Data Summary'!F20</f>
        <v>1428.4140277629981</v>
      </c>
      <c r="G23" s="102">
        <f>+F23/F$25*0.25</f>
        <v>9.2087170352167269E-5</v>
      </c>
      <c r="H23" s="102">
        <f>+G23+E23</f>
        <v>3.4495052278399948E-4</v>
      </c>
      <c r="I23" s="102"/>
      <c r="J23" s="32">
        <f>+H23*($I$25)</f>
        <v>-305.5309922906921</v>
      </c>
      <c r="K23" s="70">
        <f>+'Estimated Proforma Net Revenue'!C33</f>
        <v>7435000</v>
      </c>
      <c r="L23" s="103">
        <f>(+J23/K23)</f>
        <v>-4.1093610261021127E-5</v>
      </c>
    </row>
    <row r="24" spans="1:12" x14ac:dyDescent="0.2">
      <c r="A24" s="13">
        <f t="shared" si="0"/>
        <v>18</v>
      </c>
      <c r="C24" s="38"/>
      <c r="E24" s="102"/>
      <c r="J24" s="32"/>
      <c r="L24" s="105"/>
    </row>
    <row r="25" spans="1:12" x14ac:dyDescent="0.2">
      <c r="A25" s="13">
        <f t="shared" si="0"/>
        <v>19</v>
      </c>
      <c r="B25" s="14" t="s">
        <v>10</v>
      </c>
      <c r="C25" s="38"/>
      <c r="D25" s="70">
        <f>SUM(D7:D23)</f>
        <v>22028705616.757526</v>
      </c>
      <c r="E25" s="102">
        <f>SUM(E7:E23)</f>
        <v>0.75000000000000022</v>
      </c>
      <c r="F25" s="70">
        <f>SUM(F7:F23)</f>
        <v>3877885.5466519948</v>
      </c>
      <c r="G25" s="102">
        <f>SUM(G7:G23)</f>
        <v>0.25</v>
      </c>
      <c r="H25" s="102">
        <f>SUM(H7:H23)</f>
        <v>1</v>
      </c>
      <c r="I25" s="32">
        <f>+'Rev Requirement 2021'!B15</f>
        <v>-885724.10276359832</v>
      </c>
      <c r="J25" s="32">
        <f>SUM(J7:J23)</f>
        <v>-885724.10276359832</v>
      </c>
      <c r="K25" s="70">
        <f>SUM(K7:K23)</f>
        <v>20294691000</v>
      </c>
      <c r="L25" s="103">
        <f>(+J25/K25)</f>
        <v>-4.364314306453832E-5</v>
      </c>
    </row>
    <row r="26" spans="1:12" x14ac:dyDescent="0.2">
      <c r="A26" s="13">
        <f t="shared" si="0"/>
        <v>20</v>
      </c>
      <c r="C26" s="38"/>
      <c r="J26" s="32"/>
      <c r="L26" s="73"/>
    </row>
    <row r="27" spans="1:12" x14ac:dyDescent="0.2">
      <c r="A27" s="13">
        <f t="shared" si="0"/>
        <v>21</v>
      </c>
      <c r="B27" s="14" t="s">
        <v>11</v>
      </c>
      <c r="C27" s="38" t="s">
        <v>116</v>
      </c>
      <c r="H27" s="70"/>
      <c r="I27" s="70"/>
      <c r="J27" s="32"/>
      <c r="K27" s="70">
        <f>+'Estimated Proforma Net Revenue'!C29</f>
        <v>2468540000</v>
      </c>
      <c r="L27" s="106"/>
    </row>
    <row r="28" spans="1:12" x14ac:dyDescent="0.2">
      <c r="A28" s="13">
        <f t="shared" si="0"/>
        <v>22</v>
      </c>
      <c r="C28" s="38"/>
      <c r="H28" s="70"/>
      <c r="I28" s="70"/>
      <c r="J28" s="32"/>
      <c r="K28" s="70"/>
      <c r="L28" s="106"/>
    </row>
    <row r="29" spans="1:12" x14ac:dyDescent="0.2">
      <c r="A29" s="13">
        <f t="shared" si="0"/>
        <v>23</v>
      </c>
      <c r="B29" s="14" t="s">
        <v>331</v>
      </c>
      <c r="C29" s="38" t="s">
        <v>332</v>
      </c>
      <c r="H29" s="70"/>
      <c r="I29" s="70"/>
      <c r="J29" s="32"/>
      <c r="K29" s="70"/>
      <c r="L29" s="106"/>
    </row>
    <row r="30" spans="1:12" x14ac:dyDescent="0.2">
      <c r="A30" s="13">
        <f t="shared" si="0"/>
        <v>24</v>
      </c>
      <c r="L30" s="16"/>
    </row>
    <row r="31" spans="1:12" x14ac:dyDescent="0.2">
      <c r="A31" s="13">
        <f t="shared" si="0"/>
        <v>25</v>
      </c>
      <c r="B31" s="14" t="s">
        <v>12</v>
      </c>
      <c r="J31" s="32"/>
      <c r="K31" s="70">
        <f>+K27+K25</f>
        <v>22763231000</v>
      </c>
      <c r="L31" s="105"/>
    </row>
    <row r="32" spans="1:12" x14ac:dyDescent="0.2">
      <c r="A32" s="13"/>
      <c r="J32" s="32"/>
      <c r="K32" s="70"/>
      <c r="L32" s="16"/>
    </row>
    <row r="33" spans="1:12" ht="13.5" thickBot="1" x14ac:dyDescent="0.25">
      <c r="A33" s="42"/>
      <c r="B33" s="43"/>
      <c r="C33" s="43"/>
      <c r="D33" s="45"/>
      <c r="E33" s="43"/>
      <c r="F33" s="45"/>
      <c r="G33" s="43"/>
      <c r="H33" s="43"/>
      <c r="I33" s="43"/>
      <c r="J33" s="43"/>
      <c r="K33" s="43"/>
      <c r="L33" s="47"/>
    </row>
    <row r="35" spans="1:12" x14ac:dyDescent="0.2">
      <c r="D35" s="344">
        <f>'UE-190529 LR Data Summary'!D22</f>
        <v>22028705616.757526</v>
      </c>
      <c r="E35" s="345"/>
      <c r="F35" s="347">
        <f>'UE-190529 LR Data Summary'!F22</f>
        <v>3877885.5466519948</v>
      </c>
      <c r="G35" s="345"/>
      <c r="H35" s="345"/>
      <c r="I35" s="345"/>
      <c r="J35" s="345"/>
      <c r="K35" s="346">
        <f>'Rate Impacts'!D37</f>
        <v>22763231000</v>
      </c>
    </row>
    <row r="36" spans="1:12" x14ac:dyDescent="0.2">
      <c r="D36" s="344">
        <f>+D35-D25</f>
        <v>0</v>
      </c>
      <c r="E36" s="345"/>
      <c r="F36" s="344">
        <f>+F35-F25</f>
        <v>0</v>
      </c>
      <c r="G36" s="345"/>
      <c r="H36" s="345"/>
      <c r="I36" s="345"/>
      <c r="J36" s="345"/>
      <c r="K36" s="346">
        <f>+K31-K35</f>
        <v>0</v>
      </c>
    </row>
  </sheetData>
  <mergeCells count="2">
    <mergeCell ref="A1:L1"/>
    <mergeCell ref="A2:L2"/>
  </mergeCells>
  <phoneticPr fontId="8" type="noConversion"/>
  <printOptions horizontalCentered="1"/>
  <pageMargins left="0.7" right="0.7" top="0.75" bottom="0.75" header="0.3" footer="0.3"/>
  <pageSetup scale="75" fitToHeight="6" orientation="landscape" r:id="rId1"/>
  <headerFooter alignWithMargins="0">
    <oddFooter>&amp;L&amp;F
&amp;A&amp;RSchedule 95A Filing Eff 1-1-21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8"/>
  <sheetViews>
    <sheetView tabSelected="1" workbookViewId="0">
      <pane xSplit="4" ySplit="7" topLeftCell="E8" activePane="bottomRight" state="frozen"/>
      <selection activeCell="L8" sqref="L8"/>
      <selection pane="topRight" activeCell="L8" sqref="L8"/>
      <selection pane="bottomLeft" activeCell="L8" sqref="L8"/>
      <selection pane="bottomRight" activeCell="J5" sqref="J5"/>
    </sheetView>
  </sheetViews>
  <sheetFormatPr defaultColWidth="8.85546875" defaultRowHeight="15" x14ac:dyDescent="0.25"/>
  <cols>
    <col min="1" max="1" width="4.42578125" style="74" bestFit="1" customWidth="1"/>
    <col min="2" max="2" width="44.28515625" style="74" bestFit="1" customWidth="1"/>
    <col min="3" max="3" width="18.7109375" style="74" bestFit="1" customWidth="1"/>
    <col min="4" max="4" width="12.28515625" style="74" bestFit="1" customWidth="1"/>
    <col min="5" max="5" width="11.85546875" style="74" bestFit="1" customWidth="1"/>
    <col min="6" max="7" width="11.28515625" style="74" bestFit="1" customWidth="1"/>
    <col min="8" max="8" width="12.7109375" style="74" bestFit="1" customWidth="1"/>
    <col min="9" max="9" width="12" style="74" bestFit="1" customWidth="1"/>
    <col min="10" max="10" width="13" style="74" customWidth="1"/>
    <col min="11" max="11" width="1.85546875" style="107" customWidth="1"/>
    <col min="12" max="13" width="9.7109375" style="74" bestFit="1" customWidth="1"/>
    <col min="14" max="14" width="1.85546875" style="74" customWidth="1"/>
    <col min="15" max="15" width="12.42578125" style="74" bestFit="1" customWidth="1"/>
    <col min="16" max="16" width="11" style="74" bestFit="1" customWidth="1"/>
    <col min="17" max="16384" width="8.85546875" style="74"/>
  </cols>
  <sheetData>
    <row r="1" spans="1:16" x14ac:dyDescent="0.25">
      <c r="A1" s="387" t="s">
        <v>13</v>
      </c>
      <c r="B1" s="387"/>
      <c r="C1" s="387"/>
      <c r="D1" s="387"/>
      <c r="E1" s="387"/>
      <c r="F1" s="387"/>
      <c r="G1" s="387"/>
      <c r="H1" s="387"/>
      <c r="I1" s="387"/>
      <c r="J1" s="387"/>
    </row>
    <row r="2" spans="1:16" x14ac:dyDescent="0.25">
      <c r="A2" s="388" t="s">
        <v>437</v>
      </c>
      <c r="B2" s="387"/>
      <c r="C2" s="387"/>
      <c r="D2" s="387"/>
      <c r="E2" s="387"/>
      <c r="F2" s="387"/>
      <c r="G2" s="387"/>
      <c r="H2" s="387"/>
      <c r="I2" s="387"/>
      <c r="J2" s="387"/>
    </row>
    <row r="3" spans="1:16" x14ac:dyDescent="0.25">
      <c r="A3" s="388" t="s">
        <v>376</v>
      </c>
      <c r="B3" s="387"/>
      <c r="C3" s="387"/>
      <c r="D3" s="387"/>
      <c r="E3" s="387"/>
      <c r="F3" s="387"/>
      <c r="G3" s="387"/>
      <c r="H3" s="387"/>
      <c r="I3" s="387"/>
      <c r="J3" s="387"/>
    </row>
    <row r="4" spans="1:16" x14ac:dyDescent="0.25">
      <c r="A4" s="1"/>
      <c r="B4" s="387"/>
      <c r="C4" s="387"/>
      <c r="D4" s="387"/>
      <c r="E4" s="387"/>
      <c r="F4" s="387"/>
      <c r="G4" s="4"/>
      <c r="H4" s="4"/>
      <c r="I4" s="4"/>
    </row>
    <row r="5" spans="1:16" ht="90" x14ac:dyDescent="0.25">
      <c r="A5" s="49" t="s">
        <v>0</v>
      </c>
      <c r="B5" s="49" t="s">
        <v>29</v>
      </c>
      <c r="C5" s="49" t="s">
        <v>30</v>
      </c>
      <c r="D5" s="49" t="s">
        <v>131</v>
      </c>
      <c r="E5" s="50" t="s">
        <v>377</v>
      </c>
      <c r="F5" s="50" t="s">
        <v>436</v>
      </c>
      <c r="G5" s="50" t="s">
        <v>375</v>
      </c>
      <c r="H5" s="50" t="s">
        <v>338</v>
      </c>
      <c r="I5" s="50" t="s">
        <v>434</v>
      </c>
      <c r="J5" s="50" t="s">
        <v>435</v>
      </c>
      <c r="L5" s="49" t="s">
        <v>132</v>
      </c>
      <c r="M5" s="49" t="s">
        <v>133</v>
      </c>
    </row>
    <row r="6" spans="1:16" x14ac:dyDescent="0.25">
      <c r="A6" s="1"/>
      <c r="B6" s="51"/>
      <c r="C6" s="51"/>
      <c r="D6" s="52"/>
      <c r="E6" s="51" t="s">
        <v>134</v>
      </c>
      <c r="F6" s="51" t="s">
        <v>135</v>
      </c>
      <c r="G6" s="83" t="s">
        <v>136</v>
      </c>
      <c r="H6" s="83" t="s">
        <v>137</v>
      </c>
      <c r="I6" s="83" t="s">
        <v>138</v>
      </c>
      <c r="J6" s="83"/>
    </row>
    <row r="7" spans="1:16" x14ac:dyDescent="0.25">
      <c r="A7" s="1"/>
      <c r="B7" s="51"/>
      <c r="C7" s="51"/>
      <c r="D7" s="52"/>
      <c r="E7" s="52"/>
      <c r="F7" s="84" t="s">
        <v>139</v>
      </c>
      <c r="G7" s="4"/>
      <c r="H7" s="84" t="s">
        <v>140</v>
      </c>
      <c r="I7" s="84" t="s">
        <v>141</v>
      </c>
    </row>
    <row r="8" spans="1:16" ht="15.75" thickBot="1" x14ac:dyDescent="0.3">
      <c r="A8" s="1"/>
      <c r="B8" s="53"/>
      <c r="C8" s="53"/>
      <c r="D8" s="53"/>
      <c r="E8" s="53"/>
      <c r="F8" s="53"/>
      <c r="G8" s="48"/>
      <c r="H8" s="48"/>
      <c r="I8" s="48"/>
    </row>
    <row r="9" spans="1:16" x14ac:dyDescent="0.25">
      <c r="A9" s="1"/>
      <c r="B9" s="53"/>
      <c r="C9" s="53"/>
      <c r="D9" s="53"/>
      <c r="E9" s="53"/>
      <c r="F9" s="53"/>
      <c r="G9" s="4"/>
      <c r="H9" s="4"/>
      <c r="I9" s="4"/>
      <c r="J9" s="108" t="s">
        <v>142</v>
      </c>
      <c r="K9" s="74"/>
    </row>
    <row r="10" spans="1:16" ht="15.75" thickBot="1" x14ac:dyDescent="0.3">
      <c r="A10" s="1">
        <v>1</v>
      </c>
      <c r="B10" s="85" t="s">
        <v>143</v>
      </c>
      <c r="C10" s="53"/>
      <c r="D10" s="53"/>
      <c r="E10" s="53"/>
      <c r="F10" s="53"/>
      <c r="G10" s="86"/>
      <c r="H10" s="87">
        <f>SUM(H25:H200)</f>
        <v>4702363</v>
      </c>
      <c r="I10" s="87">
        <f>SUM(I25:I200)</f>
        <v>-2697</v>
      </c>
      <c r="J10" s="109">
        <f>+J12+J11</f>
        <v>-1.1765223324368898E-3</v>
      </c>
      <c r="K10" s="74"/>
    </row>
    <row r="11" spans="1:16" x14ac:dyDescent="0.25">
      <c r="A11" s="1">
        <f>+A10+1</f>
        <v>2</v>
      </c>
      <c r="B11" s="85" t="s">
        <v>144</v>
      </c>
      <c r="C11" s="53"/>
      <c r="D11" s="53"/>
      <c r="E11" s="53"/>
      <c r="F11" s="53"/>
      <c r="G11" s="86"/>
      <c r="I11" s="86">
        <f>+'Peak Credit Spread'!J21</f>
        <v>-2748.6361887249309</v>
      </c>
      <c r="J11" s="110">
        <f>+I11/H10</f>
        <v>-5.8452233243688994E-4</v>
      </c>
      <c r="K11" s="74"/>
    </row>
    <row r="12" spans="1:16" x14ac:dyDescent="0.25">
      <c r="A12" s="1">
        <f t="shared" ref="A12:A75" si="0">+A11+1</f>
        <v>3</v>
      </c>
      <c r="B12" s="54" t="s">
        <v>145</v>
      </c>
      <c r="C12" s="53"/>
      <c r="D12" s="53"/>
      <c r="E12" s="53"/>
      <c r="F12" s="53"/>
      <c r="G12" s="86"/>
      <c r="H12" s="87"/>
      <c r="I12" s="87">
        <f>+I10-I11</f>
        <v>51.636188724930889</v>
      </c>
      <c r="J12" s="118">
        <v>-5.9199999999999997E-4</v>
      </c>
      <c r="K12" s="74"/>
    </row>
    <row r="13" spans="1:16" x14ac:dyDescent="0.25">
      <c r="A13" s="1">
        <f t="shared" si="0"/>
        <v>4</v>
      </c>
      <c r="B13" s="53"/>
      <c r="C13" s="53"/>
      <c r="D13" s="53"/>
      <c r="E13" s="53"/>
      <c r="F13" s="53"/>
      <c r="G13" s="4"/>
      <c r="H13" s="4"/>
      <c r="I13" s="4"/>
      <c r="K13" s="74"/>
    </row>
    <row r="14" spans="1:16" x14ac:dyDescent="0.25">
      <c r="A14" s="1">
        <f t="shared" si="0"/>
        <v>5</v>
      </c>
      <c r="B14" s="53" t="s">
        <v>146</v>
      </c>
      <c r="C14" s="53"/>
      <c r="D14" s="53"/>
      <c r="E14" s="53"/>
      <c r="F14" s="53"/>
      <c r="G14" s="48">
        <f>SUM(G25:G33)</f>
        <v>1230</v>
      </c>
      <c r="H14" s="87">
        <f>SUM(H25:H33)</f>
        <v>4049</v>
      </c>
      <c r="I14" s="87">
        <f>SUM(I25:I33)</f>
        <v>-4</v>
      </c>
      <c r="J14" s="87"/>
      <c r="K14" s="74"/>
      <c r="M14" s="75"/>
      <c r="P14" s="48"/>
    </row>
    <row r="15" spans="1:16" x14ac:dyDescent="0.25">
      <c r="A15" s="1">
        <f t="shared" si="0"/>
        <v>6</v>
      </c>
      <c r="B15" s="53" t="s">
        <v>147</v>
      </c>
      <c r="C15" s="53"/>
      <c r="D15" s="53"/>
      <c r="E15" s="53"/>
      <c r="F15" s="53"/>
      <c r="G15" s="48">
        <f>SUM(G36:G44)</f>
        <v>90416</v>
      </c>
      <c r="H15" s="87">
        <f>SUM(H36:H44)</f>
        <v>170817</v>
      </c>
      <c r="I15" s="87">
        <f>SUM(I36:I44)</f>
        <v>-41</v>
      </c>
      <c r="J15" s="87"/>
      <c r="K15" s="74"/>
      <c r="M15" s="75"/>
      <c r="P15" s="48"/>
    </row>
    <row r="16" spans="1:16" x14ac:dyDescent="0.25">
      <c r="A16" s="1">
        <f t="shared" si="0"/>
        <v>7</v>
      </c>
      <c r="B16" s="53" t="s">
        <v>148</v>
      </c>
      <c r="C16" s="53"/>
      <c r="D16" s="53"/>
      <c r="E16" s="53"/>
      <c r="F16" s="53"/>
      <c r="G16" s="48">
        <f>SUM(G47:G62)</f>
        <v>224568</v>
      </c>
      <c r="H16" s="87">
        <f>SUM(H47:H62)</f>
        <v>809542</v>
      </c>
      <c r="I16" s="87">
        <f>SUM(I47:I62)</f>
        <v>-418</v>
      </c>
      <c r="J16" s="87"/>
      <c r="K16" s="74"/>
      <c r="M16" s="75"/>
      <c r="P16" s="48"/>
    </row>
    <row r="17" spans="1:17" x14ac:dyDescent="0.25">
      <c r="A17" s="1">
        <f t="shared" si="0"/>
        <v>8</v>
      </c>
      <c r="B17" s="53" t="s">
        <v>149</v>
      </c>
      <c r="G17" s="75">
        <f>SUM(G65:G116)</f>
        <v>921025</v>
      </c>
      <c r="H17" s="111">
        <f>SUM(H65:H116)</f>
        <v>2440827</v>
      </c>
      <c r="I17" s="111">
        <f>SUM(I65:I116)</f>
        <v>-1115</v>
      </c>
      <c r="J17" s="111"/>
      <c r="K17" s="74"/>
      <c r="M17" s="75"/>
      <c r="P17" s="75"/>
    </row>
    <row r="18" spans="1:17" x14ac:dyDescent="0.25">
      <c r="A18" s="1">
        <f t="shared" si="0"/>
        <v>9</v>
      </c>
      <c r="B18" s="54" t="s">
        <v>150</v>
      </c>
      <c r="G18" s="75">
        <f>SUM(G119:G138)</f>
        <v>119210</v>
      </c>
      <c r="H18" s="111">
        <f>SUM(H119:H138)</f>
        <v>448403</v>
      </c>
      <c r="I18" s="111">
        <f>SUM(I119:I138)</f>
        <v>-339</v>
      </c>
      <c r="J18" s="111"/>
      <c r="K18" s="74"/>
      <c r="M18" s="75"/>
      <c r="P18" s="75"/>
    </row>
    <row r="19" spans="1:17" x14ac:dyDescent="0.25">
      <c r="A19" s="1">
        <f t="shared" si="0"/>
        <v>10</v>
      </c>
      <c r="B19" s="54" t="s">
        <v>151</v>
      </c>
      <c r="G19" s="75">
        <f>SUM(G141:G158)</f>
        <v>73982</v>
      </c>
      <c r="H19" s="111">
        <f>SUM(H141:H158)</f>
        <v>231672</v>
      </c>
      <c r="I19" s="111">
        <f>SUM(I141:I158)</f>
        <v>-148</v>
      </c>
      <c r="J19" s="111"/>
      <c r="K19" s="74"/>
      <c r="M19" s="75"/>
      <c r="P19" s="75"/>
    </row>
    <row r="20" spans="1:17" x14ac:dyDescent="0.25">
      <c r="A20" s="1">
        <f t="shared" si="0"/>
        <v>11</v>
      </c>
      <c r="B20" s="53" t="s">
        <v>152</v>
      </c>
      <c r="G20" s="75">
        <f>SUM(G161)</f>
        <v>11746541</v>
      </c>
      <c r="H20" s="111">
        <f>SUM(H161)</f>
        <v>449070</v>
      </c>
      <c r="I20" s="111">
        <f>SUM(I161)</f>
        <v>-470</v>
      </c>
      <c r="J20" s="111"/>
      <c r="K20" s="74"/>
      <c r="M20" s="75"/>
      <c r="P20" s="75"/>
    </row>
    <row r="21" spans="1:17" x14ac:dyDescent="0.25">
      <c r="A21" s="1">
        <f t="shared" si="0"/>
        <v>12</v>
      </c>
      <c r="B21" s="54" t="s">
        <v>153</v>
      </c>
      <c r="G21" s="75">
        <f>SUM(G164:G200)</f>
        <v>17556</v>
      </c>
      <c r="H21" s="111">
        <f>SUM(H164:H200)</f>
        <v>147983</v>
      </c>
      <c r="I21" s="111">
        <f>SUM(I164:I200)</f>
        <v>-162</v>
      </c>
      <c r="J21" s="111"/>
      <c r="K21" s="74"/>
      <c r="M21" s="75"/>
      <c r="P21" s="75"/>
    </row>
    <row r="22" spans="1:17" x14ac:dyDescent="0.25">
      <c r="A22" s="1">
        <f t="shared" si="0"/>
        <v>13</v>
      </c>
      <c r="B22" s="53" t="s">
        <v>154</v>
      </c>
      <c r="G22" s="75">
        <f>SUM(G14:G21)</f>
        <v>13194528</v>
      </c>
      <c r="H22" s="111">
        <f>SUM(H14:H21)</f>
        <v>4702363</v>
      </c>
      <c r="I22" s="111">
        <f>SUM(I14:I21)</f>
        <v>-2697</v>
      </c>
      <c r="J22" s="111"/>
      <c r="K22" s="74"/>
      <c r="M22" s="75"/>
      <c r="P22" s="75"/>
    </row>
    <row r="23" spans="1:17" x14ac:dyDescent="0.25">
      <c r="A23" s="1">
        <f t="shared" si="0"/>
        <v>14</v>
      </c>
      <c r="B23" s="53"/>
      <c r="C23" s="53"/>
      <c r="D23" s="53"/>
      <c r="E23" s="53"/>
      <c r="F23" s="53"/>
      <c r="G23" s="86"/>
      <c r="H23" s="87"/>
      <c r="I23" s="87"/>
      <c r="K23" s="74"/>
    </row>
    <row r="24" spans="1:17" x14ac:dyDescent="0.25">
      <c r="A24" s="1">
        <f t="shared" si="0"/>
        <v>15</v>
      </c>
      <c r="B24" s="53" t="s">
        <v>155</v>
      </c>
      <c r="C24" s="53"/>
      <c r="D24" s="53"/>
      <c r="E24" s="53"/>
      <c r="F24" s="53"/>
      <c r="G24" s="4"/>
      <c r="H24" s="4"/>
      <c r="I24" s="4"/>
    </row>
    <row r="25" spans="1:17" x14ac:dyDescent="0.25">
      <c r="A25" s="1">
        <f t="shared" si="0"/>
        <v>16</v>
      </c>
      <c r="B25" s="55" t="s">
        <v>156</v>
      </c>
      <c r="C25" s="54" t="s">
        <v>157</v>
      </c>
      <c r="D25" s="56">
        <v>22</v>
      </c>
      <c r="E25" s="107">
        <f>SUM(L25:M25)</f>
        <v>0.56000000000000005</v>
      </c>
      <c r="F25" s="88">
        <f>ROUND(+E25*$J$10,2)</f>
        <v>0</v>
      </c>
      <c r="G25" s="48">
        <v>708</v>
      </c>
      <c r="H25" s="87">
        <f>ROUND($G25*E25,0)</f>
        <v>396</v>
      </c>
      <c r="I25" s="87">
        <f>ROUND($G25*F25,0)</f>
        <v>0</v>
      </c>
      <c r="K25" s="74"/>
      <c r="L25" s="107">
        <v>0.22</v>
      </c>
      <c r="M25" s="107">
        <v>0.34</v>
      </c>
      <c r="Q25" s="75"/>
    </row>
    <row r="26" spans="1:17" x14ac:dyDescent="0.25">
      <c r="A26" s="1">
        <f t="shared" si="0"/>
        <v>17</v>
      </c>
      <c r="B26" s="57"/>
      <c r="C26" s="52"/>
      <c r="D26" s="58"/>
      <c r="E26" s="107"/>
      <c r="F26" s="53"/>
      <c r="G26" s="48"/>
      <c r="H26" s="48"/>
      <c r="I26" s="48"/>
      <c r="K26" s="74"/>
      <c r="Q26" s="75"/>
    </row>
    <row r="27" spans="1:17" x14ac:dyDescent="0.25">
      <c r="A27" s="1">
        <f t="shared" si="0"/>
        <v>18</v>
      </c>
      <c r="B27" s="55" t="s">
        <v>158</v>
      </c>
      <c r="C27" s="59" t="s">
        <v>32</v>
      </c>
      <c r="D27" s="60">
        <v>100</v>
      </c>
      <c r="E27" s="107">
        <f t="shared" ref="E27:E33" si="1">SUM(L27:M27)</f>
        <v>2.54</v>
      </c>
      <c r="F27" s="88">
        <f t="shared" ref="F27:F33" si="2">ROUND(+E27*$J$10,2)</f>
        <v>0</v>
      </c>
      <c r="G27" s="48">
        <v>36</v>
      </c>
      <c r="H27" s="87">
        <f t="shared" ref="H27:I33" si="3">ROUND($G27*E27,0)</f>
        <v>91</v>
      </c>
      <c r="I27" s="87">
        <f t="shared" si="3"/>
        <v>0</v>
      </c>
      <c r="K27" s="74"/>
      <c r="L27" s="107">
        <v>1.01</v>
      </c>
      <c r="M27" s="107">
        <v>1.53</v>
      </c>
      <c r="Q27" s="75"/>
    </row>
    <row r="28" spans="1:17" x14ac:dyDescent="0.25">
      <c r="A28" s="1">
        <f t="shared" si="0"/>
        <v>19</v>
      </c>
      <c r="B28" s="55" t="str">
        <f>+B27</f>
        <v>50E-A</v>
      </c>
      <c r="C28" s="59" t="str">
        <f>+C27</f>
        <v>Mercury Vapor</v>
      </c>
      <c r="D28" s="60">
        <v>175</v>
      </c>
      <c r="E28" s="107">
        <f t="shared" si="1"/>
        <v>4.4399999999999995</v>
      </c>
      <c r="F28" s="88">
        <f t="shared" si="2"/>
        <v>-0.01</v>
      </c>
      <c r="G28" s="48">
        <v>228</v>
      </c>
      <c r="H28" s="87">
        <f t="shared" si="3"/>
        <v>1012</v>
      </c>
      <c r="I28" s="87">
        <f t="shared" si="3"/>
        <v>-2</v>
      </c>
      <c r="K28" s="74"/>
      <c r="L28" s="107">
        <v>1.77</v>
      </c>
      <c r="M28" s="107">
        <v>2.67</v>
      </c>
      <c r="Q28" s="75"/>
    </row>
    <row r="29" spans="1:17" x14ac:dyDescent="0.25">
      <c r="A29" s="1">
        <f t="shared" si="0"/>
        <v>20</v>
      </c>
      <c r="B29" s="55" t="str">
        <f>+B28</f>
        <v>50E-A</v>
      </c>
      <c r="C29" s="59" t="str">
        <f>+C28</f>
        <v>Mercury Vapor</v>
      </c>
      <c r="D29" s="60">
        <v>400</v>
      </c>
      <c r="E29" s="107">
        <f t="shared" si="1"/>
        <v>10.15</v>
      </c>
      <c r="F29" s="88">
        <f t="shared" si="2"/>
        <v>-0.01</v>
      </c>
      <c r="G29" s="48">
        <v>246</v>
      </c>
      <c r="H29" s="87">
        <f t="shared" si="3"/>
        <v>2497</v>
      </c>
      <c r="I29" s="87">
        <f t="shared" si="3"/>
        <v>-2</v>
      </c>
      <c r="K29" s="74"/>
      <c r="L29" s="107">
        <v>4.04</v>
      </c>
      <c r="M29" s="107">
        <v>6.11</v>
      </c>
      <c r="Q29" s="75"/>
    </row>
    <row r="30" spans="1:17" x14ac:dyDescent="0.25">
      <c r="A30" s="1">
        <f t="shared" si="0"/>
        <v>21</v>
      </c>
      <c r="B30" s="55" t="s">
        <v>159</v>
      </c>
      <c r="C30" s="59" t="str">
        <f>+C29</f>
        <v>Mercury Vapor</v>
      </c>
      <c r="D30" s="60">
        <v>100</v>
      </c>
      <c r="E30" s="107">
        <f t="shared" si="1"/>
        <v>2.54</v>
      </c>
      <c r="F30" s="88">
        <f t="shared" si="2"/>
        <v>0</v>
      </c>
      <c r="G30" s="48">
        <v>0</v>
      </c>
      <c r="H30" s="87">
        <f t="shared" si="3"/>
        <v>0</v>
      </c>
      <c r="I30" s="87">
        <f t="shared" si="3"/>
        <v>0</v>
      </c>
      <c r="K30" s="74"/>
      <c r="L30" s="107">
        <v>1.01</v>
      </c>
      <c r="M30" s="107">
        <v>1.53</v>
      </c>
      <c r="Q30" s="75"/>
    </row>
    <row r="31" spans="1:17" x14ac:dyDescent="0.25">
      <c r="A31" s="1">
        <f t="shared" si="0"/>
        <v>22</v>
      </c>
      <c r="B31" s="55" t="str">
        <f>+B30</f>
        <v>50E-B</v>
      </c>
      <c r="C31" s="59" t="str">
        <f>+C30</f>
        <v>Mercury Vapor</v>
      </c>
      <c r="D31" s="60">
        <v>175</v>
      </c>
      <c r="E31" s="107">
        <f t="shared" si="1"/>
        <v>4.4399999999999995</v>
      </c>
      <c r="F31" s="88">
        <f t="shared" si="2"/>
        <v>-0.01</v>
      </c>
      <c r="G31" s="48">
        <v>12</v>
      </c>
      <c r="H31" s="87">
        <f t="shared" si="3"/>
        <v>53</v>
      </c>
      <c r="I31" s="87">
        <f t="shared" si="3"/>
        <v>0</v>
      </c>
      <c r="K31" s="74"/>
      <c r="L31" s="107">
        <v>1.77</v>
      </c>
      <c r="M31" s="107">
        <v>2.67</v>
      </c>
      <c r="Q31" s="75"/>
    </row>
    <row r="32" spans="1:17" x14ac:dyDescent="0.25">
      <c r="A32" s="1">
        <f t="shared" si="0"/>
        <v>23</v>
      </c>
      <c r="B32" s="55" t="str">
        <f>+B31</f>
        <v>50E-B</v>
      </c>
      <c r="C32" s="59" t="str">
        <f>+C31</f>
        <v>Mercury Vapor</v>
      </c>
      <c r="D32" s="60">
        <v>400</v>
      </c>
      <c r="E32" s="107">
        <f t="shared" si="1"/>
        <v>10.15</v>
      </c>
      <c r="F32" s="88">
        <f t="shared" si="2"/>
        <v>-0.01</v>
      </c>
      <c r="G32" s="48">
        <v>0</v>
      </c>
      <c r="H32" s="87">
        <f t="shared" si="3"/>
        <v>0</v>
      </c>
      <c r="I32" s="87">
        <f t="shared" si="3"/>
        <v>0</v>
      </c>
      <c r="K32" s="74"/>
      <c r="L32" s="107">
        <v>4.04</v>
      </c>
      <c r="M32" s="107">
        <v>6.11</v>
      </c>
      <c r="Q32" s="75"/>
    </row>
    <row r="33" spans="1:17" x14ac:dyDescent="0.25">
      <c r="A33" s="1">
        <f t="shared" si="0"/>
        <v>24</v>
      </c>
      <c r="B33" s="55" t="str">
        <f>+B32</f>
        <v>50E-B</v>
      </c>
      <c r="C33" s="59" t="str">
        <f>+C32</f>
        <v>Mercury Vapor</v>
      </c>
      <c r="D33" s="60">
        <v>700</v>
      </c>
      <c r="E33" s="107">
        <f t="shared" si="1"/>
        <v>17.759999999999998</v>
      </c>
      <c r="F33" s="88">
        <f t="shared" si="2"/>
        <v>-0.02</v>
      </c>
      <c r="G33" s="48">
        <v>0</v>
      </c>
      <c r="H33" s="87">
        <f t="shared" si="3"/>
        <v>0</v>
      </c>
      <c r="I33" s="87">
        <f t="shared" si="3"/>
        <v>0</v>
      </c>
      <c r="K33" s="74"/>
      <c r="L33" s="107">
        <v>7.07</v>
      </c>
      <c r="M33" s="107">
        <v>10.69</v>
      </c>
      <c r="Q33" s="75"/>
    </row>
    <row r="34" spans="1:17" x14ac:dyDescent="0.25">
      <c r="A34" s="1">
        <f t="shared" si="0"/>
        <v>25</v>
      </c>
      <c r="B34" s="61"/>
      <c r="C34" s="62"/>
      <c r="D34" s="53"/>
      <c r="E34" s="107"/>
      <c r="F34" s="53"/>
      <c r="G34" s="48"/>
      <c r="H34" s="48"/>
      <c r="I34" s="48"/>
      <c r="K34" s="74"/>
      <c r="L34" s="107">
        <v>0</v>
      </c>
      <c r="M34" s="107">
        <v>0</v>
      </c>
      <c r="Q34" s="75"/>
    </row>
    <row r="35" spans="1:17" x14ac:dyDescent="0.25">
      <c r="A35" s="1">
        <f t="shared" si="0"/>
        <v>26</v>
      </c>
      <c r="B35" s="61" t="s">
        <v>160</v>
      </c>
      <c r="C35" s="62"/>
      <c r="D35" s="53"/>
      <c r="E35" s="107"/>
      <c r="F35" s="53"/>
      <c r="G35" s="48"/>
      <c r="H35" s="48"/>
      <c r="I35" s="48"/>
      <c r="K35" s="74"/>
      <c r="L35" s="107">
        <v>0</v>
      </c>
      <c r="M35" s="107">
        <v>0</v>
      </c>
      <c r="Q35" s="75"/>
    </row>
    <row r="36" spans="1:17" x14ac:dyDescent="0.25">
      <c r="A36" s="1">
        <f t="shared" si="0"/>
        <v>27</v>
      </c>
      <c r="B36" s="55" t="s">
        <v>161</v>
      </c>
      <c r="C36" s="59" t="s">
        <v>162</v>
      </c>
      <c r="D36" s="60" t="s">
        <v>163</v>
      </c>
      <c r="E36" s="107">
        <f t="shared" ref="E36:E44" si="4">SUM(L36:M36)</f>
        <v>1.1399999999999999</v>
      </c>
      <c r="F36" s="88">
        <f t="shared" ref="F36:F44" si="5">ROUND(+E36*$J$10,2)</f>
        <v>0</v>
      </c>
      <c r="G36" s="48">
        <v>45401</v>
      </c>
      <c r="H36" s="87">
        <f t="shared" ref="H36:I44" si="6">ROUND($G36*E36,0)</f>
        <v>51757</v>
      </c>
      <c r="I36" s="87">
        <f t="shared" si="6"/>
        <v>0</v>
      </c>
      <c r="K36" s="74"/>
      <c r="L36" s="107">
        <v>0.45</v>
      </c>
      <c r="M36" s="107">
        <v>0.69</v>
      </c>
      <c r="Q36" s="75"/>
    </row>
    <row r="37" spans="1:17" x14ac:dyDescent="0.25">
      <c r="A37" s="1">
        <f t="shared" si="0"/>
        <v>28</v>
      </c>
      <c r="B37" s="55" t="s">
        <v>161</v>
      </c>
      <c r="C37" s="59" t="s">
        <v>162</v>
      </c>
      <c r="D37" s="60" t="s">
        <v>164</v>
      </c>
      <c r="E37" s="107">
        <f t="shared" si="4"/>
        <v>1.91</v>
      </c>
      <c r="F37" s="88">
        <f t="shared" si="5"/>
        <v>0</v>
      </c>
      <c r="G37" s="48">
        <v>24041</v>
      </c>
      <c r="H37" s="87">
        <f t="shared" si="6"/>
        <v>45918</v>
      </c>
      <c r="I37" s="87">
        <f t="shared" si="6"/>
        <v>0</v>
      </c>
      <c r="K37" s="74"/>
      <c r="L37" s="107">
        <v>0.76</v>
      </c>
      <c r="M37" s="107">
        <v>1.1499999999999999</v>
      </c>
      <c r="Q37" s="75"/>
    </row>
    <row r="38" spans="1:17" x14ac:dyDescent="0.25">
      <c r="A38" s="1">
        <f t="shared" si="0"/>
        <v>29</v>
      </c>
      <c r="B38" s="55" t="s">
        <v>161</v>
      </c>
      <c r="C38" s="59" t="s">
        <v>162</v>
      </c>
      <c r="D38" s="60" t="s">
        <v>165</v>
      </c>
      <c r="E38" s="107">
        <f t="shared" si="4"/>
        <v>2.66</v>
      </c>
      <c r="F38" s="88">
        <f t="shared" si="5"/>
        <v>0</v>
      </c>
      <c r="G38" s="48">
        <v>11000</v>
      </c>
      <c r="H38" s="87">
        <f t="shared" si="6"/>
        <v>29260</v>
      </c>
      <c r="I38" s="87">
        <f t="shared" si="6"/>
        <v>0</v>
      </c>
      <c r="K38" s="74"/>
      <c r="L38" s="107">
        <v>1.06</v>
      </c>
      <c r="M38" s="107">
        <v>1.6</v>
      </c>
      <c r="Q38" s="75"/>
    </row>
    <row r="39" spans="1:17" x14ac:dyDescent="0.25">
      <c r="A39" s="1">
        <f t="shared" si="0"/>
        <v>30</v>
      </c>
      <c r="B39" s="55" t="s">
        <v>161</v>
      </c>
      <c r="C39" s="59" t="s">
        <v>162</v>
      </c>
      <c r="D39" s="60" t="s">
        <v>166</v>
      </c>
      <c r="E39" s="107">
        <f t="shared" si="4"/>
        <v>3.42</v>
      </c>
      <c r="F39" s="88">
        <f t="shared" si="5"/>
        <v>0</v>
      </c>
      <c r="G39" s="48">
        <v>5104</v>
      </c>
      <c r="H39" s="87">
        <f t="shared" si="6"/>
        <v>17456</v>
      </c>
      <c r="I39" s="87">
        <f t="shared" si="6"/>
        <v>0</v>
      </c>
      <c r="K39" s="74"/>
      <c r="L39" s="107">
        <v>1.36</v>
      </c>
      <c r="M39" s="107">
        <v>2.06</v>
      </c>
      <c r="Q39" s="75"/>
    </row>
    <row r="40" spans="1:17" x14ac:dyDescent="0.25">
      <c r="A40" s="1">
        <f t="shared" si="0"/>
        <v>31</v>
      </c>
      <c r="B40" s="55" t="s">
        <v>161</v>
      </c>
      <c r="C40" s="59" t="s">
        <v>162</v>
      </c>
      <c r="D40" s="60" t="s">
        <v>167</v>
      </c>
      <c r="E40" s="107">
        <f t="shared" si="4"/>
        <v>4.1899999999999995</v>
      </c>
      <c r="F40" s="88">
        <f t="shared" si="5"/>
        <v>0</v>
      </c>
      <c r="G40" s="48">
        <v>705</v>
      </c>
      <c r="H40" s="87">
        <f t="shared" si="6"/>
        <v>2954</v>
      </c>
      <c r="I40" s="87">
        <f t="shared" si="6"/>
        <v>0</v>
      </c>
      <c r="K40" s="74"/>
      <c r="L40" s="107">
        <v>1.67</v>
      </c>
      <c r="M40" s="107">
        <v>2.52</v>
      </c>
      <c r="Q40" s="75"/>
    </row>
    <row r="41" spans="1:17" x14ac:dyDescent="0.25">
      <c r="A41" s="1">
        <f t="shared" si="0"/>
        <v>32</v>
      </c>
      <c r="B41" s="55" t="s">
        <v>161</v>
      </c>
      <c r="C41" s="59" t="s">
        <v>162</v>
      </c>
      <c r="D41" s="60" t="s">
        <v>168</v>
      </c>
      <c r="E41" s="107">
        <f t="shared" si="4"/>
        <v>4.95</v>
      </c>
      <c r="F41" s="88">
        <f t="shared" si="5"/>
        <v>-0.01</v>
      </c>
      <c r="G41" s="48">
        <v>2412</v>
      </c>
      <c r="H41" s="87">
        <f t="shared" si="6"/>
        <v>11939</v>
      </c>
      <c r="I41" s="87">
        <f t="shared" si="6"/>
        <v>-24</v>
      </c>
      <c r="K41" s="74"/>
      <c r="L41" s="107">
        <v>1.97</v>
      </c>
      <c r="M41" s="107">
        <v>2.98</v>
      </c>
      <c r="Q41" s="75"/>
    </row>
    <row r="42" spans="1:17" x14ac:dyDescent="0.25">
      <c r="A42" s="1">
        <f t="shared" si="0"/>
        <v>33</v>
      </c>
      <c r="B42" s="55" t="s">
        <v>161</v>
      </c>
      <c r="C42" s="59" t="s">
        <v>162</v>
      </c>
      <c r="D42" s="60" t="s">
        <v>169</v>
      </c>
      <c r="E42" s="107">
        <f t="shared" si="4"/>
        <v>5.71</v>
      </c>
      <c r="F42" s="88">
        <f t="shared" si="5"/>
        <v>-0.01</v>
      </c>
      <c r="G42" s="48">
        <v>696</v>
      </c>
      <c r="H42" s="87">
        <f t="shared" si="6"/>
        <v>3974</v>
      </c>
      <c r="I42" s="87">
        <f t="shared" si="6"/>
        <v>-7</v>
      </c>
      <c r="K42" s="74"/>
      <c r="L42" s="107">
        <v>2.27</v>
      </c>
      <c r="M42" s="107">
        <v>3.44</v>
      </c>
      <c r="Q42" s="75"/>
    </row>
    <row r="43" spans="1:17" x14ac:dyDescent="0.25">
      <c r="A43" s="1">
        <f t="shared" si="0"/>
        <v>34</v>
      </c>
      <c r="B43" s="55" t="s">
        <v>161</v>
      </c>
      <c r="C43" s="59" t="s">
        <v>162</v>
      </c>
      <c r="D43" s="60" t="s">
        <v>170</v>
      </c>
      <c r="E43" s="107">
        <f t="shared" si="4"/>
        <v>6.46</v>
      </c>
      <c r="F43" s="88">
        <f t="shared" si="5"/>
        <v>-0.01</v>
      </c>
      <c r="G43" s="48">
        <v>108</v>
      </c>
      <c r="H43" s="87">
        <f t="shared" si="6"/>
        <v>698</v>
      </c>
      <c r="I43" s="87">
        <f t="shared" si="6"/>
        <v>-1</v>
      </c>
      <c r="K43" s="74"/>
      <c r="L43" s="107">
        <v>2.57</v>
      </c>
      <c r="M43" s="107">
        <v>3.89</v>
      </c>
      <c r="Q43" s="75"/>
    </row>
    <row r="44" spans="1:17" x14ac:dyDescent="0.25">
      <c r="A44" s="1">
        <f t="shared" si="0"/>
        <v>35</v>
      </c>
      <c r="B44" s="55" t="s">
        <v>161</v>
      </c>
      <c r="C44" s="59" t="s">
        <v>162</v>
      </c>
      <c r="D44" s="60" t="s">
        <v>171</v>
      </c>
      <c r="E44" s="107">
        <f t="shared" si="4"/>
        <v>7.2299999999999995</v>
      </c>
      <c r="F44" s="88">
        <f t="shared" si="5"/>
        <v>-0.01</v>
      </c>
      <c r="G44" s="48">
        <v>949</v>
      </c>
      <c r="H44" s="87">
        <f t="shared" si="6"/>
        <v>6861</v>
      </c>
      <c r="I44" s="87">
        <f t="shared" si="6"/>
        <v>-9</v>
      </c>
      <c r="K44" s="74"/>
      <c r="L44" s="107">
        <v>2.88</v>
      </c>
      <c r="M44" s="107">
        <v>4.3499999999999996</v>
      </c>
      <c r="Q44" s="75"/>
    </row>
    <row r="45" spans="1:17" x14ac:dyDescent="0.25">
      <c r="A45" s="1">
        <f t="shared" si="0"/>
        <v>36</v>
      </c>
      <c r="B45" s="61"/>
      <c r="C45" s="53"/>
      <c r="D45" s="53"/>
      <c r="E45" s="107"/>
      <c r="F45" s="53"/>
      <c r="G45" s="48"/>
      <c r="H45" s="48"/>
      <c r="I45" s="48"/>
      <c r="K45" s="74"/>
      <c r="L45" s="107"/>
      <c r="M45" s="107"/>
      <c r="Q45" s="75"/>
    </row>
    <row r="46" spans="1:17" x14ac:dyDescent="0.25">
      <c r="A46" s="1">
        <f t="shared" si="0"/>
        <v>37</v>
      </c>
      <c r="B46" s="61" t="s">
        <v>172</v>
      </c>
      <c r="C46" s="53"/>
      <c r="D46" s="53"/>
      <c r="E46" s="107"/>
      <c r="F46" s="53"/>
      <c r="G46" s="48"/>
      <c r="H46" s="48"/>
      <c r="I46" s="48"/>
      <c r="K46" s="74"/>
      <c r="L46" s="107"/>
      <c r="M46" s="107"/>
      <c r="Q46" s="75"/>
    </row>
    <row r="47" spans="1:17" x14ac:dyDescent="0.25">
      <c r="A47" s="1">
        <f t="shared" si="0"/>
        <v>38</v>
      </c>
      <c r="B47" s="55" t="s">
        <v>173</v>
      </c>
      <c r="C47" s="63" t="s">
        <v>33</v>
      </c>
      <c r="D47" s="63">
        <v>50</v>
      </c>
      <c r="E47" s="107">
        <f t="shared" ref="E47:E54" si="7">SUM(L47:M47)</f>
        <v>1.26</v>
      </c>
      <c r="F47" s="88">
        <f t="shared" ref="F47:F54" si="8">ROUND(+E47*$J$10,2)</f>
        <v>0</v>
      </c>
      <c r="G47" s="48">
        <v>0</v>
      </c>
      <c r="H47" s="87">
        <f t="shared" ref="H47:I54" si="9">ROUND($G47*E47,0)</f>
        <v>0</v>
      </c>
      <c r="I47" s="87">
        <f t="shared" si="9"/>
        <v>0</v>
      </c>
      <c r="K47" s="112"/>
      <c r="L47" s="107">
        <v>0.5</v>
      </c>
      <c r="M47" s="107">
        <v>0.76</v>
      </c>
      <c r="Q47" s="75"/>
    </row>
    <row r="48" spans="1:17" x14ac:dyDescent="0.25">
      <c r="A48" s="1">
        <f t="shared" si="0"/>
        <v>39</v>
      </c>
      <c r="B48" s="55" t="str">
        <f t="shared" ref="B48:B54" si="10">+B47</f>
        <v xml:space="preserve">52E </v>
      </c>
      <c r="C48" s="63" t="s">
        <v>33</v>
      </c>
      <c r="D48" s="63">
        <v>70</v>
      </c>
      <c r="E48" s="107">
        <f t="shared" si="7"/>
        <v>1.78</v>
      </c>
      <c r="F48" s="88">
        <f t="shared" si="8"/>
        <v>0</v>
      </c>
      <c r="G48" s="48">
        <v>8251</v>
      </c>
      <c r="H48" s="87">
        <f t="shared" si="9"/>
        <v>14687</v>
      </c>
      <c r="I48" s="87">
        <f t="shared" si="9"/>
        <v>0</v>
      </c>
      <c r="K48" s="112"/>
      <c r="L48" s="107">
        <v>0.71</v>
      </c>
      <c r="M48" s="107">
        <v>1.07</v>
      </c>
      <c r="Q48" s="75"/>
    </row>
    <row r="49" spans="1:17" x14ac:dyDescent="0.25">
      <c r="A49" s="1">
        <f t="shared" si="0"/>
        <v>40</v>
      </c>
      <c r="B49" s="55" t="str">
        <f t="shared" si="10"/>
        <v xml:space="preserve">52E </v>
      </c>
      <c r="C49" s="63" t="s">
        <v>33</v>
      </c>
      <c r="D49" s="63">
        <v>100</v>
      </c>
      <c r="E49" s="107">
        <f t="shared" si="7"/>
        <v>2.54</v>
      </c>
      <c r="F49" s="88">
        <f t="shared" si="8"/>
        <v>0</v>
      </c>
      <c r="G49" s="48">
        <v>117041</v>
      </c>
      <c r="H49" s="87">
        <f t="shared" si="9"/>
        <v>297284</v>
      </c>
      <c r="I49" s="87">
        <f t="shared" si="9"/>
        <v>0</v>
      </c>
      <c r="K49" s="112"/>
      <c r="L49" s="107">
        <v>1.01</v>
      </c>
      <c r="M49" s="107">
        <v>1.53</v>
      </c>
      <c r="Q49" s="75"/>
    </row>
    <row r="50" spans="1:17" x14ac:dyDescent="0.25">
      <c r="A50" s="1">
        <f t="shared" si="0"/>
        <v>41</v>
      </c>
      <c r="B50" s="55" t="str">
        <f t="shared" si="10"/>
        <v xml:space="preserve">52E </v>
      </c>
      <c r="C50" s="63" t="s">
        <v>33</v>
      </c>
      <c r="D50" s="63">
        <v>150</v>
      </c>
      <c r="E50" s="107">
        <f t="shared" si="7"/>
        <v>3.8</v>
      </c>
      <c r="F50" s="88">
        <f t="shared" si="8"/>
        <v>0</v>
      </c>
      <c r="G50" s="48">
        <v>54379</v>
      </c>
      <c r="H50" s="87">
        <f t="shared" si="9"/>
        <v>206640</v>
      </c>
      <c r="I50" s="87">
        <f t="shared" si="9"/>
        <v>0</v>
      </c>
      <c r="K50" s="112"/>
      <c r="L50" s="107">
        <v>1.51</v>
      </c>
      <c r="M50" s="107">
        <v>2.29</v>
      </c>
      <c r="Q50" s="75"/>
    </row>
    <row r="51" spans="1:17" x14ac:dyDescent="0.25">
      <c r="A51" s="1">
        <f t="shared" si="0"/>
        <v>42</v>
      </c>
      <c r="B51" s="55" t="str">
        <f t="shared" si="10"/>
        <v xml:space="preserve">52E </v>
      </c>
      <c r="C51" s="63" t="s">
        <v>33</v>
      </c>
      <c r="D51" s="63">
        <v>200</v>
      </c>
      <c r="E51" s="107">
        <f t="shared" si="7"/>
        <v>5.07</v>
      </c>
      <c r="F51" s="88">
        <f t="shared" si="8"/>
        <v>-0.01</v>
      </c>
      <c r="G51" s="48">
        <v>11734</v>
      </c>
      <c r="H51" s="87">
        <f t="shared" si="9"/>
        <v>59491</v>
      </c>
      <c r="I51" s="87">
        <f t="shared" si="9"/>
        <v>-117</v>
      </c>
      <c r="K51" s="112"/>
      <c r="L51" s="107">
        <v>2.02</v>
      </c>
      <c r="M51" s="107">
        <v>3.05</v>
      </c>
      <c r="Q51" s="75"/>
    </row>
    <row r="52" spans="1:17" x14ac:dyDescent="0.25">
      <c r="A52" s="1">
        <f t="shared" si="0"/>
        <v>43</v>
      </c>
      <c r="B52" s="55" t="str">
        <f t="shared" si="10"/>
        <v xml:space="preserve">52E </v>
      </c>
      <c r="C52" s="63" t="s">
        <v>33</v>
      </c>
      <c r="D52" s="63">
        <v>250</v>
      </c>
      <c r="E52" s="107">
        <f t="shared" si="7"/>
        <v>6.34</v>
      </c>
      <c r="F52" s="88">
        <f t="shared" si="8"/>
        <v>-0.01</v>
      </c>
      <c r="G52" s="48">
        <v>16943</v>
      </c>
      <c r="H52" s="87">
        <f t="shared" si="9"/>
        <v>107419</v>
      </c>
      <c r="I52" s="87">
        <f t="shared" si="9"/>
        <v>-169</v>
      </c>
      <c r="K52" s="112"/>
      <c r="L52" s="107">
        <v>2.52</v>
      </c>
      <c r="M52" s="107">
        <v>3.82</v>
      </c>
      <c r="Q52" s="75"/>
    </row>
    <row r="53" spans="1:17" x14ac:dyDescent="0.25">
      <c r="A53" s="1">
        <f t="shared" si="0"/>
        <v>44</v>
      </c>
      <c r="B53" s="55" t="str">
        <f t="shared" si="10"/>
        <v xml:space="preserve">52E </v>
      </c>
      <c r="C53" s="63" t="s">
        <v>33</v>
      </c>
      <c r="D53" s="63">
        <v>310</v>
      </c>
      <c r="E53" s="107">
        <f t="shared" si="7"/>
        <v>7.86</v>
      </c>
      <c r="F53" s="88">
        <f t="shared" si="8"/>
        <v>-0.01</v>
      </c>
      <c r="G53" s="48">
        <v>1701</v>
      </c>
      <c r="H53" s="87">
        <f t="shared" si="9"/>
        <v>13370</v>
      </c>
      <c r="I53" s="87">
        <f t="shared" si="9"/>
        <v>-17</v>
      </c>
      <c r="K53" s="112"/>
      <c r="L53" s="107">
        <v>3.13</v>
      </c>
      <c r="M53" s="107">
        <v>4.7300000000000004</v>
      </c>
      <c r="Q53" s="75"/>
    </row>
    <row r="54" spans="1:17" x14ac:dyDescent="0.25">
      <c r="A54" s="1">
        <f t="shared" si="0"/>
        <v>45</v>
      </c>
      <c r="B54" s="55" t="str">
        <f t="shared" si="10"/>
        <v xml:space="preserve">52E </v>
      </c>
      <c r="C54" s="63" t="s">
        <v>33</v>
      </c>
      <c r="D54" s="63">
        <v>400</v>
      </c>
      <c r="E54" s="107">
        <f t="shared" si="7"/>
        <v>10.15</v>
      </c>
      <c r="F54" s="88">
        <f t="shared" si="8"/>
        <v>-0.01</v>
      </c>
      <c r="G54" s="48">
        <v>7125</v>
      </c>
      <c r="H54" s="87">
        <f t="shared" si="9"/>
        <v>72319</v>
      </c>
      <c r="I54" s="87">
        <f t="shared" si="9"/>
        <v>-71</v>
      </c>
      <c r="K54" s="112"/>
      <c r="L54" s="107">
        <v>4.04</v>
      </c>
      <c r="M54" s="107">
        <v>6.11</v>
      </c>
      <c r="Q54" s="75"/>
    </row>
    <row r="55" spans="1:17" x14ac:dyDescent="0.25">
      <c r="A55" s="1">
        <f t="shared" si="0"/>
        <v>46</v>
      </c>
      <c r="B55" s="64"/>
      <c r="C55" s="63"/>
      <c r="D55" s="63"/>
      <c r="E55" s="107"/>
      <c r="F55" s="53"/>
      <c r="G55" s="48"/>
      <c r="H55" s="48"/>
      <c r="I55" s="48"/>
      <c r="K55" s="112"/>
      <c r="L55" s="107"/>
      <c r="M55" s="107"/>
      <c r="Q55" s="75"/>
    </row>
    <row r="56" spans="1:17" x14ac:dyDescent="0.25">
      <c r="A56" s="1">
        <f t="shared" si="0"/>
        <v>47</v>
      </c>
      <c r="B56" s="55" t="str">
        <f>+B51</f>
        <v xml:space="preserve">52E </v>
      </c>
      <c r="C56" s="63" t="s">
        <v>174</v>
      </c>
      <c r="D56" s="63">
        <v>70</v>
      </c>
      <c r="E56" s="107">
        <f t="shared" ref="E56:E62" si="11">SUM(L56:M56)</f>
        <v>1.78</v>
      </c>
      <c r="F56" s="88">
        <f t="shared" ref="F56:F62" si="12">ROUND(+E56*$J$10,2)</f>
        <v>0</v>
      </c>
      <c r="G56" s="48">
        <v>840</v>
      </c>
      <c r="H56" s="87">
        <f t="shared" ref="H56:I62" si="13">ROUND($G56*E56,0)</f>
        <v>1495</v>
      </c>
      <c r="I56" s="87">
        <f t="shared" si="13"/>
        <v>0</v>
      </c>
      <c r="K56" s="112"/>
      <c r="L56" s="107">
        <v>0.71</v>
      </c>
      <c r="M56" s="107">
        <v>1.07</v>
      </c>
      <c r="Q56" s="75"/>
    </row>
    <row r="57" spans="1:17" x14ac:dyDescent="0.25">
      <c r="A57" s="1">
        <f t="shared" si="0"/>
        <v>48</v>
      </c>
      <c r="B57" s="55" t="str">
        <f>+B52</f>
        <v xml:space="preserve">52E </v>
      </c>
      <c r="C57" s="63" t="s">
        <v>174</v>
      </c>
      <c r="D57" s="63">
        <v>100</v>
      </c>
      <c r="E57" s="107">
        <f t="shared" si="11"/>
        <v>2.54</v>
      </c>
      <c r="F57" s="88">
        <f t="shared" si="12"/>
        <v>0</v>
      </c>
      <c r="G57" s="48">
        <v>48</v>
      </c>
      <c r="H57" s="87">
        <f t="shared" si="13"/>
        <v>122</v>
      </c>
      <c r="I57" s="87">
        <f t="shared" si="13"/>
        <v>0</v>
      </c>
      <c r="K57" s="112"/>
      <c r="L57" s="107">
        <v>1.01</v>
      </c>
      <c r="M57" s="107">
        <v>1.53</v>
      </c>
      <c r="Q57" s="75"/>
    </row>
    <row r="58" spans="1:17" x14ac:dyDescent="0.25">
      <c r="A58" s="1">
        <f t="shared" si="0"/>
        <v>49</v>
      </c>
      <c r="B58" s="55" t="str">
        <f>+B53</f>
        <v xml:space="preserve">52E </v>
      </c>
      <c r="C58" s="63" t="s">
        <v>174</v>
      </c>
      <c r="D58" s="63">
        <v>150</v>
      </c>
      <c r="E58" s="107">
        <f t="shared" si="11"/>
        <v>3.8</v>
      </c>
      <c r="F58" s="88">
        <f t="shared" si="12"/>
        <v>0</v>
      </c>
      <c r="G58" s="48">
        <v>2452</v>
      </c>
      <c r="H58" s="87">
        <f t="shared" si="13"/>
        <v>9318</v>
      </c>
      <c r="I58" s="87">
        <f t="shared" si="13"/>
        <v>0</v>
      </c>
      <c r="K58" s="112"/>
      <c r="L58" s="107">
        <v>1.51</v>
      </c>
      <c r="M58" s="107">
        <v>2.29</v>
      </c>
      <c r="Q58" s="75"/>
    </row>
    <row r="59" spans="1:17" x14ac:dyDescent="0.25">
      <c r="A59" s="1">
        <f t="shared" si="0"/>
        <v>50</v>
      </c>
      <c r="B59" s="55" t="str">
        <f>+B54</f>
        <v xml:space="preserve">52E </v>
      </c>
      <c r="C59" s="63" t="s">
        <v>174</v>
      </c>
      <c r="D59" s="63">
        <v>175</v>
      </c>
      <c r="E59" s="107">
        <f t="shared" si="11"/>
        <v>4.4399999999999995</v>
      </c>
      <c r="F59" s="88">
        <f t="shared" si="12"/>
        <v>-0.01</v>
      </c>
      <c r="G59" s="48">
        <v>2642</v>
      </c>
      <c r="H59" s="87">
        <f t="shared" si="13"/>
        <v>11730</v>
      </c>
      <c r="I59" s="87">
        <f t="shared" si="13"/>
        <v>-26</v>
      </c>
      <c r="K59" s="112"/>
      <c r="L59" s="107">
        <v>1.77</v>
      </c>
      <c r="M59" s="107">
        <v>2.67</v>
      </c>
      <c r="Q59" s="75"/>
    </row>
    <row r="60" spans="1:17" x14ac:dyDescent="0.25">
      <c r="A60" s="1">
        <f t="shared" si="0"/>
        <v>51</v>
      </c>
      <c r="B60" s="55" t="str">
        <f t="shared" ref="B60:C62" si="14">+B59</f>
        <v xml:space="preserve">52E </v>
      </c>
      <c r="C60" s="63" t="str">
        <f t="shared" si="14"/>
        <v>Metal Halide</v>
      </c>
      <c r="D60" s="63">
        <v>250</v>
      </c>
      <c r="E60" s="107">
        <f t="shared" si="11"/>
        <v>6.34</v>
      </c>
      <c r="F60" s="88">
        <f t="shared" si="12"/>
        <v>-0.01</v>
      </c>
      <c r="G60" s="48">
        <v>512</v>
      </c>
      <c r="H60" s="87">
        <f t="shared" si="13"/>
        <v>3246</v>
      </c>
      <c r="I60" s="87">
        <f t="shared" si="13"/>
        <v>-5</v>
      </c>
      <c r="K60" s="112"/>
      <c r="L60" s="107">
        <v>2.52</v>
      </c>
      <c r="M60" s="107">
        <v>3.82</v>
      </c>
      <c r="Q60" s="75"/>
    </row>
    <row r="61" spans="1:17" x14ac:dyDescent="0.25">
      <c r="A61" s="1">
        <f t="shared" si="0"/>
        <v>52</v>
      </c>
      <c r="B61" s="55" t="str">
        <f t="shared" si="14"/>
        <v xml:space="preserve">52E </v>
      </c>
      <c r="C61" s="63" t="str">
        <f t="shared" si="14"/>
        <v>Metal Halide</v>
      </c>
      <c r="D61" s="63">
        <v>400</v>
      </c>
      <c r="E61" s="107">
        <f t="shared" si="11"/>
        <v>10.15</v>
      </c>
      <c r="F61" s="88">
        <f t="shared" si="12"/>
        <v>-0.01</v>
      </c>
      <c r="G61" s="48">
        <v>684</v>
      </c>
      <c r="H61" s="87">
        <f t="shared" si="13"/>
        <v>6943</v>
      </c>
      <c r="I61" s="87">
        <f t="shared" si="13"/>
        <v>-7</v>
      </c>
      <c r="K61" s="112"/>
      <c r="L61" s="107">
        <v>4.04</v>
      </c>
      <c r="M61" s="107">
        <v>6.11</v>
      </c>
      <c r="Q61" s="75"/>
    </row>
    <row r="62" spans="1:17" x14ac:dyDescent="0.25">
      <c r="A62" s="1">
        <f t="shared" si="0"/>
        <v>53</v>
      </c>
      <c r="B62" s="55" t="str">
        <f t="shared" si="14"/>
        <v xml:space="preserve">52E </v>
      </c>
      <c r="C62" s="63" t="str">
        <f t="shared" si="14"/>
        <v>Metal Halide</v>
      </c>
      <c r="D62" s="63">
        <v>1000</v>
      </c>
      <c r="E62" s="107">
        <f t="shared" si="11"/>
        <v>25.36</v>
      </c>
      <c r="F62" s="88">
        <f t="shared" si="12"/>
        <v>-0.03</v>
      </c>
      <c r="G62" s="48">
        <v>216</v>
      </c>
      <c r="H62" s="87">
        <f t="shared" si="13"/>
        <v>5478</v>
      </c>
      <c r="I62" s="87">
        <f t="shared" si="13"/>
        <v>-6</v>
      </c>
      <c r="K62" s="112"/>
      <c r="L62" s="107">
        <v>10.09</v>
      </c>
      <c r="M62" s="107">
        <v>15.27</v>
      </c>
      <c r="Q62" s="75"/>
    </row>
    <row r="63" spans="1:17" x14ac:dyDescent="0.25">
      <c r="A63" s="1">
        <f t="shared" si="0"/>
        <v>54</v>
      </c>
      <c r="B63" s="61"/>
      <c r="C63" s="53"/>
      <c r="D63" s="53"/>
      <c r="E63" s="107"/>
      <c r="F63" s="53"/>
      <c r="G63" s="48"/>
      <c r="H63" s="48"/>
      <c r="I63" s="48"/>
      <c r="K63" s="112"/>
      <c r="L63" s="107"/>
      <c r="M63" s="107"/>
      <c r="Q63" s="75"/>
    </row>
    <row r="64" spans="1:17" x14ac:dyDescent="0.25">
      <c r="A64" s="1">
        <f t="shared" si="0"/>
        <v>55</v>
      </c>
      <c r="B64" s="61" t="s">
        <v>175</v>
      </c>
      <c r="C64" s="53"/>
      <c r="D64" s="53"/>
      <c r="E64" s="107"/>
      <c r="F64" s="53"/>
      <c r="G64" s="48"/>
      <c r="H64" s="48"/>
      <c r="I64" s="48"/>
      <c r="K64" s="112"/>
      <c r="L64" s="107"/>
      <c r="M64" s="107"/>
      <c r="Q64" s="75"/>
    </row>
    <row r="65" spans="1:17" x14ac:dyDescent="0.25">
      <c r="A65" s="1">
        <f t="shared" si="0"/>
        <v>56</v>
      </c>
      <c r="B65" s="55" t="s">
        <v>176</v>
      </c>
      <c r="C65" s="63" t="s">
        <v>33</v>
      </c>
      <c r="D65" s="63">
        <v>50</v>
      </c>
      <c r="E65" s="107">
        <f t="shared" ref="E65:E73" si="15">SUM(L65:M65)</f>
        <v>1.26</v>
      </c>
      <c r="F65" s="88">
        <f t="shared" ref="F65:F73" si="16">ROUND(+E65*$J$10,2)</f>
        <v>0</v>
      </c>
      <c r="G65" s="48">
        <v>0</v>
      </c>
      <c r="H65" s="87">
        <f t="shared" ref="H65:I73" si="17">ROUND($G65*E65,0)</f>
        <v>0</v>
      </c>
      <c r="I65" s="87">
        <f t="shared" si="17"/>
        <v>0</v>
      </c>
      <c r="K65" s="112"/>
      <c r="L65" s="107">
        <v>0.5</v>
      </c>
      <c r="M65" s="107">
        <v>0.76</v>
      </c>
      <c r="Q65" s="75"/>
    </row>
    <row r="66" spans="1:17" x14ac:dyDescent="0.25">
      <c r="A66" s="1">
        <f t="shared" si="0"/>
        <v>57</v>
      </c>
      <c r="B66" s="55" t="str">
        <f t="shared" ref="B66:B73" si="18">+B65</f>
        <v>53E - Company Owned</v>
      </c>
      <c r="C66" s="63" t="s">
        <v>33</v>
      </c>
      <c r="D66" s="63">
        <v>70</v>
      </c>
      <c r="E66" s="107">
        <f t="shared" si="15"/>
        <v>1.78</v>
      </c>
      <c r="F66" s="88">
        <f t="shared" si="16"/>
        <v>0</v>
      </c>
      <c r="G66" s="48">
        <v>49049</v>
      </c>
      <c r="H66" s="87">
        <f t="shared" si="17"/>
        <v>87307</v>
      </c>
      <c r="I66" s="87">
        <f t="shared" si="17"/>
        <v>0</v>
      </c>
      <c r="K66" s="112"/>
      <c r="L66" s="107">
        <v>0.71</v>
      </c>
      <c r="M66" s="107">
        <v>1.07</v>
      </c>
      <c r="Q66" s="75"/>
    </row>
    <row r="67" spans="1:17" x14ac:dyDescent="0.25">
      <c r="A67" s="1">
        <f t="shared" si="0"/>
        <v>58</v>
      </c>
      <c r="B67" s="55" t="str">
        <f t="shared" si="18"/>
        <v>53E - Company Owned</v>
      </c>
      <c r="C67" s="63" t="s">
        <v>33</v>
      </c>
      <c r="D67" s="63">
        <v>100</v>
      </c>
      <c r="E67" s="107">
        <f t="shared" si="15"/>
        <v>2.54</v>
      </c>
      <c r="F67" s="88">
        <f t="shared" si="16"/>
        <v>0</v>
      </c>
      <c r="G67" s="48">
        <v>364895</v>
      </c>
      <c r="H67" s="87">
        <f t="shared" si="17"/>
        <v>926833</v>
      </c>
      <c r="I67" s="87">
        <f t="shared" si="17"/>
        <v>0</v>
      </c>
      <c r="K67" s="112"/>
      <c r="L67" s="107">
        <v>1.01</v>
      </c>
      <c r="M67" s="107">
        <v>1.53</v>
      </c>
      <c r="Q67" s="75"/>
    </row>
    <row r="68" spans="1:17" x14ac:dyDescent="0.25">
      <c r="A68" s="1">
        <f t="shared" si="0"/>
        <v>59</v>
      </c>
      <c r="B68" s="55" t="str">
        <f t="shared" si="18"/>
        <v>53E - Company Owned</v>
      </c>
      <c r="C68" s="63" t="s">
        <v>33</v>
      </c>
      <c r="D68" s="63">
        <v>150</v>
      </c>
      <c r="E68" s="107">
        <f t="shared" si="15"/>
        <v>3.8</v>
      </c>
      <c r="F68" s="88">
        <f t="shared" si="16"/>
        <v>0</v>
      </c>
      <c r="G68" s="48">
        <v>43526</v>
      </c>
      <c r="H68" s="87">
        <f t="shared" si="17"/>
        <v>165399</v>
      </c>
      <c r="I68" s="87">
        <f t="shared" si="17"/>
        <v>0</v>
      </c>
      <c r="K68" s="112"/>
      <c r="L68" s="107">
        <v>1.51</v>
      </c>
      <c r="M68" s="107">
        <v>2.29</v>
      </c>
      <c r="Q68" s="75"/>
    </row>
    <row r="69" spans="1:17" x14ac:dyDescent="0.25">
      <c r="A69" s="1">
        <f t="shared" si="0"/>
        <v>60</v>
      </c>
      <c r="B69" s="55" t="str">
        <f t="shared" si="18"/>
        <v>53E - Company Owned</v>
      </c>
      <c r="C69" s="63" t="s">
        <v>33</v>
      </c>
      <c r="D69" s="63">
        <v>200</v>
      </c>
      <c r="E69" s="107">
        <f t="shared" si="15"/>
        <v>5.07</v>
      </c>
      <c r="F69" s="88">
        <f t="shared" si="16"/>
        <v>-0.01</v>
      </c>
      <c r="G69" s="48">
        <v>57863</v>
      </c>
      <c r="H69" s="87">
        <f t="shared" si="17"/>
        <v>293365</v>
      </c>
      <c r="I69" s="87">
        <f t="shared" si="17"/>
        <v>-579</v>
      </c>
      <c r="K69" s="112"/>
      <c r="L69" s="107">
        <v>2.02</v>
      </c>
      <c r="M69" s="107">
        <v>3.05</v>
      </c>
      <c r="Q69" s="75"/>
    </row>
    <row r="70" spans="1:17" x14ac:dyDescent="0.25">
      <c r="A70" s="1">
        <f t="shared" si="0"/>
        <v>61</v>
      </c>
      <c r="B70" s="55" t="str">
        <f t="shared" si="18"/>
        <v>53E - Company Owned</v>
      </c>
      <c r="C70" s="63" t="s">
        <v>33</v>
      </c>
      <c r="D70" s="63">
        <v>250</v>
      </c>
      <c r="E70" s="107">
        <f t="shared" si="15"/>
        <v>6.34</v>
      </c>
      <c r="F70" s="88">
        <f t="shared" si="16"/>
        <v>-0.01</v>
      </c>
      <c r="G70" s="48">
        <v>20024</v>
      </c>
      <c r="H70" s="87">
        <f t="shared" si="17"/>
        <v>126952</v>
      </c>
      <c r="I70" s="87">
        <f t="shared" si="17"/>
        <v>-200</v>
      </c>
      <c r="K70" s="112"/>
      <c r="L70" s="107">
        <v>2.52</v>
      </c>
      <c r="M70" s="107">
        <v>3.82</v>
      </c>
      <c r="Q70" s="75"/>
    </row>
    <row r="71" spans="1:17" x14ac:dyDescent="0.25">
      <c r="A71" s="1">
        <f t="shared" si="0"/>
        <v>62</v>
      </c>
      <c r="B71" s="55" t="str">
        <f t="shared" si="18"/>
        <v>53E - Company Owned</v>
      </c>
      <c r="C71" s="63" t="s">
        <v>33</v>
      </c>
      <c r="D71" s="63">
        <v>310</v>
      </c>
      <c r="E71" s="107">
        <f t="shared" si="15"/>
        <v>7.86</v>
      </c>
      <c r="F71" s="88">
        <f t="shared" si="16"/>
        <v>-0.01</v>
      </c>
      <c r="G71" s="48">
        <v>183</v>
      </c>
      <c r="H71" s="87">
        <f t="shared" si="17"/>
        <v>1438</v>
      </c>
      <c r="I71" s="87">
        <f t="shared" si="17"/>
        <v>-2</v>
      </c>
      <c r="K71" s="112"/>
      <c r="L71" s="107">
        <v>3.13</v>
      </c>
      <c r="M71" s="107">
        <v>4.7300000000000004</v>
      </c>
      <c r="Q71" s="75"/>
    </row>
    <row r="72" spans="1:17" x14ac:dyDescent="0.25">
      <c r="A72" s="1">
        <f t="shared" si="0"/>
        <v>63</v>
      </c>
      <c r="B72" s="55" t="str">
        <f t="shared" si="18"/>
        <v>53E - Company Owned</v>
      </c>
      <c r="C72" s="63" t="s">
        <v>33</v>
      </c>
      <c r="D72" s="63">
        <v>400</v>
      </c>
      <c r="E72" s="107">
        <f t="shared" si="15"/>
        <v>10.15</v>
      </c>
      <c r="F72" s="88">
        <f t="shared" si="16"/>
        <v>-0.01</v>
      </c>
      <c r="G72" s="48">
        <v>11537</v>
      </c>
      <c r="H72" s="87">
        <f t="shared" si="17"/>
        <v>117101</v>
      </c>
      <c r="I72" s="87">
        <f t="shared" si="17"/>
        <v>-115</v>
      </c>
      <c r="K72" s="112"/>
      <c r="L72" s="107">
        <v>4.04</v>
      </c>
      <c r="M72" s="107">
        <v>6.11</v>
      </c>
      <c r="Q72" s="75"/>
    </row>
    <row r="73" spans="1:17" x14ac:dyDescent="0.25">
      <c r="A73" s="1">
        <f t="shared" si="0"/>
        <v>64</v>
      </c>
      <c r="B73" s="55" t="str">
        <f t="shared" si="18"/>
        <v>53E - Company Owned</v>
      </c>
      <c r="C73" s="63" t="s">
        <v>33</v>
      </c>
      <c r="D73" s="63">
        <v>1000</v>
      </c>
      <c r="E73" s="107">
        <f t="shared" si="15"/>
        <v>25.36</v>
      </c>
      <c r="F73" s="88">
        <f t="shared" si="16"/>
        <v>-0.03</v>
      </c>
      <c r="G73" s="48">
        <v>0</v>
      </c>
      <c r="H73" s="87">
        <f t="shared" si="17"/>
        <v>0</v>
      </c>
      <c r="I73" s="87">
        <f t="shared" si="17"/>
        <v>0</v>
      </c>
      <c r="K73" s="112"/>
      <c r="L73" s="107">
        <v>10.09</v>
      </c>
      <c r="M73" s="107">
        <v>15.27</v>
      </c>
      <c r="Q73" s="75"/>
    </row>
    <row r="74" spans="1:17" x14ac:dyDescent="0.25">
      <c r="A74" s="1">
        <f t="shared" si="0"/>
        <v>65</v>
      </c>
      <c r="B74" s="55"/>
      <c r="C74" s="63"/>
      <c r="D74" s="63"/>
      <c r="E74" s="107"/>
      <c r="F74" s="53"/>
      <c r="G74" s="48"/>
      <c r="H74" s="48"/>
      <c r="I74" s="48"/>
      <c r="K74" s="112"/>
      <c r="L74" s="107"/>
      <c r="M74" s="107"/>
      <c r="Q74" s="75"/>
    </row>
    <row r="75" spans="1:17" x14ac:dyDescent="0.25">
      <c r="A75" s="1">
        <f t="shared" si="0"/>
        <v>66</v>
      </c>
      <c r="B75" s="55" t="str">
        <f>+B73</f>
        <v>53E - Company Owned</v>
      </c>
      <c r="C75" s="63" t="s">
        <v>174</v>
      </c>
      <c r="D75" s="63">
        <v>70</v>
      </c>
      <c r="E75" s="107">
        <f t="shared" ref="E75:E79" si="19">SUM(L75:M75)</f>
        <v>1.78</v>
      </c>
      <c r="F75" s="88">
        <f>ROUND(+E75*$J$10,2)</f>
        <v>0</v>
      </c>
      <c r="G75" s="48">
        <v>0</v>
      </c>
      <c r="H75" s="87">
        <f t="shared" ref="H75:I79" si="20">ROUND($G75*E75,0)</f>
        <v>0</v>
      </c>
      <c r="I75" s="87">
        <f t="shared" si="20"/>
        <v>0</v>
      </c>
      <c r="K75" s="112"/>
      <c r="L75" s="107">
        <v>0.71</v>
      </c>
      <c r="M75" s="107">
        <v>1.07</v>
      </c>
      <c r="Q75" s="75"/>
    </row>
    <row r="76" spans="1:17" x14ac:dyDescent="0.25">
      <c r="A76" s="1">
        <f t="shared" ref="A76:A139" si="21">+A75+1</f>
        <v>67</v>
      </c>
      <c r="B76" s="55" t="str">
        <f>+B75</f>
        <v>53E - Company Owned</v>
      </c>
      <c r="C76" s="63" t="s">
        <v>174</v>
      </c>
      <c r="D76" s="63">
        <v>100</v>
      </c>
      <c r="E76" s="107">
        <f t="shared" si="19"/>
        <v>2.54</v>
      </c>
      <c r="F76" s="88">
        <f>ROUND(+E76*$J$10,2)</f>
        <v>0</v>
      </c>
      <c r="G76" s="48">
        <v>0</v>
      </c>
      <c r="H76" s="87">
        <f t="shared" si="20"/>
        <v>0</v>
      </c>
      <c r="I76" s="87">
        <f t="shared" si="20"/>
        <v>0</v>
      </c>
      <c r="K76" s="112"/>
      <c r="L76" s="107">
        <v>1.01</v>
      </c>
      <c r="M76" s="107">
        <v>1.53</v>
      </c>
      <c r="Q76" s="75"/>
    </row>
    <row r="77" spans="1:17" x14ac:dyDescent="0.25">
      <c r="A77" s="1">
        <f t="shared" si="21"/>
        <v>68</v>
      </c>
      <c r="B77" s="55" t="str">
        <f>+B76</f>
        <v>53E - Company Owned</v>
      </c>
      <c r="C77" s="63" t="s">
        <v>174</v>
      </c>
      <c r="D77" s="63">
        <v>150</v>
      </c>
      <c r="E77" s="107">
        <f t="shared" si="19"/>
        <v>3.8</v>
      </c>
      <c r="F77" s="88">
        <f>ROUND(+E77*$J$10,2)</f>
        <v>0</v>
      </c>
      <c r="G77" s="48">
        <v>0</v>
      </c>
      <c r="H77" s="87">
        <f t="shared" si="20"/>
        <v>0</v>
      </c>
      <c r="I77" s="87">
        <f t="shared" si="20"/>
        <v>0</v>
      </c>
      <c r="K77" s="112"/>
      <c r="L77" s="107">
        <v>1.51</v>
      </c>
      <c r="M77" s="107">
        <v>2.29</v>
      </c>
      <c r="Q77" s="75"/>
    </row>
    <row r="78" spans="1:17" x14ac:dyDescent="0.25">
      <c r="A78" s="1">
        <f t="shared" si="21"/>
        <v>69</v>
      </c>
      <c r="B78" s="55" t="str">
        <f>B77</f>
        <v>53E - Company Owned</v>
      </c>
      <c r="C78" s="63" t="s">
        <v>174</v>
      </c>
      <c r="D78" s="63">
        <v>250</v>
      </c>
      <c r="E78" s="107">
        <f t="shared" si="19"/>
        <v>6.34</v>
      </c>
      <c r="F78" s="88">
        <f>ROUND(+E78*$J$10,2)</f>
        <v>-0.01</v>
      </c>
      <c r="G78" s="48">
        <v>0</v>
      </c>
      <c r="H78" s="87">
        <f t="shared" si="20"/>
        <v>0</v>
      </c>
      <c r="I78" s="87">
        <f t="shared" si="20"/>
        <v>0</v>
      </c>
      <c r="K78" s="112"/>
      <c r="L78" s="107">
        <v>2.52</v>
      </c>
      <c r="M78" s="107">
        <v>3.82</v>
      </c>
      <c r="Q78" s="75"/>
    </row>
    <row r="79" spans="1:17" x14ac:dyDescent="0.25">
      <c r="A79" s="1">
        <f t="shared" si="21"/>
        <v>70</v>
      </c>
      <c r="B79" s="55" t="str">
        <f>B78</f>
        <v>53E - Company Owned</v>
      </c>
      <c r="C79" s="63" t="s">
        <v>174</v>
      </c>
      <c r="D79" s="63">
        <v>400</v>
      </c>
      <c r="E79" s="107">
        <f t="shared" si="19"/>
        <v>10.15</v>
      </c>
      <c r="F79" s="88">
        <f>ROUND(+E79*$J$10,2)</f>
        <v>-0.01</v>
      </c>
      <c r="G79" s="48">
        <v>0</v>
      </c>
      <c r="H79" s="87">
        <f t="shared" si="20"/>
        <v>0</v>
      </c>
      <c r="I79" s="87">
        <f t="shared" si="20"/>
        <v>0</v>
      </c>
      <c r="K79" s="112"/>
      <c r="L79" s="107">
        <v>4.04</v>
      </c>
      <c r="M79" s="107">
        <v>6.11</v>
      </c>
      <c r="Q79" s="75"/>
    </row>
    <row r="80" spans="1:17" x14ac:dyDescent="0.25">
      <c r="A80" s="1">
        <f t="shared" si="21"/>
        <v>71</v>
      </c>
      <c r="B80" s="55"/>
      <c r="C80" s="63"/>
      <c r="D80" s="63"/>
      <c r="E80" s="107"/>
      <c r="F80" s="53"/>
      <c r="G80" s="48"/>
      <c r="H80" s="48"/>
      <c r="I80" s="48"/>
      <c r="K80" s="112"/>
      <c r="L80" s="107"/>
      <c r="M80" s="107"/>
      <c r="Q80" s="75"/>
    </row>
    <row r="81" spans="1:17" x14ac:dyDescent="0.25">
      <c r="A81" s="1">
        <f t="shared" si="21"/>
        <v>72</v>
      </c>
      <c r="B81" s="55" t="str">
        <f>+B79</f>
        <v>53E - Company Owned</v>
      </c>
      <c r="C81" s="63" t="s">
        <v>162</v>
      </c>
      <c r="D81" s="60" t="s">
        <v>163</v>
      </c>
      <c r="E81" s="107">
        <f t="shared" ref="E81:E89" si="22">SUM(L81:M81)</f>
        <v>1.1399999999999999</v>
      </c>
      <c r="F81" s="88">
        <f t="shared" ref="F81:F89" si="23">ROUND(+E81*$J$10,2)</f>
        <v>0</v>
      </c>
      <c r="G81" s="48">
        <v>251321</v>
      </c>
      <c r="H81" s="87">
        <f t="shared" ref="H81:I89" si="24">ROUND($G81*E81,0)</f>
        <v>286506</v>
      </c>
      <c r="I81" s="87">
        <f t="shared" si="24"/>
        <v>0</v>
      </c>
      <c r="K81" s="112"/>
      <c r="L81" s="107">
        <v>0.45</v>
      </c>
      <c r="M81" s="107">
        <v>0.69</v>
      </c>
      <c r="Q81" s="75"/>
    </row>
    <row r="82" spans="1:17" x14ac:dyDescent="0.25">
      <c r="A82" s="1">
        <f t="shared" si="21"/>
        <v>73</v>
      </c>
      <c r="B82" s="55" t="str">
        <f t="shared" ref="B82:B89" si="25">B81</f>
        <v>53E - Company Owned</v>
      </c>
      <c r="C82" s="63" t="s">
        <v>162</v>
      </c>
      <c r="D82" s="60" t="s">
        <v>164</v>
      </c>
      <c r="E82" s="107">
        <f t="shared" si="22"/>
        <v>1.91</v>
      </c>
      <c r="F82" s="88">
        <f t="shared" si="23"/>
        <v>0</v>
      </c>
      <c r="G82" s="48">
        <v>3874</v>
      </c>
      <c r="H82" s="87">
        <f t="shared" si="24"/>
        <v>7399</v>
      </c>
      <c r="I82" s="87">
        <f t="shared" si="24"/>
        <v>0</v>
      </c>
      <c r="K82" s="112"/>
      <c r="L82" s="107">
        <v>0.76</v>
      </c>
      <c r="M82" s="107">
        <v>1.1499999999999999</v>
      </c>
      <c r="Q82" s="75"/>
    </row>
    <row r="83" spans="1:17" x14ac:dyDescent="0.25">
      <c r="A83" s="1">
        <f t="shared" si="21"/>
        <v>74</v>
      </c>
      <c r="B83" s="55" t="str">
        <f t="shared" si="25"/>
        <v>53E - Company Owned</v>
      </c>
      <c r="C83" s="63" t="s">
        <v>162</v>
      </c>
      <c r="D83" s="60" t="s">
        <v>165</v>
      </c>
      <c r="E83" s="107">
        <f t="shared" si="22"/>
        <v>2.66</v>
      </c>
      <c r="F83" s="88">
        <f t="shared" si="23"/>
        <v>0</v>
      </c>
      <c r="G83" s="48">
        <v>27333</v>
      </c>
      <c r="H83" s="87">
        <f t="shared" si="24"/>
        <v>72706</v>
      </c>
      <c r="I83" s="87">
        <f t="shared" si="24"/>
        <v>0</v>
      </c>
      <c r="K83" s="112"/>
      <c r="L83" s="107">
        <v>1.06</v>
      </c>
      <c r="M83" s="107">
        <v>1.6</v>
      </c>
      <c r="Q83" s="75"/>
    </row>
    <row r="84" spans="1:17" x14ac:dyDescent="0.25">
      <c r="A84" s="1">
        <f t="shared" si="21"/>
        <v>75</v>
      </c>
      <c r="B84" s="55" t="str">
        <f t="shared" si="25"/>
        <v>53E - Company Owned</v>
      </c>
      <c r="C84" s="63" t="s">
        <v>162</v>
      </c>
      <c r="D84" s="60" t="s">
        <v>166</v>
      </c>
      <c r="E84" s="107">
        <f t="shared" si="22"/>
        <v>3.42</v>
      </c>
      <c r="F84" s="88">
        <f t="shared" si="23"/>
        <v>0</v>
      </c>
      <c r="G84" s="48">
        <v>21864</v>
      </c>
      <c r="H84" s="87">
        <f t="shared" si="24"/>
        <v>74775</v>
      </c>
      <c r="I84" s="87">
        <f t="shared" si="24"/>
        <v>0</v>
      </c>
      <c r="K84" s="112"/>
      <c r="L84" s="107">
        <v>1.36</v>
      </c>
      <c r="M84" s="107">
        <v>2.06</v>
      </c>
      <c r="Q84" s="75"/>
    </row>
    <row r="85" spans="1:17" x14ac:dyDescent="0.25">
      <c r="A85" s="1">
        <f t="shared" si="21"/>
        <v>76</v>
      </c>
      <c r="B85" s="55" t="str">
        <f t="shared" si="25"/>
        <v>53E - Company Owned</v>
      </c>
      <c r="C85" s="63" t="s">
        <v>162</v>
      </c>
      <c r="D85" s="60" t="s">
        <v>167</v>
      </c>
      <c r="E85" s="107">
        <f t="shared" si="22"/>
        <v>4.1899999999999995</v>
      </c>
      <c r="F85" s="88">
        <f t="shared" si="23"/>
        <v>0</v>
      </c>
      <c r="G85" s="48">
        <v>1170</v>
      </c>
      <c r="H85" s="87">
        <f t="shared" si="24"/>
        <v>4902</v>
      </c>
      <c r="I85" s="87">
        <f t="shared" si="24"/>
        <v>0</v>
      </c>
      <c r="K85" s="112"/>
      <c r="L85" s="107">
        <v>1.67</v>
      </c>
      <c r="M85" s="107">
        <v>2.52</v>
      </c>
      <c r="Q85" s="75"/>
    </row>
    <row r="86" spans="1:17" x14ac:dyDescent="0.25">
      <c r="A86" s="1">
        <f t="shared" si="21"/>
        <v>77</v>
      </c>
      <c r="B86" s="55" t="str">
        <f t="shared" si="25"/>
        <v>53E - Company Owned</v>
      </c>
      <c r="C86" s="63" t="s">
        <v>162</v>
      </c>
      <c r="D86" s="60" t="s">
        <v>168</v>
      </c>
      <c r="E86" s="107">
        <f t="shared" si="22"/>
        <v>4.95</v>
      </c>
      <c r="F86" s="88">
        <f t="shared" si="23"/>
        <v>-0.01</v>
      </c>
      <c r="G86" s="48">
        <v>5113</v>
      </c>
      <c r="H86" s="87">
        <f t="shared" si="24"/>
        <v>25309</v>
      </c>
      <c r="I86" s="87">
        <f t="shared" si="24"/>
        <v>-51</v>
      </c>
      <c r="K86" s="112"/>
      <c r="L86" s="107">
        <v>1.97</v>
      </c>
      <c r="M86" s="107">
        <v>2.98</v>
      </c>
      <c r="Q86" s="75"/>
    </row>
    <row r="87" spans="1:17" x14ac:dyDescent="0.25">
      <c r="A87" s="1">
        <f t="shared" si="21"/>
        <v>78</v>
      </c>
      <c r="B87" s="55" t="str">
        <f t="shared" si="25"/>
        <v>53E - Company Owned</v>
      </c>
      <c r="C87" s="63" t="s">
        <v>162</v>
      </c>
      <c r="D87" s="60" t="s">
        <v>169</v>
      </c>
      <c r="E87" s="107">
        <f t="shared" si="22"/>
        <v>5.71</v>
      </c>
      <c r="F87" s="88">
        <f t="shared" si="23"/>
        <v>-0.01</v>
      </c>
      <c r="G87" s="48">
        <v>262</v>
      </c>
      <c r="H87" s="87">
        <f t="shared" si="24"/>
        <v>1496</v>
      </c>
      <c r="I87" s="87">
        <f t="shared" si="24"/>
        <v>-3</v>
      </c>
      <c r="K87" s="112"/>
      <c r="L87" s="107">
        <v>2.27</v>
      </c>
      <c r="M87" s="107">
        <v>3.44</v>
      </c>
      <c r="Q87" s="75"/>
    </row>
    <row r="88" spans="1:17" x14ac:dyDescent="0.25">
      <c r="A88" s="1">
        <f t="shared" si="21"/>
        <v>79</v>
      </c>
      <c r="B88" s="55" t="str">
        <f t="shared" si="25"/>
        <v>53E - Company Owned</v>
      </c>
      <c r="C88" s="63" t="s">
        <v>162</v>
      </c>
      <c r="D88" s="60" t="s">
        <v>170</v>
      </c>
      <c r="E88" s="107">
        <f t="shared" si="22"/>
        <v>6.46</v>
      </c>
      <c r="F88" s="88">
        <f t="shared" si="23"/>
        <v>-0.01</v>
      </c>
      <c r="G88" s="48">
        <v>288</v>
      </c>
      <c r="H88" s="87">
        <f t="shared" si="24"/>
        <v>1860</v>
      </c>
      <c r="I88" s="87">
        <f t="shared" si="24"/>
        <v>-3</v>
      </c>
      <c r="K88" s="112"/>
      <c r="L88" s="107">
        <v>2.57</v>
      </c>
      <c r="M88" s="107">
        <v>3.89</v>
      </c>
      <c r="Q88" s="75"/>
    </row>
    <row r="89" spans="1:17" x14ac:dyDescent="0.25">
      <c r="A89" s="1">
        <f t="shared" si="21"/>
        <v>80</v>
      </c>
      <c r="B89" s="55" t="str">
        <f t="shared" si="25"/>
        <v>53E - Company Owned</v>
      </c>
      <c r="C89" s="63" t="s">
        <v>162</v>
      </c>
      <c r="D89" s="60" t="s">
        <v>171</v>
      </c>
      <c r="E89" s="107">
        <f t="shared" si="22"/>
        <v>7.2299999999999995</v>
      </c>
      <c r="F89" s="88">
        <f t="shared" si="23"/>
        <v>-0.01</v>
      </c>
      <c r="G89" s="48">
        <v>1761</v>
      </c>
      <c r="H89" s="87">
        <f t="shared" si="24"/>
        <v>12732</v>
      </c>
      <c r="I89" s="87">
        <f t="shared" si="24"/>
        <v>-18</v>
      </c>
      <c r="K89" s="112"/>
      <c r="L89" s="107">
        <v>2.88</v>
      </c>
      <c r="M89" s="107">
        <v>4.3499999999999996</v>
      </c>
      <c r="Q89" s="75"/>
    </row>
    <row r="90" spans="1:17" x14ac:dyDescent="0.25">
      <c r="A90" s="1">
        <f t="shared" si="21"/>
        <v>81</v>
      </c>
      <c r="B90" s="55"/>
      <c r="C90" s="63"/>
      <c r="D90" s="63"/>
      <c r="E90" s="107"/>
      <c r="F90" s="53"/>
      <c r="G90" s="48"/>
      <c r="H90" s="48"/>
      <c r="I90" s="48"/>
      <c r="K90" s="112"/>
      <c r="L90" s="107"/>
      <c r="M90" s="107"/>
      <c r="Q90" s="75"/>
    </row>
    <row r="91" spans="1:17" x14ac:dyDescent="0.25">
      <c r="A91" s="1">
        <f t="shared" si="21"/>
        <v>82</v>
      </c>
      <c r="B91" s="55" t="s">
        <v>177</v>
      </c>
      <c r="C91" s="63" t="s">
        <v>33</v>
      </c>
      <c r="D91" s="63">
        <v>50</v>
      </c>
      <c r="E91" s="107">
        <f t="shared" ref="E91:E99" si="26">SUM(L91:M91)</f>
        <v>1.26</v>
      </c>
      <c r="F91" s="88">
        <f t="shared" ref="F91:F99" si="27">ROUND(+E91*$J$10,2)</f>
        <v>0</v>
      </c>
      <c r="G91" s="48">
        <v>0</v>
      </c>
      <c r="H91" s="87">
        <f t="shared" ref="H91:I99" si="28">ROUND($G91*E91,0)</f>
        <v>0</v>
      </c>
      <c r="I91" s="87">
        <f t="shared" si="28"/>
        <v>0</v>
      </c>
      <c r="K91" s="112"/>
      <c r="L91" s="107">
        <v>0.5</v>
      </c>
      <c r="M91" s="107">
        <v>0.76</v>
      </c>
      <c r="Q91" s="75"/>
    </row>
    <row r="92" spans="1:17" x14ac:dyDescent="0.25">
      <c r="A92" s="1">
        <f t="shared" si="21"/>
        <v>83</v>
      </c>
      <c r="B92" s="55" t="str">
        <f t="shared" ref="B92:B99" si="29">+B91</f>
        <v>53E - Customer Owned</v>
      </c>
      <c r="C92" s="63" t="s">
        <v>33</v>
      </c>
      <c r="D92" s="63">
        <v>70</v>
      </c>
      <c r="E92" s="107">
        <f t="shared" si="26"/>
        <v>1.78</v>
      </c>
      <c r="F92" s="88">
        <f t="shared" si="27"/>
        <v>0</v>
      </c>
      <c r="G92" s="48">
        <v>624</v>
      </c>
      <c r="H92" s="87">
        <f t="shared" si="28"/>
        <v>1111</v>
      </c>
      <c r="I92" s="87">
        <f t="shared" si="28"/>
        <v>0</v>
      </c>
      <c r="K92" s="112"/>
      <c r="L92" s="107">
        <v>0.71</v>
      </c>
      <c r="M92" s="107">
        <v>1.07</v>
      </c>
      <c r="Q92" s="75"/>
    </row>
    <row r="93" spans="1:17" x14ac:dyDescent="0.25">
      <c r="A93" s="1">
        <f t="shared" si="21"/>
        <v>84</v>
      </c>
      <c r="B93" s="55" t="str">
        <f t="shared" si="29"/>
        <v>53E - Customer Owned</v>
      </c>
      <c r="C93" s="63" t="s">
        <v>33</v>
      </c>
      <c r="D93" s="63">
        <v>100</v>
      </c>
      <c r="E93" s="107">
        <f t="shared" si="26"/>
        <v>2.54</v>
      </c>
      <c r="F93" s="88">
        <f t="shared" si="27"/>
        <v>0</v>
      </c>
      <c r="G93" s="48">
        <v>2576</v>
      </c>
      <c r="H93" s="87">
        <f t="shared" si="28"/>
        <v>6543</v>
      </c>
      <c r="I93" s="87">
        <f t="shared" si="28"/>
        <v>0</v>
      </c>
      <c r="K93" s="112"/>
      <c r="L93" s="107">
        <v>1.01</v>
      </c>
      <c r="M93" s="107">
        <v>1.53</v>
      </c>
      <c r="Q93" s="75"/>
    </row>
    <row r="94" spans="1:17" x14ac:dyDescent="0.25">
      <c r="A94" s="1">
        <f t="shared" si="21"/>
        <v>85</v>
      </c>
      <c r="B94" s="55" t="str">
        <f t="shared" si="29"/>
        <v>53E - Customer Owned</v>
      </c>
      <c r="C94" s="63" t="s">
        <v>33</v>
      </c>
      <c r="D94" s="63">
        <v>150</v>
      </c>
      <c r="E94" s="107">
        <f t="shared" si="26"/>
        <v>3.8</v>
      </c>
      <c r="F94" s="88">
        <f t="shared" si="27"/>
        <v>0</v>
      </c>
      <c r="G94" s="48">
        <v>1246</v>
      </c>
      <c r="H94" s="87">
        <f t="shared" si="28"/>
        <v>4735</v>
      </c>
      <c r="I94" s="87">
        <f t="shared" si="28"/>
        <v>0</v>
      </c>
      <c r="K94" s="112"/>
      <c r="L94" s="107">
        <v>1.51</v>
      </c>
      <c r="M94" s="107">
        <v>2.29</v>
      </c>
      <c r="Q94" s="75"/>
    </row>
    <row r="95" spans="1:17" x14ac:dyDescent="0.25">
      <c r="A95" s="1">
        <f t="shared" si="21"/>
        <v>86</v>
      </c>
      <c r="B95" s="55" t="str">
        <f t="shared" si="29"/>
        <v>53E - Customer Owned</v>
      </c>
      <c r="C95" s="63" t="s">
        <v>33</v>
      </c>
      <c r="D95" s="63">
        <v>200</v>
      </c>
      <c r="E95" s="107">
        <f t="shared" si="26"/>
        <v>5.07</v>
      </c>
      <c r="F95" s="88">
        <f t="shared" si="27"/>
        <v>-0.01</v>
      </c>
      <c r="G95" s="48">
        <v>4753</v>
      </c>
      <c r="H95" s="87">
        <f t="shared" si="28"/>
        <v>24098</v>
      </c>
      <c r="I95" s="87">
        <f t="shared" si="28"/>
        <v>-48</v>
      </c>
      <c r="K95" s="112"/>
      <c r="L95" s="107">
        <v>2.02</v>
      </c>
      <c r="M95" s="107">
        <v>3.05</v>
      </c>
      <c r="Q95" s="75"/>
    </row>
    <row r="96" spans="1:17" x14ac:dyDescent="0.25">
      <c r="A96" s="1">
        <f t="shared" si="21"/>
        <v>87</v>
      </c>
      <c r="B96" s="55" t="str">
        <f t="shared" si="29"/>
        <v>53E - Customer Owned</v>
      </c>
      <c r="C96" s="63" t="s">
        <v>33</v>
      </c>
      <c r="D96" s="63">
        <v>250</v>
      </c>
      <c r="E96" s="107">
        <f t="shared" si="26"/>
        <v>6.34</v>
      </c>
      <c r="F96" s="88">
        <f t="shared" si="27"/>
        <v>-0.01</v>
      </c>
      <c r="G96" s="48">
        <v>3287</v>
      </c>
      <c r="H96" s="87">
        <f t="shared" si="28"/>
        <v>20840</v>
      </c>
      <c r="I96" s="87">
        <f t="shared" si="28"/>
        <v>-33</v>
      </c>
      <c r="K96" s="112"/>
      <c r="L96" s="107">
        <v>2.52</v>
      </c>
      <c r="M96" s="107">
        <v>3.82</v>
      </c>
      <c r="Q96" s="75"/>
    </row>
    <row r="97" spans="1:17" x14ac:dyDescent="0.25">
      <c r="A97" s="1">
        <f t="shared" si="21"/>
        <v>88</v>
      </c>
      <c r="B97" s="55" t="str">
        <f t="shared" si="29"/>
        <v>53E - Customer Owned</v>
      </c>
      <c r="C97" s="63" t="s">
        <v>33</v>
      </c>
      <c r="D97" s="63">
        <v>310</v>
      </c>
      <c r="E97" s="107">
        <f t="shared" si="26"/>
        <v>7.86</v>
      </c>
      <c r="F97" s="88">
        <f t="shared" si="27"/>
        <v>-0.01</v>
      </c>
      <c r="G97" s="48">
        <v>84</v>
      </c>
      <c r="H97" s="87">
        <f t="shared" si="28"/>
        <v>660</v>
      </c>
      <c r="I97" s="87">
        <f t="shared" si="28"/>
        <v>-1</v>
      </c>
      <c r="K97" s="112"/>
      <c r="L97" s="107">
        <v>3.13</v>
      </c>
      <c r="M97" s="107">
        <v>4.7300000000000004</v>
      </c>
      <c r="Q97" s="75"/>
    </row>
    <row r="98" spans="1:17" x14ac:dyDescent="0.25">
      <c r="A98" s="1">
        <f t="shared" si="21"/>
        <v>89</v>
      </c>
      <c r="B98" s="55" t="str">
        <f t="shared" si="29"/>
        <v>53E - Customer Owned</v>
      </c>
      <c r="C98" s="63" t="s">
        <v>33</v>
      </c>
      <c r="D98" s="63">
        <v>400</v>
      </c>
      <c r="E98" s="107">
        <f t="shared" si="26"/>
        <v>10.15</v>
      </c>
      <c r="F98" s="88">
        <f t="shared" si="27"/>
        <v>-0.01</v>
      </c>
      <c r="G98" s="48">
        <v>4943</v>
      </c>
      <c r="H98" s="87">
        <f t="shared" si="28"/>
        <v>50171</v>
      </c>
      <c r="I98" s="87">
        <f t="shared" si="28"/>
        <v>-49</v>
      </c>
      <c r="K98" s="112"/>
      <c r="L98" s="107">
        <v>4.04</v>
      </c>
      <c r="M98" s="107">
        <v>6.11</v>
      </c>
      <c r="Q98" s="75"/>
    </row>
    <row r="99" spans="1:17" x14ac:dyDescent="0.25">
      <c r="A99" s="1">
        <f t="shared" si="21"/>
        <v>90</v>
      </c>
      <c r="B99" s="55" t="str">
        <f t="shared" si="29"/>
        <v>53E - Customer Owned</v>
      </c>
      <c r="C99" s="63" t="s">
        <v>33</v>
      </c>
      <c r="D99" s="63">
        <v>1000</v>
      </c>
      <c r="E99" s="107">
        <f t="shared" si="26"/>
        <v>25.36</v>
      </c>
      <c r="F99" s="88">
        <f t="shared" si="27"/>
        <v>-0.03</v>
      </c>
      <c r="G99" s="48">
        <v>0</v>
      </c>
      <c r="H99" s="87">
        <f t="shared" si="28"/>
        <v>0</v>
      </c>
      <c r="I99" s="87">
        <f t="shared" si="28"/>
        <v>0</v>
      </c>
      <c r="K99" s="112"/>
      <c r="L99" s="107">
        <v>10.09</v>
      </c>
      <c r="M99" s="107">
        <v>15.27</v>
      </c>
      <c r="Q99" s="75"/>
    </row>
    <row r="100" spans="1:17" x14ac:dyDescent="0.25">
      <c r="A100" s="1">
        <f t="shared" si="21"/>
        <v>91</v>
      </c>
      <c r="B100" s="55"/>
      <c r="C100" s="63"/>
      <c r="D100" s="63"/>
      <c r="E100" s="107"/>
      <c r="F100" s="53"/>
      <c r="G100" s="48"/>
      <c r="H100" s="48"/>
      <c r="I100" s="48"/>
      <c r="K100" s="112"/>
      <c r="L100" s="107"/>
      <c r="M100" s="107"/>
      <c r="Q100" s="75"/>
    </row>
    <row r="101" spans="1:17" x14ac:dyDescent="0.25">
      <c r="A101" s="1">
        <f t="shared" si="21"/>
        <v>92</v>
      </c>
      <c r="B101" s="55" t="str">
        <f>+B99</f>
        <v>53E - Customer Owned</v>
      </c>
      <c r="C101" s="63" t="s">
        <v>174</v>
      </c>
      <c r="D101" s="63">
        <v>70</v>
      </c>
      <c r="E101" s="107">
        <f t="shared" ref="E101:E106" si="30">SUM(L101:M101)</f>
        <v>1.78</v>
      </c>
      <c r="F101" s="88">
        <f t="shared" ref="F101:F106" si="31">ROUND(+E101*$J$10,2)</f>
        <v>0</v>
      </c>
      <c r="G101" s="48">
        <v>0</v>
      </c>
      <c r="H101" s="87">
        <f t="shared" ref="H101:I106" si="32">ROUND($G101*E101,0)</f>
        <v>0</v>
      </c>
      <c r="I101" s="87">
        <f t="shared" si="32"/>
        <v>0</v>
      </c>
      <c r="K101" s="112"/>
      <c r="L101" s="107">
        <v>0.71</v>
      </c>
      <c r="M101" s="107">
        <v>1.07</v>
      </c>
      <c r="Q101" s="75"/>
    </row>
    <row r="102" spans="1:17" x14ac:dyDescent="0.25">
      <c r="A102" s="1">
        <f t="shared" si="21"/>
        <v>93</v>
      </c>
      <c r="B102" s="55" t="str">
        <f>+B101</f>
        <v>53E - Customer Owned</v>
      </c>
      <c r="C102" s="63" t="s">
        <v>174</v>
      </c>
      <c r="D102" s="63">
        <v>100</v>
      </c>
      <c r="E102" s="107">
        <f t="shared" si="30"/>
        <v>2.54</v>
      </c>
      <c r="F102" s="88">
        <f t="shared" si="31"/>
        <v>0</v>
      </c>
      <c r="G102" s="48">
        <v>0</v>
      </c>
      <c r="H102" s="87">
        <f t="shared" si="32"/>
        <v>0</v>
      </c>
      <c r="I102" s="87">
        <f t="shared" si="32"/>
        <v>0</v>
      </c>
      <c r="K102" s="112"/>
      <c r="L102" s="107">
        <v>1.01</v>
      </c>
      <c r="M102" s="107">
        <v>1.53</v>
      </c>
      <c r="Q102" s="75"/>
    </row>
    <row r="103" spans="1:17" x14ac:dyDescent="0.25">
      <c r="A103" s="1">
        <f t="shared" si="21"/>
        <v>94</v>
      </c>
      <c r="B103" s="55" t="str">
        <f>+B102</f>
        <v>53E - Customer Owned</v>
      </c>
      <c r="C103" s="63" t="s">
        <v>174</v>
      </c>
      <c r="D103" s="63">
        <v>150</v>
      </c>
      <c r="E103" s="107">
        <f t="shared" si="30"/>
        <v>3.8</v>
      </c>
      <c r="F103" s="88">
        <f t="shared" si="31"/>
        <v>0</v>
      </c>
      <c r="G103" s="48">
        <v>0</v>
      </c>
      <c r="H103" s="87">
        <f t="shared" si="32"/>
        <v>0</v>
      </c>
      <c r="I103" s="87">
        <f t="shared" si="32"/>
        <v>0</v>
      </c>
      <c r="K103" s="112"/>
      <c r="L103" s="107">
        <v>1.51</v>
      </c>
      <c r="M103" s="107">
        <v>2.29</v>
      </c>
      <c r="Q103" s="75"/>
    </row>
    <row r="104" spans="1:17" x14ac:dyDescent="0.25">
      <c r="A104" s="1">
        <f t="shared" si="21"/>
        <v>95</v>
      </c>
      <c r="B104" s="55" t="str">
        <f>+B103</f>
        <v>53E - Customer Owned</v>
      </c>
      <c r="C104" s="63" t="s">
        <v>174</v>
      </c>
      <c r="D104" s="63">
        <v>175</v>
      </c>
      <c r="E104" s="107">
        <f t="shared" si="30"/>
        <v>4.4399999999999995</v>
      </c>
      <c r="F104" s="88">
        <f t="shared" si="31"/>
        <v>-0.01</v>
      </c>
      <c r="G104" s="48">
        <v>48</v>
      </c>
      <c r="H104" s="87">
        <f t="shared" si="32"/>
        <v>213</v>
      </c>
      <c r="I104" s="87">
        <f t="shared" si="32"/>
        <v>0</v>
      </c>
      <c r="K104" s="112"/>
      <c r="L104" s="107">
        <v>1.77</v>
      </c>
      <c r="M104" s="107">
        <v>2.67</v>
      </c>
      <c r="Q104" s="75"/>
    </row>
    <row r="105" spans="1:17" x14ac:dyDescent="0.25">
      <c r="A105" s="1">
        <f t="shared" si="21"/>
        <v>96</v>
      </c>
      <c r="B105" s="55" t="str">
        <f>+B104</f>
        <v>53E - Customer Owned</v>
      </c>
      <c r="C105" s="63" t="s">
        <v>174</v>
      </c>
      <c r="D105" s="63">
        <v>250</v>
      </c>
      <c r="E105" s="107">
        <f t="shared" si="30"/>
        <v>6.34</v>
      </c>
      <c r="F105" s="88">
        <f t="shared" si="31"/>
        <v>-0.01</v>
      </c>
      <c r="G105" s="48">
        <v>0</v>
      </c>
      <c r="H105" s="87">
        <f t="shared" si="32"/>
        <v>0</v>
      </c>
      <c r="I105" s="87">
        <f t="shared" si="32"/>
        <v>0</v>
      </c>
      <c r="K105" s="112"/>
      <c r="L105" s="107">
        <v>2.52</v>
      </c>
      <c r="M105" s="107">
        <v>3.82</v>
      </c>
      <c r="Q105" s="75"/>
    </row>
    <row r="106" spans="1:17" x14ac:dyDescent="0.25">
      <c r="A106" s="1">
        <f t="shared" si="21"/>
        <v>97</v>
      </c>
      <c r="B106" s="55" t="str">
        <f>+B105</f>
        <v>53E - Customer Owned</v>
      </c>
      <c r="C106" s="63" t="s">
        <v>174</v>
      </c>
      <c r="D106" s="63">
        <v>400</v>
      </c>
      <c r="E106" s="107">
        <f t="shared" si="30"/>
        <v>10.15</v>
      </c>
      <c r="F106" s="88">
        <f t="shared" si="31"/>
        <v>-0.01</v>
      </c>
      <c r="G106" s="48">
        <v>0</v>
      </c>
      <c r="H106" s="87">
        <f t="shared" si="32"/>
        <v>0</v>
      </c>
      <c r="I106" s="87">
        <f t="shared" si="32"/>
        <v>0</v>
      </c>
      <c r="K106" s="112"/>
      <c r="L106" s="107">
        <v>4.04</v>
      </c>
      <c r="M106" s="107">
        <v>6.11</v>
      </c>
      <c r="Q106" s="75"/>
    </row>
    <row r="107" spans="1:17" x14ac:dyDescent="0.25">
      <c r="A107" s="1">
        <f t="shared" si="21"/>
        <v>98</v>
      </c>
      <c r="B107" s="55"/>
      <c r="C107" s="63"/>
      <c r="D107" s="63"/>
      <c r="E107" s="107"/>
      <c r="F107" s="53"/>
      <c r="G107" s="48"/>
      <c r="H107" s="48"/>
      <c r="I107" s="48"/>
      <c r="K107" s="112"/>
      <c r="L107" s="107"/>
      <c r="M107" s="107"/>
      <c r="Q107" s="75"/>
    </row>
    <row r="108" spans="1:17" x14ac:dyDescent="0.25">
      <c r="A108" s="1">
        <f t="shared" si="21"/>
        <v>99</v>
      </c>
      <c r="B108" s="55" t="str">
        <f>+B106</f>
        <v>53E - Customer Owned</v>
      </c>
      <c r="C108" s="63" t="s">
        <v>162</v>
      </c>
      <c r="D108" s="60" t="s">
        <v>163</v>
      </c>
      <c r="E108" s="107">
        <f t="shared" ref="E108:E116" si="33">SUM(L108:M108)</f>
        <v>1.1399999999999999</v>
      </c>
      <c r="F108" s="88">
        <f t="shared" ref="F108:F116" si="34">ROUND(+E108*$J$10,2)</f>
        <v>0</v>
      </c>
      <c r="G108" s="48">
        <v>7567</v>
      </c>
      <c r="H108" s="87">
        <f t="shared" ref="H108:I116" si="35">ROUND($G108*E108,0)</f>
        <v>8626</v>
      </c>
      <c r="I108" s="87">
        <f t="shared" si="35"/>
        <v>0</v>
      </c>
      <c r="K108" s="112"/>
      <c r="L108" s="107">
        <v>0.45</v>
      </c>
      <c r="M108" s="107">
        <v>0.69</v>
      </c>
      <c r="Q108" s="75"/>
    </row>
    <row r="109" spans="1:17" x14ac:dyDescent="0.25">
      <c r="A109" s="1">
        <f t="shared" si="21"/>
        <v>100</v>
      </c>
      <c r="B109" s="55" t="str">
        <f t="shared" ref="B109:B116" si="36">B108</f>
        <v>53E - Customer Owned</v>
      </c>
      <c r="C109" s="63" t="s">
        <v>162</v>
      </c>
      <c r="D109" s="60" t="s">
        <v>164</v>
      </c>
      <c r="E109" s="107">
        <f t="shared" si="33"/>
        <v>1.91</v>
      </c>
      <c r="F109" s="88">
        <f t="shared" si="34"/>
        <v>0</v>
      </c>
      <c r="G109" s="48">
        <v>7524</v>
      </c>
      <c r="H109" s="87">
        <f t="shared" si="35"/>
        <v>14371</v>
      </c>
      <c r="I109" s="87">
        <f t="shared" si="35"/>
        <v>0</v>
      </c>
      <c r="K109" s="112"/>
      <c r="L109" s="107">
        <v>0.76</v>
      </c>
      <c r="M109" s="107">
        <v>1.1499999999999999</v>
      </c>
      <c r="Q109" s="75"/>
    </row>
    <row r="110" spans="1:17" x14ac:dyDescent="0.25">
      <c r="A110" s="1">
        <f t="shared" si="21"/>
        <v>101</v>
      </c>
      <c r="B110" s="55" t="str">
        <f t="shared" si="36"/>
        <v>53E - Customer Owned</v>
      </c>
      <c r="C110" s="63" t="s">
        <v>162</v>
      </c>
      <c r="D110" s="60" t="s">
        <v>165</v>
      </c>
      <c r="E110" s="107">
        <f t="shared" si="33"/>
        <v>2.66</v>
      </c>
      <c r="F110" s="88">
        <f t="shared" si="34"/>
        <v>0</v>
      </c>
      <c r="G110" s="48">
        <v>10130</v>
      </c>
      <c r="H110" s="87">
        <f t="shared" si="35"/>
        <v>26946</v>
      </c>
      <c r="I110" s="87">
        <f t="shared" si="35"/>
        <v>0</v>
      </c>
      <c r="K110" s="112"/>
      <c r="L110" s="107">
        <v>1.06</v>
      </c>
      <c r="M110" s="107">
        <v>1.6</v>
      </c>
      <c r="Q110" s="75"/>
    </row>
    <row r="111" spans="1:17" x14ac:dyDescent="0.25">
      <c r="A111" s="1">
        <f t="shared" si="21"/>
        <v>102</v>
      </c>
      <c r="B111" s="55" t="str">
        <f t="shared" si="36"/>
        <v>53E - Customer Owned</v>
      </c>
      <c r="C111" s="63" t="s">
        <v>162</v>
      </c>
      <c r="D111" s="60" t="s">
        <v>166</v>
      </c>
      <c r="E111" s="107">
        <f t="shared" si="33"/>
        <v>3.42</v>
      </c>
      <c r="F111" s="88">
        <f t="shared" si="34"/>
        <v>0</v>
      </c>
      <c r="G111" s="48">
        <v>977</v>
      </c>
      <c r="H111" s="87">
        <f t="shared" si="35"/>
        <v>3341</v>
      </c>
      <c r="I111" s="87">
        <f t="shared" si="35"/>
        <v>0</v>
      </c>
      <c r="K111" s="112"/>
      <c r="L111" s="107">
        <v>1.36</v>
      </c>
      <c r="M111" s="107">
        <v>2.06</v>
      </c>
      <c r="Q111" s="75"/>
    </row>
    <row r="112" spans="1:17" x14ac:dyDescent="0.25">
      <c r="A112" s="1">
        <f t="shared" si="21"/>
        <v>103</v>
      </c>
      <c r="B112" s="55" t="str">
        <f t="shared" si="36"/>
        <v>53E - Customer Owned</v>
      </c>
      <c r="C112" s="63" t="s">
        <v>162</v>
      </c>
      <c r="D112" s="60" t="s">
        <v>167</v>
      </c>
      <c r="E112" s="107">
        <f t="shared" si="33"/>
        <v>4.1899999999999995</v>
      </c>
      <c r="F112" s="88">
        <f t="shared" si="34"/>
        <v>0</v>
      </c>
      <c r="G112" s="48">
        <v>15911</v>
      </c>
      <c r="H112" s="87">
        <f t="shared" si="35"/>
        <v>66667</v>
      </c>
      <c r="I112" s="87">
        <f t="shared" si="35"/>
        <v>0</v>
      </c>
      <c r="K112" s="112"/>
      <c r="L112" s="107">
        <v>1.67</v>
      </c>
      <c r="M112" s="107">
        <v>2.52</v>
      </c>
      <c r="Q112" s="75"/>
    </row>
    <row r="113" spans="1:17" x14ac:dyDescent="0.25">
      <c r="A113" s="1">
        <f t="shared" si="21"/>
        <v>104</v>
      </c>
      <c r="B113" s="55" t="str">
        <f t="shared" si="36"/>
        <v>53E - Customer Owned</v>
      </c>
      <c r="C113" s="63" t="s">
        <v>162</v>
      </c>
      <c r="D113" s="60" t="s">
        <v>168</v>
      </c>
      <c r="E113" s="107">
        <f t="shared" si="33"/>
        <v>4.95</v>
      </c>
      <c r="F113" s="88">
        <f t="shared" si="34"/>
        <v>-0.01</v>
      </c>
      <c r="G113" s="48">
        <v>1272</v>
      </c>
      <c r="H113" s="87">
        <f t="shared" si="35"/>
        <v>6296</v>
      </c>
      <c r="I113" s="87">
        <f t="shared" si="35"/>
        <v>-13</v>
      </c>
      <c r="K113" s="112"/>
      <c r="L113" s="107">
        <v>1.97</v>
      </c>
      <c r="M113" s="107">
        <v>2.98</v>
      </c>
      <c r="Q113" s="75"/>
    </row>
    <row r="114" spans="1:17" x14ac:dyDescent="0.25">
      <c r="A114" s="1">
        <f t="shared" si="21"/>
        <v>105</v>
      </c>
      <c r="B114" s="55" t="str">
        <f t="shared" si="36"/>
        <v>53E - Customer Owned</v>
      </c>
      <c r="C114" s="63" t="s">
        <v>162</v>
      </c>
      <c r="D114" s="60" t="s">
        <v>169</v>
      </c>
      <c r="E114" s="107">
        <f t="shared" si="33"/>
        <v>5.71</v>
      </c>
      <c r="F114" s="88">
        <f t="shared" si="34"/>
        <v>-0.01</v>
      </c>
      <c r="G114" s="48">
        <v>0</v>
      </c>
      <c r="H114" s="87">
        <f t="shared" si="35"/>
        <v>0</v>
      </c>
      <c r="I114" s="87">
        <f t="shared" si="35"/>
        <v>0</v>
      </c>
      <c r="K114" s="112"/>
      <c r="L114" s="107">
        <v>2.27</v>
      </c>
      <c r="M114" s="107">
        <v>3.44</v>
      </c>
      <c r="Q114" s="75"/>
    </row>
    <row r="115" spans="1:17" x14ac:dyDescent="0.25">
      <c r="A115" s="1">
        <f t="shared" si="21"/>
        <v>106</v>
      </c>
      <c r="B115" s="55" t="str">
        <f t="shared" si="36"/>
        <v>53E - Customer Owned</v>
      </c>
      <c r="C115" s="63" t="s">
        <v>162</v>
      </c>
      <c r="D115" s="60" t="s">
        <v>170</v>
      </c>
      <c r="E115" s="107">
        <f t="shared" si="33"/>
        <v>6.46</v>
      </c>
      <c r="F115" s="88">
        <f t="shared" si="34"/>
        <v>-0.01</v>
      </c>
      <c r="G115" s="48">
        <v>20</v>
      </c>
      <c r="H115" s="87">
        <f t="shared" si="35"/>
        <v>129</v>
      </c>
      <c r="I115" s="87">
        <f t="shared" si="35"/>
        <v>0</v>
      </c>
      <c r="K115" s="112"/>
      <c r="L115" s="107">
        <v>2.57</v>
      </c>
      <c r="M115" s="107">
        <v>3.89</v>
      </c>
      <c r="Q115" s="75"/>
    </row>
    <row r="116" spans="1:17" x14ac:dyDescent="0.25">
      <c r="A116" s="1">
        <f t="shared" si="21"/>
        <v>107</v>
      </c>
      <c r="B116" s="55" t="str">
        <f t="shared" si="36"/>
        <v>53E - Customer Owned</v>
      </c>
      <c r="C116" s="63" t="s">
        <v>162</v>
      </c>
      <c r="D116" s="60" t="s">
        <v>171</v>
      </c>
      <c r="E116" s="107">
        <f t="shared" si="33"/>
        <v>7.2299999999999995</v>
      </c>
      <c r="F116" s="88">
        <f t="shared" si="34"/>
        <v>-0.01</v>
      </c>
      <c r="G116" s="48">
        <v>0</v>
      </c>
      <c r="H116" s="87">
        <f t="shared" si="35"/>
        <v>0</v>
      </c>
      <c r="I116" s="87">
        <f t="shared" si="35"/>
        <v>0</v>
      </c>
      <c r="K116" s="112"/>
      <c r="L116" s="107">
        <v>2.88</v>
      </c>
      <c r="M116" s="107">
        <v>4.3499999999999996</v>
      </c>
      <c r="Q116" s="75"/>
    </row>
    <row r="117" spans="1:17" x14ac:dyDescent="0.25">
      <c r="A117" s="1">
        <f t="shared" si="21"/>
        <v>108</v>
      </c>
      <c r="B117" s="65"/>
      <c r="C117" s="63"/>
      <c r="D117" s="63"/>
      <c r="E117" s="107"/>
      <c r="F117" s="53"/>
      <c r="G117" s="48"/>
      <c r="H117" s="48"/>
      <c r="I117" s="48"/>
      <c r="K117" s="112"/>
      <c r="L117" s="107"/>
      <c r="M117" s="107"/>
      <c r="Q117" s="75"/>
    </row>
    <row r="118" spans="1:17" x14ac:dyDescent="0.25">
      <c r="A118" s="1">
        <f t="shared" si="21"/>
        <v>109</v>
      </c>
      <c r="B118" s="53" t="s">
        <v>178</v>
      </c>
      <c r="C118" s="53"/>
      <c r="D118" s="53"/>
      <c r="E118" s="107"/>
      <c r="F118" s="53"/>
      <c r="G118" s="48"/>
      <c r="H118" s="48"/>
      <c r="I118" s="48"/>
      <c r="K118" s="112"/>
      <c r="L118" s="107"/>
      <c r="M118" s="107"/>
      <c r="Q118" s="75"/>
    </row>
    <row r="119" spans="1:17" x14ac:dyDescent="0.25">
      <c r="A119" s="1">
        <f t="shared" si="21"/>
        <v>110</v>
      </c>
      <c r="B119" s="55" t="s">
        <v>179</v>
      </c>
      <c r="C119" s="63" t="s">
        <v>33</v>
      </c>
      <c r="D119" s="63">
        <v>50</v>
      </c>
      <c r="E119" s="107">
        <f t="shared" ref="E119:E127" si="37">SUM(L119:M119)</f>
        <v>1.26</v>
      </c>
      <c r="F119" s="88">
        <f t="shared" ref="F119:F127" si="38">ROUND(+E119*$J$10,2)</f>
        <v>0</v>
      </c>
      <c r="G119" s="48">
        <v>456</v>
      </c>
      <c r="H119" s="87">
        <f t="shared" ref="H119:I127" si="39">ROUND($G119*E119,0)</f>
        <v>575</v>
      </c>
      <c r="I119" s="87">
        <f t="shared" si="39"/>
        <v>0</v>
      </c>
      <c r="K119" s="112"/>
      <c r="L119" s="107">
        <v>0.5</v>
      </c>
      <c r="M119" s="107">
        <v>0.76</v>
      </c>
      <c r="Q119" s="75"/>
    </row>
    <row r="120" spans="1:17" x14ac:dyDescent="0.25">
      <c r="A120" s="1">
        <f t="shared" si="21"/>
        <v>111</v>
      </c>
      <c r="B120" s="55" t="str">
        <f t="shared" ref="B120:B127" si="40">+B119</f>
        <v>54E</v>
      </c>
      <c r="C120" s="63" t="s">
        <v>33</v>
      </c>
      <c r="D120" s="63">
        <v>70</v>
      </c>
      <c r="E120" s="107">
        <f t="shared" si="37"/>
        <v>1.78</v>
      </c>
      <c r="F120" s="88">
        <f t="shared" si="38"/>
        <v>0</v>
      </c>
      <c r="G120" s="48">
        <v>8688</v>
      </c>
      <c r="H120" s="87">
        <f t="shared" si="39"/>
        <v>15465</v>
      </c>
      <c r="I120" s="87">
        <f t="shared" si="39"/>
        <v>0</v>
      </c>
      <c r="K120" s="112"/>
      <c r="L120" s="107">
        <v>0.71</v>
      </c>
      <c r="M120" s="107">
        <v>1.07</v>
      </c>
      <c r="Q120" s="75"/>
    </row>
    <row r="121" spans="1:17" x14ac:dyDescent="0.25">
      <c r="A121" s="1">
        <f t="shared" si="21"/>
        <v>112</v>
      </c>
      <c r="B121" s="55" t="str">
        <f t="shared" si="40"/>
        <v>54E</v>
      </c>
      <c r="C121" s="63" t="s">
        <v>33</v>
      </c>
      <c r="D121" s="63">
        <v>100</v>
      </c>
      <c r="E121" s="107">
        <f t="shared" si="37"/>
        <v>2.54</v>
      </c>
      <c r="F121" s="88">
        <f t="shared" si="38"/>
        <v>0</v>
      </c>
      <c r="G121" s="48">
        <v>19213</v>
      </c>
      <c r="H121" s="87">
        <f t="shared" si="39"/>
        <v>48801</v>
      </c>
      <c r="I121" s="87">
        <f t="shared" si="39"/>
        <v>0</v>
      </c>
      <c r="K121" s="112"/>
      <c r="L121" s="107">
        <v>1.01</v>
      </c>
      <c r="M121" s="107">
        <v>1.53</v>
      </c>
      <c r="Q121" s="75"/>
    </row>
    <row r="122" spans="1:17" x14ac:dyDescent="0.25">
      <c r="A122" s="1">
        <f t="shared" si="21"/>
        <v>113</v>
      </c>
      <c r="B122" s="55" t="str">
        <f t="shared" si="40"/>
        <v>54E</v>
      </c>
      <c r="C122" s="63" t="s">
        <v>33</v>
      </c>
      <c r="D122" s="63">
        <v>150</v>
      </c>
      <c r="E122" s="107">
        <f t="shared" si="37"/>
        <v>3.8</v>
      </c>
      <c r="F122" s="88">
        <f t="shared" si="38"/>
        <v>0</v>
      </c>
      <c r="G122" s="48">
        <v>5737</v>
      </c>
      <c r="H122" s="87">
        <f t="shared" si="39"/>
        <v>21801</v>
      </c>
      <c r="I122" s="87">
        <f t="shared" si="39"/>
        <v>0</v>
      </c>
      <c r="K122" s="112"/>
      <c r="L122" s="107">
        <v>1.51</v>
      </c>
      <c r="M122" s="107">
        <v>2.29</v>
      </c>
      <c r="Q122" s="75"/>
    </row>
    <row r="123" spans="1:17" x14ac:dyDescent="0.25">
      <c r="A123" s="1">
        <f t="shared" si="21"/>
        <v>114</v>
      </c>
      <c r="B123" s="55" t="str">
        <f t="shared" si="40"/>
        <v>54E</v>
      </c>
      <c r="C123" s="63" t="s">
        <v>33</v>
      </c>
      <c r="D123" s="63">
        <v>200</v>
      </c>
      <c r="E123" s="107">
        <f t="shared" si="37"/>
        <v>5.07</v>
      </c>
      <c r="F123" s="88">
        <f t="shared" si="38"/>
        <v>-0.01</v>
      </c>
      <c r="G123" s="48">
        <v>6979</v>
      </c>
      <c r="H123" s="87">
        <f t="shared" si="39"/>
        <v>35384</v>
      </c>
      <c r="I123" s="87">
        <f t="shared" si="39"/>
        <v>-70</v>
      </c>
      <c r="K123" s="112"/>
      <c r="L123" s="107">
        <v>2.02</v>
      </c>
      <c r="M123" s="107">
        <v>3.05</v>
      </c>
      <c r="Q123" s="75"/>
    </row>
    <row r="124" spans="1:17" x14ac:dyDescent="0.25">
      <c r="A124" s="1">
        <f t="shared" si="21"/>
        <v>115</v>
      </c>
      <c r="B124" s="55" t="str">
        <f t="shared" si="40"/>
        <v>54E</v>
      </c>
      <c r="C124" s="63" t="s">
        <v>33</v>
      </c>
      <c r="D124" s="63">
        <v>250</v>
      </c>
      <c r="E124" s="107">
        <f t="shared" si="37"/>
        <v>6.34</v>
      </c>
      <c r="F124" s="88">
        <f t="shared" si="38"/>
        <v>-0.01</v>
      </c>
      <c r="G124" s="48">
        <v>17793</v>
      </c>
      <c r="H124" s="87">
        <f t="shared" si="39"/>
        <v>112808</v>
      </c>
      <c r="I124" s="87">
        <f t="shared" si="39"/>
        <v>-178</v>
      </c>
      <c r="K124" s="112"/>
      <c r="L124" s="107">
        <v>2.52</v>
      </c>
      <c r="M124" s="107">
        <v>3.82</v>
      </c>
      <c r="Q124" s="75"/>
    </row>
    <row r="125" spans="1:17" x14ac:dyDescent="0.25">
      <c r="A125" s="1">
        <f t="shared" si="21"/>
        <v>116</v>
      </c>
      <c r="B125" s="55" t="str">
        <f t="shared" si="40"/>
        <v>54E</v>
      </c>
      <c r="C125" s="63" t="s">
        <v>33</v>
      </c>
      <c r="D125" s="63">
        <v>310</v>
      </c>
      <c r="E125" s="107">
        <f t="shared" si="37"/>
        <v>7.86</v>
      </c>
      <c r="F125" s="88">
        <f t="shared" si="38"/>
        <v>-0.01</v>
      </c>
      <c r="G125" s="48">
        <v>703</v>
      </c>
      <c r="H125" s="87">
        <f t="shared" si="39"/>
        <v>5526</v>
      </c>
      <c r="I125" s="87">
        <f t="shared" si="39"/>
        <v>-7</v>
      </c>
      <c r="K125" s="112"/>
      <c r="L125" s="107">
        <v>3.13</v>
      </c>
      <c r="M125" s="107">
        <v>4.7300000000000004</v>
      </c>
      <c r="Q125" s="75"/>
    </row>
    <row r="126" spans="1:17" x14ac:dyDescent="0.25">
      <c r="A126" s="1">
        <f t="shared" si="21"/>
        <v>117</v>
      </c>
      <c r="B126" s="55" t="str">
        <f t="shared" si="40"/>
        <v>54E</v>
      </c>
      <c r="C126" s="63" t="s">
        <v>33</v>
      </c>
      <c r="D126" s="63">
        <v>400</v>
      </c>
      <c r="E126" s="107">
        <f t="shared" si="37"/>
        <v>10.15</v>
      </c>
      <c r="F126" s="88">
        <f t="shared" si="38"/>
        <v>-0.01</v>
      </c>
      <c r="G126" s="48">
        <v>7529</v>
      </c>
      <c r="H126" s="87">
        <f t="shared" si="39"/>
        <v>76419</v>
      </c>
      <c r="I126" s="87">
        <f t="shared" si="39"/>
        <v>-75</v>
      </c>
      <c r="K126" s="112"/>
      <c r="L126" s="107">
        <v>4.04</v>
      </c>
      <c r="M126" s="107">
        <v>6.11</v>
      </c>
      <c r="Q126" s="75"/>
    </row>
    <row r="127" spans="1:17" x14ac:dyDescent="0.25">
      <c r="A127" s="1">
        <f t="shared" si="21"/>
        <v>118</v>
      </c>
      <c r="B127" s="55" t="str">
        <f t="shared" si="40"/>
        <v>54E</v>
      </c>
      <c r="C127" s="63" t="s">
        <v>33</v>
      </c>
      <c r="D127" s="63">
        <v>1000</v>
      </c>
      <c r="E127" s="107">
        <f t="shared" si="37"/>
        <v>25.36</v>
      </c>
      <c r="F127" s="88">
        <f t="shared" si="38"/>
        <v>-0.03</v>
      </c>
      <c r="G127" s="48">
        <v>132</v>
      </c>
      <c r="H127" s="87">
        <f t="shared" si="39"/>
        <v>3348</v>
      </c>
      <c r="I127" s="87">
        <f t="shared" si="39"/>
        <v>-4</v>
      </c>
      <c r="K127" s="112"/>
      <c r="L127" s="107">
        <v>10.09</v>
      </c>
      <c r="M127" s="107">
        <v>15.27</v>
      </c>
      <c r="Q127" s="75"/>
    </row>
    <row r="128" spans="1:17" x14ac:dyDescent="0.25">
      <c r="A128" s="1">
        <f t="shared" si="21"/>
        <v>119</v>
      </c>
      <c r="B128" s="65"/>
      <c r="C128" s="63"/>
      <c r="D128" s="63"/>
      <c r="E128" s="107"/>
      <c r="F128" s="53"/>
      <c r="G128" s="48"/>
      <c r="H128" s="48"/>
      <c r="I128" s="48"/>
      <c r="K128" s="112"/>
      <c r="L128" s="107"/>
      <c r="M128" s="107"/>
      <c r="Q128" s="75"/>
    </row>
    <row r="129" spans="1:17" x14ac:dyDescent="0.25">
      <c r="A129" s="1">
        <f t="shared" si="21"/>
        <v>120</v>
      </c>
      <c r="B129" s="65"/>
      <c r="C129" s="63"/>
      <c r="D129" s="63"/>
      <c r="E129" s="107"/>
      <c r="F129" s="53"/>
      <c r="G129" s="48"/>
      <c r="H129" s="48"/>
      <c r="I129" s="48"/>
      <c r="K129" s="112"/>
      <c r="L129" s="107"/>
      <c r="M129" s="107"/>
      <c r="Q129" s="75"/>
    </row>
    <row r="130" spans="1:17" x14ac:dyDescent="0.25">
      <c r="A130" s="1">
        <f t="shared" si="21"/>
        <v>121</v>
      </c>
      <c r="B130" s="55" t="str">
        <f>+B127</f>
        <v>54E</v>
      </c>
      <c r="C130" s="63" t="s">
        <v>162</v>
      </c>
      <c r="D130" s="60" t="s">
        <v>163</v>
      </c>
      <c r="E130" s="107">
        <f t="shared" ref="E130:E138" si="41">SUM(L130:M130)</f>
        <v>1.1399999999999999</v>
      </c>
      <c r="F130" s="88">
        <f t="shared" ref="F130:F138" si="42">ROUND(+E130*$J$10,2)</f>
        <v>0</v>
      </c>
      <c r="G130" s="48">
        <v>17027</v>
      </c>
      <c r="H130" s="87">
        <f t="shared" ref="H130:I138" si="43">ROUND($G130*E130,0)</f>
        <v>19411</v>
      </c>
      <c r="I130" s="87">
        <f t="shared" si="43"/>
        <v>0</v>
      </c>
      <c r="K130" s="112"/>
      <c r="L130" s="107">
        <v>0.45</v>
      </c>
      <c r="M130" s="107">
        <v>0.69</v>
      </c>
      <c r="Q130" s="75"/>
    </row>
    <row r="131" spans="1:17" x14ac:dyDescent="0.25">
      <c r="A131" s="1">
        <f t="shared" si="21"/>
        <v>122</v>
      </c>
      <c r="B131" s="55" t="str">
        <f t="shared" ref="B131:B138" si="44">+B130</f>
        <v>54E</v>
      </c>
      <c r="C131" s="63" t="s">
        <v>162</v>
      </c>
      <c r="D131" s="60" t="s">
        <v>164</v>
      </c>
      <c r="E131" s="107">
        <f t="shared" si="41"/>
        <v>1.91</v>
      </c>
      <c r="F131" s="88">
        <f t="shared" si="42"/>
        <v>0</v>
      </c>
      <c r="G131" s="48">
        <v>768</v>
      </c>
      <c r="H131" s="87">
        <f t="shared" si="43"/>
        <v>1467</v>
      </c>
      <c r="I131" s="87">
        <f t="shared" si="43"/>
        <v>0</v>
      </c>
      <c r="K131" s="112"/>
      <c r="L131" s="107">
        <v>0.76</v>
      </c>
      <c r="M131" s="107">
        <v>1.1499999999999999</v>
      </c>
      <c r="Q131" s="75"/>
    </row>
    <row r="132" spans="1:17" x14ac:dyDescent="0.25">
      <c r="A132" s="1">
        <f t="shared" si="21"/>
        <v>123</v>
      </c>
      <c r="B132" s="55" t="str">
        <f t="shared" si="44"/>
        <v>54E</v>
      </c>
      <c r="C132" s="63" t="s">
        <v>162</v>
      </c>
      <c r="D132" s="60" t="s">
        <v>165</v>
      </c>
      <c r="E132" s="107">
        <f t="shared" si="41"/>
        <v>2.66</v>
      </c>
      <c r="F132" s="88">
        <f t="shared" si="42"/>
        <v>0</v>
      </c>
      <c r="G132" s="48">
        <v>19519</v>
      </c>
      <c r="H132" s="87">
        <f t="shared" si="43"/>
        <v>51921</v>
      </c>
      <c r="I132" s="87">
        <f t="shared" si="43"/>
        <v>0</v>
      </c>
      <c r="K132" s="112"/>
      <c r="L132" s="107">
        <v>1.06</v>
      </c>
      <c r="M132" s="107">
        <v>1.6</v>
      </c>
      <c r="Q132" s="75"/>
    </row>
    <row r="133" spans="1:17" x14ac:dyDescent="0.25">
      <c r="A133" s="1">
        <f t="shared" si="21"/>
        <v>124</v>
      </c>
      <c r="B133" s="55" t="str">
        <f t="shared" si="44"/>
        <v>54E</v>
      </c>
      <c r="C133" s="63" t="s">
        <v>162</v>
      </c>
      <c r="D133" s="60" t="s">
        <v>166</v>
      </c>
      <c r="E133" s="107">
        <f t="shared" si="41"/>
        <v>3.42</v>
      </c>
      <c r="F133" s="88">
        <f t="shared" si="42"/>
        <v>0</v>
      </c>
      <c r="G133" s="48">
        <v>8774</v>
      </c>
      <c r="H133" s="87">
        <f t="shared" si="43"/>
        <v>30007</v>
      </c>
      <c r="I133" s="87">
        <f t="shared" si="43"/>
        <v>0</v>
      </c>
      <c r="K133" s="112"/>
      <c r="L133" s="107">
        <v>1.36</v>
      </c>
      <c r="M133" s="107">
        <v>2.06</v>
      </c>
      <c r="Q133" s="75"/>
    </row>
    <row r="134" spans="1:17" x14ac:dyDescent="0.25">
      <c r="A134" s="1">
        <f t="shared" si="21"/>
        <v>125</v>
      </c>
      <c r="B134" s="55" t="str">
        <f t="shared" si="44"/>
        <v>54E</v>
      </c>
      <c r="C134" s="63" t="s">
        <v>162</v>
      </c>
      <c r="D134" s="60" t="s">
        <v>167</v>
      </c>
      <c r="E134" s="107">
        <f t="shared" si="41"/>
        <v>4.1899999999999995</v>
      </c>
      <c r="F134" s="88">
        <f t="shared" si="42"/>
        <v>0</v>
      </c>
      <c r="G134" s="48">
        <v>5329</v>
      </c>
      <c r="H134" s="87">
        <f t="shared" si="43"/>
        <v>22329</v>
      </c>
      <c r="I134" s="87">
        <f t="shared" si="43"/>
        <v>0</v>
      </c>
      <c r="K134" s="112"/>
      <c r="L134" s="107">
        <v>1.67</v>
      </c>
      <c r="M134" s="107">
        <v>2.52</v>
      </c>
      <c r="Q134" s="75"/>
    </row>
    <row r="135" spans="1:17" x14ac:dyDescent="0.25">
      <c r="A135" s="1">
        <f t="shared" si="21"/>
        <v>126</v>
      </c>
      <c r="B135" s="55" t="str">
        <f t="shared" si="44"/>
        <v>54E</v>
      </c>
      <c r="C135" s="63" t="s">
        <v>162</v>
      </c>
      <c r="D135" s="60" t="s">
        <v>168</v>
      </c>
      <c r="E135" s="107">
        <f t="shared" si="41"/>
        <v>4.95</v>
      </c>
      <c r="F135" s="88">
        <f t="shared" si="42"/>
        <v>-0.01</v>
      </c>
      <c r="G135" s="48">
        <v>132</v>
      </c>
      <c r="H135" s="87">
        <f t="shared" si="43"/>
        <v>653</v>
      </c>
      <c r="I135" s="87">
        <f t="shared" si="43"/>
        <v>-1</v>
      </c>
      <c r="K135" s="112"/>
      <c r="L135" s="107">
        <v>1.97</v>
      </c>
      <c r="M135" s="107">
        <v>2.98</v>
      </c>
      <c r="Q135" s="75"/>
    </row>
    <row r="136" spans="1:17" x14ac:dyDescent="0.25">
      <c r="A136" s="1">
        <f t="shared" si="21"/>
        <v>127</v>
      </c>
      <c r="B136" s="55" t="str">
        <f t="shared" si="44"/>
        <v>54E</v>
      </c>
      <c r="C136" s="63" t="s">
        <v>162</v>
      </c>
      <c r="D136" s="60" t="s">
        <v>169</v>
      </c>
      <c r="E136" s="107">
        <f t="shared" si="41"/>
        <v>5.71</v>
      </c>
      <c r="F136" s="88">
        <f t="shared" si="42"/>
        <v>-0.01</v>
      </c>
      <c r="G136" s="48">
        <v>395</v>
      </c>
      <c r="H136" s="87">
        <f t="shared" si="43"/>
        <v>2255</v>
      </c>
      <c r="I136" s="87">
        <f t="shared" si="43"/>
        <v>-4</v>
      </c>
      <c r="K136" s="112"/>
      <c r="L136" s="107">
        <v>2.27</v>
      </c>
      <c r="M136" s="107">
        <v>3.44</v>
      </c>
      <c r="Q136" s="75"/>
    </row>
    <row r="137" spans="1:17" x14ac:dyDescent="0.25">
      <c r="A137" s="1">
        <f t="shared" si="21"/>
        <v>128</v>
      </c>
      <c r="B137" s="55" t="str">
        <f t="shared" si="44"/>
        <v>54E</v>
      </c>
      <c r="C137" s="63" t="s">
        <v>162</v>
      </c>
      <c r="D137" s="60" t="s">
        <v>170</v>
      </c>
      <c r="E137" s="107">
        <f t="shared" si="41"/>
        <v>6.46</v>
      </c>
      <c r="F137" s="88">
        <f t="shared" si="42"/>
        <v>-0.01</v>
      </c>
      <c r="G137" s="48">
        <v>36</v>
      </c>
      <c r="H137" s="87">
        <f t="shared" si="43"/>
        <v>233</v>
      </c>
      <c r="I137" s="87">
        <f t="shared" si="43"/>
        <v>0</v>
      </c>
      <c r="K137" s="112"/>
      <c r="L137" s="107">
        <v>2.57</v>
      </c>
      <c r="M137" s="107">
        <v>3.89</v>
      </c>
      <c r="Q137" s="75"/>
    </row>
    <row r="138" spans="1:17" x14ac:dyDescent="0.25">
      <c r="A138" s="1">
        <f t="shared" si="21"/>
        <v>129</v>
      </c>
      <c r="B138" s="55" t="str">
        <f t="shared" si="44"/>
        <v>54E</v>
      </c>
      <c r="C138" s="63" t="s">
        <v>162</v>
      </c>
      <c r="D138" s="60" t="s">
        <v>171</v>
      </c>
      <c r="E138" s="107">
        <f t="shared" si="41"/>
        <v>7.2299999999999995</v>
      </c>
      <c r="F138" s="88">
        <f t="shared" si="42"/>
        <v>-0.01</v>
      </c>
      <c r="G138" s="48">
        <v>0</v>
      </c>
      <c r="H138" s="87">
        <f t="shared" si="43"/>
        <v>0</v>
      </c>
      <c r="I138" s="87">
        <f t="shared" si="43"/>
        <v>0</v>
      </c>
      <c r="K138" s="112"/>
      <c r="L138" s="107">
        <v>2.88</v>
      </c>
      <c r="M138" s="107">
        <v>4.3499999999999996</v>
      </c>
      <c r="Q138" s="75"/>
    </row>
    <row r="139" spans="1:17" x14ac:dyDescent="0.25">
      <c r="A139" s="1">
        <f t="shared" si="21"/>
        <v>130</v>
      </c>
      <c r="B139" s="65"/>
      <c r="C139" s="63"/>
      <c r="D139" s="63"/>
      <c r="E139" s="107"/>
      <c r="F139" s="53"/>
      <c r="G139" s="48"/>
      <c r="H139" s="48"/>
      <c r="I139" s="48"/>
      <c r="K139" s="112"/>
      <c r="L139" s="107"/>
      <c r="M139" s="107"/>
      <c r="Q139" s="75"/>
    </row>
    <row r="140" spans="1:17" x14ac:dyDescent="0.25">
      <c r="A140" s="1">
        <f t="shared" ref="A140:A200" si="45">+A139+1</f>
        <v>131</v>
      </c>
      <c r="B140" s="53" t="s">
        <v>180</v>
      </c>
      <c r="C140" s="63"/>
      <c r="D140" s="63"/>
      <c r="E140" s="107"/>
      <c r="F140" s="53"/>
      <c r="G140" s="48"/>
      <c r="H140" s="48"/>
      <c r="I140" s="48"/>
      <c r="K140" s="112"/>
      <c r="L140" s="107"/>
      <c r="M140" s="107"/>
      <c r="Q140" s="75"/>
    </row>
    <row r="141" spans="1:17" x14ac:dyDescent="0.25">
      <c r="A141" s="1">
        <f t="shared" si="45"/>
        <v>132</v>
      </c>
      <c r="B141" s="55" t="s">
        <v>181</v>
      </c>
      <c r="C141" s="63" t="s">
        <v>33</v>
      </c>
      <c r="D141" s="63">
        <v>70</v>
      </c>
      <c r="E141" s="107">
        <f t="shared" ref="E141:E146" si="46">SUM(L141:M141)</f>
        <v>1.81</v>
      </c>
      <c r="F141" s="88">
        <f t="shared" ref="F141:F146" si="47">ROUND(+E141*$J$10,2)</f>
        <v>0</v>
      </c>
      <c r="G141" s="48">
        <v>192</v>
      </c>
      <c r="H141" s="87">
        <f t="shared" ref="H141:I146" si="48">ROUND($G141*E141,0)</f>
        <v>348</v>
      </c>
      <c r="I141" s="87">
        <f t="shared" si="48"/>
        <v>0</v>
      </c>
      <c r="K141" s="112"/>
      <c r="L141" s="107">
        <v>0.74</v>
      </c>
      <c r="M141" s="107">
        <v>1.07</v>
      </c>
      <c r="Q141" s="75"/>
    </row>
    <row r="142" spans="1:17" x14ac:dyDescent="0.25">
      <c r="A142" s="1">
        <f t="shared" si="45"/>
        <v>133</v>
      </c>
      <c r="B142" s="65" t="str">
        <f>+B141</f>
        <v>55E &amp; 56E</v>
      </c>
      <c r="C142" s="63" t="s">
        <v>33</v>
      </c>
      <c r="D142" s="63">
        <v>100</v>
      </c>
      <c r="E142" s="107">
        <f t="shared" si="46"/>
        <v>2.58</v>
      </c>
      <c r="F142" s="88">
        <f t="shared" si="47"/>
        <v>0</v>
      </c>
      <c r="G142" s="48">
        <v>44577</v>
      </c>
      <c r="H142" s="87">
        <f t="shared" si="48"/>
        <v>115009</v>
      </c>
      <c r="I142" s="87">
        <f t="shared" si="48"/>
        <v>0</v>
      </c>
      <c r="K142" s="112"/>
      <c r="L142" s="107">
        <v>1.05</v>
      </c>
      <c r="M142" s="107">
        <v>1.53</v>
      </c>
      <c r="Q142" s="75"/>
    </row>
    <row r="143" spans="1:17" x14ac:dyDescent="0.25">
      <c r="A143" s="1">
        <f t="shared" si="45"/>
        <v>134</v>
      </c>
      <c r="B143" s="65" t="str">
        <f>+B142</f>
        <v>55E &amp; 56E</v>
      </c>
      <c r="C143" s="63" t="s">
        <v>33</v>
      </c>
      <c r="D143" s="63">
        <v>150</v>
      </c>
      <c r="E143" s="107">
        <f t="shared" si="46"/>
        <v>3.87</v>
      </c>
      <c r="F143" s="88">
        <f t="shared" si="47"/>
        <v>0</v>
      </c>
      <c r="G143" s="48">
        <v>6019</v>
      </c>
      <c r="H143" s="87">
        <f t="shared" si="48"/>
        <v>23294</v>
      </c>
      <c r="I143" s="87">
        <f t="shared" si="48"/>
        <v>0</v>
      </c>
      <c r="K143" s="112"/>
      <c r="L143" s="107">
        <v>1.58</v>
      </c>
      <c r="M143" s="107">
        <v>2.29</v>
      </c>
      <c r="Q143" s="75"/>
    </row>
    <row r="144" spans="1:17" x14ac:dyDescent="0.25">
      <c r="A144" s="1">
        <f t="shared" si="45"/>
        <v>135</v>
      </c>
      <c r="B144" s="65" t="str">
        <f>+B143</f>
        <v>55E &amp; 56E</v>
      </c>
      <c r="C144" s="63" t="s">
        <v>33</v>
      </c>
      <c r="D144" s="63">
        <v>200</v>
      </c>
      <c r="E144" s="107">
        <f t="shared" si="46"/>
        <v>5.15</v>
      </c>
      <c r="F144" s="88">
        <f t="shared" si="47"/>
        <v>-0.01</v>
      </c>
      <c r="G144" s="48">
        <v>12748</v>
      </c>
      <c r="H144" s="87">
        <f t="shared" si="48"/>
        <v>65652</v>
      </c>
      <c r="I144" s="87">
        <f t="shared" si="48"/>
        <v>-127</v>
      </c>
      <c r="K144" s="112"/>
      <c r="L144" s="107">
        <v>2.1</v>
      </c>
      <c r="M144" s="107">
        <v>3.05</v>
      </c>
      <c r="Q144" s="75"/>
    </row>
    <row r="145" spans="1:17" x14ac:dyDescent="0.25">
      <c r="A145" s="1">
        <f t="shared" si="45"/>
        <v>136</v>
      </c>
      <c r="B145" s="65" t="str">
        <f>+B144</f>
        <v>55E &amp; 56E</v>
      </c>
      <c r="C145" s="63" t="s">
        <v>33</v>
      </c>
      <c r="D145" s="63">
        <v>250</v>
      </c>
      <c r="E145" s="107">
        <f t="shared" si="46"/>
        <v>6.4499999999999993</v>
      </c>
      <c r="F145" s="88">
        <f t="shared" si="47"/>
        <v>-0.01</v>
      </c>
      <c r="G145" s="48">
        <v>1361</v>
      </c>
      <c r="H145" s="87">
        <f t="shared" si="48"/>
        <v>8778</v>
      </c>
      <c r="I145" s="87">
        <f t="shared" si="48"/>
        <v>-14</v>
      </c>
      <c r="K145" s="112"/>
      <c r="L145" s="107">
        <v>2.63</v>
      </c>
      <c r="M145" s="107">
        <v>3.82</v>
      </c>
      <c r="Q145" s="75"/>
    </row>
    <row r="146" spans="1:17" x14ac:dyDescent="0.25">
      <c r="A146" s="1">
        <f t="shared" si="45"/>
        <v>137</v>
      </c>
      <c r="B146" s="65" t="str">
        <f>+B145</f>
        <v>55E &amp; 56E</v>
      </c>
      <c r="C146" s="63" t="s">
        <v>33</v>
      </c>
      <c r="D146" s="63">
        <v>400</v>
      </c>
      <c r="E146" s="107">
        <f t="shared" si="46"/>
        <v>10.31</v>
      </c>
      <c r="F146" s="88">
        <f t="shared" si="47"/>
        <v>-0.01</v>
      </c>
      <c r="G146" s="48">
        <v>556</v>
      </c>
      <c r="H146" s="87">
        <f t="shared" si="48"/>
        <v>5732</v>
      </c>
      <c r="I146" s="87">
        <f t="shared" si="48"/>
        <v>-6</v>
      </c>
      <c r="K146" s="112"/>
      <c r="L146" s="107">
        <v>4.2</v>
      </c>
      <c r="M146" s="107">
        <v>6.11</v>
      </c>
      <c r="Q146" s="75"/>
    </row>
    <row r="147" spans="1:17" x14ac:dyDescent="0.25">
      <c r="A147" s="1">
        <f t="shared" si="45"/>
        <v>138</v>
      </c>
      <c r="B147" s="65"/>
      <c r="C147" s="63"/>
      <c r="D147" s="63"/>
      <c r="E147" s="107"/>
      <c r="F147" s="53"/>
      <c r="G147" s="48"/>
      <c r="H147" s="48"/>
      <c r="I147" s="48"/>
      <c r="K147" s="112"/>
      <c r="L147" s="107"/>
      <c r="M147" s="107"/>
      <c r="Q147" s="75"/>
    </row>
    <row r="148" spans="1:17" x14ac:dyDescent="0.25">
      <c r="A148" s="1">
        <f t="shared" si="45"/>
        <v>139</v>
      </c>
      <c r="B148" s="65" t="str">
        <f>+B146</f>
        <v>55E &amp; 56E</v>
      </c>
      <c r="C148" s="63" t="s">
        <v>174</v>
      </c>
      <c r="D148" s="63">
        <v>250</v>
      </c>
      <c r="E148" s="107">
        <f>SUM(L148:M148)</f>
        <v>6.4499999999999993</v>
      </c>
      <c r="F148" s="88">
        <f>ROUND(+E148*$J$10,2)</f>
        <v>-0.01</v>
      </c>
      <c r="G148" s="48">
        <v>72</v>
      </c>
      <c r="H148" s="87">
        <f>ROUND($G148*E148,0)</f>
        <v>464</v>
      </c>
      <c r="I148" s="87">
        <f>ROUND($G148*F148,0)</f>
        <v>-1</v>
      </c>
      <c r="K148" s="112"/>
      <c r="L148" s="107">
        <v>2.63</v>
      </c>
      <c r="M148" s="107">
        <v>3.82</v>
      </c>
      <c r="Q148" s="75"/>
    </row>
    <row r="149" spans="1:17" x14ac:dyDescent="0.25">
      <c r="A149" s="1">
        <f t="shared" si="45"/>
        <v>140</v>
      </c>
      <c r="B149" s="65"/>
      <c r="C149" s="63"/>
      <c r="D149" s="63"/>
      <c r="E149" s="107"/>
      <c r="F149" s="53"/>
      <c r="G149" s="48"/>
      <c r="H149" s="48"/>
      <c r="I149" s="48"/>
      <c r="K149" s="112"/>
      <c r="L149" s="107"/>
      <c r="M149" s="107"/>
      <c r="Q149" s="75"/>
    </row>
    <row r="150" spans="1:17" x14ac:dyDescent="0.25">
      <c r="A150" s="1">
        <f t="shared" si="45"/>
        <v>141</v>
      </c>
      <c r="B150" s="65" t="s">
        <v>181</v>
      </c>
      <c r="C150" s="63" t="s">
        <v>162</v>
      </c>
      <c r="D150" s="60" t="s">
        <v>163</v>
      </c>
      <c r="E150" s="107">
        <f t="shared" ref="E150:E158" si="49">SUM(L150:M150)</f>
        <v>1.1599999999999999</v>
      </c>
      <c r="F150" s="88">
        <f t="shared" ref="F150:F158" si="50">ROUND(+E150*$J$10,2)</f>
        <v>0</v>
      </c>
      <c r="G150" s="48">
        <v>6751</v>
      </c>
      <c r="H150" s="87">
        <f t="shared" ref="H150:I158" si="51">ROUND($G150*E150,0)</f>
        <v>7831</v>
      </c>
      <c r="I150" s="87">
        <f t="shared" si="51"/>
        <v>0</v>
      </c>
      <c r="K150" s="112"/>
      <c r="L150" s="107">
        <v>0.47</v>
      </c>
      <c r="M150" s="107">
        <v>0.69</v>
      </c>
      <c r="Q150" s="75"/>
    </row>
    <row r="151" spans="1:17" x14ac:dyDescent="0.25">
      <c r="A151" s="1">
        <f t="shared" si="45"/>
        <v>142</v>
      </c>
      <c r="B151" s="65" t="s">
        <v>181</v>
      </c>
      <c r="C151" s="63" t="s">
        <v>162</v>
      </c>
      <c r="D151" s="60" t="s">
        <v>164</v>
      </c>
      <c r="E151" s="107">
        <f t="shared" si="49"/>
        <v>1.94</v>
      </c>
      <c r="F151" s="88">
        <f t="shared" si="50"/>
        <v>0</v>
      </c>
      <c r="G151" s="48">
        <v>56</v>
      </c>
      <c r="H151" s="87">
        <f t="shared" si="51"/>
        <v>109</v>
      </c>
      <c r="I151" s="87">
        <f t="shared" si="51"/>
        <v>0</v>
      </c>
      <c r="K151" s="112"/>
      <c r="L151" s="107">
        <v>0.79</v>
      </c>
      <c r="M151" s="107">
        <v>1.1499999999999999</v>
      </c>
      <c r="Q151" s="75"/>
    </row>
    <row r="152" spans="1:17" x14ac:dyDescent="0.25">
      <c r="A152" s="1">
        <f t="shared" si="45"/>
        <v>143</v>
      </c>
      <c r="B152" s="65" t="s">
        <v>181</v>
      </c>
      <c r="C152" s="63" t="s">
        <v>162</v>
      </c>
      <c r="D152" s="60" t="s">
        <v>165</v>
      </c>
      <c r="E152" s="107">
        <f t="shared" si="49"/>
        <v>2.7</v>
      </c>
      <c r="F152" s="88">
        <f t="shared" si="50"/>
        <v>0</v>
      </c>
      <c r="G152" s="48">
        <v>1650</v>
      </c>
      <c r="H152" s="87">
        <f t="shared" si="51"/>
        <v>4455</v>
      </c>
      <c r="I152" s="87">
        <f t="shared" si="51"/>
        <v>0</v>
      </c>
      <c r="K152" s="112"/>
      <c r="L152" s="107">
        <v>1.1000000000000001</v>
      </c>
      <c r="M152" s="107">
        <v>1.6</v>
      </c>
      <c r="Q152" s="75"/>
    </row>
    <row r="153" spans="1:17" x14ac:dyDescent="0.25">
      <c r="A153" s="1">
        <f t="shared" si="45"/>
        <v>144</v>
      </c>
      <c r="B153" s="65" t="s">
        <v>181</v>
      </c>
      <c r="C153" s="63" t="s">
        <v>162</v>
      </c>
      <c r="D153" s="60" t="s">
        <v>166</v>
      </c>
      <c r="E153" s="107">
        <f t="shared" si="49"/>
        <v>3.48</v>
      </c>
      <c r="F153" s="88">
        <f t="shared" si="50"/>
        <v>0</v>
      </c>
      <c r="G153" s="48">
        <v>0</v>
      </c>
      <c r="H153" s="87">
        <f t="shared" si="51"/>
        <v>0</v>
      </c>
      <c r="I153" s="87">
        <f t="shared" si="51"/>
        <v>0</v>
      </c>
      <c r="K153" s="112"/>
      <c r="L153" s="107">
        <v>1.42</v>
      </c>
      <c r="M153" s="107">
        <v>2.06</v>
      </c>
      <c r="Q153" s="75"/>
    </row>
    <row r="154" spans="1:17" x14ac:dyDescent="0.25">
      <c r="A154" s="1">
        <f t="shared" si="45"/>
        <v>145</v>
      </c>
      <c r="B154" s="65" t="s">
        <v>181</v>
      </c>
      <c r="C154" s="63" t="s">
        <v>162</v>
      </c>
      <c r="D154" s="60" t="s">
        <v>167</v>
      </c>
      <c r="E154" s="107">
        <f t="shared" si="49"/>
        <v>4.25</v>
      </c>
      <c r="F154" s="88">
        <f t="shared" si="50"/>
        <v>-0.01</v>
      </c>
      <c r="G154" s="48">
        <v>0</v>
      </c>
      <c r="H154" s="87">
        <f t="shared" si="51"/>
        <v>0</v>
      </c>
      <c r="I154" s="87">
        <f t="shared" si="51"/>
        <v>0</v>
      </c>
      <c r="K154" s="112"/>
      <c r="L154" s="107">
        <v>1.73</v>
      </c>
      <c r="M154" s="107">
        <v>2.52</v>
      </c>
      <c r="Q154" s="75"/>
    </row>
    <row r="155" spans="1:17" x14ac:dyDescent="0.25">
      <c r="A155" s="1">
        <f t="shared" si="45"/>
        <v>146</v>
      </c>
      <c r="B155" s="65" t="s">
        <v>181</v>
      </c>
      <c r="C155" s="63" t="s">
        <v>162</v>
      </c>
      <c r="D155" s="60" t="s">
        <v>168</v>
      </c>
      <c r="E155" s="107">
        <f t="shared" si="49"/>
        <v>5.0299999999999994</v>
      </c>
      <c r="F155" s="88">
        <f t="shared" si="50"/>
        <v>-0.01</v>
      </c>
      <c r="G155" s="48">
        <v>0</v>
      </c>
      <c r="H155" s="87">
        <f t="shared" si="51"/>
        <v>0</v>
      </c>
      <c r="I155" s="87">
        <f t="shared" si="51"/>
        <v>0</v>
      </c>
      <c r="K155" s="112"/>
      <c r="L155" s="107">
        <v>2.0499999999999998</v>
      </c>
      <c r="M155" s="107">
        <v>2.98</v>
      </c>
      <c r="Q155" s="75"/>
    </row>
    <row r="156" spans="1:17" x14ac:dyDescent="0.25">
      <c r="A156" s="1">
        <f t="shared" si="45"/>
        <v>147</v>
      </c>
      <c r="B156" s="65" t="s">
        <v>181</v>
      </c>
      <c r="C156" s="63" t="s">
        <v>162</v>
      </c>
      <c r="D156" s="60" t="s">
        <v>169</v>
      </c>
      <c r="E156" s="107">
        <f t="shared" si="49"/>
        <v>5.8</v>
      </c>
      <c r="F156" s="88">
        <f t="shared" si="50"/>
        <v>-0.01</v>
      </c>
      <c r="G156" s="48">
        <v>0</v>
      </c>
      <c r="H156" s="87">
        <f t="shared" si="51"/>
        <v>0</v>
      </c>
      <c r="I156" s="87">
        <f t="shared" si="51"/>
        <v>0</v>
      </c>
      <c r="K156" s="112"/>
      <c r="L156" s="107">
        <v>2.36</v>
      </c>
      <c r="M156" s="107">
        <v>3.44</v>
      </c>
      <c r="Q156" s="75"/>
    </row>
    <row r="157" spans="1:17" x14ac:dyDescent="0.25">
      <c r="A157" s="1">
        <f t="shared" si="45"/>
        <v>148</v>
      </c>
      <c r="B157" s="65" t="s">
        <v>181</v>
      </c>
      <c r="C157" s="63" t="s">
        <v>162</v>
      </c>
      <c r="D157" s="60" t="s">
        <v>170</v>
      </c>
      <c r="E157" s="107">
        <f t="shared" si="49"/>
        <v>6.57</v>
      </c>
      <c r="F157" s="88">
        <f t="shared" si="50"/>
        <v>-0.01</v>
      </c>
      <c r="G157" s="48">
        <v>0</v>
      </c>
      <c r="H157" s="87">
        <f t="shared" si="51"/>
        <v>0</v>
      </c>
      <c r="I157" s="87">
        <f t="shared" si="51"/>
        <v>0</v>
      </c>
      <c r="K157" s="112"/>
      <c r="L157" s="107">
        <v>2.68</v>
      </c>
      <c r="M157" s="107">
        <v>3.89</v>
      </c>
      <c r="Q157" s="75"/>
    </row>
    <row r="158" spans="1:17" x14ac:dyDescent="0.25">
      <c r="A158" s="1">
        <f t="shared" si="45"/>
        <v>149</v>
      </c>
      <c r="B158" s="65" t="s">
        <v>181</v>
      </c>
      <c r="C158" s="63" t="s">
        <v>162</v>
      </c>
      <c r="D158" s="60" t="s">
        <v>171</v>
      </c>
      <c r="E158" s="107">
        <f t="shared" si="49"/>
        <v>7.35</v>
      </c>
      <c r="F158" s="88">
        <f t="shared" si="50"/>
        <v>-0.01</v>
      </c>
      <c r="G158" s="48">
        <v>0</v>
      </c>
      <c r="H158" s="87">
        <f t="shared" si="51"/>
        <v>0</v>
      </c>
      <c r="I158" s="87">
        <f t="shared" si="51"/>
        <v>0</v>
      </c>
      <c r="K158" s="112"/>
      <c r="L158" s="107">
        <v>3</v>
      </c>
      <c r="M158" s="107">
        <v>4.3499999999999996</v>
      </c>
      <c r="Q158" s="75"/>
    </row>
    <row r="159" spans="1:17" x14ac:dyDescent="0.25">
      <c r="A159" s="1">
        <f t="shared" si="45"/>
        <v>150</v>
      </c>
      <c r="B159" s="65"/>
      <c r="C159" s="63"/>
      <c r="D159" s="63"/>
      <c r="E159" s="107"/>
      <c r="F159" s="53"/>
      <c r="G159" s="48"/>
      <c r="H159" s="48"/>
      <c r="I159" s="48"/>
      <c r="K159" s="112"/>
      <c r="L159" s="107"/>
      <c r="M159" s="107"/>
      <c r="Q159" s="75"/>
    </row>
    <row r="160" spans="1:17" x14ac:dyDescent="0.25">
      <c r="A160" s="1">
        <f t="shared" si="45"/>
        <v>151</v>
      </c>
      <c r="B160" s="53" t="s">
        <v>182</v>
      </c>
      <c r="C160" s="63"/>
      <c r="D160" s="63"/>
      <c r="E160" s="107"/>
      <c r="F160" s="53"/>
      <c r="G160" s="48"/>
      <c r="H160" s="48"/>
      <c r="I160" s="48"/>
      <c r="K160" s="112"/>
      <c r="L160" s="107"/>
      <c r="M160" s="107"/>
      <c r="Q160" s="75"/>
    </row>
    <row r="161" spans="1:17" x14ac:dyDescent="0.25">
      <c r="A161" s="1">
        <f t="shared" si="45"/>
        <v>152</v>
      </c>
      <c r="B161" s="65" t="s">
        <v>183</v>
      </c>
      <c r="C161" s="63" t="s">
        <v>184</v>
      </c>
      <c r="D161" s="63">
        <v>0</v>
      </c>
      <c r="E161" s="113">
        <f>SUM(L161:M161)</f>
        <v>3.823E-2</v>
      </c>
      <c r="F161" s="113">
        <f>ROUND(+E161*$J$10,5)</f>
        <v>-4.0000000000000003E-5</v>
      </c>
      <c r="G161" s="48">
        <v>11746541</v>
      </c>
      <c r="H161" s="87">
        <f>ROUND($G161*E161,0)</f>
        <v>449070</v>
      </c>
      <c r="I161" s="87">
        <f>ROUND($G161*F161,0)</f>
        <v>-470</v>
      </c>
      <c r="K161" s="112"/>
      <c r="L161" s="113">
        <v>6.3800000000000003E-3</v>
      </c>
      <c r="M161" s="113">
        <v>3.1850000000000003E-2</v>
      </c>
      <c r="Q161" s="75"/>
    </row>
    <row r="162" spans="1:17" x14ac:dyDescent="0.25">
      <c r="A162" s="1">
        <f t="shared" si="45"/>
        <v>153</v>
      </c>
      <c r="B162" s="65"/>
      <c r="C162" s="63"/>
      <c r="D162" s="63"/>
      <c r="E162" s="107"/>
      <c r="F162" s="53"/>
      <c r="G162" s="48"/>
      <c r="H162" s="48"/>
      <c r="I162" s="48"/>
      <c r="K162" s="112"/>
      <c r="L162" s="107"/>
      <c r="M162" s="107"/>
      <c r="Q162" s="75"/>
    </row>
    <row r="163" spans="1:17" x14ac:dyDescent="0.25">
      <c r="A163" s="1">
        <f t="shared" si="45"/>
        <v>154</v>
      </c>
      <c r="B163" s="53" t="s">
        <v>185</v>
      </c>
      <c r="C163" s="63"/>
      <c r="D163" s="63"/>
      <c r="E163" s="107"/>
      <c r="F163" s="53"/>
      <c r="G163" s="48"/>
      <c r="H163" s="48"/>
      <c r="I163" s="48"/>
      <c r="K163" s="112"/>
      <c r="L163" s="107"/>
      <c r="M163" s="107"/>
      <c r="Q163" s="75"/>
    </row>
    <row r="164" spans="1:17" x14ac:dyDescent="0.25">
      <c r="A164" s="1">
        <f t="shared" si="45"/>
        <v>155</v>
      </c>
      <c r="B164" s="55" t="s">
        <v>186</v>
      </c>
      <c r="C164" s="63" t="s">
        <v>33</v>
      </c>
      <c r="D164" s="66">
        <v>70</v>
      </c>
      <c r="E164" s="107">
        <f t="shared" ref="E164:E183" si="52">SUM(L164:M164)</f>
        <v>1.81</v>
      </c>
      <c r="F164" s="88">
        <f t="shared" ref="F164:F169" si="53">ROUND(+E164*$J$10,2)</f>
        <v>0</v>
      </c>
      <c r="G164" s="48">
        <v>655</v>
      </c>
      <c r="H164" s="87">
        <f t="shared" ref="H164:I169" si="54">ROUND($G164*E164,0)</f>
        <v>1186</v>
      </c>
      <c r="I164" s="87">
        <f t="shared" si="54"/>
        <v>0</v>
      </c>
      <c r="K164" s="112"/>
      <c r="L164" s="107">
        <v>0.74</v>
      </c>
      <c r="M164" s="107">
        <v>1.07</v>
      </c>
      <c r="Q164" s="75"/>
    </row>
    <row r="165" spans="1:17" x14ac:dyDescent="0.25">
      <c r="A165" s="1">
        <f t="shared" si="45"/>
        <v>156</v>
      </c>
      <c r="B165" s="65" t="str">
        <f>+B164</f>
        <v>58E &amp; 59E - Directional</v>
      </c>
      <c r="C165" s="63" t="s">
        <v>33</v>
      </c>
      <c r="D165" s="66">
        <v>100</v>
      </c>
      <c r="E165" s="107">
        <f t="shared" si="52"/>
        <v>2.58</v>
      </c>
      <c r="F165" s="88">
        <f t="shared" si="53"/>
        <v>0</v>
      </c>
      <c r="G165" s="48">
        <v>132</v>
      </c>
      <c r="H165" s="87">
        <f t="shared" si="54"/>
        <v>341</v>
      </c>
      <c r="I165" s="87">
        <f t="shared" si="54"/>
        <v>0</v>
      </c>
      <c r="K165" s="112"/>
      <c r="L165" s="107">
        <v>1.05</v>
      </c>
      <c r="M165" s="107">
        <v>1.53</v>
      </c>
      <c r="Q165" s="75"/>
    </row>
    <row r="166" spans="1:17" x14ac:dyDescent="0.25">
      <c r="A166" s="1">
        <f t="shared" si="45"/>
        <v>157</v>
      </c>
      <c r="B166" s="65" t="str">
        <f>+B165</f>
        <v>58E &amp; 59E - Directional</v>
      </c>
      <c r="C166" s="63" t="s">
        <v>33</v>
      </c>
      <c r="D166" s="66">
        <v>150</v>
      </c>
      <c r="E166" s="107">
        <f t="shared" si="52"/>
        <v>3.87</v>
      </c>
      <c r="F166" s="88">
        <f t="shared" si="53"/>
        <v>0</v>
      </c>
      <c r="G166" s="48">
        <v>1805</v>
      </c>
      <c r="H166" s="87">
        <f t="shared" si="54"/>
        <v>6985</v>
      </c>
      <c r="I166" s="87">
        <f t="shared" si="54"/>
        <v>0</v>
      </c>
      <c r="K166" s="112"/>
      <c r="L166" s="107">
        <v>1.58</v>
      </c>
      <c r="M166" s="107">
        <v>2.29</v>
      </c>
      <c r="Q166" s="75"/>
    </row>
    <row r="167" spans="1:17" x14ac:dyDescent="0.25">
      <c r="A167" s="1">
        <f t="shared" si="45"/>
        <v>158</v>
      </c>
      <c r="B167" s="65" t="str">
        <f>+B166</f>
        <v>58E &amp; 59E - Directional</v>
      </c>
      <c r="C167" s="63" t="s">
        <v>33</v>
      </c>
      <c r="D167" s="63">
        <v>200</v>
      </c>
      <c r="E167" s="107">
        <f t="shared" si="52"/>
        <v>5.15</v>
      </c>
      <c r="F167" s="88">
        <f t="shared" si="53"/>
        <v>-0.01</v>
      </c>
      <c r="G167" s="48">
        <v>3308</v>
      </c>
      <c r="H167" s="87">
        <f t="shared" si="54"/>
        <v>17036</v>
      </c>
      <c r="I167" s="87">
        <f t="shared" si="54"/>
        <v>-33</v>
      </c>
      <c r="K167" s="112"/>
      <c r="L167" s="107">
        <v>2.1</v>
      </c>
      <c r="M167" s="107">
        <v>3.05</v>
      </c>
      <c r="Q167" s="75"/>
    </row>
    <row r="168" spans="1:17" x14ac:dyDescent="0.25">
      <c r="A168" s="1">
        <f t="shared" si="45"/>
        <v>159</v>
      </c>
      <c r="B168" s="65" t="str">
        <f>+B167</f>
        <v>58E &amp; 59E - Directional</v>
      </c>
      <c r="C168" s="63" t="s">
        <v>33</v>
      </c>
      <c r="D168" s="63">
        <v>250</v>
      </c>
      <c r="E168" s="107">
        <f t="shared" si="52"/>
        <v>6.4499999999999993</v>
      </c>
      <c r="F168" s="88">
        <f t="shared" si="53"/>
        <v>-0.01</v>
      </c>
      <c r="G168" s="48">
        <v>468</v>
      </c>
      <c r="H168" s="87">
        <f t="shared" si="54"/>
        <v>3019</v>
      </c>
      <c r="I168" s="87">
        <f t="shared" si="54"/>
        <v>-5</v>
      </c>
      <c r="K168" s="112"/>
      <c r="L168" s="107">
        <v>2.63</v>
      </c>
      <c r="M168" s="107">
        <v>3.82</v>
      </c>
      <c r="Q168" s="75"/>
    </row>
    <row r="169" spans="1:17" x14ac:dyDescent="0.25">
      <c r="A169" s="1">
        <f t="shared" si="45"/>
        <v>160</v>
      </c>
      <c r="B169" s="65" t="str">
        <f>+B168</f>
        <v>58E &amp; 59E - Directional</v>
      </c>
      <c r="C169" s="63" t="s">
        <v>33</v>
      </c>
      <c r="D169" s="63">
        <v>400</v>
      </c>
      <c r="E169" s="107">
        <f t="shared" si="52"/>
        <v>10.31</v>
      </c>
      <c r="F169" s="88">
        <f t="shared" si="53"/>
        <v>-0.01</v>
      </c>
      <c r="G169" s="48">
        <v>4298</v>
      </c>
      <c r="H169" s="87">
        <f t="shared" si="54"/>
        <v>44312</v>
      </c>
      <c r="I169" s="87">
        <f t="shared" si="54"/>
        <v>-43</v>
      </c>
      <c r="K169" s="112"/>
      <c r="L169" s="107">
        <v>4.2</v>
      </c>
      <c r="M169" s="107">
        <v>6.11</v>
      </c>
      <c r="Q169" s="75"/>
    </row>
    <row r="170" spans="1:17" x14ac:dyDescent="0.25">
      <c r="A170" s="1">
        <f t="shared" si="45"/>
        <v>161</v>
      </c>
      <c r="B170" s="65"/>
      <c r="C170" s="63"/>
      <c r="D170" s="63"/>
      <c r="E170" s="107"/>
      <c r="F170" s="53"/>
      <c r="G170" s="48"/>
      <c r="H170" s="48"/>
      <c r="I170" s="48"/>
      <c r="K170" s="112"/>
      <c r="L170" s="107"/>
      <c r="M170" s="107"/>
      <c r="Q170" s="75"/>
    </row>
    <row r="171" spans="1:17" x14ac:dyDescent="0.25">
      <c r="A171" s="1">
        <f t="shared" si="45"/>
        <v>162</v>
      </c>
      <c r="B171" s="55" t="s">
        <v>187</v>
      </c>
      <c r="C171" s="63" t="s">
        <v>33</v>
      </c>
      <c r="D171" s="63">
        <v>100</v>
      </c>
      <c r="E171" s="107">
        <f t="shared" si="52"/>
        <v>2.58</v>
      </c>
      <c r="F171" s="88">
        <f>ROUND(+E171*$J$10,2)</f>
        <v>0</v>
      </c>
      <c r="G171" s="48">
        <v>12</v>
      </c>
      <c r="H171" s="87">
        <f t="shared" ref="H171:I175" si="55">ROUND($G171*E171,0)</f>
        <v>31</v>
      </c>
      <c r="I171" s="87">
        <f t="shared" si="55"/>
        <v>0</v>
      </c>
      <c r="K171" s="112"/>
      <c r="L171" s="107">
        <v>1.05</v>
      </c>
      <c r="M171" s="107">
        <v>1.53</v>
      </c>
      <c r="Q171" s="75"/>
    </row>
    <row r="172" spans="1:17" x14ac:dyDescent="0.25">
      <c r="A172" s="1">
        <f t="shared" si="45"/>
        <v>163</v>
      </c>
      <c r="B172" s="65" t="str">
        <f>B171</f>
        <v>58E &amp; 59E - Horizontal</v>
      </c>
      <c r="C172" s="63" t="s">
        <v>33</v>
      </c>
      <c r="D172" s="63">
        <v>150</v>
      </c>
      <c r="E172" s="107">
        <f t="shared" si="52"/>
        <v>3.87</v>
      </c>
      <c r="F172" s="88">
        <f>ROUND(+E172*$J$10,2)</f>
        <v>0</v>
      </c>
      <c r="G172" s="48">
        <v>203</v>
      </c>
      <c r="H172" s="87">
        <f t="shared" si="55"/>
        <v>786</v>
      </c>
      <c r="I172" s="87">
        <f t="shared" si="55"/>
        <v>0</v>
      </c>
      <c r="K172" s="112"/>
      <c r="L172" s="107">
        <v>1.58</v>
      </c>
      <c r="M172" s="107">
        <v>2.29</v>
      </c>
      <c r="Q172" s="75"/>
    </row>
    <row r="173" spans="1:17" x14ac:dyDescent="0.25">
      <c r="A173" s="1">
        <f t="shared" si="45"/>
        <v>164</v>
      </c>
      <c r="B173" s="65" t="str">
        <f>B172</f>
        <v>58E &amp; 59E - Horizontal</v>
      </c>
      <c r="C173" s="63" t="s">
        <v>33</v>
      </c>
      <c r="D173" s="63">
        <v>200</v>
      </c>
      <c r="E173" s="107">
        <f t="shared" si="52"/>
        <v>5.15</v>
      </c>
      <c r="F173" s="88">
        <f>ROUND(+E173*$J$10,2)</f>
        <v>-0.01</v>
      </c>
      <c r="G173" s="48">
        <v>107</v>
      </c>
      <c r="H173" s="87">
        <f t="shared" si="55"/>
        <v>551</v>
      </c>
      <c r="I173" s="87">
        <f t="shared" si="55"/>
        <v>-1</v>
      </c>
      <c r="K173" s="112"/>
      <c r="L173" s="107">
        <v>2.1</v>
      </c>
      <c r="M173" s="107">
        <v>3.05</v>
      </c>
      <c r="Q173" s="75"/>
    </row>
    <row r="174" spans="1:17" x14ac:dyDescent="0.25">
      <c r="A174" s="1">
        <f t="shared" si="45"/>
        <v>165</v>
      </c>
      <c r="B174" s="65" t="str">
        <f>B173</f>
        <v>58E &amp; 59E - Horizontal</v>
      </c>
      <c r="C174" s="63" t="s">
        <v>33</v>
      </c>
      <c r="D174" s="63">
        <v>250</v>
      </c>
      <c r="E174" s="107">
        <f t="shared" si="52"/>
        <v>6.4499999999999993</v>
      </c>
      <c r="F174" s="88">
        <f>ROUND(+E174*$J$10,2)</f>
        <v>-0.01</v>
      </c>
      <c r="G174" s="48">
        <v>417</v>
      </c>
      <c r="H174" s="87">
        <f t="shared" si="55"/>
        <v>2690</v>
      </c>
      <c r="I174" s="87">
        <f t="shared" si="55"/>
        <v>-4</v>
      </c>
      <c r="K174" s="112"/>
      <c r="L174" s="107">
        <v>2.63</v>
      </c>
      <c r="M174" s="107">
        <v>3.82</v>
      </c>
      <c r="Q174" s="75"/>
    </row>
    <row r="175" spans="1:17" x14ac:dyDescent="0.25">
      <c r="A175" s="1">
        <f t="shared" si="45"/>
        <v>166</v>
      </c>
      <c r="B175" s="65" t="str">
        <f>B174</f>
        <v>58E &amp; 59E - Horizontal</v>
      </c>
      <c r="C175" s="63" t="s">
        <v>33</v>
      </c>
      <c r="D175" s="63">
        <v>400</v>
      </c>
      <c r="E175" s="107">
        <f t="shared" si="52"/>
        <v>10.31</v>
      </c>
      <c r="F175" s="88">
        <f>ROUND(+E175*$J$10,2)</f>
        <v>-0.01</v>
      </c>
      <c r="G175" s="48">
        <v>568</v>
      </c>
      <c r="H175" s="87">
        <f t="shared" si="55"/>
        <v>5856</v>
      </c>
      <c r="I175" s="87">
        <f t="shared" si="55"/>
        <v>-6</v>
      </c>
      <c r="K175" s="112"/>
      <c r="L175" s="107">
        <v>4.2</v>
      </c>
      <c r="M175" s="107">
        <v>6.11</v>
      </c>
      <c r="Q175" s="75"/>
    </row>
    <row r="176" spans="1:17" x14ac:dyDescent="0.25">
      <c r="A176" s="1">
        <f t="shared" si="45"/>
        <v>167</v>
      </c>
      <c r="B176" s="65"/>
      <c r="C176" s="63"/>
      <c r="D176" s="63"/>
      <c r="F176" s="53"/>
      <c r="G176" s="48"/>
      <c r="H176" s="48"/>
      <c r="I176" s="48"/>
      <c r="K176" s="112"/>
      <c r="L176" s="107"/>
      <c r="M176" s="107"/>
      <c r="Q176" s="75"/>
    </row>
    <row r="177" spans="1:17" x14ac:dyDescent="0.25">
      <c r="A177" s="1">
        <f t="shared" si="45"/>
        <v>168</v>
      </c>
      <c r="B177" s="65" t="str">
        <f>B165</f>
        <v>58E &amp; 59E - Directional</v>
      </c>
      <c r="C177" s="63" t="s">
        <v>174</v>
      </c>
      <c r="D177" s="63">
        <v>175</v>
      </c>
      <c r="E177" s="107">
        <f t="shared" si="52"/>
        <v>4.51</v>
      </c>
      <c r="F177" s="88">
        <f>ROUND(+E177*$J$10,2)</f>
        <v>-0.01</v>
      </c>
      <c r="G177" s="48">
        <v>36</v>
      </c>
      <c r="H177" s="87">
        <f t="shared" ref="H177:I180" si="56">ROUND($G177*E177,0)</f>
        <v>162</v>
      </c>
      <c r="I177" s="87">
        <f t="shared" si="56"/>
        <v>0</v>
      </c>
      <c r="K177" s="112"/>
      <c r="L177" s="107">
        <v>1.84</v>
      </c>
      <c r="M177" s="107">
        <v>2.67</v>
      </c>
      <c r="Q177" s="75"/>
    </row>
    <row r="178" spans="1:17" x14ac:dyDescent="0.25">
      <c r="A178" s="1">
        <f t="shared" si="45"/>
        <v>169</v>
      </c>
      <c r="B178" s="65" t="str">
        <f>B177</f>
        <v>58E &amp; 59E - Directional</v>
      </c>
      <c r="C178" s="63" t="s">
        <v>174</v>
      </c>
      <c r="D178" s="63">
        <v>250</v>
      </c>
      <c r="E178" s="107">
        <f t="shared" si="52"/>
        <v>6.4499999999999993</v>
      </c>
      <c r="F178" s="88">
        <f>ROUND(+E178*$J$10,2)</f>
        <v>-0.01</v>
      </c>
      <c r="G178" s="48">
        <v>255</v>
      </c>
      <c r="H178" s="87">
        <f t="shared" si="56"/>
        <v>1645</v>
      </c>
      <c r="I178" s="87">
        <f t="shared" si="56"/>
        <v>-3</v>
      </c>
      <c r="K178" s="112"/>
      <c r="L178" s="107">
        <v>2.63</v>
      </c>
      <c r="M178" s="107">
        <v>3.82</v>
      </c>
      <c r="Q178" s="75"/>
    </row>
    <row r="179" spans="1:17" x14ac:dyDescent="0.25">
      <c r="A179" s="1">
        <f t="shared" si="45"/>
        <v>170</v>
      </c>
      <c r="B179" s="65" t="str">
        <f>B178</f>
        <v>58E &amp; 59E - Directional</v>
      </c>
      <c r="C179" s="63" t="s">
        <v>174</v>
      </c>
      <c r="D179" s="63">
        <v>400</v>
      </c>
      <c r="E179" s="107">
        <f t="shared" si="52"/>
        <v>10.31</v>
      </c>
      <c r="F179" s="88">
        <f>ROUND(+E179*$J$10,2)</f>
        <v>-0.01</v>
      </c>
      <c r="G179" s="48">
        <v>1070</v>
      </c>
      <c r="H179" s="87">
        <f t="shared" si="56"/>
        <v>11032</v>
      </c>
      <c r="I179" s="87">
        <f t="shared" si="56"/>
        <v>-11</v>
      </c>
      <c r="K179" s="112"/>
      <c r="L179" s="107">
        <v>4.2</v>
      </c>
      <c r="M179" s="107">
        <v>6.11</v>
      </c>
      <c r="Q179" s="75"/>
    </row>
    <row r="180" spans="1:17" x14ac:dyDescent="0.25">
      <c r="A180" s="1">
        <f t="shared" si="45"/>
        <v>171</v>
      </c>
      <c r="B180" s="65" t="str">
        <f>B179</f>
        <v>58E &amp; 59E - Directional</v>
      </c>
      <c r="C180" s="63" t="s">
        <v>174</v>
      </c>
      <c r="D180" s="63">
        <v>1000</v>
      </c>
      <c r="E180" s="107">
        <f t="shared" si="52"/>
        <v>25.78</v>
      </c>
      <c r="F180" s="88">
        <f>ROUND(+E180*$J$10,2)</f>
        <v>-0.03</v>
      </c>
      <c r="G180" s="48">
        <v>1527</v>
      </c>
      <c r="H180" s="87">
        <f t="shared" si="56"/>
        <v>39366</v>
      </c>
      <c r="I180" s="87">
        <f t="shared" si="56"/>
        <v>-46</v>
      </c>
      <c r="K180" s="112"/>
      <c r="L180" s="107">
        <v>10.51</v>
      </c>
      <c r="M180" s="107">
        <v>15.27</v>
      </c>
      <c r="Q180" s="75"/>
    </row>
    <row r="181" spans="1:17" x14ac:dyDescent="0.25">
      <c r="A181" s="1">
        <f t="shared" si="45"/>
        <v>172</v>
      </c>
      <c r="B181" s="65"/>
      <c r="C181" s="63"/>
      <c r="D181" s="63"/>
      <c r="F181" s="53"/>
      <c r="G181" s="48"/>
      <c r="H181" s="48"/>
      <c r="I181" s="48"/>
      <c r="K181" s="112"/>
      <c r="L181" s="107"/>
      <c r="M181" s="107"/>
      <c r="Q181" s="75"/>
    </row>
    <row r="182" spans="1:17" x14ac:dyDescent="0.25">
      <c r="A182" s="1">
        <f t="shared" si="45"/>
        <v>173</v>
      </c>
      <c r="B182" s="65" t="str">
        <f>B171</f>
        <v>58E &amp; 59E - Horizontal</v>
      </c>
      <c r="C182" s="63" t="s">
        <v>174</v>
      </c>
      <c r="D182" s="63">
        <v>250</v>
      </c>
      <c r="E182" s="107">
        <f t="shared" si="52"/>
        <v>6.4499999999999993</v>
      </c>
      <c r="F182" s="88">
        <f>ROUND(+E182*$J$10,2)</f>
        <v>-0.01</v>
      </c>
      <c r="G182" s="48">
        <v>124</v>
      </c>
      <c r="H182" s="87">
        <f t="shared" ref="H182:I183" si="57">ROUND($G182*E182,0)</f>
        <v>800</v>
      </c>
      <c r="I182" s="87">
        <f t="shared" si="57"/>
        <v>-1</v>
      </c>
      <c r="K182" s="112"/>
      <c r="L182" s="107">
        <v>2.63</v>
      </c>
      <c r="M182" s="107">
        <v>3.82</v>
      </c>
      <c r="Q182" s="75"/>
    </row>
    <row r="183" spans="1:17" x14ac:dyDescent="0.25">
      <c r="A183" s="1">
        <f t="shared" si="45"/>
        <v>174</v>
      </c>
      <c r="B183" s="65" t="str">
        <f>B182</f>
        <v>58E &amp; 59E - Horizontal</v>
      </c>
      <c r="C183" s="63" t="s">
        <v>174</v>
      </c>
      <c r="D183" s="63">
        <v>400</v>
      </c>
      <c r="E183" s="107">
        <f t="shared" si="52"/>
        <v>10.31</v>
      </c>
      <c r="F183" s="88">
        <f>ROUND(+E183*$J$10,2)</f>
        <v>-0.01</v>
      </c>
      <c r="G183" s="48">
        <v>486</v>
      </c>
      <c r="H183" s="87">
        <f t="shared" si="57"/>
        <v>5011</v>
      </c>
      <c r="I183" s="87">
        <f t="shared" si="57"/>
        <v>-5</v>
      </c>
      <c r="K183" s="112"/>
      <c r="L183" s="107">
        <v>4.2</v>
      </c>
      <c r="M183" s="107">
        <v>6.11</v>
      </c>
      <c r="Q183" s="75"/>
    </row>
    <row r="184" spans="1:17" x14ac:dyDescent="0.25">
      <c r="A184" s="1">
        <f t="shared" si="45"/>
        <v>175</v>
      </c>
      <c r="B184" s="65"/>
      <c r="C184" s="63"/>
      <c r="D184" s="63"/>
      <c r="F184" s="53"/>
      <c r="G184" s="48"/>
      <c r="H184" s="48"/>
      <c r="I184" s="48"/>
      <c r="K184" s="112"/>
      <c r="L184" s="107"/>
      <c r="M184" s="107"/>
      <c r="Q184" s="75"/>
    </row>
    <row r="185" spans="1:17" x14ac:dyDescent="0.25">
      <c r="A185" s="1">
        <f t="shared" si="45"/>
        <v>176</v>
      </c>
      <c r="B185" s="65"/>
      <c r="C185" s="63"/>
      <c r="D185" s="63"/>
      <c r="F185" s="53"/>
      <c r="G185" s="48"/>
      <c r="H185" s="48"/>
      <c r="I185" s="48"/>
      <c r="K185" s="112"/>
      <c r="L185" s="107"/>
      <c r="M185" s="107"/>
      <c r="Q185" s="75"/>
    </row>
    <row r="186" spans="1:17" x14ac:dyDescent="0.25">
      <c r="A186" s="1">
        <f t="shared" si="45"/>
        <v>177</v>
      </c>
      <c r="B186" s="65" t="s">
        <v>188</v>
      </c>
      <c r="C186" s="63" t="s">
        <v>162</v>
      </c>
      <c r="D186" s="60" t="s">
        <v>163</v>
      </c>
      <c r="E186" s="107">
        <f t="shared" ref="E186:E200" si="58">SUM(L186:M186)</f>
        <v>1.1599999999999999</v>
      </c>
      <c r="F186" s="88">
        <f t="shared" ref="F186:F200" si="59">ROUND(+E186*$J$10,2)</f>
        <v>0</v>
      </c>
      <c r="G186" s="48">
        <v>24</v>
      </c>
      <c r="H186" s="87">
        <f t="shared" ref="H186:I200" si="60">ROUND($G186*E186,0)</f>
        <v>28</v>
      </c>
      <c r="I186" s="87">
        <f t="shared" si="60"/>
        <v>0</v>
      </c>
      <c r="K186" s="112"/>
      <c r="L186" s="107">
        <v>0.47</v>
      </c>
      <c r="M186" s="107">
        <v>0.69</v>
      </c>
      <c r="Q186" s="75"/>
    </row>
    <row r="187" spans="1:17" x14ac:dyDescent="0.25">
      <c r="A187" s="1">
        <f t="shared" si="45"/>
        <v>178</v>
      </c>
      <c r="B187" s="65" t="str">
        <f t="shared" ref="B187:B200" si="61">B186</f>
        <v>58E &amp; 59E</v>
      </c>
      <c r="C187" s="63" t="s">
        <v>162</v>
      </c>
      <c r="D187" s="60" t="s">
        <v>164</v>
      </c>
      <c r="E187" s="107">
        <f t="shared" si="58"/>
        <v>1.94</v>
      </c>
      <c r="F187" s="88">
        <f t="shared" si="59"/>
        <v>0</v>
      </c>
      <c r="G187" s="48">
        <v>450</v>
      </c>
      <c r="H187" s="87">
        <f t="shared" si="60"/>
        <v>873</v>
      </c>
      <c r="I187" s="87">
        <f t="shared" si="60"/>
        <v>0</v>
      </c>
      <c r="K187" s="112"/>
      <c r="L187" s="107">
        <v>0.79</v>
      </c>
      <c r="M187" s="107">
        <v>1.1499999999999999</v>
      </c>
      <c r="Q187" s="75"/>
    </row>
    <row r="188" spans="1:17" x14ac:dyDescent="0.25">
      <c r="A188" s="1">
        <f t="shared" si="45"/>
        <v>179</v>
      </c>
      <c r="B188" s="65" t="str">
        <f t="shared" si="61"/>
        <v>58E &amp; 59E</v>
      </c>
      <c r="C188" s="63" t="s">
        <v>162</v>
      </c>
      <c r="D188" s="60" t="s">
        <v>165</v>
      </c>
      <c r="E188" s="107">
        <f t="shared" si="58"/>
        <v>2.7</v>
      </c>
      <c r="F188" s="88">
        <f t="shared" si="59"/>
        <v>0</v>
      </c>
      <c r="G188" s="48">
        <v>178</v>
      </c>
      <c r="H188" s="87">
        <f t="shared" si="60"/>
        <v>481</v>
      </c>
      <c r="I188" s="87">
        <f t="shared" si="60"/>
        <v>0</v>
      </c>
      <c r="K188" s="112"/>
      <c r="L188" s="107">
        <v>1.1000000000000001</v>
      </c>
      <c r="M188" s="107">
        <v>1.6</v>
      </c>
      <c r="Q188" s="75"/>
    </row>
    <row r="189" spans="1:17" x14ac:dyDescent="0.25">
      <c r="A189" s="1">
        <f t="shared" si="45"/>
        <v>180</v>
      </c>
      <c r="B189" s="65" t="str">
        <f t="shared" si="61"/>
        <v>58E &amp; 59E</v>
      </c>
      <c r="C189" s="63" t="s">
        <v>162</v>
      </c>
      <c r="D189" s="60" t="s">
        <v>166</v>
      </c>
      <c r="E189" s="107">
        <f t="shared" si="58"/>
        <v>3.48</v>
      </c>
      <c r="F189" s="88">
        <f t="shared" si="59"/>
        <v>0</v>
      </c>
      <c r="G189" s="48">
        <v>1069</v>
      </c>
      <c r="H189" s="87">
        <f t="shared" si="60"/>
        <v>3720</v>
      </c>
      <c r="I189" s="87">
        <f t="shared" si="60"/>
        <v>0</v>
      </c>
      <c r="K189" s="112"/>
      <c r="L189" s="107">
        <v>1.42</v>
      </c>
      <c r="M189" s="107">
        <v>2.06</v>
      </c>
      <c r="Q189" s="75"/>
    </row>
    <row r="190" spans="1:17" x14ac:dyDescent="0.25">
      <c r="A190" s="1">
        <f t="shared" si="45"/>
        <v>181</v>
      </c>
      <c r="B190" s="65" t="str">
        <f t="shared" si="61"/>
        <v>58E &amp; 59E</v>
      </c>
      <c r="C190" s="63" t="s">
        <v>162</v>
      </c>
      <c r="D190" s="60" t="s">
        <v>167</v>
      </c>
      <c r="E190" s="107">
        <f t="shared" si="58"/>
        <v>4.25</v>
      </c>
      <c r="F190" s="88">
        <f t="shared" si="59"/>
        <v>-0.01</v>
      </c>
      <c r="G190" s="48">
        <v>113</v>
      </c>
      <c r="H190" s="87">
        <f t="shared" si="60"/>
        <v>480</v>
      </c>
      <c r="I190" s="87">
        <f t="shared" si="60"/>
        <v>-1</v>
      </c>
      <c r="K190" s="112"/>
      <c r="L190" s="107">
        <v>1.73</v>
      </c>
      <c r="M190" s="107">
        <v>2.52</v>
      </c>
      <c r="Q190" s="75"/>
    </row>
    <row r="191" spans="1:17" x14ac:dyDescent="0.25">
      <c r="A191" s="1">
        <f t="shared" si="45"/>
        <v>182</v>
      </c>
      <c r="B191" s="65" t="str">
        <f t="shared" si="61"/>
        <v>58E &amp; 59E</v>
      </c>
      <c r="C191" s="63" t="s">
        <v>162</v>
      </c>
      <c r="D191" s="60" t="s">
        <v>168</v>
      </c>
      <c r="E191" s="107">
        <f t="shared" si="58"/>
        <v>5.0299999999999994</v>
      </c>
      <c r="F191" s="88">
        <f t="shared" si="59"/>
        <v>-0.01</v>
      </c>
      <c r="G191" s="48">
        <v>0</v>
      </c>
      <c r="H191" s="87">
        <f t="shared" si="60"/>
        <v>0</v>
      </c>
      <c r="I191" s="87">
        <f t="shared" si="60"/>
        <v>0</v>
      </c>
      <c r="K191" s="112"/>
      <c r="L191" s="107">
        <v>2.0499999999999998</v>
      </c>
      <c r="M191" s="107">
        <v>2.98</v>
      </c>
      <c r="Q191" s="75"/>
    </row>
    <row r="192" spans="1:17" x14ac:dyDescent="0.25">
      <c r="A192" s="1">
        <f t="shared" si="45"/>
        <v>183</v>
      </c>
      <c r="B192" s="65" t="str">
        <f t="shared" si="61"/>
        <v>58E &amp; 59E</v>
      </c>
      <c r="C192" s="63" t="s">
        <v>162</v>
      </c>
      <c r="D192" s="60" t="s">
        <v>169</v>
      </c>
      <c r="E192" s="107">
        <f t="shared" si="58"/>
        <v>5.8</v>
      </c>
      <c r="F192" s="88">
        <f t="shared" si="59"/>
        <v>-0.01</v>
      </c>
      <c r="G192" s="48">
        <v>73</v>
      </c>
      <c r="H192" s="87">
        <f t="shared" si="60"/>
        <v>423</v>
      </c>
      <c r="I192" s="87">
        <f t="shared" si="60"/>
        <v>-1</v>
      </c>
      <c r="K192" s="112"/>
      <c r="L192" s="107">
        <v>2.36</v>
      </c>
      <c r="M192" s="107">
        <v>3.44</v>
      </c>
      <c r="Q192" s="75"/>
    </row>
    <row r="193" spans="1:17" x14ac:dyDescent="0.25">
      <c r="A193" s="1">
        <f t="shared" si="45"/>
        <v>184</v>
      </c>
      <c r="B193" s="65" t="str">
        <f t="shared" si="61"/>
        <v>58E &amp; 59E</v>
      </c>
      <c r="C193" s="63" t="s">
        <v>162</v>
      </c>
      <c r="D193" s="60" t="s">
        <v>170</v>
      </c>
      <c r="E193" s="107">
        <f t="shared" si="58"/>
        <v>6.57</v>
      </c>
      <c r="F193" s="88">
        <f t="shared" si="59"/>
        <v>-0.01</v>
      </c>
      <c r="G193" s="48">
        <v>178</v>
      </c>
      <c r="H193" s="87">
        <f t="shared" si="60"/>
        <v>1169</v>
      </c>
      <c r="I193" s="87">
        <f t="shared" si="60"/>
        <v>-2</v>
      </c>
      <c r="K193" s="112"/>
      <c r="L193" s="107">
        <v>2.68</v>
      </c>
      <c r="M193" s="107">
        <v>3.89</v>
      </c>
      <c r="Q193" s="75"/>
    </row>
    <row r="194" spans="1:17" x14ac:dyDescent="0.25">
      <c r="A194" s="1">
        <f t="shared" si="45"/>
        <v>185</v>
      </c>
      <c r="B194" s="65" t="str">
        <f t="shared" si="61"/>
        <v>58E &amp; 59E</v>
      </c>
      <c r="C194" s="63" t="s">
        <v>162</v>
      </c>
      <c r="D194" s="60" t="s">
        <v>171</v>
      </c>
      <c r="E194" s="107">
        <f t="shared" si="58"/>
        <v>7.35</v>
      </c>
      <c r="F194" s="88">
        <f t="shared" si="59"/>
        <v>-0.01</v>
      </c>
      <c r="G194" s="48">
        <v>0</v>
      </c>
      <c r="H194" s="87">
        <f t="shared" si="60"/>
        <v>0</v>
      </c>
      <c r="I194" s="87">
        <f t="shared" si="60"/>
        <v>0</v>
      </c>
      <c r="K194" s="112"/>
      <c r="L194" s="107">
        <v>3</v>
      </c>
      <c r="M194" s="107">
        <v>4.3499999999999996</v>
      </c>
      <c r="Q194" s="75"/>
    </row>
    <row r="195" spans="1:17" x14ac:dyDescent="0.25">
      <c r="A195" s="1">
        <f t="shared" si="45"/>
        <v>186</v>
      </c>
      <c r="B195" s="65" t="str">
        <f t="shared" si="61"/>
        <v>58E &amp; 59E</v>
      </c>
      <c r="C195" s="63" t="s">
        <v>162</v>
      </c>
      <c r="D195" s="60" t="s">
        <v>189</v>
      </c>
      <c r="E195" s="107">
        <f t="shared" si="58"/>
        <v>9.0299999999999994</v>
      </c>
      <c r="F195" s="88">
        <f t="shared" si="59"/>
        <v>-0.01</v>
      </c>
      <c r="G195" s="48">
        <v>0</v>
      </c>
      <c r="H195" s="87">
        <f t="shared" si="60"/>
        <v>0</v>
      </c>
      <c r="I195" s="87">
        <f t="shared" si="60"/>
        <v>0</v>
      </c>
      <c r="K195" s="112"/>
      <c r="L195" s="107">
        <v>3.68</v>
      </c>
      <c r="M195" s="107">
        <v>5.35</v>
      </c>
      <c r="Q195" s="75"/>
    </row>
    <row r="196" spans="1:17" x14ac:dyDescent="0.25">
      <c r="A196" s="1">
        <f t="shared" si="45"/>
        <v>187</v>
      </c>
      <c r="B196" s="65" t="str">
        <f t="shared" si="61"/>
        <v>58E &amp; 59E</v>
      </c>
      <c r="C196" s="63" t="s">
        <v>162</v>
      </c>
      <c r="D196" s="60" t="s">
        <v>190</v>
      </c>
      <c r="E196" s="107">
        <f t="shared" si="58"/>
        <v>11.600000000000001</v>
      </c>
      <c r="F196" s="88">
        <f t="shared" si="59"/>
        <v>-0.01</v>
      </c>
      <c r="G196" s="48">
        <v>0</v>
      </c>
      <c r="H196" s="87">
        <f t="shared" si="60"/>
        <v>0</v>
      </c>
      <c r="I196" s="87">
        <f t="shared" si="60"/>
        <v>0</v>
      </c>
      <c r="K196" s="112"/>
      <c r="L196" s="107">
        <v>4.7300000000000004</v>
      </c>
      <c r="M196" s="107">
        <v>6.87</v>
      </c>
      <c r="Q196" s="75"/>
    </row>
    <row r="197" spans="1:17" x14ac:dyDescent="0.25">
      <c r="A197" s="1">
        <f t="shared" si="45"/>
        <v>188</v>
      </c>
      <c r="B197" s="65" t="str">
        <f t="shared" si="61"/>
        <v>58E &amp; 59E</v>
      </c>
      <c r="C197" s="63" t="s">
        <v>162</v>
      </c>
      <c r="D197" s="60" t="s">
        <v>191</v>
      </c>
      <c r="E197" s="107">
        <f t="shared" si="58"/>
        <v>14.18</v>
      </c>
      <c r="F197" s="88">
        <f t="shared" si="59"/>
        <v>-0.02</v>
      </c>
      <c r="G197" s="48">
        <v>0</v>
      </c>
      <c r="H197" s="87">
        <f t="shared" si="60"/>
        <v>0</v>
      </c>
      <c r="I197" s="87">
        <f t="shared" si="60"/>
        <v>0</v>
      </c>
      <c r="K197" s="112"/>
      <c r="L197" s="107">
        <v>5.78</v>
      </c>
      <c r="M197" s="107">
        <v>8.4</v>
      </c>
      <c r="Q197" s="75"/>
    </row>
    <row r="198" spans="1:17" x14ac:dyDescent="0.25">
      <c r="A198" s="1">
        <f t="shared" si="45"/>
        <v>189</v>
      </c>
      <c r="B198" s="65" t="str">
        <f t="shared" si="61"/>
        <v>58E &amp; 59E</v>
      </c>
      <c r="C198" s="63" t="s">
        <v>162</v>
      </c>
      <c r="D198" s="60" t="s">
        <v>192</v>
      </c>
      <c r="E198" s="107">
        <f t="shared" si="58"/>
        <v>16.759999999999998</v>
      </c>
      <c r="F198" s="88">
        <f t="shared" si="59"/>
        <v>-0.02</v>
      </c>
      <c r="G198" s="48">
        <v>0</v>
      </c>
      <c r="H198" s="87">
        <f t="shared" si="60"/>
        <v>0</v>
      </c>
      <c r="I198" s="87">
        <f t="shared" si="60"/>
        <v>0</v>
      </c>
      <c r="K198" s="112"/>
      <c r="L198" s="107">
        <v>6.83</v>
      </c>
      <c r="M198" s="107">
        <v>9.93</v>
      </c>
      <c r="Q198" s="75"/>
    </row>
    <row r="199" spans="1:17" x14ac:dyDescent="0.25">
      <c r="A199" s="1">
        <f t="shared" si="45"/>
        <v>190</v>
      </c>
      <c r="B199" s="65" t="str">
        <f t="shared" si="61"/>
        <v>58E &amp; 59E</v>
      </c>
      <c r="C199" s="63" t="s">
        <v>162</v>
      </c>
      <c r="D199" s="60" t="s">
        <v>193</v>
      </c>
      <c r="E199" s="107">
        <f t="shared" si="58"/>
        <v>19.329999999999998</v>
      </c>
      <c r="F199" s="88">
        <f t="shared" si="59"/>
        <v>-0.02</v>
      </c>
      <c r="G199" s="48">
        <v>0</v>
      </c>
      <c r="H199" s="87">
        <f t="shared" si="60"/>
        <v>0</v>
      </c>
      <c r="I199" s="87">
        <f t="shared" si="60"/>
        <v>0</v>
      </c>
      <c r="K199" s="112"/>
      <c r="L199" s="107">
        <v>7.88</v>
      </c>
      <c r="M199" s="107">
        <v>11.45</v>
      </c>
      <c r="Q199" s="75"/>
    </row>
    <row r="200" spans="1:17" x14ac:dyDescent="0.25">
      <c r="A200" s="1">
        <f t="shared" si="45"/>
        <v>191</v>
      </c>
      <c r="B200" s="65" t="str">
        <f t="shared" si="61"/>
        <v>58E &amp; 59E</v>
      </c>
      <c r="C200" s="63" t="s">
        <v>162</v>
      </c>
      <c r="D200" s="60" t="s">
        <v>194</v>
      </c>
      <c r="E200" s="107">
        <f t="shared" si="58"/>
        <v>21.91</v>
      </c>
      <c r="F200" s="88">
        <f t="shared" si="59"/>
        <v>-0.03</v>
      </c>
      <c r="G200" s="48">
        <v>0</v>
      </c>
      <c r="H200" s="87">
        <f t="shared" si="60"/>
        <v>0</v>
      </c>
      <c r="I200" s="87">
        <f t="shared" si="60"/>
        <v>0</v>
      </c>
      <c r="K200" s="112"/>
      <c r="L200" s="107">
        <v>8.93</v>
      </c>
      <c r="M200" s="107">
        <v>12.98</v>
      </c>
      <c r="Q200" s="75"/>
    </row>
    <row r="201" spans="1:17" x14ac:dyDescent="0.25">
      <c r="B201" s="53"/>
      <c r="K201" s="112"/>
      <c r="L201" s="107"/>
      <c r="M201" s="107"/>
      <c r="Q201" s="75"/>
    </row>
    <row r="202" spans="1:17" x14ac:dyDescent="0.25">
      <c r="B202" s="53"/>
      <c r="K202" s="112"/>
      <c r="L202" s="107"/>
      <c r="M202" s="107"/>
      <c r="Q202" s="75"/>
    </row>
    <row r="203" spans="1:17" x14ac:dyDescent="0.25">
      <c r="Q203" s="75"/>
    </row>
    <row r="204" spans="1:17" x14ac:dyDescent="0.25">
      <c r="K204" s="112"/>
      <c r="L204" s="107"/>
      <c r="M204" s="107"/>
      <c r="Q204" s="75"/>
    </row>
    <row r="205" spans="1:17" x14ac:dyDescent="0.25">
      <c r="K205" s="112"/>
      <c r="L205" s="107"/>
      <c r="M205" s="107"/>
      <c r="Q205" s="75"/>
    </row>
    <row r="206" spans="1:17" x14ac:dyDescent="0.25">
      <c r="K206" s="112"/>
      <c r="L206" s="107"/>
      <c r="M206" s="107"/>
    </row>
    <row r="207" spans="1:17" x14ac:dyDescent="0.25">
      <c r="K207" s="112"/>
      <c r="L207" s="107"/>
      <c r="M207" s="107"/>
    </row>
    <row r="208" spans="1:17" x14ac:dyDescent="0.25">
      <c r="K208" s="112"/>
      <c r="L208" s="107"/>
      <c r="M208" s="107"/>
    </row>
  </sheetData>
  <mergeCells count="4">
    <mergeCell ref="A1:J1"/>
    <mergeCell ref="A2:J2"/>
    <mergeCell ref="A3:J3"/>
    <mergeCell ref="B4:F4"/>
  </mergeCells>
  <printOptions horizontalCentered="1"/>
  <pageMargins left="0.7" right="0.7" top="0.75" bottom="0.75" header="0.3" footer="0.3"/>
  <pageSetup scale="60" fitToHeight="0" orientation="portrait" r:id="rId1"/>
  <headerFooter alignWithMargins="0">
    <oddFooter>&amp;L&amp;F
&amp;A&amp;RSchedule 95A Filing Eff 1-1-21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0"/>
  <sheetViews>
    <sheetView topLeftCell="A19" zoomScaleNormal="100" workbookViewId="0">
      <selection activeCell="K23" sqref="K23"/>
    </sheetView>
  </sheetViews>
  <sheetFormatPr defaultColWidth="8.85546875" defaultRowHeight="11.25" x14ac:dyDescent="0.2"/>
  <cols>
    <col min="1" max="1" width="21.5703125" style="295" customWidth="1"/>
    <col min="2" max="2" width="7.85546875" style="295" bestFit="1" customWidth="1"/>
    <col min="3" max="3" width="12.85546875" style="295" bestFit="1" customWidth="1"/>
    <col min="4" max="4" width="9.85546875" style="295" bestFit="1" customWidth="1"/>
    <col min="5" max="6" width="10" style="295" bestFit="1" customWidth="1"/>
    <col min="7" max="7" width="2" style="295" customWidth="1"/>
    <col min="8" max="8" width="7.140625" style="295" customWidth="1"/>
    <col min="9" max="9" width="9.140625" style="295" bestFit="1" customWidth="1"/>
    <col min="10" max="10" width="7.7109375" style="295" bestFit="1" customWidth="1"/>
    <col min="11" max="11" width="9" style="295" bestFit="1" customWidth="1"/>
    <col min="12" max="13" width="9" style="295" customWidth="1"/>
    <col min="14" max="14" width="4" style="295" customWidth="1"/>
    <col min="15" max="16384" width="8.85546875" style="295"/>
  </cols>
  <sheetData>
    <row r="1" spans="1:18" s="342" customFormat="1" x14ac:dyDescent="0.2">
      <c r="A1" s="341" t="s">
        <v>13</v>
      </c>
      <c r="B1" s="343"/>
      <c r="C1" s="343"/>
      <c r="D1" s="343"/>
      <c r="E1" s="343"/>
      <c r="F1" s="343"/>
      <c r="G1" s="343"/>
      <c r="H1" s="343"/>
      <c r="I1" s="343"/>
      <c r="J1" s="343"/>
      <c r="K1" s="343"/>
      <c r="L1" s="343"/>
      <c r="M1" s="343"/>
      <c r="N1" s="343"/>
    </row>
    <row r="2" spans="1:18" s="342" customFormat="1" x14ac:dyDescent="0.2">
      <c r="A2" s="341" t="s">
        <v>35</v>
      </c>
      <c r="B2" s="343"/>
      <c r="C2" s="343"/>
      <c r="D2" s="343"/>
      <c r="E2" s="343"/>
      <c r="F2" s="343"/>
      <c r="G2" s="343"/>
      <c r="H2" s="343"/>
      <c r="I2" s="343"/>
      <c r="J2" s="343"/>
      <c r="K2" s="343"/>
      <c r="L2" s="343"/>
      <c r="M2" s="343"/>
      <c r="N2" s="343"/>
    </row>
    <row r="3" spans="1:18" x14ac:dyDescent="0.2">
      <c r="A3" s="341" t="s">
        <v>390</v>
      </c>
      <c r="B3" s="340"/>
      <c r="C3" s="340"/>
      <c r="D3" s="340"/>
      <c r="E3" s="340"/>
      <c r="F3" s="340"/>
      <c r="G3" s="340"/>
      <c r="H3" s="340"/>
      <c r="I3" s="340"/>
      <c r="J3" s="340"/>
      <c r="K3" s="340"/>
      <c r="L3" s="340"/>
      <c r="M3" s="340"/>
      <c r="N3" s="340"/>
    </row>
    <row r="5" spans="1:18" x14ac:dyDescent="0.2">
      <c r="C5" s="395" t="s">
        <v>389</v>
      </c>
      <c r="D5" s="395"/>
      <c r="E5" s="395"/>
      <c r="F5" s="395"/>
      <c r="G5" s="326"/>
      <c r="H5" s="395" t="s">
        <v>388</v>
      </c>
      <c r="I5" s="395"/>
      <c r="J5" s="395"/>
      <c r="K5" s="395"/>
      <c r="L5" s="339"/>
      <c r="M5" s="339"/>
      <c r="O5" s="338"/>
      <c r="P5" s="338"/>
      <c r="Q5" s="338"/>
      <c r="R5" s="338"/>
    </row>
    <row r="6" spans="1:18" ht="22.5" x14ac:dyDescent="0.2">
      <c r="A6" s="336" t="s">
        <v>36</v>
      </c>
      <c r="B6" s="336" t="s">
        <v>34</v>
      </c>
      <c r="C6" s="336" t="s">
        <v>387</v>
      </c>
      <c r="D6" s="336" t="s">
        <v>386</v>
      </c>
      <c r="E6" s="336" t="s">
        <v>385</v>
      </c>
      <c r="F6" s="336" t="s">
        <v>384</v>
      </c>
      <c r="G6" s="326"/>
      <c r="H6" s="336" t="s">
        <v>387</v>
      </c>
      <c r="I6" s="336" t="s">
        <v>386</v>
      </c>
      <c r="J6" s="336" t="s">
        <v>385</v>
      </c>
      <c r="K6" s="336" t="s">
        <v>384</v>
      </c>
      <c r="L6" s="337" t="s">
        <v>37</v>
      </c>
      <c r="M6" s="336" t="s">
        <v>38</v>
      </c>
    </row>
    <row r="7" spans="1:18" x14ac:dyDescent="0.2">
      <c r="A7" s="295" t="s">
        <v>39</v>
      </c>
      <c r="B7" s="335">
        <f t="shared" ref="B7:B18" si="0">ROUND(+E66,0)</f>
        <v>1219</v>
      </c>
      <c r="C7" s="334">
        <f t="shared" ref="C7:C18" si="1">ROUND(+$E$27,2)</f>
        <v>7.49</v>
      </c>
      <c r="D7" s="334">
        <f t="shared" ref="D7:D18" si="2">ROUND(IF($B7&gt;600,600*$E$57,$B7*$E$37),2)</f>
        <v>53.84</v>
      </c>
      <c r="E7" s="334">
        <f t="shared" ref="E7:E18" si="3">ROUND(IF($B7&gt;600,($B7-600)*$E$58,0),2)</f>
        <v>67.599999999999994</v>
      </c>
      <c r="F7" s="309">
        <f t="shared" ref="F7:F18" si="4">SUM(C7:E7)</f>
        <v>128.93</v>
      </c>
      <c r="G7" s="326"/>
      <c r="H7" s="334">
        <f t="shared" ref="H7:H18" si="5">ROUND(+$F$27,2)</f>
        <v>7.49</v>
      </c>
      <c r="I7" s="334">
        <f t="shared" ref="I7:I18" si="6">ROUND(IF($B7&gt;600,600*$F$57,$B7*$F$37),2)</f>
        <v>53.86</v>
      </c>
      <c r="J7" s="334">
        <f t="shared" ref="J7:J18" si="7">ROUND(IF($B7&gt;600,($B7-600)*$F$58,0),2)</f>
        <v>67.62</v>
      </c>
      <c r="K7" s="309">
        <f t="shared" ref="K7:K18" si="8">SUM(H7:J7)</f>
        <v>128.97</v>
      </c>
      <c r="L7" s="309">
        <f t="shared" ref="L7:L18" si="9">+K7-F7</f>
        <v>3.9999999999992042E-2</v>
      </c>
      <c r="M7" s="331">
        <f t="shared" ref="M7:M18" si="10">+L7/F7</f>
        <v>3.1024586985179585E-4</v>
      </c>
    </row>
    <row r="8" spans="1:18" x14ac:dyDescent="0.2">
      <c r="A8" s="295" t="s">
        <v>40</v>
      </c>
      <c r="B8" s="335">
        <f t="shared" si="0"/>
        <v>992</v>
      </c>
      <c r="C8" s="334">
        <f t="shared" si="1"/>
        <v>7.49</v>
      </c>
      <c r="D8" s="334">
        <f t="shared" si="2"/>
        <v>53.84</v>
      </c>
      <c r="E8" s="334">
        <f t="shared" si="3"/>
        <v>42.81</v>
      </c>
      <c r="F8" s="309">
        <f t="shared" si="4"/>
        <v>104.14000000000001</v>
      </c>
      <c r="G8" s="326"/>
      <c r="H8" s="334">
        <f t="shared" si="5"/>
        <v>7.49</v>
      </c>
      <c r="I8" s="334">
        <f t="shared" si="6"/>
        <v>53.86</v>
      </c>
      <c r="J8" s="334">
        <f t="shared" si="7"/>
        <v>42.82</v>
      </c>
      <c r="K8" s="309">
        <f t="shared" si="8"/>
        <v>104.17</v>
      </c>
      <c r="L8" s="309">
        <f t="shared" si="9"/>
        <v>2.9999999999986926E-2</v>
      </c>
      <c r="M8" s="331">
        <f t="shared" si="10"/>
        <v>2.8807374687907548E-4</v>
      </c>
    </row>
    <row r="9" spans="1:18" x14ac:dyDescent="0.2">
      <c r="A9" s="295" t="s">
        <v>41</v>
      </c>
      <c r="B9" s="335">
        <f t="shared" si="0"/>
        <v>1030</v>
      </c>
      <c r="C9" s="334">
        <f t="shared" si="1"/>
        <v>7.49</v>
      </c>
      <c r="D9" s="334">
        <f t="shared" si="2"/>
        <v>53.84</v>
      </c>
      <c r="E9" s="334">
        <f t="shared" si="3"/>
        <v>46.96</v>
      </c>
      <c r="F9" s="309">
        <f t="shared" si="4"/>
        <v>108.29</v>
      </c>
      <c r="G9" s="326"/>
      <c r="H9" s="334">
        <f t="shared" si="5"/>
        <v>7.49</v>
      </c>
      <c r="I9" s="334">
        <f t="shared" si="6"/>
        <v>53.86</v>
      </c>
      <c r="J9" s="334">
        <f t="shared" si="7"/>
        <v>46.97</v>
      </c>
      <c r="K9" s="309">
        <f t="shared" si="8"/>
        <v>108.32</v>
      </c>
      <c r="L9" s="309">
        <f t="shared" si="9"/>
        <v>2.9999999999986926E-2</v>
      </c>
      <c r="M9" s="331">
        <f t="shared" si="10"/>
        <v>2.7703389047914787E-4</v>
      </c>
    </row>
    <row r="10" spans="1:18" x14ac:dyDescent="0.2">
      <c r="A10" s="295" t="s">
        <v>42</v>
      </c>
      <c r="B10" s="335">
        <f t="shared" si="0"/>
        <v>827</v>
      </c>
      <c r="C10" s="334">
        <f t="shared" si="1"/>
        <v>7.49</v>
      </c>
      <c r="D10" s="334">
        <f t="shared" si="2"/>
        <v>53.84</v>
      </c>
      <c r="E10" s="334">
        <f t="shared" si="3"/>
        <v>24.79</v>
      </c>
      <c r="F10" s="309">
        <f t="shared" si="4"/>
        <v>86.12</v>
      </c>
      <c r="G10" s="326"/>
      <c r="H10" s="334">
        <f t="shared" si="5"/>
        <v>7.49</v>
      </c>
      <c r="I10" s="334">
        <f t="shared" si="6"/>
        <v>53.86</v>
      </c>
      <c r="J10" s="334">
        <f t="shared" si="7"/>
        <v>24.8</v>
      </c>
      <c r="K10" s="309">
        <f t="shared" si="8"/>
        <v>86.15</v>
      </c>
      <c r="L10" s="309">
        <f t="shared" si="9"/>
        <v>3.0000000000001137E-2</v>
      </c>
      <c r="M10" s="331">
        <f t="shared" si="10"/>
        <v>3.4835113794706382E-4</v>
      </c>
    </row>
    <row r="11" spans="1:18" x14ac:dyDescent="0.2">
      <c r="A11" s="295" t="s">
        <v>43</v>
      </c>
      <c r="B11" s="335">
        <f t="shared" si="0"/>
        <v>740</v>
      </c>
      <c r="C11" s="334">
        <f t="shared" si="1"/>
        <v>7.49</v>
      </c>
      <c r="D11" s="334">
        <f t="shared" si="2"/>
        <v>53.84</v>
      </c>
      <c r="E11" s="334">
        <f t="shared" si="3"/>
        <v>15.29</v>
      </c>
      <c r="F11" s="309">
        <f t="shared" si="4"/>
        <v>76.62</v>
      </c>
      <c r="G11" s="326"/>
      <c r="H11" s="334">
        <f t="shared" si="5"/>
        <v>7.49</v>
      </c>
      <c r="I11" s="334">
        <f t="shared" si="6"/>
        <v>53.86</v>
      </c>
      <c r="J11" s="334">
        <f t="shared" si="7"/>
        <v>15.29</v>
      </c>
      <c r="K11" s="309">
        <f t="shared" si="8"/>
        <v>76.64</v>
      </c>
      <c r="L11" s="309">
        <f t="shared" si="9"/>
        <v>1.9999999999996021E-2</v>
      </c>
      <c r="M11" s="331">
        <f t="shared" si="10"/>
        <v>2.6102845210122707E-4</v>
      </c>
    </row>
    <row r="12" spans="1:18" x14ac:dyDescent="0.2">
      <c r="A12" s="295" t="s">
        <v>44</v>
      </c>
      <c r="B12" s="335">
        <f t="shared" si="0"/>
        <v>670</v>
      </c>
      <c r="C12" s="334">
        <f t="shared" si="1"/>
        <v>7.49</v>
      </c>
      <c r="D12" s="334">
        <f t="shared" si="2"/>
        <v>53.84</v>
      </c>
      <c r="E12" s="334">
        <f t="shared" si="3"/>
        <v>7.64</v>
      </c>
      <c r="F12" s="309">
        <f t="shared" si="4"/>
        <v>68.97</v>
      </c>
      <c r="G12" s="326"/>
      <c r="H12" s="334">
        <f t="shared" si="5"/>
        <v>7.49</v>
      </c>
      <c r="I12" s="334">
        <f t="shared" si="6"/>
        <v>53.86</v>
      </c>
      <c r="J12" s="334">
        <f t="shared" si="7"/>
        <v>7.65</v>
      </c>
      <c r="K12" s="309">
        <f t="shared" si="8"/>
        <v>69</v>
      </c>
      <c r="L12" s="309">
        <f t="shared" si="9"/>
        <v>3.0000000000001137E-2</v>
      </c>
      <c r="M12" s="331">
        <f t="shared" si="10"/>
        <v>4.3497172683777202E-4</v>
      </c>
    </row>
    <row r="13" spans="1:18" x14ac:dyDescent="0.2">
      <c r="A13" s="295" t="s">
        <v>45</v>
      </c>
      <c r="B13" s="335">
        <f t="shared" si="0"/>
        <v>665</v>
      </c>
      <c r="C13" s="334">
        <f t="shared" si="1"/>
        <v>7.49</v>
      </c>
      <c r="D13" s="334">
        <f t="shared" si="2"/>
        <v>53.84</v>
      </c>
      <c r="E13" s="334">
        <f t="shared" si="3"/>
        <v>7.1</v>
      </c>
      <c r="F13" s="309">
        <f t="shared" si="4"/>
        <v>68.430000000000007</v>
      </c>
      <c r="G13" s="326"/>
      <c r="H13" s="334">
        <f t="shared" si="5"/>
        <v>7.49</v>
      </c>
      <c r="I13" s="334">
        <f t="shared" si="6"/>
        <v>53.86</v>
      </c>
      <c r="J13" s="334">
        <f t="shared" si="7"/>
        <v>7.1</v>
      </c>
      <c r="K13" s="309">
        <f t="shared" si="8"/>
        <v>68.45</v>
      </c>
      <c r="L13" s="309">
        <f t="shared" si="9"/>
        <v>1.9999999999996021E-2</v>
      </c>
      <c r="M13" s="331">
        <f t="shared" si="10"/>
        <v>2.9226947245354406E-4</v>
      </c>
    </row>
    <row r="14" spans="1:18" x14ac:dyDescent="0.2">
      <c r="A14" s="295" t="s">
        <v>46</v>
      </c>
      <c r="B14" s="335">
        <f t="shared" si="0"/>
        <v>678</v>
      </c>
      <c r="C14" s="334">
        <f t="shared" si="1"/>
        <v>7.49</v>
      </c>
      <c r="D14" s="334">
        <f t="shared" si="2"/>
        <v>53.84</v>
      </c>
      <c r="E14" s="334">
        <f t="shared" si="3"/>
        <v>8.52</v>
      </c>
      <c r="F14" s="309">
        <f t="shared" si="4"/>
        <v>69.850000000000009</v>
      </c>
      <c r="G14" s="326"/>
      <c r="H14" s="334">
        <f t="shared" si="5"/>
        <v>7.49</v>
      </c>
      <c r="I14" s="334">
        <f t="shared" si="6"/>
        <v>53.86</v>
      </c>
      <c r="J14" s="334">
        <f t="shared" si="7"/>
        <v>8.52</v>
      </c>
      <c r="K14" s="309">
        <f t="shared" si="8"/>
        <v>69.87</v>
      </c>
      <c r="L14" s="309">
        <f t="shared" si="9"/>
        <v>1.9999999999996021E-2</v>
      </c>
      <c r="M14" s="331">
        <f t="shared" si="10"/>
        <v>2.8632784538290648E-4</v>
      </c>
    </row>
    <row r="15" spans="1:18" x14ac:dyDescent="0.2">
      <c r="A15" s="295" t="s">
        <v>47</v>
      </c>
      <c r="B15" s="335">
        <f t="shared" si="0"/>
        <v>623</v>
      </c>
      <c r="C15" s="334">
        <f t="shared" si="1"/>
        <v>7.49</v>
      </c>
      <c r="D15" s="334">
        <f t="shared" si="2"/>
        <v>53.84</v>
      </c>
      <c r="E15" s="334">
        <f t="shared" si="3"/>
        <v>2.5099999999999998</v>
      </c>
      <c r="F15" s="309">
        <f t="shared" si="4"/>
        <v>63.84</v>
      </c>
      <c r="G15" s="326"/>
      <c r="H15" s="334">
        <f t="shared" si="5"/>
        <v>7.49</v>
      </c>
      <c r="I15" s="334">
        <f t="shared" si="6"/>
        <v>53.86</v>
      </c>
      <c r="J15" s="334">
        <f t="shared" si="7"/>
        <v>2.5099999999999998</v>
      </c>
      <c r="K15" s="309">
        <f t="shared" si="8"/>
        <v>63.86</v>
      </c>
      <c r="L15" s="309">
        <f t="shared" si="9"/>
        <v>1.9999999999996021E-2</v>
      </c>
      <c r="M15" s="331">
        <f t="shared" si="10"/>
        <v>3.1328320801998777E-4</v>
      </c>
    </row>
    <row r="16" spans="1:18" x14ac:dyDescent="0.2">
      <c r="A16" s="295" t="s">
        <v>48</v>
      </c>
      <c r="B16" s="335">
        <f t="shared" si="0"/>
        <v>805</v>
      </c>
      <c r="C16" s="334">
        <f t="shared" si="1"/>
        <v>7.49</v>
      </c>
      <c r="D16" s="334">
        <f t="shared" si="2"/>
        <v>53.84</v>
      </c>
      <c r="E16" s="334">
        <f t="shared" si="3"/>
        <v>22.39</v>
      </c>
      <c r="F16" s="309">
        <f t="shared" si="4"/>
        <v>83.72</v>
      </c>
      <c r="G16" s="326"/>
      <c r="H16" s="334">
        <f t="shared" si="5"/>
        <v>7.49</v>
      </c>
      <c r="I16" s="334">
        <f t="shared" si="6"/>
        <v>53.86</v>
      </c>
      <c r="J16" s="334">
        <f t="shared" si="7"/>
        <v>22.39</v>
      </c>
      <c r="K16" s="309">
        <f t="shared" si="8"/>
        <v>83.740000000000009</v>
      </c>
      <c r="L16" s="309">
        <f t="shared" si="9"/>
        <v>2.0000000000010232E-2</v>
      </c>
      <c r="M16" s="331">
        <f t="shared" si="10"/>
        <v>2.3889154323949153E-4</v>
      </c>
    </row>
    <row r="17" spans="1:13" x14ac:dyDescent="0.2">
      <c r="A17" s="295" t="s">
        <v>49</v>
      </c>
      <c r="B17" s="335">
        <f t="shared" si="0"/>
        <v>1022</v>
      </c>
      <c r="C17" s="334">
        <f t="shared" si="1"/>
        <v>7.49</v>
      </c>
      <c r="D17" s="334">
        <f t="shared" si="2"/>
        <v>53.84</v>
      </c>
      <c r="E17" s="334">
        <f t="shared" si="3"/>
        <v>46.08</v>
      </c>
      <c r="F17" s="309">
        <f t="shared" si="4"/>
        <v>107.41</v>
      </c>
      <c r="G17" s="326"/>
      <c r="H17" s="334">
        <f t="shared" si="5"/>
        <v>7.49</v>
      </c>
      <c r="I17" s="334">
        <f t="shared" si="6"/>
        <v>53.86</v>
      </c>
      <c r="J17" s="334">
        <f t="shared" si="7"/>
        <v>46.1</v>
      </c>
      <c r="K17" s="309">
        <f t="shared" si="8"/>
        <v>107.45</v>
      </c>
      <c r="L17" s="309">
        <f t="shared" si="9"/>
        <v>4.0000000000006253E-2</v>
      </c>
      <c r="M17" s="331">
        <f t="shared" si="10"/>
        <v>3.7240480402203011E-4</v>
      </c>
    </row>
    <row r="18" spans="1:13" x14ac:dyDescent="0.2">
      <c r="A18" s="295" t="s">
        <v>50</v>
      </c>
      <c r="B18" s="335">
        <f t="shared" si="0"/>
        <v>1163</v>
      </c>
      <c r="C18" s="334">
        <f t="shared" si="1"/>
        <v>7.49</v>
      </c>
      <c r="D18" s="334">
        <f t="shared" si="2"/>
        <v>53.84</v>
      </c>
      <c r="E18" s="334">
        <f t="shared" si="3"/>
        <v>61.48</v>
      </c>
      <c r="F18" s="309">
        <f t="shared" si="4"/>
        <v>122.81</v>
      </c>
      <c r="G18" s="326"/>
      <c r="H18" s="334">
        <f t="shared" si="5"/>
        <v>7.49</v>
      </c>
      <c r="I18" s="334">
        <f t="shared" si="6"/>
        <v>53.86</v>
      </c>
      <c r="J18" s="334">
        <f t="shared" si="7"/>
        <v>61.5</v>
      </c>
      <c r="K18" s="309">
        <f t="shared" si="8"/>
        <v>122.85</v>
      </c>
      <c r="L18" s="309">
        <f t="shared" si="9"/>
        <v>3.9999999999992042E-2</v>
      </c>
      <c r="M18" s="331">
        <f t="shared" si="10"/>
        <v>3.2570637570223954E-4</v>
      </c>
    </row>
    <row r="19" spans="1:13" x14ac:dyDescent="0.2">
      <c r="C19" s="334"/>
      <c r="G19" s="326"/>
      <c r="H19" s="334"/>
      <c r="M19" s="331"/>
    </row>
    <row r="20" spans="1:13" ht="12" thickBot="1" x14ac:dyDescent="0.25">
      <c r="A20" s="333" t="s">
        <v>51</v>
      </c>
      <c r="B20" s="327">
        <f>SUM(B7:B19)</f>
        <v>10434</v>
      </c>
      <c r="C20" s="332">
        <f>SUM(C7:C19)</f>
        <v>89.88</v>
      </c>
      <c r="D20" s="332">
        <f>SUM(D7:D19)</f>
        <v>646.08000000000027</v>
      </c>
      <c r="E20" s="332">
        <f>SUM(E7:E19)</f>
        <v>353.16999999999996</v>
      </c>
      <c r="F20" s="332">
        <f>SUM(F7:F19)</f>
        <v>1089.1300000000001</v>
      </c>
      <c r="G20" s="326"/>
      <c r="H20" s="332">
        <f>SUM(H7:H19)</f>
        <v>89.88</v>
      </c>
      <c r="I20" s="332">
        <f>SUM(I7:I19)</f>
        <v>646.32000000000005</v>
      </c>
      <c r="J20" s="332">
        <f>SUM(J7:J19)</f>
        <v>353.27000000000004</v>
      </c>
      <c r="K20" s="332">
        <f>SUM(K7:K19)</f>
        <v>1089.47</v>
      </c>
      <c r="L20" s="332">
        <f>+K20-F20</f>
        <v>0.33999999999991815</v>
      </c>
      <c r="M20" s="324">
        <f>+L20/F20</f>
        <v>3.1217577332358679E-4</v>
      </c>
    </row>
    <row r="21" spans="1:13" ht="12" thickTop="1" x14ac:dyDescent="0.2">
      <c r="G21" s="326"/>
      <c r="M21" s="331"/>
    </row>
    <row r="22" spans="1:13" ht="12" thickBot="1" x14ac:dyDescent="0.25">
      <c r="A22" s="330" t="s">
        <v>93</v>
      </c>
      <c r="B22" s="329">
        <f>ROUND(AVERAGE(B7:B18),-2)</f>
        <v>900</v>
      </c>
      <c r="C22" s="325">
        <f>ROUND(+$E$27,2)</f>
        <v>7.49</v>
      </c>
      <c r="D22" s="325">
        <f>ROUND(IF($B22&gt;600,600*$E$57,$B22*$E$37),2)</f>
        <v>53.84</v>
      </c>
      <c r="E22" s="325">
        <f>ROUND(IF($B22&gt;600,($B22-600)*$E$58,0),2)</f>
        <v>32.76</v>
      </c>
      <c r="F22" s="325">
        <f>SUM(C22:E22)</f>
        <v>94.09</v>
      </c>
      <c r="G22" s="326"/>
      <c r="H22" s="325">
        <f>ROUND(+$F$27,2)</f>
        <v>7.49</v>
      </c>
      <c r="I22" s="325">
        <f>ROUND(IF($B22&gt;600,600*$F$57,$B22*$F$37),2)</f>
        <v>53.86</v>
      </c>
      <c r="J22" s="325">
        <f>ROUND(IF($B22&gt;600,($B22-600)*$F$58,0),2)</f>
        <v>32.770000000000003</v>
      </c>
      <c r="K22" s="325">
        <f>SUM(H22:J22)</f>
        <v>94.12</v>
      </c>
      <c r="L22" s="325">
        <f>+K22-F22</f>
        <v>3.0000000000001137E-2</v>
      </c>
      <c r="M22" s="324">
        <f>+L22/F22</f>
        <v>3.1884366032523261E-4</v>
      </c>
    </row>
    <row r="23" spans="1:13" ht="12.75" thickTop="1" thickBot="1" x14ac:dyDescent="0.25">
      <c r="A23" s="328" t="s">
        <v>93</v>
      </c>
      <c r="B23" s="327">
        <v>1000</v>
      </c>
      <c r="C23" s="325">
        <f>ROUND(+$E$27,2)</f>
        <v>7.49</v>
      </c>
      <c r="D23" s="325">
        <f>ROUND(IF($B23&gt;600,600*$E$57,$B23*$E$37),2)</f>
        <v>53.84</v>
      </c>
      <c r="E23" s="325">
        <f>ROUND(IF($B23&gt;600,($B23-600)*$E$58,0),2)</f>
        <v>43.68</v>
      </c>
      <c r="F23" s="325">
        <f>SUM(C23:E23)</f>
        <v>105.01</v>
      </c>
      <c r="G23" s="326"/>
      <c r="H23" s="325">
        <f>ROUND(+$F$27,2)</f>
        <v>7.49</v>
      </c>
      <c r="I23" s="325">
        <f>ROUND(IF($B23&gt;600,600*$F$57,$B23*$F$37),2)</f>
        <v>53.86</v>
      </c>
      <c r="J23" s="325">
        <f>ROUND(IF($B23&gt;600,($B23-600)*$F$58,0),2)</f>
        <v>43.7</v>
      </c>
      <c r="K23" s="325">
        <f>SUM(H23:J23)</f>
        <v>105.05000000000001</v>
      </c>
      <c r="L23" s="325">
        <f>+K23-F23</f>
        <v>4.0000000000006253E-2</v>
      </c>
      <c r="M23" s="324">
        <f>+L23/F23</f>
        <v>3.8091610322832348E-4</v>
      </c>
    </row>
    <row r="24" spans="1:13" ht="12" thickTop="1" x14ac:dyDescent="0.2"/>
    <row r="25" spans="1:13" ht="45" x14ac:dyDescent="0.2">
      <c r="A25" s="323" t="s">
        <v>94</v>
      </c>
      <c r="B25" s="322"/>
      <c r="C25" s="322"/>
      <c r="D25" s="322"/>
      <c r="E25" s="321" t="s">
        <v>383</v>
      </c>
      <c r="F25" s="321" t="s">
        <v>433</v>
      </c>
    </row>
    <row r="26" spans="1:13" x14ac:dyDescent="0.2">
      <c r="A26" s="390" t="s">
        <v>52</v>
      </c>
      <c r="B26" s="390"/>
      <c r="C26" s="390"/>
      <c r="D26" s="390"/>
      <c r="E26" s="320"/>
      <c r="F26" s="320"/>
    </row>
    <row r="27" spans="1:13" x14ac:dyDescent="0.2">
      <c r="A27" s="393" t="s">
        <v>95</v>
      </c>
      <c r="B27" s="393"/>
      <c r="C27" s="393"/>
      <c r="D27" s="393"/>
      <c r="E27" s="319">
        <v>7.49</v>
      </c>
      <c r="F27" s="319">
        <f>+E27</f>
        <v>7.49</v>
      </c>
      <c r="G27" s="295" t="s">
        <v>53</v>
      </c>
    </row>
    <row r="28" spans="1:13" ht="12" thickBot="1" x14ac:dyDescent="0.25">
      <c r="A28" s="392" t="s">
        <v>78</v>
      </c>
      <c r="B28" s="392"/>
      <c r="C28" s="392"/>
      <c r="D28" s="392"/>
      <c r="E28" s="318">
        <f>SUM(E27)</f>
        <v>7.49</v>
      </c>
      <c r="F28" s="318">
        <f>SUM(F27:F27)</f>
        <v>7.49</v>
      </c>
    </row>
    <row r="29" spans="1:13" ht="12" thickTop="1" x14ac:dyDescent="0.2">
      <c r="A29" s="390" t="s">
        <v>54</v>
      </c>
      <c r="B29" s="390"/>
      <c r="C29" s="390"/>
      <c r="D29" s="390"/>
      <c r="E29" s="317"/>
      <c r="F29" s="317"/>
    </row>
    <row r="30" spans="1:13" x14ac:dyDescent="0.2">
      <c r="A30" s="393" t="s">
        <v>55</v>
      </c>
      <c r="B30" s="393"/>
      <c r="C30" s="393"/>
      <c r="D30" s="393"/>
      <c r="E30" s="315">
        <v>9.3071000000000001E-2</v>
      </c>
      <c r="F30" s="315">
        <f t="shared" ref="F30:F36" si="11">+E30</f>
        <v>9.3071000000000001E-2</v>
      </c>
      <c r="G30" s="295" t="s">
        <v>31</v>
      </c>
    </row>
    <row r="31" spans="1:13" x14ac:dyDescent="0.2">
      <c r="A31" s="393" t="s">
        <v>59</v>
      </c>
      <c r="B31" s="393"/>
      <c r="C31" s="393"/>
      <c r="D31" s="393"/>
      <c r="E31" s="315">
        <v>1.0640000000000001E-3</v>
      </c>
      <c r="F31" s="315">
        <f t="shared" si="11"/>
        <v>1.0640000000000001E-3</v>
      </c>
      <c r="G31" s="295" t="s">
        <v>31</v>
      </c>
    </row>
    <row r="32" spans="1:13" x14ac:dyDescent="0.2">
      <c r="A32" s="393" t="s">
        <v>76</v>
      </c>
      <c r="B32" s="393"/>
      <c r="C32" s="393"/>
      <c r="D32" s="393"/>
      <c r="E32" s="315">
        <v>3.209E-3</v>
      </c>
      <c r="F32" s="315">
        <f t="shared" si="11"/>
        <v>3.209E-3</v>
      </c>
      <c r="G32" s="311" t="s">
        <v>31</v>
      </c>
      <c r="H32" s="311"/>
      <c r="I32" s="311"/>
      <c r="J32" s="311"/>
    </row>
    <row r="33" spans="1:10" x14ac:dyDescent="0.2">
      <c r="A33" s="393" t="s">
        <v>382</v>
      </c>
      <c r="B33" s="393"/>
      <c r="C33" s="393"/>
      <c r="D33" s="393"/>
      <c r="E33" s="315">
        <v>-3.016E-3</v>
      </c>
      <c r="F33" s="315">
        <f t="shared" si="11"/>
        <v>-3.016E-3</v>
      </c>
      <c r="G33" s="311" t="s">
        <v>31</v>
      </c>
      <c r="H33" s="311"/>
      <c r="I33" s="311"/>
      <c r="J33" s="311"/>
    </row>
    <row r="34" spans="1:10" x14ac:dyDescent="0.2">
      <c r="A34" s="393" t="s">
        <v>380</v>
      </c>
      <c r="B34" s="393"/>
      <c r="C34" s="393"/>
      <c r="D34" s="393"/>
      <c r="E34" s="315">
        <v>-6.0999999999999999E-5</v>
      </c>
      <c r="F34" s="315">
        <f t="shared" si="11"/>
        <v>-6.0999999999999999E-5</v>
      </c>
      <c r="G34" s="311" t="s">
        <v>31</v>
      </c>
      <c r="H34" s="311"/>
      <c r="I34" s="311"/>
      <c r="J34" s="311"/>
    </row>
    <row r="35" spans="1:10" x14ac:dyDescent="0.2">
      <c r="A35" s="393" t="s">
        <v>379</v>
      </c>
      <c r="B35" s="393"/>
      <c r="C35" s="393"/>
      <c r="D35" s="393"/>
      <c r="E35" s="315">
        <v>-8.8400000000000002E-4</v>
      </c>
      <c r="F35" s="315">
        <f t="shared" si="11"/>
        <v>-8.8400000000000002E-4</v>
      </c>
      <c r="G35" s="311" t="s">
        <v>31</v>
      </c>
      <c r="H35" s="311"/>
      <c r="I35" s="311"/>
      <c r="J35" s="311"/>
    </row>
    <row r="36" spans="1:10" x14ac:dyDescent="0.2">
      <c r="A36" s="393" t="s">
        <v>77</v>
      </c>
      <c r="B36" s="393"/>
      <c r="C36" s="393"/>
      <c r="D36" s="393"/>
      <c r="E36" s="315">
        <v>1.054E-3</v>
      </c>
      <c r="F36" s="315">
        <f t="shared" si="11"/>
        <v>1.054E-3</v>
      </c>
      <c r="G36" s="311" t="s">
        <v>31</v>
      </c>
      <c r="H36" s="311"/>
      <c r="I36" s="311"/>
      <c r="J36" s="311"/>
    </row>
    <row r="37" spans="1:10" ht="12" thickBot="1" x14ac:dyDescent="0.25">
      <c r="A37" s="392" t="s">
        <v>79</v>
      </c>
      <c r="B37" s="392"/>
      <c r="C37" s="392"/>
      <c r="D37" s="392"/>
      <c r="E37" s="314">
        <f>SUM(E30:E36)</f>
        <v>9.4436999999999993E-2</v>
      </c>
      <c r="F37" s="314">
        <f>SUM(F30:F36)</f>
        <v>9.4436999999999993E-2</v>
      </c>
      <c r="G37" s="311" t="s">
        <v>31</v>
      </c>
      <c r="H37" s="311"/>
      <c r="I37" s="311"/>
      <c r="J37" s="311"/>
    </row>
    <row r="38" spans="1:10" ht="12" thickTop="1" x14ac:dyDescent="0.2">
      <c r="A38" s="390"/>
      <c r="B38" s="390"/>
      <c r="C38" s="390"/>
      <c r="D38" s="390"/>
      <c r="E38" s="315"/>
      <c r="F38" s="315"/>
    </row>
    <row r="39" spans="1:10" x14ac:dyDescent="0.2">
      <c r="A39" s="390" t="s">
        <v>56</v>
      </c>
      <c r="B39" s="390"/>
      <c r="C39" s="390"/>
      <c r="D39" s="390"/>
      <c r="E39" s="315">
        <v>0.113277</v>
      </c>
      <c r="F39" s="315">
        <f t="shared" ref="F39:F45" si="12">+E39</f>
        <v>0.113277</v>
      </c>
      <c r="G39" s="295" t="s">
        <v>31</v>
      </c>
    </row>
    <row r="40" spans="1:10" x14ac:dyDescent="0.2">
      <c r="A40" s="393" t="s">
        <v>59</v>
      </c>
      <c r="B40" s="393"/>
      <c r="C40" s="393"/>
      <c r="D40" s="393"/>
      <c r="E40" s="315">
        <v>1.0640000000000001E-3</v>
      </c>
      <c r="F40" s="315">
        <f t="shared" si="12"/>
        <v>1.0640000000000001E-3</v>
      </c>
      <c r="G40" s="295" t="s">
        <v>31</v>
      </c>
    </row>
    <row r="41" spans="1:10" x14ac:dyDescent="0.2">
      <c r="A41" s="316" t="s">
        <v>76</v>
      </c>
      <c r="B41" s="316"/>
      <c r="C41" s="316"/>
      <c r="D41" s="316"/>
      <c r="E41" s="315">
        <v>3.209E-3</v>
      </c>
      <c r="F41" s="315">
        <f t="shared" si="12"/>
        <v>3.209E-3</v>
      </c>
      <c r="G41" s="295" t="s">
        <v>31</v>
      </c>
    </row>
    <row r="42" spans="1:10" x14ac:dyDescent="0.2">
      <c r="A42" s="316" t="s">
        <v>381</v>
      </c>
      <c r="B42" s="316"/>
      <c r="C42" s="316"/>
      <c r="D42" s="316"/>
      <c r="E42" s="315">
        <v>-3.016E-3</v>
      </c>
      <c r="F42" s="315">
        <f t="shared" si="12"/>
        <v>-3.016E-3</v>
      </c>
      <c r="G42" s="311" t="s">
        <v>31</v>
      </c>
      <c r="H42" s="311"/>
      <c r="I42" s="311"/>
      <c r="J42" s="311"/>
    </row>
    <row r="43" spans="1:10" x14ac:dyDescent="0.2">
      <c r="A43" s="316" t="s">
        <v>380</v>
      </c>
      <c r="B43" s="316"/>
      <c r="C43" s="316"/>
      <c r="D43" s="316"/>
      <c r="E43" s="315">
        <v>-6.0999999999999999E-5</v>
      </c>
      <c r="F43" s="315">
        <f t="shared" si="12"/>
        <v>-6.0999999999999999E-5</v>
      </c>
      <c r="G43" s="311" t="s">
        <v>31</v>
      </c>
    </row>
    <row r="44" spans="1:10" x14ac:dyDescent="0.2">
      <c r="A44" s="393" t="s">
        <v>379</v>
      </c>
      <c r="B44" s="393"/>
      <c r="C44" s="393"/>
      <c r="D44" s="393"/>
      <c r="E44" s="315">
        <v>-8.8400000000000002E-4</v>
      </c>
      <c r="F44" s="315">
        <f t="shared" si="12"/>
        <v>-8.8400000000000002E-4</v>
      </c>
      <c r="G44" s="311" t="s">
        <v>31</v>
      </c>
    </row>
    <row r="45" spans="1:10" x14ac:dyDescent="0.2">
      <c r="A45" s="316" t="s">
        <v>77</v>
      </c>
      <c r="B45" s="316"/>
      <c r="C45" s="316"/>
      <c r="D45" s="316"/>
      <c r="E45" s="315">
        <v>3.1399999999999999E-4</v>
      </c>
      <c r="F45" s="315">
        <f t="shared" si="12"/>
        <v>3.1399999999999999E-4</v>
      </c>
      <c r="G45" s="311" t="s">
        <v>31</v>
      </c>
      <c r="H45" s="311"/>
      <c r="I45" s="311"/>
      <c r="J45" s="311"/>
    </row>
    <row r="46" spans="1:10" ht="12" thickBot="1" x14ac:dyDescent="0.25">
      <c r="A46" s="392" t="s">
        <v>80</v>
      </c>
      <c r="B46" s="392"/>
      <c r="C46" s="392"/>
      <c r="D46" s="392"/>
      <c r="E46" s="314">
        <f>SUM(E39:E45)</f>
        <v>0.11390299999999999</v>
      </c>
      <c r="F46" s="314">
        <f>SUM(F39:F45)</f>
        <v>0.11390299999999999</v>
      </c>
      <c r="G46" s="311" t="s">
        <v>31</v>
      </c>
      <c r="H46" s="311"/>
      <c r="I46" s="311"/>
      <c r="J46" s="311"/>
    </row>
    <row r="47" spans="1:10" ht="12" thickTop="1" x14ac:dyDescent="0.2">
      <c r="A47" s="390"/>
      <c r="B47" s="390"/>
      <c r="C47" s="390"/>
      <c r="D47" s="390"/>
      <c r="E47" s="315"/>
      <c r="F47" s="315"/>
      <c r="G47" s="311"/>
      <c r="H47" s="311"/>
      <c r="I47" s="311"/>
      <c r="J47" s="311"/>
    </row>
    <row r="48" spans="1:10" x14ac:dyDescent="0.2">
      <c r="A48" s="389" t="s">
        <v>60</v>
      </c>
      <c r="B48" s="389"/>
      <c r="C48" s="389"/>
      <c r="D48" s="389"/>
      <c r="E48" s="315">
        <v>-7.3861270000000001E-3</v>
      </c>
      <c r="F48" s="315">
        <f>+E48</f>
        <v>-7.3861270000000001E-3</v>
      </c>
      <c r="G48" s="311" t="s">
        <v>31</v>
      </c>
      <c r="H48" s="311"/>
      <c r="I48" s="311"/>
      <c r="J48" s="311"/>
    </row>
    <row r="49" spans="1:10" x14ac:dyDescent="0.2">
      <c r="A49" s="390"/>
      <c r="B49" s="390"/>
      <c r="C49" s="390"/>
      <c r="D49" s="390"/>
      <c r="E49" s="315"/>
      <c r="F49" s="315"/>
    </row>
    <row r="50" spans="1:10" x14ac:dyDescent="0.2">
      <c r="A50" s="390" t="s">
        <v>96</v>
      </c>
      <c r="B50" s="390"/>
      <c r="C50" s="390"/>
      <c r="D50" s="390"/>
      <c r="E50" s="315"/>
      <c r="F50" s="315"/>
      <c r="G50" s="295" t="s">
        <v>31</v>
      </c>
    </row>
    <row r="51" spans="1:10" x14ac:dyDescent="0.2">
      <c r="A51" s="391" t="s">
        <v>57</v>
      </c>
      <c r="B51" s="391"/>
      <c r="C51" s="391"/>
      <c r="D51" s="391"/>
      <c r="E51" s="315">
        <v>0</v>
      </c>
      <c r="F51" s="315">
        <f>+E51</f>
        <v>0</v>
      </c>
      <c r="G51" s="295" t="s">
        <v>31</v>
      </c>
      <c r="H51" s="311"/>
      <c r="I51" s="311"/>
      <c r="J51" s="311"/>
    </row>
    <row r="52" spans="1:10" x14ac:dyDescent="0.2">
      <c r="A52" s="391" t="s">
        <v>74</v>
      </c>
      <c r="B52" s="391"/>
      <c r="C52" s="391"/>
      <c r="D52" s="391"/>
      <c r="E52" s="315">
        <v>-1.8929999999999999E-3</v>
      </c>
      <c r="F52" s="315">
        <f t="shared" ref="F52:F53" si="13">+E52</f>
        <v>-1.8929999999999999E-3</v>
      </c>
      <c r="G52" s="311" t="s">
        <v>31</v>
      </c>
      <c r="H52" s="311"/>
      <c r="I52" s="311"/>
      <c r="J52" s="311"/>
    </row>
    <row r="53" spans="1:10" x14ac:dyDescent="0.2">
      <c r="A53" s="393" t="s">
        <v>58</v>
      </c>
      <c r="B53" s="393"/>
      <c r="C53" s="393"/>
      <c r="D53" s="393"/>
      <c r="E53" s="315">
        <v>4.6589999999999999E-3</v>
      </c>
      <c r="F53" s="315">
        <f t="shared" si="13"/>
        <v>4.6589999999999999E-3</v>
      </c>
      <c r="G53" s="311" t="s">
        <v>31</v>
      </c>
      <c r="H53" s="311"/>
      <c r="I53" s="311"/>
      <c r="J53" s="311"/>
    </row>
    <row r="54" spans="1:10" x14ac:dyDescent="0.2">
      <c r="A54" s="394" t="s">
        <v>75</v>
      </c>
      <c r="B54" s="394"/>
      <c r="C54" s="394"/>
      <c r="D54" s="394"/>
      <c r="E54" s="350">
        <f>+'Rate Impacts'!F8</f>
        <v>-8.2000000000000001E-5</v>
      </c>
      <c r="F54" s="350">
        <f>+'Rate Impacts'!G8</f>
        <v>-4.3000000000000002E-5</v>
      </c>
      <c r="G54" s="311" t="s">
        <v>31</v>
      </c>
      <c r="H54" s="311"/>
      <c r="I54" s="311"/>
      <c r="J54" s="311"/>
    </row>
    <row r="55" spans="1:10" ht="12" thickBot="1" x14ac:dyDescent="0.25">
      <c r="A55" s="392" t="s">
        <v>97</v>
      </c>
      <c r="B55" s="392"/>
      <c r="C55" s="392"/>
      <c r="D55" s="392"/>
      <c r="E55" s="314">
        <f>SUM(E51:E54)</f>
        <v>2.6840000000000002E-3</v>
      </c>
      <c r="F55" s="314">
        <f>SUM(F51:F54)</f>
        <v>2.7230000000000002E-3</v>
      </c>
      <c r="G55" s="311" t="s">
        <v>31</v>
      </c>
    </row>
    <row r="56" spans="1:10" ht="12" thickTop="1" x14ac:dyDescent="0.2">
      <c r="A56" s="390"/>
      <c r="B56" s="390"/>
      <c r="C56" s="390"/>
      <c r="D56" s="390"/>
      <c r="E56" s="313"/>
      <c r="F56" s="313"/>
    </row>
    <row r="57" spans="1:10" x14ac:dyDescent="0.2">
      <c r="A57" s="392" t="s">
        <v>98</v>
      </c>
      <c r="B57" s="392"/>
      <c r="C57" s="392"/>
      <c r="D57" s="392"/>
      <c r="E57" s="313">
        <f>SUM(E37,E48:E48,E55)</f>
        <v>8.9734872999999993E-2</v>
      </c>
      <c r="F57" s="313">
        <f>SUM(F37,F48:F48,F55)</f>
        <v>8.977387299999999E-2</v>
      </c>
      <c r="G57" s="311" t="s">
        <v>31</v>
      </c>
      <c r="I57" s="310"/>
    </row>
    <row r="58" spans="1:10" x14ac:dyDescent="0.2">
      <c r="A58" s="392" t="s">
        <v>99</v>
      </c>
      <c r="B58" s="392"/>
      <c r="C58" s="392"/>
      <c r="D58" s="392"/>
      <c r="E58" s="312">
        <f>SUM(E46,E48:E48,E55)</f>
        <v>0.10920087299999999</v>
      </c>
      <c r="F58" s="312">
        <f>SUM(F46,F48:F48,F55)</f>
        <v>0.10923987299999999</v>
      </c>
      <c r="G58" s="311" t="s">
        <v>31</v>
      </c>
      <c r="I58" s="310"/>
    </row>
    <row r="60" spans="1:10" x14ac:dyDescent="0.2">
      <c r="F60" s="309"/>
    </row>
    <row r="61" spans="1:10" x14ac:dyDescent="0.2">
      <c r="F61" s="309"/>
    </row>
    <row r="63" spans="1:10" ht="12" thickBot="1" x14ac:dyDescent="0.25"/>
    <row r="64" spans="1:10" ht="12" thickBot="1" x14ac:dyDescent="0.25">
      <c r="A64" s="308" t="s">
        <v>391</v>
      </c>
      <c r="B64" s="307"/>
      <c r="C64" s="307"/>
      <c r="D64" s="307"/>
      <c r="E64" s="306"/>
    </row>
    <row r="65" spans="1:14" ht="34.5" thickBot="1" x14ac:dyDescent="0.25">
      <c r="A65" s="305" t="s">
        <v>73</v>
      </c>
      <c r="B65" s="305" t="s">
        <v>378</v>
      </c>
      <c r="C65" s="305" t="s">
        <v>100</v>
      </c>
      <c r="D65" s="305" t="s">
        <v>101</v>
      </c>
      <c r="E65" s="304" t="s">
        <v>102</v>
      </c>
      <c r="F65" s="303"/>
      <c r="G65" s="303"/>
      <c r="H65" s="303"/>
      <c r="I65" s="303"/>
      <c r="J65" s="303"/>
      <c r="K65" s="303"/>
      <c r="L65" s="303"/>
      <c r="M65" s="303"/>
      <c r="N65" s="303"/>
    </row>
    <row r="66" spans="1:14" x14ac:dyDescent="0.2">
      <c r="A66" s="302">
        <v>2021</v>
      </c>
      <c r="B66" s="302">
        <v>1</v>
      </c>
      <c r="C66" s="301">
        <f>+'F2020 Del Load &amp; Cust'!E24</f>
        <v>1275428757.5601294</v>
      </c>
      <c r="D66" s="301">
        <f>+'F2020 Del Load &amp; Cust'!E6</f>
        <v>1046234.9738803403</v>
      </c>
      <c r="E66" s="299">
        <f t="shared" ref="E66:E77" si="14">ROUND(+C66/D66,0)</f>
        <v>1219</v>
      </c>
    </row>
    <row r="67" spans="1:14" x14ac:dyDescent="0.2">
      <c r="A67" s="302">
        <v>2021</v>
      </c>
      <c r="B67" s="302">
        <v>2</v>
      </c>
      <c r="C67" s="301">
        <f>+'F2020 Del Load &amp; Cust'!E25</f>
        <v>1039133161.3446268</v>
      </c>
      <c r="D67" s="301">
        <f>+'F2020 Del Load &amp; Cust'!E7</f>
        <v>1047533.9724461999</v>
      </c>
      <c r="E67" s="299">
        <f t="shared" si="14"/>
        <v>992</v>
      </c>
    </row>
    <row r="68" spans="1:14" x14ac:dyDescent="0.2">
      <c r="A68" s="302">
        <v>2021</v>
      </c>
      <c r="B68" s="302">
        <v>3</v>
      </c>
      <c r="C68" s="301">
        <f>+'F2020 Del Load &amp; Cust'!E26</f>
        <v>1079882739.3543665</v>
      </c>
      <c r="D68" s="301">
        <f>+'F2020 Del Load &amp; Cust'!E8</f>
        <v>1048558.9711334634</v>
      </c>
      <c r="E68" s="299">
        <f t="shared" si="14"/>
        <v>1030</v>
      </c>
    </row>
    <row r="69" spans="1:14" x14ac:dyDescent="0.2">
      <c r="A69" s="302">
        <v>2021</v>
      </c>
      <c r="B69" s="302">
        <v>4</v>
      </c>
      <c r="C69" s="301">
        <f>+'F2020 Del Load &amp; Cust'!E27</f>
        <v>867761913.91555512</v>
      </c>
      <c r="D69" s="301">
        <f>+'F2020 Del Load &amp; Cust'!E9</f>
        <v>1049109.970298352</v>
      </c>
      <c r="E69" s="299">
        <f t="shared" si="14"/>
        <v>827</v>
      </c>
    </row>
    <row r="70" spans="1:14" x14ac:dyDescent="0.2">
      <c r="A70" s="302">
        <v>2021</v>
      </c>
      <c r="B70" s="302">
        <v>5</v>
      </c>
      <c r="C70" s="301">
        <f>+'F2020 Del Load &amp; Cust'!E28</f>
        <v>777238185.64475775</v>
      </c>
      <c r="D70" s="301">
        <f>+'F2020 Del Load &amp; Cust'!E10</f>
        <v>1049676.9712847632</v>
      </c>
      <c r="E70" s="299">
        <f t="shared" si="14"/>
        <v>740</v>
      </c>
    </row>
    <row r="71" spans="1:14" x14ac:dyDescent="0.2">
      <c r="A71" s="302">
        <v>2021</v>
      </c>
      <c r="B71" s="302">
        <v>6</v>
      </c>
      <c r="C71" s="301">
        <f>+'F2020 Del Load &amp; Cust'!E29</f>
        <v>704136132.95987189</v>
      </c>
      <c r="D71" s="301">
        <f>+'F2020 Del Load &amp; Cust'!E11</f>
        <v>1050242.9718046393</v>
      </c>
      <c r="E71" s="299">
        <f t="shared" si="14"/>
        <v>670</v>
      </c>
    </row>
    <row r="72" spans="1:14" x14ac:dyDescent="0.2">
      <c r="A72" s="302">
        <v>2021</v>
      </c>
      <c r="B72" s="302">
        <v>7</v>
      </c>
      <c r="C72" s="301">
        <f>+'F2020 Del Load &amp; Cust'!E30</f>
        <v>699175112.40135241</v>
      </c>
      <c r="D72" s="301">
        <f>+'F2020 Del Load &amp; Cust'!E12</f>
        <v>1050808.9710468701</v>
      </c>
      <c r="E72" s="299">
        <f t="shared" si="14"/>
        <v>665</v>
      </c>
    </row>
    <row r="73" spans="1:14" x14ac:dyDescent="0.2">
      <c r="A73" s="302">
        <v>2021</v>
      </c>
      <c r="B73" s="302">
        <v>8</v>
      </c>
      <c r="C73" s="301">
        <f>+'F2020 Del Load &amp; Cust'!E31</f>
        <v>712807062.49170995</v>
      </c>
      <c r="D73" s="301">
        <f>+'F2020 Del Load &amp; Cust'!E13</f>
        <v>1051815.9696949415</v>
      </c>
      <c r="E73" s="299">
        <f t="shared" si="14"/>
        <v>678</v>
      </c>
    </row>
    <row r="74" spans="1:14" x14ac:dyDescent="0.2">
      <c r="A74" s="302">
        <v>2021</v>
      </c>
      <c r="B74" s="302">
        <v>9</v>
      </c>
      <c r="C74" s="301">
        <f>+'F2020 Del Load &amp; Cust'!E32</f>
        <v>655958093.68397701</v>
      </c>
      <c r="D74" s="301">
        <f>+'F2020 Del Load &amp; Cust'!E14</f>
        <v>1052822.9696131167</v>
      </c>
      <c r="E74" s="299">
        <f t="shared" si="14"/>
        <v>623</v>
      </c>
    </row>
    <row r="75" spans="1:14" x14ac:dyDescent="0.2">
      <c r="A75" s="302">
        <v>2021</v>
      </c>
      <c r="B75" s="302">
        <v>10</v>
      </c>
      <c r="C75" s="301">
        <f>+'F2020 Del Load &amp; Cust'!E33</f>
        <v>848236807.3439014</v>
      </c>
      <c r="D75" s="301">
        <f>+'F2020 Del Load &amp; Cust'!E15</f>
        <v>1053830.97085763</v>
      </c>
      <c r="E75" s="299">
        <f t="shared" si="14"/>
        <v>805</v>
      </c>
    </row>
    <row r="76" spans="1:14" x14ac:dyDescent="0.2">
      <c r="A76" s="302">
        <v>2021</v>
      </c>
      <c r="B76" s="302">
        <v>11</v>
      </c>
      <c r="C76" s="301">
        <f>+'F2020 Del Load &amp; Cust'!E34</f>
        <v>1078151323.2770572</v>
      </c>
      <c r="D76" s="301">
        <f>+'F2020 Del Load &amp; Cust'!E16</f>
        <v>1055019.9721118484</v>
      </c>
      <c r="E76" s="299">
        <f t="shared" si="14"/>
        <v>1022</v>
      </c>
    </row>
    <row r="77" spans="1:14" x14ac:dyDescent="0.2">
      <c r="A77" s="302">
        <v>2021</v>
      </c>
      <c r="B77" s="302">
        <v>12</v>
      </c>
      <c r="C77" s="301">
        <f>+'F2020 Del Load &amp; Cust'!E35</f>
        <v>1228414998.8540318</v>
      </c>
      <c r="D77" s="301">
        <f>+'F2020 Del Load &amp; Cust'!E17</f>
        <v>1056209.9727106632</v>
      </c>
      <c r="E77" s="299">
        <f t="shared" si="14"/>
        <v>1163</v>
      </c>
    </row>
    <row r="78" spans="1:14" x14ac:dyDescent="0.2">
      <c r="A78" s="300"/>
      <c r="B78" s="300" t="s">
        <v>12</v>
      </c>
      <c r="C78" s="301">
        <f>SUM(C66:C77)</f>
        <v>10966324288.831339</v>
      </c>
      <c r="D78" s="301">
        <f>SUM(D66:D77)</f>
        <v>12611866.656882828</v>
      </c>
      <c r="E78" s="299">
        <f>SUM(E66:E77)</f>
        <v>10434</v>
      </c>
    </row>
    <row r="79" spans="1:14" x14ac:dyDescent="0.2">
      <c r="A79" s="300"/>
      <c r="B79" s="300"/>
      <c r="C79" s="300"/>
      <c r="D79" s="300"/>
      <c r="E79" s="299"/>
    </row>
    <row r="80" spans="1:14" ht="12" thickBot="1" x14ac:dyDescent="0.25">
      <c r="A80" s="298"/>
      <c r="B80" s="298" t="s">
        <v>103</v>
      </c>
      <c r="C80" s="297"/>
      <c r="D80" s="297"/>
      <c r="E80" s="296">
        <f>ROUND(AVERAGE(E66:E77),0)</f>
        <v>870</v>
      </c>
    </row>
  </sheetData>
  <mergeCells count="31">
    <mergeCell ref="C5:F5"/>
    <mergeCell ref="H5:K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4:D44"/>
    <mergeCell ref="A46:D46"/>
    <mergeCell ref="A47:D47"/>
    <mergeCell ref="A48:D48"/>
    <mergeCell ref="A49:D49"/>
    <mergeCell ref="A50:D50"/>
    <mergeCell ref="A51:D51"/>
    <mergeCell ref="A58:D58"/>
    <mergeCell ref="A52:D52"/>
    <mergeCell ref="A53:D53"/>
    <mergeCell ref="A54:D54"/>
    <mergeCell ref="A55:D55"/>
    <mergeCell ref="A56:D56"/>
    <mergeCell ref="A57:D57"/>
  </mergeCells>
  <printOptions horizontalCentered="1"/>
  <pageMargins left="0.25" right="0.25" top="0.75" bottom="0.75" header="0.3" footer="0.3"/>
  <pageSetup scale="52" orientation="landscape" r:id="rId1"/>
  <headerFooter>
    <oddFooter>&amp;L&amp;"Times New Roman,Regular"&amp;F
&amp;A&amp;R&amp;"Times New Roman,Regular"Page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Normal="100" workbookViewId="0">
      <pane xSplit="2" ySplit="8" topLeftCell="D15" activePane="bottomRight" state="frozen"/>
      <selection activeCell="L8" sqref="L8"/>
      <selection pane="topRight" activeCell="L8" sqref="L8"/>
      <selection pane="bottomLeft" activeCell="L8" sqref="L8"/>
      <selection pane="bottomRight" activeCell="E33" sqref="E33"/>
    </sheetView>
  </sheetViews>
  <sheetFormatPr defaultColWidth="6.42578125" defaultRowHeight="12.75" x14ac:dyDescent="0.2"/>
  <cols>
    <col min="1" max="1" width="4.42578125" style="4" bestFit="1" customWidth="1"/>
    <col min="2" max="2" width="22.7109375" style="4" bestFit="1" customWidth="1"/>
    <col min="3" max="5" width="15.140625" style="4" bestFit="1" customWidth="1"/>
    <col min="6" max="7" width="13.28515625" style="4" bestFit="1" customWidth="1"/>
    <col min="8" max="8" width="13.5703125" style="4" bestFit="1" customWidth="1"/>
    <col min="9" max="10" width="12.42578125" style="4" bestFit="1" customWidth="1"/>
    <col min="11" max="11" width="13" style="4" customWidth="1"/>
    <col min="12" max="13" width="13.5703125" style="4" customWidth="1"/>
    <col min="14" max="14" width="13.5703125" style="4" bestFit="1" customWidth="1"/>
    <col min="15" max="15" width="13.28515625" style="4" bestFit="1" customWidth="1"/>
    <col min="16" max="16384" width="6.42578125" style="4"/>
  </cols>
  <sheetData>
    <row r="1" spans="1:15" x14ac:dyDescent="0.2">
      <c r="A1" s="396" t="s">
        <v>13</v>
      </c>
      <c r="B1" s="396"/>
      <c r="C1" s="396"/>
      <c r="D1" s="396"/>
      <c r="E1" s="396"/>
      <c r="F1" s="396"/>
      <c r="G1" s="396"/>
      <c r="H1" s="396"/>
      <c r="I1" s="396"/>
      <c r="J1" s="396"/>
      <c r="K1" s="396"/>
      <c r="L1" s="396"/>
      <c r="M1" s="396"/>
      <c r="N1" s="396"/>
      <c r="O1" s="396"/>
    </row>
    <row r="2" spans="1:15" x14ac:dyDescent="0.2">
      <c r="A2" s="397" t="s">
        <v>374</v>
      </c>
      <c r="B2" s="396"/>
      <c r="C2" s="396"/>
      <c r="D2" s="396"/>
      <c r="E2" s="396"/>
      <c r="F2" s="396"/>
      <c r="G2" s="396"/>
      <c r="H2" s="396"/>
      <c r="I2" s="396"/>
      <c r="J2" s="396"/>
      <c r="K2" s="396"/>
      <c r="L2" s="396"/>
      <c r="M2" s="396"/>
      <c r="N2" s="396"/>
      <c r="O2" s="396"/>
    </row>
    <row r="3" spans="1:15" x14ac:dyDescent="0.2">
      <c r="A3" s="397" t="s">
        <v>373</v>
      </c>
      <c r="B3" s="396"/>
      <c r="C3" s="396"/>
      <c r="D3" s="396"/>
      <c r="E3" s="396"/>
      <c r="F3" s="396"/>
      <c r="G3" s="396"/>
      <c r="H3" s="396"/>
      <c r="I3" s="396"/>
      <c r="J3" s="396"/>
      <c r="K3" s="396"/>
      <c r="L3" s="396"/>
      <c r="M3" s="396"/>
      <c r="N3" s="396"/>
      <c r="O3" s="396"/>
    </row>
    <row r="4" spans="1:15" x14ac:dyDescent="0.2">
      <c r="A4" s="397"/>
      <c r="B4" s="396"/>
      <c r="C4" s="396"/>
      <c r="D4" s="396"/>
      <c r="E4" s="396"/>
      <c r="F4" s="396"/>
      <c r="G4" s="396"/>
      <c r="H4" s="396"/>
      <c r="I4" s="396"/>
      <c r="J4" s="396"/>
      <c r="K4" s="396"/>
      <c r="L4" s="396"/>
      <c r="M4" s="396"/>
      <c r="N4" s="396"/>
      <c r="O4" s="396"/>
    </row>
    <row r="5" spans="1:15" x14ac:dyDescent="0.2">
      <c r="A5" s="72"/>
      <c r="B5" s="68"/>
      <c r="C5" s="68"/>
      <c r="D5" s="68"/>
      <c r="E5" s="68"/>
      <c r="F5" s="68"/>
      <c r="G5" s="349"/>
      <c r="H5" s="68"/>
      <c r="I5" s="68"/>
      <c r="J5" s="68"/>
      <c r="K5" s="117"/>
      <c r="L5" s="117"/>
      <c r="M5" s="123"/>
      <c r="N5" s="68"/>
      <c r="O5" s="68"/>
    </row>
    <row r="6" spans="1:15" x14ac:dyDescent="0.2">
      <c r="A6" s="72"/>
      <c r="B6" s="68"/>
      <c r="C6" s="68"/>
      <c r="D6" s="68"/>
      <c r="E6" s="68"/>
      <c r="F6" s="68"/>
      <c r="G6" s="349"/>
      <c r="H6" s="68"/>
      <c r="I6" s="68"/>
      <c r="J6" s="68"/>
      <c r="K6" s="117"/>
      <c r="L6" s="117"/>
      <c r="M6" s="123"/>
      <c r="N6" s="68"/>
      <c r="O6" s="68"/>
    </row>
    <row r="7" spans="1:15" s="5" customFormat="1" ht="63.75" x14ac:dyDescent="0.2">
      <c r="A7" s="89" t="s">
        <v>0</v>
      </c>
      <c r="B7" s="89" t="s">
        <v>108</v>
      </c>
      <c r="C7" s="67" t="s">
        <v>109</v>
      </c>
      <c r="D7" s="90" t="s">
        <v>402</v>
      </c>
      <c r="E7" s="90" t="s">
        <v>110</v>
      </c>
      <c r="F7" s="90" t="s">
        <v>365</v>
      </c>
      <c r="G7" s="90" t="s">
        <v>401</v>
      </c>
      <c r="H7" s="90" t="s">
        <v>111</v>
      </c>
      <c r="I7" s="90" t="s">
        <v>112</v>
      </c>
      <c r="J7" s="90" t="s">
        <v>113</v>
      </c>
      <c r="K7" s="90" t="s">
        <v>335</v>
      </c>
      <c r="L7" s="90" t="s">
        <v>336</v>
      </c>
      <c r="M7" s="294" t="s">
        <v>366</v>
      </c>
      <c r="N7" s="90" t="s">
        <v>114</v>
      </c>
      <c r="O7" s="90" t="s">
        <v>115</v>
      </c>
    </row>
    <row r="8" spans="1:15" s="5" customFormat="1" ht="30.75" customHeight="1" x14ac:dyDescent="0.2">
      <c r="A8" s="18"/>
      <c r="B8" s="18"/>
      <c r="C8" s="91" t="s">
        <v>14</v>
      </c>
      <c r="D8" s="92" t="s">
        <v>427</v>
      </c>
      <c r="E8" s="91" t="s">
        <v>16</v>
      </c>
      <c r="F8" s="92" t="s">
        <v>67</v>
      </c>
      <c r="G8" s="114" t="s">
        <v>125</v>
      </c>
      <c r="H8" s="114" t="s">
        <v>90</v>
      </c>
      <c r="I8" s="115" t="s">
        <v>130</v>
      </c>
      <c r="J8" s="114" t="s">
        <v>126</v>
      </c>
      <c r="K8" s="114" t="s">
        <v>127</v>
      </c>
      <c r="L8" s="114" t="s">
        <v>92</v>
      </c>
      <c r="M8" s="114" t="s">
        <v>128</v>
      </c>
      <c r="N8" s="114" t="s">
        <v>129</v>
      </c>
      <c r="O8" s="114" t="s">
        <v>333</v>
      </c>
    </row>
    <row r="9" spans="1:15" s="5" customFormat="1" x14ac:dyDescent="0.2">
      <c r="A9" s="68">
        <v>1</v>
      </c>
      <c r="B9" s="71">
        <v>7</v>
      </c>
      <c r="C9" s="82">
        <v>10966324000</v>
      </c>
      <c r="D9" s="93">
        <f>SUM(E9:O9)</f>
        <v>1174744000</v>
      </c>
      <c r="E9" s="291">
        <v>1210429000</v>
      </c>
      <c r="F9" s="291">
        <v>0</v>
      </c>
      <c r="G9" s="291">
        <v>-20759000</v>
      </c>
      <c r="H9" s="291">
        <v>51092000</v>
      </c>
      <c r="I9" s="291">
        <v>11668000</v>
      </c>
      <c r="J9" s="291">
        <v>35191000</v>
      </c>
      <c r="K9" s="291">
        <v>-33074000</v>
      </c>
      <c r="L9" s="291">
        <v>-669000</v>
      </c>
      <c r="M9" s="291">
        <v>-9694000</v>
      </c>
      <c r="N9" s="291">
        <v>11559000</v>
      </c>
      <c r="O9" s="291">
        <v>-80999000</v>
      </c>
    </row>
    <row r="10" spans="1:15" x14ac:dyDescent="0.2">
      <c r="A10" s="68">
        <f>+A9+1</f>
        <v>2</v>
      </c>
      <c r="B10" s="94" t="s">
        <v>1</v>
      </c>
      <c r="C10" s="95">
        <f t="shared" ref="C10:D10" si="0">SUM(C9:C9)</f>
        <v>10966324000</v>
      </c>
      <c r="D10" s="96">
        <f t="shared" si="0"/>
        <v>1174744000</v>
      </c>
      <c r="E10" s="292">
        <f t="shared" ref="E10:F10" si="1">SUM(E9:E9)</f>
        <v>1210429000</v>
      </c>
      <c r="F10" s="292">
        <f t="shared" si="1"/>
        <v>0</v>
      </c>
      <c r="G10" s="292">
        <f t="shared" ref="G10" si="2">SUM(G9:G9)</f>
        <v>-20759000</v>
      </c>
      <c r="H10" s="292">
        <f t="shared" ref="H10:J10" si="3">SUM(H9:H9)</f>
        <v>51092000</v>
      </c>
      <c r="I10" s="292">
        <f t="shared" si="3"/>
        <v>11668000</v>
      </c>
      <c r="J10" s="292">
        <f t="shared" si="3"/>
        <v>35191000</v>
      </c>
      <c r="K10" s="292">
        <f t="shared" ref="K10:L10" si="4">SUM(K9:K9)</f>
        <v>-33074000</v>
      </c>
      <c r="L10" s="292">
        <f t="shared" si="4"/>
        <v>-669000</v>
      </c>
      <c r="M10" s="292">
        <f t="shared" ref="M10:O10" si="5">SUM(M9:M9)</f>
        <v>-9694000</v>
      </c>
      <c r="N10" s="292">
        <f t="shared" si="5"/>
        <v>11559000</v>
      </c>
      <c r="O10" s="292">
        <f t="shared" si="5"/>
        <v>-80999000</v>
      </c>
    </row>
    <row r="11" spans="1:15" x14ac:dyDescent="0.2">
      <c r="A11" s="68">
        <f t="shared" ref="A11:A35" si="6">+A10+1</f>
        <v>3</v>
      </c>
      <c r="B11" s="68"/>
      <c r="C11" s="82"/>
      <c r="D11" s="93"/>
      <c r="E11" s="291"/>
      <c r="F11" s="291"/>
      <c r="G11" s="291"/>
      <c r="H11" s="291"/>
      <c r="I11" s="291"/>
      <c r="J11" s="291"/>
      <c r="K11" s="291"/>
      <c r="L11" s="291"/>
      <c r="M11" s="291"/>
      <c r="N11" s="291"/>
      <c r="O11" s="291"/>
    </row>
    <row r="12" spans="1:15" x14ac:dyDescent="0.2">
      <c r="A12" s="68">
        <f t="shared" si="6"/>
        <v>4</v>
      </c>
      <c r="B12" s="71" t="s">
        <v>323</v>
      </c>
      <c r="C12" s="82">
        <v>2695442000</v>
      </c>
      <c r="D12" s="93">
        <f>SUM(E12:O12)</f>
        <v>295441000</v>
      </c>
      <c r="E12" s="291">
        <v>278756000</v>
      </c>
      <c r="F12" s="291">
        <v>0</v>
      </c>
      <c r="G12" s="291">
        <v>-4722000</v>
      </c>
      <c r="H12" s="291">
        <v>11642000</v>
      </c>
      <c r="I12" s="291">
        <v>2735000</v>
      </c>
      <c r="J12" s="291">
        <v>7121000</v>
      </c>
      <c r="K12" s="291">
        <v>-6558000</v>
      </c>
      <c r="L12" s="291">
        <v>-135000</v>
      </c>
      <c r="M12" s="291">
        <v>-1921000</v>
      </c>
      <c r="N12" s="291">
        <v>10237000</v>
      </c>
      <c r="O12" s="291">
        <v>-1714000</v>
      </c>
    </row>
    <row r="13" spans="1:15" x14ac:dyDescent="0.2">
      <c r="A13" s="68">
        <f t="shared" si="6"/>
        <v>5</v>
      </c>
      <c r="B13" s="97" t="s">
        <v>324</v>
      </c>
      <c r="C13" s="82">
        <v>2864927000</v>
      </c>
      <c r="D13" s="93">
        <f>SUM(E13:O13)</f>
        <v>275850000</v>
      </c>
      <c r="E13" s="291">
        <v>269861000</v>
      </c>
      <c r="F13" s="291">
        <v>0</v>
      </c>
      <c r="G13" s="291">
        <v>-4770000</v>
      </c>
      <c r="H13" s="291">
        <v>11738000</v>
      </c>
      <c r="I13" s="291">
        <v>2621000</v>
      </c>
      <c r="J13" s="291">
        <v>6569000</v>
      </c>
      <c r="K13" s="291">
        <v>-6538000</v>
      </c>
      <c r="L13" s="291">
        <v>-128000</v>
      </c>
      <c r="M13" s="291">
        <v>-1917000</v>
      </c>
      <c r="N13" s="291">
        <v>-521000</v>
      </c>
      <c r="O13" s="291">
        <v>-1065000</v>
      </c>
    </row>
    <row r="14" spans="1:15" x14ac:dyDescent="0.2">
      <c r="A14" s="68">
        <f t="shared" si="6"/>
        <v>6</v>
      </c>
      <c r="B14" s="97" t="s">
        <v>325</v>
      </c>
      <c r="C14" s="82">
        <v>1692365000</v>
      </c>
      <c r="D14" s="93">
        <f>SUM(E14:O14)</f>
        <v>153058000</v>
      </c>
      <c r="E14" s="291">
        <v>146077000</v>
      </c>
      <c r="F14" s="291">
        <v>0</v>
      </c>
      <c r="G14" s="291">
        <v>-3098000</v>
      </c>
      <c r="H14" s="291">
        <v>7653000</v>
      </c>
      <c r="I14" s="291">
        <v>1437000</v>
      </c>
      <c r="J14" s="291">
        <v>3832000</v>
      </c>
      <c r="K14" s="291">
        <v>-3333000</v>
      </c>
      <c r="L14" s="291">
        <v>-76000</v>
      </c>
      <c r="M14" s="291">
        <v>-977000</v>
      </c>
      <c r="N14" s="291">
        <v>1669000</v>
      </c>
      <c r="O14" s="291">
        <v>-126000</v>
      </c>
    </row>
    <row r="15" spans="1:15" x14ac:dyDescent="0.2">
      <c r="A15" s="68">
        <f t="shared" si="6"/>
        <v>7</v>
      </c>
      <c r="B15" s="71">
        <v>29</v>
      </c>
      <c r="C15" s="82">
        <v>14610000</v>
      </c>
      <c r="D15" s="93">
        <f>SUM(E15:O15)</f>
        <v>1116000</v>
      </c>
      <c r="E15" s="291">
        <v>1196000</v>
      </c>
      <c r="F15" s="291">
        <v>0</v>
      </c>
      <c r="G15" s="291">
        <v>-20000</v>
      </c>
      <c r="H15" s="291">
        <v>49000</v>
      </c>
      <c r="I15" s="291">
        <v>12000</v>
      </c>
      <c r="J15" s="291">
        <v>34000</v>
      </c>
      <c r="K15" s="291">
        <v>-33000</v>
      </c>
      <c r="L15" s="291">
        <v>-1000</v>
      </c>
      <c r="M15" s="291">
        <v>-10000</v>
      </c>
      <c r="N15" s="291">
        <v>-3000</v>
      </c>
      <c r="O15" s="291">
        <v>-108000</v>
      </c>
    </row>
    <row r="16" spans="1:15" x14ac:dyDescent="0.2">
      <c r="A16" s="68">
        <f t="shared" si="6"/>
        <v>8</v>
      </c>
      <c r="B16" s="98" t="s">
        <v>70</v>
      </c>
      <c r="C16" s="95">
        <f t="shared" ref="C16:D16" si="7">SUM(C12:C15)</f>
        <v>7267344000</v>
      </c>
      <c r="D16" s="96">
        <f t="shared" si="7"/>
        <v>725465000</v>
      </c>
      <c r="E16" s="292">
        <f t="shared" ref="E16:F16" si="8">SUM(E12:E15)</f>
        <v>695890000</v>
      </c>
      <c r="F16" s="292">
        <f t="shared" si="8"/>
        <v>0</v>
      </c>
      <c r="G16" s="292">
        <f t="shared" ref="G16" si="9">SUM(G12:G15)</f>
        <v>-12610000</v>
      </c>
      <c r="H16" s="292">
        <f t="shared" ref="H16:J16" si="10">SUM(H12:H15)</f>
        <v>31082000</v>
      </c>
      <c r="I16" s="292">
        <f t="shared" si="10"/>
        <v>6805000</v>
      </c>
      <c r="J16" s="292">
        <f t="shared" si="10"/>
        <v>17556000</v>
      </c>
      <c r="K16" s="292">
        <f t="shared" ref="K16:L16" si="11">SUM(K12:K15)</f>
        <v>-16462000</v>
      </c>
      <c r="L16" s="292">
        <f t="shared" si="11"/>
        <v>-340000</v>
      </c>
      <c r="M16" s="292">
        <f t="shared" ref="M16:O16" si="12">SUM(M12:M15)</f>
        <v>-4825000</v>
      </c>
      <c r="N16" s="292">
        <f t="shared" si="12"/>
        <v>11382000</v>
      </c>
      <c r="O16" s="292">
        <f t="shared" si="12"/>
        <v>-3013000</v>
      </c>
    </row>
    <row r="17" spans="1:15" x14ac:dyDescent="0.2">
      <c r="A17" s="68">
        <f t="shared" si="6"/>
        <v>9</v>
      </c>
      <c r="B17" s="68"/>
      <c r="C17" s="82"/>
      <c r="D17" s="93"/>
      <c r="E17" s="291"/>
      <c r="F17" s="291"/>
      <c r="G17" s="291"/>
      <c r="H17" s="291"/>
      <c r="I17" s="291"/>
      <c r="J17" s="291"/>
      <c r="K17" s="291"/>
      <c r="L17" s="291"/>
      <c r="M17" s="291"/>
      <c r="N17" s="291"/>
      <c r="O17" s="291"/>
    </row>
    <row r="18" spans="1:15" x14ac:dyDescent="0.2">
      <c r="A18" s="68">
        <f t="shared" si="6"/>
        <v>10</v>
      </c>
      <c r="B18" s="71" t="s">
        <v>326</v>
      </c>
      <c r="C18" s="82">
        <v>1291578000</v>
      </c>
      <c r="D18" s="93">
        <f>SUM(E18:O18)</f>
        <v>116728000</v>
      </c>
      <c r="E18" s="291">
        <v>110154000</v>
      </c>
      <c r="F18" s="291">
        <v>0</v>
      </c>
      <c r="G18" s="291">
        <v>-2121000</v>
      </c>
      <c r="H18" s="291">
        <v>5232000</v>
      </c>
      <c r="I18" s="291">
        <v>1088000</v>
      </c>
      <c r="J18" s="291">
        <v>2736000</v>
      </c>
      <c r="K18" s="291">
        <v>-2602000</v>
      </c>
      <c r="L18" s="291">
        <v>-54000</v>
      </c>
      <c r="M18" s="291">
        <v>-762000</v>
      </c>
      <c r="N18" s="291">
        <v>3294000</v>
      </c>
      <c r="O18" s="291">
        <v>-237000</v>
      </c>
    </row>
    <row r="19" spans="1:15" x14ac:dyDescent="0.2">
      <c r="A19" s="68">
        <f t="shared" si="6"/>
        <v>11</v>
      </c>
      <c r="B19" s="71">
        <v>35</v>
      </c>
      <c r="C19" s="82">
        <v>4335000</v>
      </c>
      <c r="D19" s="93">
        <f>SUM(E19:O19)</f>
        <v>254000</v>
      </c>
      <c r="E19" s="291">
        <v>285000</v>
      </c>
      <c r="F19" s="291">
        <v>0</v>
      </c>
      <c r="G19" s="291">
        <v>-6000</v>
      </c>
      <c r="H19" s="291">
        <v>14000</v>
      </c>
      <c r="I19" s="291">
        <v>3000</v>
      </c>
      <c r="J19" s="291">
        <v>9000</v>
      </c>
      <c r="K19" s="291">
        <v>-14000</v>
      </c>
      <c r="L19" s="291">
        <v>0</v>
      </c>
      <c r="M19" s="291">
        <v>-4000</v>
      </c>
      <c r="N19" s="291">
        <v>-1000</v>
      </c>
      <c r="O19" s="291">
        <v>-32000</v>
      </c>
    </row>
    <row r="20" spans="1:15" x14ac:dyDescent="0.2">
      <c r="A20" s="68">
        <f t="shared" si="6"/>
        <v>12</v>
      </c>
      <c r="B20" s="71">
        <v>43</v>
      </c>
      <c r="C20" s="82">
        <v>111277000</v>
      </c>
      <c r="D20" s="93">
        <f>SUM(E20:O20)</f>
        <v>10505000</v>
      </c>
      <c r="E20" s="291">
        <v>10275000</v>
      </c>
      <c r="F20" s="291">
        <v>0</v>
      </c>
      <c r="G20" s="291">
        <v>-152000</v>
      </c>
      <c r="H20" s="291">
        <v>374000</v>
      </c>
      <c r="I20" s="291">
        <v>99000</v>
      </c>
      <c r="J20" s="291">
        <v>335000</v>
      </c>
      <c r="K20" s="291">
        <v>-309000</v>
      </c>
      <c r="L20" s="291">
        <v>-7000</v>
      </c>
      <c r="M20" s="291">
        <v>-90000</v>
      </c>
      <c r="N20" s="291">
        <v>-20000</v>
      </c>
      <c r="O20" s="291">
        <v>0</v>
      </c>
    </row>
    <row r="21" spans="1:15" x14ac:dyDescent="0.2">
      <c r="A21" s="68">
        <f t="shared" si="6"/>
        <v>13</v>
      </c>
      <c r="B21" s="94" t="s">
        <v>71</v>
      </c>
      <c r="C21" s="95">
        <f t="shared" ref="C21:D21" si="13">SUM(C18:C20)</f>
        <v>1407190000</v>
      </c>
      <c r="D21" s="96">
        <f t="shared" si="13"/>
        <v>127487000</v>
      </c>
      <c r="E21" s="292">
        <f t="shared" ref="E21:F21" si="14">SUM(E18:E20)</f>
        <v>120714000</v>
      </c>
      <c r="F21" s="292">
        <f t="shared" si="14"/>
        <v>0</v>
      </c>
      <c r="G21" s="292">
        <f t="shared" ref="G21" si="15">SUM(G18:G20)</f>
        <v>-2279000</v>
      </c>
      <c r="H21" s="292">
        <f t="shared" ref="H21:J21" si="16">SUM(H18:H20)</f>
        <v>5620000</v>
      </c>
      <c r="I21" s="292">
        <f t="shared" si="16"/>
        <v>1190000</v>
      </c>
      <c r="J21" s="292">
        <f t="shared" si="16"/>
        <v>3080000</v>
      </c>
      <c r="K21" s="292">
        <f t="shared" ref="K21:L21" si="17">SUM(K18:K20)</f>
        <v>-2925000</v>
      </c>
      <c r="L21" s="292">
        <f t="shared" si="17"/>
        <v>-61000</v>
      </c>
      <c r="M21" s="292">
        <f t="shared" ref="M21:O21" si="18">SUM(M18:M20)</f>
        <v>-856000</v>
      </c>
      <c r="N21" s="292">
        <f t="shared" si="18"/>
        <v>3273000</v>
      </c>
      <c r="O21" s="292">
        <f t="shared" si="18"/>
        <v>-269000</v>
      </c>
    </row>
    <row r="22" spans="1:15" x14ac:dyDescent="0.2">
      <c r="A22" s="68">
        <f t="shared" si="6"/>
        <v>14</v>
      </c>
      <c r="B22" s="68"/>
      <c r="C22" s="82"/>
      <c r="D22" s="93"/>
      <c r="E22" s="291"/>
      <c r="F22" s="291"/>
      <c r="G22" s="291"/>
      <c r="H22" s="291"/>
      <c r="I22" s="291"/>
      <c r="J22" s="291"/>
      <c r="K22" s="291"/>
      <c r="L22" s="291"/>
      <c r="M22" s="291"/>
      <c r="N22" s="291"/>
      <c r="O22" s="291"/>
    </row>
    <row r="23" spans="1:15" x14ac:dyDescent="0.2">
      <c r="A23" s="123">
        <f t="shared" si="6"/>
        <v>15</v>
      </c>
      <c r="B23" s="71">
        <v>46</v>
      </c>
      <c r="C23" s="82">
        <v>65285000</v>
      </c>
      <c r="D23" s="93">
        <f>SUM(E23:O23)</f>
        <v>4640000</v>
      </c>
      <c r="E23" s="291">
        <v>4519000</v>
      </c>
      <c r="F23" s="291">
        <v>0</v>
      </c>
      <c r="G23" s="291">
        <v>-68000</v>
      </c>
      <c r="H23" s="291">
        <v>166000</v>
      </c>
      <c r="I23" s="291">
        <v>44000</v>
      </c>
      <c r="J23" s="291">
        <v>110000</v>
      </c>
      <c r="K23" s="291">
        <v>-100000</v>
      </c>
      <c r="L23" s="291">
        <v>-2000</v>
      </c>
      <c r="M23" s="291">
        <v>-29000</v>
      </c>
      <c r="N23" s="291">
        <v>0</v>
      </c>
      <c r="O23" s="291">
        <v>0</v>
      </c>
    </row>
    <row r="24" spans="1:15" x14ac:dyDescent="0.2">
      <c r="A24" s="68">
        <f t="shared" si="6"/>
        <v>16</v>
      </c>
      <c r="B24" s="71">
        <v>49</v>
      </c>
      <c r="C24" s="82">
        <v>517424000</v>
      </c>
      <c r="D24" s="93">
        <f>SUM(E24:O24)</f>
        <v>36241000</v>
      </c>
      <c r="E24" s="291">
        <v>34844000</v>
      </c>
      <c r="F24" s="291">
        <v>0</v>
      </c>
      <c r="G24" s="291">
        <v>-841000</v>
      </c>
      <c r="H24" s="291">
        <v>2070000</v>
      </c>
      <c r="I24" s="291">
        <v>345000</v>
      </c>
      <c r="J24" s="291">
        <v>868000</v>
      </c>
      <c r="K24" s="291">
        <v>-794000</v>
      </c>
      <c r="L24" s="291">
        <v>-18000</v>
      </c>
      <c r="M24" s="291">
        <v>-233000</v>
      </c>
      <c r="N24" s="291">
        <v>0</v>
      </c>
      <c r="O24" s="291">
        <v>0</v>
      </c>
    </row>
    <row r="25" spans="1:15" x14ac:dyDescent="0.2">
      <c r="A25" s="68">
        <f t="shared" si="6"/>
        <v>17</v>
      </c>
      <c r="B25" s="94" t="s">
        <v>72</v>
      </c>
      <c r="C25" s="95">
        <f t="shared" ref="C25" si="19">SUM(C23:C24)</f>
        <v>582709000</v>
      </c>
      <c r="D25" s="96">
        <f t="shared" ref="D25" si="20">SUM(D23:D24)</f>
        <v>40881000</v>
      </c>
      <c r="E25" s="292">
        <f t="shared" ref="E25:F25" si="21">SUM(E23:E24)</f>
        <v>39363000</v>
      </c>
      <c r="F25" s="292">
        <f t="shared" si="21"/>
        <v>0</v>
      </c>
      <c r="G25" s="292">
        <f t="shared" ref="G25" si="22">SUM(G23:G24)</f>
        <v>-909000</v>
      </c>
      <c r="H25" s="292">
        <f t="shared" ref="H25:J25" si="23">SUM(H23:H24)</f>
        <v>2236000</v>
      </c>
      <c r="I25" s="292">
        <f t="shared" si="23"/>
        <v>389000</v>
      </c>
      <c r="J25" s="292">
        <f t="shared" si="23"/>
        <v>978000</v>
      </c>
      <c r="K25" s="292">
        <f t="shared" ref="K25:L25" si="24">SUM(K23:K24)</f>
        <v>-894000</v>
      </c>
      <c r="L25" s="292">
        <f t="shared" si="24"/>
        <v>-20000</v>
      </c>
      <c r="M25" s="292">
        <f t="shared" ref="M25:O25" si="25">SUM(M23:M24)</f>
        <v>-262000</v>
      </c>
      <c r="N25" s="292">
        <f t="shared" si="25"/>
        <v>0</v>
      </c>
      <c r="O25" s="292">
        <f t="shared" si="25"/>
        <v>0</v>
      </c>
    </row>
    <row r="26" spans="1:15" x14ac:dyDescent="0.2">
      <c r="A26" s="68">
        <f t="shared" si="6"/>
        <v>18</v>
      </c>
      <c r="B26" s="71"/>
      <c r="C26" s="82"/>
      <c r="D26" s="93"/>
      <c r="E26" s="291"/>
      <c r="F26" s="291"/>
      <c r="G26" s="291"/>
      <c r="H26" s="291"/>
      <c r="I26" s="291"/>
      <c r="J26" s="291"/>
      <c r="K26" s="291"/>
      <c r="L26" s="291"/>
      <c r="M26" s="291"/>
      <c r="N26" s="291"/>
      <c r="O26" s="291"/>
    </row>
    <row r="27" spans="1:15" x14ac:dyDescent="0.2">
      <c r="A27" s="68">
        <f t="shared" si="6"/>
        <v>19</v>
      </c>
      <c r="B27" s="71" t="s">
        <v>63</v>
      </c>
      <c r="C27" s="95">
        <v>63689000</v>
      </c>
      <c r="D27" s="96">
        <f>SUM(E27:O27)</f>
        <v>16106000</v>
      </c>
      <c r="E27" s="292">
        <v>15885000</v>
      </c>
      <c r="F27" s="292">
        <v>0</v>
      </c>
      <c r="G27" s="292">
        <v>-130000</v>
      </c>
      <c r="H27" s="292">
        <v>319000</v>
      </c>
      <c r="I27" s="292">
        <v>152000</v>
      </c>
      <c r="J27" s="292">
        <v>607000</v>
      </c>
      <c r="K27" s="292">
        <v>-544000</v>
      </c>
      <c r="L27" s="292">
        <v>-12000</v>
      </c>
      <c r="M27" s="292">
        <v>-159000</v>
      </c>
      <c r="N27" s="292">
        <v>0</v>
      </c>
      <c r="O27" s="292">
        <v>-12000</v>
      </c>
    </row>
    <row r="28" spans="1:15" x14ac:dyDescent="0.2">
      <c r="A28" s="68">
        <f t="shared" si="6"/>
        <v>20</v>
      </c>
      <c r="B28" s="71"/>
      <c r="C28" s="82"/>
      <c r="D28" s="93"/>
      <c r="E28" s="291"/>
      <c r="F28" s="291"/>
      <c r="G28" s="291"/>
      <c r="H28" s="291"/>
      <c r="I28" s="291"/>
      <c r="J28" s="291"/>
      <c r="K28" s="291"/>
      <c r="L28" s="291"/>
      <c r="M28" s="291"/>
      <c r="N28" s="291"/>
      <c r="O28" s="291"/>
    </row>
    <row r="29" spans="1:15" x14ac:dyDescent="0.2">
      <c r="A29" s="68">
        <f t="shared" si="6"/>
        <v>21</v>
      </c>
      <c r="B29" s="71" t="s">
        <v>334</v>
      </c>
      <c r="C29" s="95">
        <v>2468540000</v>
      </c>
      <c r="D29" s="96">
        <f>SUM(E29:O29)</f>
        <v>24687000</v>
      </c>
      <c r="E29" s="292">
        <v>16127000</v>
      </c>
      <c r="F29" s="292">
        <v>0</v>
      </c>
      <c r="G29" s="292">
        <v>0</v>
      </c>
      <c r="H29" s="292">
        <v>4061000</v>
      </c>
      <c r="I29" s="292">
        <v>381000</v>
      </c>
      <c r="J29" s="292">
        <v>1054000</v>
      </c>
      <c r="K29" s="292">
        <v>-494000</v>
      </c>
      <c r="L29" s="292">
        <v>-33000</v>
      </c>
      <c r="M29" s="292">
        <v>-146000</v>
      </c>
      <c r="N29" s="292">
        <v>3737000</v>
      </c>
      <c r="O29" s="292">
        <v>0</v>
      </c>
    </row>
    <row r="30" spans="1:15" x14ac:dyDescent="0.2">
      <c r="A30" s="68">
        <f t="shared" si="6"/>
        <v>22</v>
      </c>
      <c r="B30" s="71"/>
      <c r="C30" s="82"/>
      <c r="D30" s="93"/>
      <c r="E30" s="291"/>
      <c r="F30" s="291"/>
      <c r="G30" s="291"/>
      <c r="H30" s="291"/>
      <c r="I30" s="291"/>
      <c r="J30" s="291"/>
      <c r="K30" s="291"/>
      <c r="L30" s="291"/>
      <c r="M30" s="291"/>
      <c r="N30" s="291"/>
      <c r="O30" s="291"/>
    </row>
    <row r="31" spans="1:15" ht="13.5" thickBot="1" x14ac:dyDescent="0.25">
      <c r="A31" s="68">
        <f t="shared" si="6"/>
        <v>23</v>
      </c>
      <c r="B31" s="94" t="s">
        <v>12</v>
      </c>
      <c r="C31" s="99">
        <f>SUM(C10,C16,C21,C25,C27,C29)</f>
        <v>22755796000</v>
      </c>
      <c r="D31" s="99">
        <f t="shared" ref="D31" si="26">SUM(D10,D16,D21,D25,D27,D29)</f>
        <v>2109370000</v>
      </c>
      <c r="E31" s="293">
        <f>SUM(E10,E16,E21,E25,E27,E29)</f>
        <v>2098408000</v>
      </c>
      <c r="F31" s="293">
        <f>SUM(F10,F16,F21,F25,F27,F29)</f>
        <v>0</v>
      </c>
      <c r="G31" s="293">
        <f>SUM(G10,G16,G21,G25,G27,G29)</f>
        <v>-36687000</v>
      </c>
      <c r="H31" s="293">
        <f t="shared" ref="H31:J31" si="27">SUM(H10,H16,H21,H25,H27,H29)</f>
        <v>94410000</v>
      </c>
      <c r="I31" s="293">
        <f t="shared" si="27"/>
        <v>20585000</v>
      </c>
      <c r="J31" s="293">
        <f t="shared" si="27"/>
        <v>58466000</v>
      </c>
      <c r="K31" s="293">
        <f t="shared" ref="K31:L31" si="28">SUM(K10,K16,K21,K25,K27,K29)</f>
        <v>-54393000</v>
      </c>
      <c r="L31" s="293">
        <f t="shared" si="28"/>
        <v>-1135000</v>
      </c>
      <c r="M31" s="293">
        <f t="shared" ref="M31:O31" si="29">SUM(M10,M16,M21,M25,M27,M29)</f>
        <v>-15942000</v>
      </c>
      <c r="N31" s="293">
        <f t="shared" si="29"/>
        <v>29951000</v>
      </c>
      <c r="O31" s="293">
        <f t="shared" si="29"/>
        <v>-84293000</v>
      </c>
    </row>
    <row r="32" spans="1:15" ht="13.5" thickTop="1" x14ac:dyDescent="0.2">
      <c r="A32" s="68">
        <f t="shared" si="6"/>
        <v>24</v>
      </c>
      <c r="B32" s="71"/>
      <c r="C32" s="70"/>
      <c r="D32" s="32"/>
      <c r="E32" s="121"/>
      <c r="F32" s="121"/>
      <c r="G32" s="121"/>
      <c r="H32" s="121"/>
      <c r="I32" s="121"/>
      <c r="J32" s="121"/>
      <c r="K32" s="121"/>
      <c r="L32" s="121"/>
      <c r="M32" s="121"/>
      <c r="N32" s="121"/>
      <c r="O32" s="121"/>
    </row>
    <row r="33" spans="1:15" x14ac:dyDescent="0.2">
      <c r="A33" s="68">
        <f t="shared" si="6"/>
        <v>25</v>
      </c>
      <c r="B33" s="71">
        <v>5</v>
      </c>
      <c r="C33" s="95">
        <v>7435000</v>
      </c>
      <c r="D33" s="96">
        <f>SUM(E33:O33)</f>
        <v>719000</v>
      </c>
      <c r="E33" s="292">
        <v>719000</v>
      </c>
      <c r="F33" s="292">
        <v>0</v>
      </c>
      <c r="G33" s="292">
        <v>0</v>
      </c>
      <c r="H33" s="292">
        <v>0</v>
      </c>
      <c r="I33" s="292">
        <v>0</v>
      </c>
      <c r="J33" s="292">
        <v>0</v>
      </c>
      <c r="K33" s="292">
        <v>0</v>
      </c>
      <c r="L33" s="292">
        <v>0</v>
      </c>
      <c r="M33" s="292">
        <v>0</v>
      </c>
      <c r="N33" s="292">
        <v>0</v>
      </c>
      <c r="O33" s="292">
        <v>0</v>
      </c>
    </row>
    <row r="34" spans="1:15" x14ac:dyDescent="0.2">
      <c r="A34" s="68">
        <f t="shared" si="6"/>
        <v>26</v>
      </c>
      <c r="B34" s="71"/>
      <c r="C34" s="70"/>
      <c r="D34" s="32"/>
      <c r="E34" s="121"/>
      <c r="F34" s="121"/>
      <c r="G34" s="121"/>
      <c r="H34" s="121"/>
      <c r="I34" s="121"/>
      <c r="J34" s="121"/>
      <c r="K34" s="121"/>
      <c r="L34" s="121"/>
      <c r="M34" s="121"/>
      <c r="N34" s="121"/>
      <c r="O34" s="121"/>
    </row>
    <row r="35" spans="1:15" ht="13.5" thickBot="1" x14ac:dyDescent="0.25">
      <c r="A35" s="68">
        <f t="shared" si="6"/>
        <v>27</v>
      </c>
      <c r="B35" s="94" t="s">
        <v>117</v>
      </c>
      <c r="C35" s="99">
        <f>+C33+C31</f>
        <v>22763231000</v>
      </c>
      <c r="D35" s="100">
        <f t="shared" ref="D35" si="30">+D33+D31</f>
        <v>2110089000</v>
      </c>
      <c r="E35" s="293">
        <f>+E33+E31</f>
        <v>2099127000</v>
      </c>
      <c r="F35" s="293">
        <f>+F33+F31</f>
        <v>0</v>
      </c>
      <c r="G35" s="293">
        <f>+G33+G31</f>
        <v>-36687000</v>
      </c>
      <c r="H35" s="293">
        <f t="shared" ref="H35:J35" si="31">+H33+H31</f>
        <v>94410000</v>
      </c>
      <c r="I35" s="293">
        <f t="shared" si="31"/>
        <v>20585000</v>
      </c>
      <c r="J35" s="293">
        <f t="shared" si="31"/>
        <v>58466000</v>
      </c>
      <c r="K35" s="293">
        <f t="shared" ref="K35:L35" si="32">+K33+K31</f>
        <v>-54393000</v>
      </c>
      <c r="L35" s="293">
        <f t="shared" si="32"/>
        <v>-1135000</v>
      </c>
      <c r="M35" s="293">
        <f t="shared" ref="M35:O35" si="33">+M33+M31</f>
        <v>-15942000</v>
      </c>
      <c r="N35" s="293">
        <f t="shared" si="33"/>
        <v>29951000</v>
      </c>
      <c r="O35" s="293">
        <f t="shared" si="33"/>
        <v>-84293000</v>
      </c>
    </row>
    <row r="36" spans="1:15" ht="13.5" thickTop="1" x14ac:dyDescent="0.2">
      <c r="A36" s="68"/>
    </row>
    <row r="37" spans="1:15" x14ac:dyDescent="0.2">
      <c r="A37" s="68"/>
      <c r="B37" s="94"/>
      <c r="C37" s="48"/>
    </row>
  </sheetData>
  <mergeCells count="4">
    <mergeCell ref="A1:O1"/>
    <mergeCell ref="A2:O2"/>
    <mergeCell ref="A3:O3"/>
    <mergeCell ref="A4:O4"/>
  </mergeCells>
  <printOptions horizontalCentered="1"/>
  <pageMargins left="0.7" right="0.7" top="0.75" bottom="0.75" header="0.3" footer="0.3"/>
  <pageSetup scale="54" orientation="landscape" r:id="rId1"/>
  <headerFooter alignWithMargins="0">
    <oddFooter>&amp;L&amp;F
&amp;A&amp;RSchedule 95A Filing Eff 1-1-21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zoomScale="80" zoomScaleNormal="80" workbookViewId="0">
      <pane xSplit="1" ySplit="9" topLeftCell="B10" activePane="bottomRight" state="frozen"/>
      <selection pane="topRight" activeCell="D1" sqref="D1"/>
      <selection pane="bottomLeft" activeCell="A10" sqref="A10"/>
      <selection pane="bottomRight" activeCell="B9" sqref="B9"/>
    </sheetView>
  </sheetViews>
  <sheetFormatPr defaultColWidth="8.85546875" defaultRowHeight="15.75" customHeight="1" x14ac:dyDescent="0.25"/>
  <cols>
    <col min="1" max="1" width="53" style="74" bestFit="1" customWidth="1"/>
    <col min="2" max="3" width="13" style="74" bestFit="1" customWidth="1"/>
    <col min="4" max="4" width="13.5703125" style="74" bestFit="1" customWidth="1"/>
    <col min="5" max="16384" width="8.85546875" style="74"/>
  </cols>
  <sheetData>
    <row r="1" spans="1:4" ht="15.75" customHeight="1" x14ac:dyDescent="0.25">
      <c r="A1" t="s">
        <v>415</v>
      </c>
      <c r="B1"/>
      <c r="C1"/>
      <c r="D1"/>
    </row>
    <row r="2" spans="1:4" ht="15.75" customHeight="1" x14ac:dyDescent="0.25">
      <c r="A2" t="s">
        <v>431</v>
      </c>
      <c r="B2"/>
      <c r="C2"/>
      <c r="D2"/>
    </row>
    <row r="3" spans="1:4" ht="15.75" customHeight="1" x14ac:dyDescent="0.25">
      <c r="A3"/>
      <c r="B3"/>
      <c r="C3"/>
      <c r="D3"/>
    </row>
    <row r="4" spans="1:4" ht="15.75" customHeight="1" x14ac:dyDescent="0.25">
      <c r="A4"/>
      <c r="B4"/>
      <c r="C4"/>
      <c r="D4"/>
    </row>
    <row r="5" spans="1:4" ht="15.75" customHeight="1" x14ac:dyDescent="0.25">
      <c r="A5"/>
      <c r="B5"/>
      <c r="C5"/>
      <c r="D5"/>
    </row>
    <row r="6" spans="1:4" ht="15.75" customHeight="1" x14ac:dyDescent="0.25">
      <c r="A6"/>
      <c r="B6" s="364" t="s">
        <v>416</v>
      </c>
      <c r="C6"/>
      <c r="D6"/>
    </row>
    <row r="7" spans="1:4" ht="15.75" customHeight="1" x14ac:dyDescent="0.25">
      <c r="A7" s="365" t="s">
        <v>417</v>
      </c>
      <c r="B7" s="365" t="s">
        <v>418</v>
      </c>
      <c r="C7"/>
      <c r="D7" s="364" t="s">
        <v>419</v>
      </c>
    </row>
    <row r="8" spans="1:4" ht="15.75" customHeight="1" x14ac:dyDescent="0.25">
      <c r="A8"/>
      <c r="B8"/>
      <c r="C8"/>
      <c r="D8" s="349" t="s">
        <v>420</v>
      </c>
    </row>
    <row r="9" spans="1:4" ht="15.75" customHeight="1" x14ac:dyDescent="0.25">
      <c r="A9" t="s">
        <v>421</v>
      </c>
      <c r="B9" s="366">
        <v>-717808.02999999991</v>
      </c>
      <c r="C9" s="367">
        <v>-811143.09</v>
      </c>
      <c r="D9" s="368">
        <v>0.96286628224967741</v>
      </c>
    </row>
    <row r="10" spans="1:4" ht="15.75" customHeight="1" x14ac:dyDescent="0.25">
      <c r="A10" t="s">
        <v>422</v>
      </c>
      <c r="B10" s="369">
        <v>-93335.060000000027</v>
      </c>
      <c r="C10" s="370"/>
      <c r="D10" s="368"/>
    </row>
    <row r="11" spans="1:4" ht="15.75" customHeight="1" x14ac:dyDescent="0.25">
      <c r="A11" t="s">
        <v>432</v>
      </c>
      <c r="B11" s="369">
        <v>-44753.32</v>
      </c>
      <c r="C11" s="371">
        <v>-31282.39</v>
      </c>
      <c r="D11" s="368">
        <v>3.7133717750322558E-2</v>
      </c>
    </row>
    <row r="12" spans="1:4" ht="15.75" customHeight="1" x14ac:dyDescent="0.25">
      <c r="A12" t="s">
        <v>423</v>
      </c>
      <c r="B12" s="369">
        <v>13470.93</v>
      </c>
      <c r="C12" s="370"/>
      <c r="D12" s="370"/>
    </row>
    <row r="13" spans="1:4" ht="15.75" customHeight="1" x14ac:dyDescent="0.25">
      <c r="A13"/>
      <c r="B13" s="372">
        <v>-842425.47999999986</v>
      </c>
      <c r="C13" s="373">
        <v>-842425.48</v>
      </c>
      <c r="D13" s="374">
        <v>1</v>
      </c>
    </row>
    <row r="14" spans="1:4" ht="15.75" customHeight="1" x14ac:dyDescent="0.25">
      <c r="A14" t="s">
        <v>424</v>
      </c>
      <c r="B14" s="375">
        <v>0.95111500000000004</v>
      </c>
      <c r="C14" s="370"/>
      <c r="D14" s="370"/>
    </row>
    <row r="15" spans="1:4" ht="15.75" customHeight="1" thickBot="1" x14ac:dyDescent="0.3">
      <c r="A15" t="s">
        <v>425</v>
      </c>
      <c r="B15" s="376">
        <v>-885724.10276359832</v>
      </c>
      <c r="C15" s="370"/>
      <c r="D15" s="370"/>
    </row>
    <row r="16" spans="1:4" ht="15.75" customHeight="1" thickTop="1" x14ac:dyDescent="0.25"/>
  </sheetData>
  <printOptions horizontalCentered="1"/>
  <pageMargins left="0.7" right="0.7" top="0.75" bottom="0.75" header="0.3" footer="0.3"/>
  <pageSetup scale="61" fitToHeight="6" orientation="landscape" r:id="rId1"/>
  <headerFooter alignWithMargins="0">
    <oddFooter>&amp;L&amp;F
&amp;A&amp;RSchedule 95A Filing Eff 1-1-21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workbookViewId="0">
      <selection activeCell="A19" sqref="A19:E19"/>
    </sheetView>
  </sheetViews>
  <sheetFormatPr defaultColWidth="8.85546875" defaultRowHeight="12.75" x14ac:dyDescent="0.2"/>
  <cols>
    <col min="1" max="1" width="5" style="69" bestFit="1" customWidth="1"/>
    <col min="2" max="2" width="5.85546875" style="69" bestFit="1" customWidth="1"/>
    <col min="3" max="3" width="9.140625" style="69" bestFit="1" customWidth="1"/>
    <col min="4" max="4" width="1" style="69" customWidth="1"/>
    <col min="5" max="5" width="16.7109375" style="69" bestFit="1" customWidth="1"/>
    <col min="6" max="7" width="8.85546875" style="69"/>
    <col min="8" max="8" width="10.42578125" style="69" bestFit="1" customWidth="1"/>
    <col min="9" max="16384" width="8.85546875" style="69"/>
  </cols>
  <sheetData>
    <row r="1" spans="1:5" ht="90" customHeight="1" x14ac:dyDescent="0.2">
      <c r="A1" s="400" t="s">
        <v>364</v>
      </c>
      <c r="B1" s="401"/>
      <c r="C1" s="401"/>
      <c r="D1" s="401"/>
      <c r="E1" s="401"/>
    </row>
    <row r="2" spans="1:5" ht="21" x14ac:dyDescent="0.35">
      <c r="A2" s="402" t="s">
        <v>107</v>
      </c>
      <c r="B2" s="402"/>
      <c r="C2" s="402"/>
      <c r="D2" s="402"/>
      <c r="E2" s="402"/>
    </row>
    <row r="3" spans="1:5" ht="13.5" thickBot="1" x14ac:dyDescent="0.25"/>
    <row r="4" spans="1:5" x14ac:dyDescent="0.2">
      <c r="E4" s="76" t="s">
        <v>107</v>
      </c>
    </row>
    <row r="5" spans="1:5" x14ac:dyDescent="0.2">
      <c r="A5" s="68" t="s">
        <v>73</v>
      </c>
      <c r="B5" s="68" t="s">
        <v>36</v>
      </c>
      <c r="C5" s="68" t="s">
        <v>105</v>
      </c>
      <c r="E5" s="377" t="s">
        <v>429</v>
      </c>
    </row>
    <row r="6" spans="1:5" x14ac:dyDescent="0.2">
      <c r="A6" s="68">
        <v>2021</v>
      </c>
      <c r="B6" s="68">
        <v>1</v>
      </c>
      <c r="C6" s="77">
        <v>44197</v>
      </c>
      <c r="E6" s="78">
        <v>1046234.9738803403</v>
      </c>
    </row>
    <row r="7" spans="1:5" x14ac:dyDescent="0.2">
      <c r="A7" s="68">
        <v>2021</v>
      </c>
      <c r="B7" s="68">
        <v>2</v>
      </c>
      <c r="C7" s="77">
        <v>44228</v>
      </c>
      <c r="E7" s="78">
        <v>1047533.9724461999</v>
      </c>
    </row>
    <row r="8" spans="1:5" x14ac:dyDescent="0.2">
      <c r="A8" s="68">
        <v>2021</v>
      </c>
      <c r="B8" s="68">
        <v>3</v>
      </c>
      <c r="C8" s="77">
        <v>44256</v>
      </c>
      <c r="E8" s="78">
        <v>1048558.9711334634</v>
      </c>
    </row>
    <row r="9" spans="1:5" x14ac:dyDescent="0.2">
      <c r="A9" s="68">
        <v>2021</v>
      </c>
      <c r="B9" s="68">
        <v>4</v>
      </c>
      <c r="C9" s="77">
        <v>44287</v>
      </c>
      <c r="E9" s="78">
        <v>1049109.970298352</v>
      </c>
    </row>
    <row r="10" spans="1:5" x14ac:dyDescent="0.2">
      <c r="A10" s="68">
        <v>2021</v>
      </c>
      <c r="B10" s="68">
        <v>5</v>
      </c>
      <c r="C10" s="77">
        <v>44317</v>
      </c>
      <c r="E10" s="78">
        <v>1049676.9712847632</v>
      </c>
    </row>
    <row r="11" spans="1:5" x14ac:dyDescent="0.2">
      <c r="A11" s="68">
        <v>2021</v>
      </c>
      <c r="B11" s="68">
        <v>6</v>
      </c>
      <c r="C11" s="77">
        <v>44348</v>
      </c>
      <c r="E11" s="78">
        <v>1050242.9718046393</v>
      </c>
    </row>
    <row r="12" spans="1:5" x14ac:dyDescent="0.2">
      <c r="A12" s="68">
        <v>2021</v>
      </c>
      <c r="B12" s="68">
        <v>7</v>
      </c>
      <c r="C12" s="77">
        <v>44378</v>
      </c>
      <c r="E12" s="78">
        <v>1050808.9710468701</v>
      </c>
    </row>
    <row r="13" spans="1:5" x14ac:dyDescent="0.2">
      <c r="A13" s="68">
        <v>2021</v>
      </c>
      <c r="B13" s="68">
        <v>8</v>
      </c>
      <c r="C13" s="77">
        <v>44409</v>
      </c>
      <c r="E13" s="78">
        <v>1051815.9696949415</v>
      </c>
    </row>
    <row r="14" spans="1:5" x14ac:dyDescent="0.2">
      <c r="A14" s="68">
        <v>2021</v>
      </c>
      <c r="B14" s="68">
        <v>9</v>
      </c>
      <c r="C14" s="77">
        <v>44440</v>
      </c>
      <c r="E14" s="78">
        <v>1052822.9696131167</v>
      </c>
    </row>
    <row r="15" spans="1:5" x14ac:dyDescent="0.2">
      <c r="A15" s="68">
        <v>2021</v>
      </c>
      <c r="B15" s="68">
        <v>10</v>
      </c>
      <c r="C15" s="77">
        <v>44470</v>
      </c>
      <c r="E15" s="78">
        <v>1053830.97085763</v>
      </c>
    </row>
    <row r="16" spans="1:5" x14ac:dyDescent="0.2">
      <c r="A16" s="68">
        <v>2021</v>
      </c>
      <c r="B16" s="68">
        <v>11</v>
      </c>
      <c r="C16" s="77">
        <v>44501</v>
      </c>
      <c r="E16" s="78">
        <v>1055019.9721118484</v>
      </c>
    </row>
    <row r="17" spans="1:10" ht="13.5" thickBot="1" x14ac:dyDescent="0.25">
      <c r="A17" s="68">
        <v>2021</v>
      </c>
      <c r="B17" s="68">
        <v>12</v>
      </c>
      <c r="C17" s="77">
        <v>44531</v>
      </c>
      <c r="E17" s="79">
        <v>1056209.9727106632</v>
      </c>
    </row>
    <row r="19" spans="1:10" ht="21" x14ac:dyDescent="0.35">
      <c r="A19" s="398" t="s">
        <v>430</v>
      </c>
      <c r="B19" s="399"/>
      <c r="C19" s="399"/>
      <c r="D19" s="399"/>
      <c r="E19" s="399"/>
    </row>
    <row r="20" spans="1:10" ht="13.5" thickBot="1" x14ac:dyDescent="0.25"/>
    <row r="21" spans="1:10" x14ac:dyDescent="0.2">
      <c r="E21" s="80" t="s">
        <v>104</v>
      </c>
    </row>
    <row r="22" spans="1:10" x14ac:dyDescent="0.2">
      <c r="A22" s="68" t="s">
        <v>73</v>
      </c>
      <c r="B22" s="68" t="s">
        <v>36</v>
      </c>
      <c r="C22" s="68" t="s">
        <v>105</v>
      </c>
      <c r="E22" s="377" t="s">
        <v>429</v>
      </c>
    </row>
    <row r="23" spans="1:10" x14ac:dyDescent="0.2">
      <c r="E23" s="81"/>
    </row>
    <row r="24" spans="1:10" x14ac:dyDescent="0.2">
      <c r="A24" s="68">
        <v>2021</v>
      </c>
      <c r="B24" s="68">
        <v>1</v>
      </c>
      <c r="C24" s="77">
        <v>44197</v>
      </c>
      <c r="E24" s="78">
        <v>1275428757.5601294</v>
      </c>
      <c r="G24" s="82"/>
      <c r="H24" s="82"/>
      <c r="J24" s="82"/>
    </row>
    <row r="25" spans="1:10" x14ac:dyDescent="0.2">
      <c r="A25" s="68">
        <v>2021</v>
      </c>
      <c r="B25" s="68">
        <v>2</v>
      </c>
      <c r="C25" s="77">
        <v>44228</v>
      </c>
      <c r="E25" s="78">
        <v>1039133161.3446268</v>
      </c>
      <c r="G25" s="82"/>
      <c r="H25" s="82"/>
      <c r="J25" s="82"/>
    </row>
    <row r="26" spans="1:10" x14ac:dyDescent="0.2">
      <c r="A26" s="68">
        <v>2021</v>
      </c>
      <c r="B26" s="68">
        <v>3</v>
      </c>
      <c r="C26" s="77">
        <v>44256</v>
      </c>
      <c r="E26" s="78">
        <v>1079882739.3543665</v>
      </c>
      <c r="G26" s="82"/>
      <c r="H26" s="82"/>
      <c r="J26" s="82"/>
    </row>
    <row r="27" spans="1:10" x14ac:dyDescent="0.2">
      <c r="A27" s="68">
        <v>2021</v>
      </c>
      <c r="B27" s="68">
        <v>4</v>
      </c>
      <c r="C27" s="77">
        <v>44287</v>
      </c>
      <c r="E27" s="78">
        <v>867761913.91555512</v>
      </c>
      <c r="G27" s="82"/>
      <c r="H27" s="82"/>
      <c r="J27" s="82"/>
    </row>
    <row r="28" spans="1:10" x14ac:dyDescent="0.2">
      <c r="A28" s="68">
        <v>2021</v>
      </c>
      <c r="B28" s="68">
        <v>5</v>
      </c>
      <c r="C28" s="77">
        <v>44317</v>
      </c>
      <c r="E28" s="78">
        <v>777238185.64475775</v>
      </c>
      <c r="G28" s="82"/>
      <c r="H28" s="82"/>
      <c r="J28" s="82"/>
    </row>
    <row r="29" spans="1:10" x14ac:dyDescent="0.2">
      <c r="A29" s="68">
        <v>2021</v>
      </c>
      <c r="B29" s="68">
        <v>6</v>
      </c>
      <c r="C29" s="77">
        <v>44348</v>
      </c>
      <c r="E29" s="78">
        <v>704136132.95987189</v>
      </c>
      <c r="G29" s="82"/>
      <c r="H29" s="82"/>
      <c r="J29" s="82"/>
    </row>
    <row r="30" spans="1:10" x14ac:dyDescent="0.2">
      <c r="A30" s="68">
        <v>2021</v>
      </c>
      <c r="B30" s="68">
        <v>7</v>
      </c>
      <c r="C30" s="77">
        <v>44378</v>
      </c>
      <c r="E30" s="78">
        <v>699175112.40135241</v>
      </c>
      <c r="G30" s="82"/>
      <c r="H30" s="82"/>
      <c r="J30" s="82"/>
    </row>
    <row r="31" spans="1:10" x14ac:dyDescent="0.2">
      <c r="A31" s="68">
        <v>2021</v>
      </c>
      <c r="B31" s="68">
        <v>8</v>
      </c>
      <c r="C31" s="77">
        <v>44409</v>
      </c>
      <c r="E31" s="78">
        <v>712807062.49170995</v>
      </c>
      <c r="G31" s="82"/>
      <c r="H31" s="82"/>
      <c r="J31" s="82"/>
    </row>
    <row r="32" spans="1:10" x14ac:dyDescent="0.2">
      <c r="A32" s="68">
        <v>2021</v>
      </c>
      <c r="B32" s="68">
        <v>9</v>
      </c>
      <c r="C32" s="77">
        <v>44440</v>
      </c>
      <c r="E32" s="78">
        <v>655958093.68397701</v>
      </c>
      <c r="G32" s="82"/>
      <c r="H32" s="82"/>
      <c r="J32" s="82"/>
    </row>
    <row r="33" spans="1:10" x14ac:dyDescent="0.2">
      <c r="A33" s="68">
        <v>2021</v>
      </c>
      <c r="B33" s="68">
        <v>10</v>
      </c>
      <c r="C33" s="77">
        <v>44470</v>
      </c>
      <c r="E33" s="78">
        <v>848236807.3439014</v>
      </c>
      <c r="G33" s="82"/>
      <c r="H33" s="82"/>
      <c r="J33" s="82"/>
    </row>
    <row r="34" spans="1:10" x14ac:dyDescent="0.2">
      <c r="A34" s="68">
        <v>2021</v>
      </c>
      <c r="B34" s="68">
        <v>11</v>
      </c>
      <c r="C34" s="77">
        <v>44501</v>
      </c>
      <c r="E34" s="78">
        <v>1078151323.2770572</v>
      </c>
      <c r="G34" s="82"/>
      <c r="H34" s="82"/>
      <c r="J34" s="82"/>
    </row>
    <row r="35" spans="1:10" ht="13.5" thickBot="1" x14ac:dyDescent="0.25">
      <c r="A35" s="68">
        <v>2021</v>
      </c>
      <c r="B35" s="68">
        <v>12</v>
      </c>
      <c r="C35" s="77">
        <v>44531</v>
      </c>
      <c r="E35" s="79">
        <v>1228414998.8540318</v>
      </c>
      <c r="G35" s="82"/>
      <c r="H35" s="82"/>
      <c r="J35" s="82"/>
    </row>
  </sheetData>
  <mergeCells count="3">
    <mergeCell ref="A19:E19"/>
    <mergeCell ref="A1:E1"/>
    <mergeCell ref="A2:E2"/>
  </mergeCells>
  <printOptions horizontalCentered="1"/>
  <pageMargins left="0.7" right="0.7" top="0.75" bottom="0.75" header="0.3" footer="0.3"/>
  <pageSetup scale="96" orientation="landscape" r:id="rId1"/>
  <headerFooter>
    <oddFooter>&amp;L&amp;F
&amp;A&amp;RSchedule 95A Filing Eff 1-1-21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F22" sqref="F22"/>
    </sheetView>
  </sheetViews>
  <sheetFormatPr defaultColWidth="8.85546875" defaultRowHeight="15" x14ac:dyDescent="0.25"/>
  <cols>
    <col min="1" max="1" width="7.7109375" style="203" bestFit="1" customWidth="1"/>
    <col min="2" max="2" width="15.7109375" style="203" bestFit="1" customWidth="1"/>
    <col min="3" max="4" width="15.140625" style="203" bestFit="1" customWidth="1"/>
    <col min="5" max="5" width="10.42578125" style="203" bestFit="1" customWidth="1"/>
    <col min="6" max="6" width="15.28515625" style="203" customWidth="1"/>
    <col min="7" max="7" width="15.140625" style="203" bestFit="1" customWidth="1"/>
    <col min="8" max="8" width="10.42578125" style="203" bestFit="1" customWidth="1"/>
    <col min="9" max="16384" width="8.85546875" style="203"/>
  </cols>
  <sheetData>
    <row r="1" spans="1:8" x14ac:dyDescent="0.25">
      <c r="A1" s="405" t="s">
        <v>13</v>
      </c>
      <c r="B1" s="405"/>
      <c r="C1" s="405"/>
      <c r="D1" s="405"/>
      <c r="E1" s="405"/>
      <c r="F1" s="405"/>
      <c r="G1" s="405"/>
      <c r="H1" s="405"/>
    </row>
    <row r="2" spans="1:8" x14ac:dyDescent="0.25">
      <c r="A2" s="405" t="s">
        <v>195</v>
      </c>
      <c r="B2" s="405"/>
      <c r="C2" s="405"/>
      <c r="D2" s="405"/>
      <c r="E2" s="405"/>
      <c r="F2" s="405"/>
      <c r="G2" s="405"/>
      <c r="H2" s="405"/>
    </row>
    <row r="3" spans="1:8" x14ac:dyDescent="0.25">
      <c r="A3" s="406" t="s">
        <v>357</v>
      </c>
      <c r="B3" s="405"/>
      <c r="C3" s="405"/>
      <c r="D3" s="405"/>
      <c r="E3" s="405"/>
      <c r="F3" s="405"/>
      <c r="G3" s="405"/>
      <c r="H3" s="405"/>
    </row>
    <row r="4" spans="1:8" x14ac:dyDescent="0.25">
      <c r="A4" s="406" t="s">
        <v>358</v>
      </c>
      <c r="B4" s="405"/>
      <c r="C4" s="405"/>
      <c r="D4" s="405"/>
      <c r="E4" s="405"/>
      <c r="F4" s="405"/>
      <c r="G4" s="405"/>
      <c r="H4" s="405"/>
    </row>
    <row r="5" spans="1:8" ht="15.75" thickBot="1" x14ac:dyDescent="0.3">
      <c r="A5" s="271"/>
      <c r="B5" s="271"/>
      <c r="C5" s="271"/>
      <c r="D5" s="271"/>
      <c r="E5" s="271"/>
      <c r="F5" s="271"/>
      <c r="G5" s="271"/>
      <c r="H5" s="271"/>
    </row>
    <row r="6" spans="1:8" ht="15.75" thickBot="1" x14ac:dyDescent="0.3">
      <c r="A6" s="271"/>
      <c r="B6" s="271"/>
      <c r="C6" s="407" t="s">
        <v>196</v>
      </c>
      <c r="D6" s="408"/>
      <c r="E6" s="408"/>
      <c r="F6" s="408"/>
      <c r="G6" s="407" t="s">
        <v>197</v>
      </c>
      <c r="H6" s="409"/>
    </row>
    <row r="7" spans="1:8" ht="15.75" thickBot="1" x14ac:dyDescent="0.3">
      <c r="A7" s="271"/>
      <c r="B7" s="271"/>
      <c r="C7" s="272" t="s">
        <v>198</v>
      </c>
      <c r="D7" s="273" t="s">
        <v>199</v>
      </c>
      <c r="E7" s="273" t="s">
        <v>200</v>
      </c>
      <c r="F7" s="273" t="s">
        <v>201</v>
      </c>
      <c r="G7" s="403"/>
      <c r="H7" s="404"/>
    </row>
    <row r="8" spans="1:8" ht="65.25" thickBot="1" x14ac:dyDescent="0.3">
      <c r="A8" s="274" t="s">
        <v>0</v>
      </c>
      <c r="B8" s="274" t="s">
        <v>108</v>
      </c>
      <c r="C8" s="275" t="s">
        <v>202</v>
      </c>
      <c r="D8" s="276" t="s">
        <v>203</v>
      </c>
      <c r="E8" s="276" t="s">
        <v>204</v>
      </c>
      <c r="F8" s="276" t="s">
        <v>205</v>
      </c>
      <c r="G8" s="275" t="s">
        <v>206</v>
      </c>
      <c r="H8" s="277" t="s">
        <v>207</v>
      </c>
    </row>
    <row r="9" spans="1:8" x14ac:dyDescent="0.25">
      <c r="A9" s="272">
        <v>1</v>
      </c>
      <c r="B9" s="278">
        <v>7</v>
      </c>
      <c r="C9" s="279">
        <f>+G9</f>
        <v>11476152247.161776</v>
      </c>
      <c r="D9" s="280">
        <f>+C9</f>
        <v>11476152247.161776</v>
      </c>
      <c r="E9" s="280">
        <f>+H9</f>
        <v>2236474.2253660602</v>
      </c>
      <c r="F9" s="280">
        <f>+E9</f>
        <v>2236474.2253660602</v>
      </c>
      <c r="G9" s="279">
        <v>11476152247.161776</v>
      </c>
      <c r="H9" s="281">
        <v>2236474.2253660602</v>
      </c>
    </row>
    <row r="10" spans="1:8" x14ac:dyDescent="0.25">
      <c r="A10" s="282">
        <v>2</v>
      </c>
      <c r="B10" s="283" t="s">
        <v>81</v>
      </c>
      <c r="C10" s="279">
        <f t="shared" ref="C10:C20" si="0">+G10</f>
        <v>2915955626.4103169</v>
      </c>
      <c r="D10" s="280">
        <f t="shared" ref="D10:D18" si="1">+C10</f>
        <v>2915955626.4103169</v>
      </c>
      <c r="E10" s="280">
        <f t="shared" ref="E10:E20" si="2">+H10</f>
        <v>515625.82524854271</v>
      </c>
      <c r="F10" s="280">
        <f t="shared" ref="F10:F20" si="3">+E10</f>
        <v>515625.82524854271</v>
      </c>
      <c r="G10" s="279">
        <v>2915955626.4103169</v>
      </c>
      <c r="H10" s="281">
        <v>515625.82524854271</v>
      </c>
    </row>
    <row r="11" spans="1:8" x14ac:dyDescent="0.25">
      <c r="A11" s="282">
        <v>3</v>
      </c>
      <c r="B11" s="283" t="s">
        <v>359</v>
      </c>
      <c r="C11" s="279">
        <f t="shared" si="0"/>
        <v>3242765959.9604325</v>
      </c>
      <c r="D11" s="280">
        <f t="shared" si="1"/>
        <v>3242765959.9604325</v>
      </c>
      <c r="E11" s="280">
        <f t="shared" si="2"/>
        <v>551893.91878041346</v>
      </c>
      <c r="F11" s="280">
        <f t="shared" si="3"/>
        <v>551893.91878041346</v>
      </c>
      <c r="G11" s="279">
        <v>3242765959.9604325</v>
      </c>
      <c r="H11" s="281">
        <v>551893.91878041346</v>
      </c>
    </row>
    <row r="12" spans="1:8" x14ac:dyDescent="0.25">
      <c r="A12" s="282">
        <v>4</v>
      </c>
      <c r="B12" s="283" t="s">
        <v>360</v>
      </c>
      <c r="C12" s="279">
        <f t="shared" si="0"/>
        <v>2092770306.5275679</v>
      </c>
      <c r="D12" s="280">
        <f t="shared" si="1"/>
        <v>2092770306.5275679</v>
      </c>
      <c r="E12" s="280">
        <f t="shared" si="2"/>
        <v>289974.91765494185</v>
      </c>
      <c r="F12" s="280">
        <f t="shared" si="3"/>
        <v>289974.91765494185</v>
      </c>
      <c r="G12" s="279">
        <v>2092770306.5275679</v>
      </c>
      <c r="H12" s="281">
        <v>289974.91765494185</v>
      </c>
    </row>
    <row r="13" spans="1:8" x14ac:dyDescent="0.25">
      <c r="A13" s="282">
        <v>5</v>
      </c>
      <c r="B13" s="284" t="s">
        <v>83</v>
      </c>
      <c r="C13" s="279">
        <f t="shared" si="0"/>
        <v>1456029850.0547175</v>
      </c>
      <c r="D13" s="280">
        <f t="shared" si="1"/>
        <v>1456029850.0547175</v>
      </c>
      <c r="E13" s="280">
        <f t="shared" si="2"/>
        <v>204844.84270926949</v>
      </c>
      <c r="F13" s="280">
        <f t="shared" si="3"/>
        <v>204844.84270926949</v>
      </c>
      <c r="G13" s="279">
        <v>1456029850.0547175</v>
      </c>
      <c r="H13" s="281">
        <v>204844.84270926949</v>
      </c>
    </row>
    <row r="14" spans="1:8" x14ac:dyDescent="0.25">
      <c r="A14" s="282">
        <v>6</v>
      </c>
      <c r="B14" s="283">
        <v>35</v>
      </c>
      <c r="C14" s="279">
        <f t="shared" si="0"/>
        <v>4597572.0317007378</v>
      </c>
      <c r="D14" s="280">
        <f t="shared" si="1"/>
        <v>4597572.0317007378</v>
      </c>
      <c r="E14" s="280">
        <f t="shared" si="2"/>
        <v>7.0004300675974864</v>
      </c>
      <c r="F14" s="280">
        <f t="shared" si="3"/>
        <v>7.0004300675974864</v>
      </c>
      <c r="G14" s="279">
        <v>4597572.0317007378</v>
      </c>
      <c r="H14" s="281">
        <v>7.0004300675974864</v>
      </c>
    </row>
    <row r="15" spans="1:8" x14ac:dyDescent="0.25">
      <c r="A15" s="282">
        <v>7</v>
      </c>
      <c r="B15" s="283">
        <v>43</v>
      </c>
      <c r="C15" s="279">
        <f t="shared" si="0"/>
        <v>126890757.18193617</v>
      </c>
      <c r="D15" s="280">
        <f t="shared" si="1"/>
        <v>126890757.18193617</v>
      </c>
      <c r="E15" s="280">
        <v>0</v>
      </c>
      <c r="F15" s="280">
        <f t="shared" si="3"/>
        <v>0</v>
      </c>
      <c r="G15" s="279">
        <v>126890757.18193617</v>
      </c>
      <c r="H15" s="281">
        <v>43420.982870153392</v>
      </c>
    </row>
    <row r="16" spans="1:8" x14ac:dyDescent="0.25">
      <c r="A16" s="282">
        <v>8</v>
      </c>
      <c r="B16" s="283" t="s">
        <v>331</v>
      </c>
      <c r="C16" s="279">
        <f t="shared" si="0"/>
        <v>350081232.79927498</v>
      </c>
      <c r="D16" s="280">
        <v>0</v>
      </c>
      <c r="E16" s="280">
        <f t="shared" si="2"/>
        <v>52796.147183246518</v>
      </c>
      <c r="F16" s="280">
        <v>0</v>
      </c>
      <c r="G16" s="279">
        <v>350081232.79927498</v>
      </c>
      <c r="H16" s="281">
        <v>52796.147183246518</v>
      </c>
    </row>
    <row r="17" spans="1:8" x14ac:dyDescent="0.25">
      <c r="A17" s="282">
        <v>9</v>
      </c>
      <c r="B17" s="284" t="s">
        <v>361</v>
      </c>
      <c r="C17" s="279">
        <f t="shared" si="0"/>
        <v>630228919.26662493</v>
      </c>
      <c r="D17" s="280">
        <f t="shared" si="1"/>
        <v>630228919.26662493</v>
      </c>
      <c r="E17" s="280">
        <v>69577.130407689765</v>
      </c>
      <c r="F17" s="280">
        <f t="shared" si="3"/>
        <v>69577.130407689765</v>
      </c>
      <c r="G17" s="279">
        <v>630228919.26662493</v>
      </c>
      <c r="H17" s="281">
        <v>79474.453702294297</v>
      </c>
    </row>
    <row r="18" spans="1:8" x14ac:dyDescent="0.25">
      <c r="A18" s="282">
        <v>10</v>
      </c>
      <c r="B18" s="284" t="s">
        <v>362</v>
      </c>
      <c r="C18" s="279">
        <f t="shared" si="0"/>
        <v>75887375.026475519</v>
      </c>
      <c r="D18" s="280">
        <f t="shared" si="1"/>
        <v>75887375.026475519</v>
      </c>
      <c r="E18" s="280">
        <f t="shared" si="2"/>
        <v>8059.2720272472116</v>
      </c>
      <c r="F18" s="280">
        <f t="shared" si="3"/>
        <v>8059.2720272472116</v>
      </c>
      <c r="G18" s="279">
        <v>75887375.026475519</v>
      </c>
      <c r="H18" s="281">
        <v>8059.2720272472116</v>
      </c>
    </row>
    <row r="19" spans="1:8" x14ac:dyDescent="0.25">
      <c r="A19" s="282">
        <v>11</v>
      </c>
      <c r="B19" s="284" t="s">
        <v>363</v>
      </c>
      <c r="C19" s="279">
        <f t="shared" si="0"/>
        <v>2066150549.7926297</v>
      </c>
      <c r="D19" s="280">
        <v>0</v>
      </c>
      <c r="E19" s="280">
        <f t="shared" si="2"/>
        <v>251839.84707747737</v>
      </c>
      <c r="F19" s="280">
        <v>0</v>
      </c>
      <c r="G19" s="279">
        <v>2066150549.7926297</v>
      </c>
      <c r="H19" s="281">
        <v>251839.84707747737</v>
      </c>
    </row>
    <row r="20" spans="1:8" x14ac:dyDescent="0.25">
      <c r="A20" s="282">
        <v>14</v>
      </c>
      <c r="B20" s="283" t="s">
        <v>208</v>
      </c>
      <c r="C20" s="279">
        <f t="shared" si="0"/>
        <v>7427003.1359829875</v>
      </c>
      <c r="D20" s="280">
        <f t="shared" ref="D20" si="4">+C20</f>
        <v>7427003.1359829875</v>
      </c>
      <c r="E20" s="280">
        <f t="shared" si="2"/>
        <v>1428.4140277629981</v>
      </c>
      <c r="F20" s="280">
        <f t="shared" si="3"/>
        <v>1428.4140277629981</v>
      </c>
      <c r="G20" s="279">
        <v>7427003.1359829875</v>
      </c>
      <c r="H20" s="281">
        <v>1428.4140277629981</v>
      </c>
    </row>
    <row r="21" spans="1:8" x14ac:dyDescent="0.25">
      <c r="A21" s="282">
        <v>15</v>
      </c>
      <c r="B21" s="285"/>
      <c r="C21" s="279"/>
      <c r="D21" s="280"/>
      <c r="E21" s="280"/>
      <c r="F21" s="280"/>
      <c r="G21" s="279"/>
      <c r="H21" s="281"/>
    </row>
    <row r="22" spans="1:8" x14ac:dyDescent="0.25">
      <c r="A22" s="282">
        <v>16</v>
      </c>
      <c r="B22" s="285" t="s">
        <v>12</v>
      </c>
      <c r="C22" s="279">
        <f>SUM(C9:C20)</f>
        <v>24444937399.34943</v>
      </c>
      <c r="D22" s="280">
        <f>SUM(D9:D21)</f>
        <v>22028705616.757526</v>
      </c>
      <c r="E22" s="280">
        <f t="shared" ref="E22:H22" si="5">SUM(E9:E20)</f>
        <v>4182521.5409127185</v>
      </c>
      <c r="F22" s="280">
        <f>SUM(F9:F20)</f>
        <v>3877885.5466519948</v>
      </c>
      <c r="G22" s="279">
        <f t="shared" si="5"/>
        <v>24444937399.34943</v>
      </c>
      <c r="H22" s="281">
        <f t="shared" si="5"/>
        <v>4235839.8470774768</v>
      </c>
    </row>
    <row r="23" spans="1:8" x14ac:dyDescent="0.25">
      <c r="A23" s="282">
        <v>17</v>
      </c>
      <c r="B23" s="285" t="s">
        <v>209</v>
      </c>
      <c r="C23" s="279">
        <v>24444937399.34943</v>
      </c>
      <c r="D23" s="280">
        <v>22028705616.757526</v>
      </c>
      <c r="E23" s="280">
        <v>4182521.5409127185</v>
      </c>
      <c r="F23" s="280">
        <v>3877885.5466519948</v>
      </c>
      <c r="G23" s="279">
        <v>24444937399.34943</v>
      </c>
      <c r="H23" s="281">
        <v>4235839.8470774768</v>
      </c>
    </row>
    <row r="24" spans="1:8" x14ac:dyDescent="0.25">
      <c r="A24" s="282">
        <v>18</v>
      </c>
      <c r="B24" s="285" t="s">
        <v>209</v>
      </c>
      <c r="C24" s="279">
        <f>+C22-C23</f>
        <v>0</v>
      </c>
      <c r="D24" s="280">
        <f>+D22-D23</f>
        <v>0</v>
      </c>
      <c r="E24" s="280">
        <f t="shared" ref="E24:H24" si="6">+E22-E23</f>
        <v>0</v>
      </c>
      <c r="F24" s="280">
        <f t="shared" si="6"/>
        <v>0</v>
      </c>
      <c r="G24" s="279">
        <f t="shared" si="6"/>
        <v>0</v>
      </c>
      <c r="H24" s="281">
        <f t="shared" si="6"/>
        <v>0</v>
      </c>
    </row>
    <row r="25" spans="1:8" ht="15.75" thickBot="1" x14ac:dyDescent="0.3">
      <c r="A25" s="286"/>
      <c r="B25" s="287"/>
      <c r="C25" s="288"/>
      <c r="D25" s="289"/>
      <c r="E25" s="289"/>
      <c r="F25" s="289"/>
      <c r="G25" s="288"/>
      <c r="H25" s="290"/>
    </row>
    <row r="26" spans="1:8" x14ac:dyDescent="0.25">
      <c r="A26" s="271"/>
      <c r="B26" s="271"/>
      <c r="C26" s="271"/>
      <c r="D26" s="271"/>
      <c r="E26" s="271"/>
      <c r="F26" s="271"/>
      <c r="G26" s="271"/>
      <c r="H26" s="271"/>
    </row>
    <row r="28" spans="1:8" x14ac:dyDescent="0.25">
      <c r="C28" s="270"/>
      <c r="D28" s="270"/>
      <c r="E28" s="270"/>
      <c r="F28" s="270"/>
      <c r="G28" s="270"/>
      <c r="H28" s="270"/>
    </row>
  </sheetData>
  <mergeCells count="7">
    <mergeCell ref="G7:H7"/>
    <mergeCell ref="A1:H1"/>
    <mergeCell ref="A2:H2"/>
    <mergeCell ref="A3:H3"/>
    <mergeCell ref="A4:H4"/>
    <mergeCell ref="C6:F6"/>
    <mergeCell ref="G6:H6"/>
  </mergeCells>
  <printOptions horizontalCentered="1"/>
  <pageMargins left="0.25" right="0.25" top="0.75" bottom="0.75" header="0.3" footer="0.3"/>
  <pageSetup orientation="landscape" r:id="rId1"/>
  <headerFooter>
    <oddFooter>&amp;L&amp;"Times New Roman,Regular"&amp;F
&amp;A&amp;R&amp;"Times New Roman,Regular"Page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E64FA89157B95418C4812EEAE92800F" ma:contentTypeVersion="52" ma:contentTypeDescription="" ma:contentTypeScope="" ma:versionID="fe963953f3cefecc259e40a545b7910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2020-12-01T08:00:00+00:00</OpenedDate>
    <SignificantOrder xmlns="dc463f71-b30c-4ab2-9473-d307f9d35888">false</SignificantOrder>
    <Date1 xmlns="dc463f71-b30c-4ab2-9473-d307f9d35888">2020-12-01T08:00:00+00:00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200967</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2BFB1321-4B46-4B43-83A1-83E567E1AD36}"/>
</file>

<file path=customXml/itemProps2.xml><?xml version="1.0" encoding="utf-8"?>
<ds:datastoreItem xmlns:ds="http://schemas.openxmlformats.org/officeDocument/2006/customXml" ds:itemID="{0412C76F-CEE8-4F7D-803B-43C230F569F1}"/>
</file>

<file path=customXml/itemProps3.xml><?xml version="1.0" encoding="utf-8"?>
<ds:datastoreItem xmlns:ds="http://schemas.openxmlformats.org/officeDocument/2006/customXml" ds:itemID="{B5E35358-20F8-4235-A201-13B88C6E855F}"/>
</file>

<file path=customXml/itemProps4.xml><?xml version="1.0" encoding="utf-8"?>
<ds:datastoreItem xmlns:ds="http://schemas.openxmlformats.org/officeDocument/2006/customXml" ds:itemID="{A2C1344D-3FC7-423F-BD96-3CEF24BB0D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Lead Sheet</vt:lpstr>
      <vt:lpstr>Rate Impacts</vt:lpstr>
      <vt:lpstr>Peak Credit Spread</vt:lpstr>
      <vt:lpstr>Street &amp; Area Lighting</vt:lpstr>
      <vt:lpstr>Typical Residential Notice</vt:lpstr>
      <vt:lpstr>Estimated Proforma Net Revenue</vt:lpstr>
      <vt:lpstr>Rev Requirement 2021</vt:lpstr>
      <vt:lpstr>F2020 Del Load &amp; Cust</vt:lpstr>
      <vt:lpstr>UE-190529 LR Data Summary</vt:lpstr>
      <vt:lpstr>UE-190529 LR Data - Dem 4CP</vt:lpstr>
      <vt:lpstr>UE-190529 LR Data - Energy</vt:lpstr>
      <vt:lpstr>UE-190988 Sch 137 Eff 1-1-20</vt:lpstr>
      <vt:lpstr>'Estimated Proforma Net Revenue'!Print_Area</vt:lpstr>
      <vt:lpstr>'Lead Sheet'!Print_Area</vt:lpstr>
      <vt:lpstr>'Peak Credit Spread'!Print_Area</vt:lpstr>
      <vt:lpstr>'Rate Impacts'!Print_Area</vt:lpstr>
      <vt:lpstr>'Street &amp; Area Lighting'!Print_Area</vt:lpstr>
      <vt:lpstr>'Typical Residential Notice'!Print_Area</vt:lpstr>
      <vt:lpstr>'UE-190529 LR Data Summary'!Print_Area</vt:lpstr>
      <vt:lpstr>'Street &amp; Area Lighting'!Print_Titles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Pam Rasanen</cp:lastModifiedBy>
  <cp:lastPrinted>2019-10-28T17:03:02Z</cp:lastPrinted>
  <dcterms:created xsi:type="dcterms:W3CDTF">2006-05-11T20:49:14Z</dcterms:created>
  <dcterms:modified xsi:type="dcterms:W3CDTF">2020-11-18T19:56:33Z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0x0101006E56B4D1795A2E4DB2F0B01679ED314A00BE64FA89157B95418C4812EEAE92800F</vt:lpwstr>
  </property>
  <property fmtid="{D5CDD505-2E9C-101B-9397-08002B2CF9AE}" pid="3" name="_docset_NoMedatataSyncRequired">
    <vt:lpwstr>False</vt:lpwstr>
  </property>
  <property fmtid="{D5CDD505-2E9C-101B-9397-08002B2CF9AE}" pid="4" name="IsEFSEC">
    <vt:bool>false</vt:bool>
  </property>
</Properties>
</file>