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2021 01-01 Commodity - IN PROCESS\"/>
    </mc:Choice>
  </mc:AlternateContent>
  <bookViews>
    <workbookView xWindow="0" yWindow="45" windowWidth="15570" windowHeight="11820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Multi'!$A$1:$J$51</definedName>
    <definedName name="_xlnm.Print_Area" localSheetId="0">'G-14 Residential'!$A$1:$J$52</definedName>
  </definedNames>
  <calcPr calcId="162913"/>
</workbook>
</file>

<file path=xl/calcChain.xml><?xml version="1.0" encoding="utf-8"?>
<calcChain xmlns="http://schemas.openxmlformats.org/spreadsheetml/2006/main">
  <c r="J54" i="2" l="1"/>
  <c r="J53" i="2"/>
  <c r="F8" i="6" l="1"/>
  <c r="F18" i="6"/>
  <c r="H18" i="6"/>
  <c r="F18" i="5"/>
  <c r="G18" i="5"/>
  <c r="H18" i="5"/>
  <c r="F16" i="6" l="1"/>
  <c r="H16" i="6"/>
  <c r="F16" i="5"/>
  <c r="G16" i="5"/>
  <c r="H16" i="5"/>
  <c r="F14" i="6" l="1"/>
  <c r="H14" i="6"/>
  <c r="F14" i="5"/>
  <c r="G14" i="5"/>
  <c r="L14" i="5"/>
  <c r="H14" i="5"/>
  <c r="F12" i="6"/>
  <c r="H12" i="6"/>
  <c r="F12" i="5"/>
  <c r="L12" i="5"/>
  <c r="G12" i="5"/>
  <c r="H12" i="5"/>
  <c r="F10" i="6"/>
  <c r="H10" i="6"/>
  <c r="K10" i="5"/>
  <c r="F10" i="5"/>
  <c r="G10" i="5"/>
  <c r="H10" i="5"/>
  <c r="H8" i="6"/>
  <c r="F8" i="5"/>
  <c r="G8" i="5"/>
  <c r="H8" i="5"/>
  <c r="B10" i="6" l="1"/>
  <c r="B18" i="5" l="1"/>
  <c r="C18" i="5"/>
  <c r="D18" i="5"/>
  <c r="B12" i="5"/>
  <c r="C12" i="5"/>
  <c r="D12" i="5"/>
  <c r="J12" i="5"/>
  <c r="O12" i="5"/>
  <c r="B14" i="5"/>
  <c r="C14" i="5"/>
  <c r="D14" i="5"/>
  <c r="J14" i="5"/>
  <c r="O14" i="5"/>
  <c r="B16" i="5"/>
  <c r="C16" i="5"/>
  <c r="D16" i="5"/>
  <c r="J16" i="5"/>
  <c r="O16" i="5"/>
  <c r="O18" i="5"/>
  <c r="J18" i="5" l="1"/>
  <c r="D18" i="6" l="1"/>
  <c r="B18" i="6"/>
  <c r="D16" i="6"/>
  <c r="B16" i="6"/>
  <c r="D14" i="6"/>
  <c r="B14" i="6"/>
  <c r="D12" i="6"/>
  <c r="B12" i="6"/>
  <c r="J14" i="6"/>
  <c r="J12" i="6"/>
  <c r="J10" i="6"/>
  <c r="J8" i="6"/>
  <c r="D10" i="6"/>
  <c r="D8" i="6"/>
  <c r="B8" i="6"/>
  <c r="J18" i="6" l="1"/>
  <c r="J16" i="6"/>
  <c r="C10" i="5" l="1"/>
  <c r="D10" i="5"/>
  <c r="B10" i="5"/>
  <c r="D8" i="5"/>
  <c r="C8" i="5"/>
  <c r="B8" i="5"/>
  <c r="I21" i="6" l="1"/>
  <c r="H21" i="6"/>
  <c r="G21" i="6"/>
  <c r="F21" i="6"/>
  <c r="J21" i="6"/>
  <c r="I21" i="5"/>
  <c r="H21" i="5"/>
  <c r="G21" i="5"/>
  <c r="F21" i="5"/>
  <c r="J10" i="5"/>
  <c r="J8" i="5"/>
  <c r="O14" i="6" l="1"/>
  <c r="E14" i="2" s="1"/>
  <c r="M21" i="6"/>
  <c r="O12" i="6"/>
  <c r="E13" i="2" s="1"/>
  <c r="O18" i="6"/>
  <c r="E16" i="2" s="1"/>
  <c r="K21" i="6"/>
  <c r="O16" i="6"/>
  <c r="E15" i="2" s="1"/>
  <c r="E13" i="1"/>
  <c r="N21" i="5"/>
  <c r="E15" i="1"/>
  <c r="M21" i="5"/>
  <c r="O10" i="5"/>
  <c r="E16" i="1"/>
  <c r="E14" i="1"/>
  <c r="L21" i="5"/>
  <c r="K21" i="5"/>
  <c r="O8" i="5"/>
  <c r="E8" i="1" s="1"/>
  <c r="J21" i="5"/>
  <c r="E9" i="1" l="1"/>
  <c r="O21" i="5"/>
  <c r="C18" i="2" l="1"/>
  <c r="G32" i="2" s="1"/>
  <c r="G33" i="2" s="1"/>
  <c r="G16" i="2" l="1"/>
  <c r="G15" i="2"/>
  <c r="G14" i="2"/>
  <c r="G13" i="2"/>
  <c r="C11" i="2"/>
  <c r="C20" i="2" s="1"/>
  <c r="H42" i="2" s="1"/>
  <c r="E19" i="1" l="1"/>
  <c r="C19" i="1"/>
  <c r="G33" i="1" s="1"/>
  <c r="G16" i="1"/>
  <c r="G15" i="1"/>
  <c r="G14" i="1"/>
  <c r="G13" i="1"/>
  <c r="E11" i="1"/>
  <c r="C11" i="1"/>
  <c r="G9" i="1"/>
  <c r="G8" i="1"/>
  <c r="C21" i="1" l="1"/>
  <c r="H43" i="1" s="1"/>
  <c r="E21" i="1"/>
  <c r="G21" i="1" l="1"/>
  <c r="H49" i="1" s="1"/>
  <c r="H25" i="1"/>
  <c r="J49" i="1" l="1"/>
  <c r="G34" i="1"/>
  <c r="G27" i="2" l="1"/>
  <c r="G28" i="2" s="1"/>
  <c r="H33" i="2" s="1"/>
  <c r="G28" i="1"/>
  <c r="G29" i="1" s="1"/>
  <c r="H34" i="1" s="1"/>
  <c r="H36" i="1" s="1"/>
  <c r="N21" i="6"/>
  <c r="H44" i="1" l="1"/>
  <c r="H46" i="1" s="1"/>
  <c r="J46" i="1" s="1"/>
  <c r="J52" i="1" s="1"/>
  <c r="E18" i="2"/>
  <c r="O8" i="6" l="1"/>
  <c r="E8" i="2" s="1"/>
  <c r="G8" i="2" s="1"/>
  <c r="L21" i="6"/>
  <c r="O10" i="6"/>
  <c r="E9" i="2" s="1"/>
  <c r="E11" i="2" l="1"/>
  <c r="E20" i="2" s="1"/>
  <c r="G20" i="2" s="1"/>
  <c r="O21" i="6"/>
  <c r="G9" i="2"/>
  <c r="H48" i="2" l="1"/>
  <c r="J48" i="2" s="1"/>
  <c r="H24" i="2"/>
  <c r="H35" i="2" l="1"/>
  <c r="H43" i="2" s="1"/>
  <c r="H45" i="2" s="1"/>
  <c r="J45" i="2" s="1"/>
  <c r="J51" i="2" s="1"/>
</calcChain>
</file>

<file path=xl/comments1.xml><?xml version="1.0" encoding="utf-8"?>
<comments xmlns="http://schemas.openxmlformats.org/spreadsheetml/2006/main">
  <authors>
    <author>Sara Campbell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"residential customer count" file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fililing, cell G32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filing, cell G21
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Multi Family 
Revenue File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cell G31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G20</t>
        </r>
      </text>
    </comment>
  </commentList>
</comments>
</file>

<file path=xl/comments3.xml><?xml version="1.0" encoding="utf-8"?>
<comments xmlns="http://schemas.openxmlformats.org/spreadsheetml/2006/main">
  <authors>
    <author>Sara Campbell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Review against monthly NWR Prices for reasonableness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Positive number on NWR = negative number (loss) here</t>
        </r>
      </text>
    </comment>
  </commentList>
</comments>
</file>

<file path=xl/sharedStrings.xml><?xml version="1.0" encoding="utf-8"?>
<sst xmlns="http://schemas.openxmlformats.org/spreadsheetml/2006/main" count="130" uniqueCount="61">
  <si>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</si>
  <si>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</si>
  <si>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</si>
  <si>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</si>
  <si>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</si>
  <si>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</si>
  <si>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</si>
  <si>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</si>
  <si>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</si>
  <si>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</si>
  <si>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</si>
  <si>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</si>
  <si>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</si>
  <si>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</si>
  <si>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</si>
  <si>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Glass/Cans</t>
  </si>
  <si>
    <t>Cardboard</t>
  </si>
  <si>
    <t>Mixed Paper</t>
  </si>
  <si>
    <t>Newspaper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</si>
  <si>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</si>
  <si>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</si>
  <si>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</si>
  <si>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</si>
  <si>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</si>
  <si>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</si>
  <si>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</si>
  <si>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</si>
  <si>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>6 month running average BASE CREDIT</t>
  </si>
  <si>
    <t>Total Customers</t>
  </si>
  <si>
    <t>Total Yards</t>
  </si>
  <si>
    <t xml:space="preserve"> </t>
  </si>
  <si>
    <t>For the 6 months ending October 31, 2020</t>
  </si>
  <si>
    <t>May</t>
  </si>
  <si>
    <t>June</t>
  </si>
  <si>
    <t>July</t>
  </si>
  <si>
    <t>August</t>
  </si>
  <si>
    <t>September</t>
  </si>
  <si>
    <t>October</t>
  </si>
  <si>
    <t>May-June 2020</t>
  </si>
  <si>
    <t>July-20- October 20</t>
  </si>
  <si>
    <t>January 1, 2020 Commodity Price Adjustment</t>
  </si>
  <si>
    <t>January 1, 2021 Commodity Price Adjustment</t>
  </si>
  <si>
    <t>2020 monthly True-up Charge</t>
  </si>
  <si>
    <t>2020 True-up Calculation</t>
  </si>
  <si>
    <t>Customers from 07/20-10/20</t>
  </si>
  <si>
    <t>Customers from 5/20-06/20</t>
  </si>
  <si>
    <t>July 20- October 20</t>
  </si>
  <si>
    <t>Yards from 05/20-06/20</t>
  </si>
  <si>
    <t>Yards from 07/20-10/20</t>
  </si>
  <si>
    <t>2021 Projected Credit</t>
  </si>
  <si>
    <t>January 1, 2021  Commodity Price Adjustment</t>
  </si>
  <si>
    <t>May 2020 - October 2020</t>
  </si>
  <si>
    <t>May 2020</t>
  </si>
  <si>
    <t>June 2020</t>
  </si>
  <si>
    <t>July 2020</t>
  </si>
  <si>
    <t>August 2020</t>
  </si>
  <si>
    <t>September 2020</t>
  </si>
  <si>
    <t>October 2020</t>
  </si>
  <si>
    <t>per 32 G</t>
  </si>
  <si>
    <t>per yard</t>
  </si>
  <si>
    <t>per Yard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</si>
</sst>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0" fontId="7" fillId="0" borderId="0" xfId="1"/>
    <xf numFmtId="2" fontId="7" fillId="0" borderId="0" xfId="1" applyNumberFormat="1"/>
    <xf numFmtId="0" fontId="5" fillId="0" borderId="0" xfId="4" applyFill="1"/>
    <xf numFmtId="0" fontId="7" fillId="0" borderId="0" xfId="1" applyFont="1"/>
    <xf numFmtId="43" fontId="5" fillId="0" borderId="0" xfId="4" applyNumberFormat="1" applyFill="1"/>
    <xf numFmtId="0" fontId="8" fillId="0" borderId="1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43" fontId="0" fillId="0" borderId="5" xfId="5" applyFont="1" applyFill="1" applyBorder="1"/>
    <xf numFmtId="43" fontId="0" fillId="0" borderId="0" xfId="5" applyFont="1" applyFill="1" applyBorder="1"/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0" fillId="0" borderId="9" xfId="5" applyFont="1" applyFill="1" applyBorder="1"/>
    <xf numFmtId="43" fontId="0" fillId="0" borderId="0" xfId="5" applyFont="1" applyFill="1"/>
    <xf numFmtId="43" fontId="0" fillId="0" borderId="13" xfId="5" applyFont="1" applyFill="1" applyBorder="1"/>
    <xf numFmtId="2" fontId="5" fillId="0" borderId="0" xfId="4" applyNumberFormat="1" applyFill="1"/>
    <xf numFmtId="0" fontId="6" fillId="0" borderId="0" xfId="2" applyFill="1"/>
    <xf numFmtId="0" fontId="0" fillId="0" borderId="0" xfId="0" applyFill="1"/>
    <xf numFmtId="43" fontId="0" fillId="0" borderId="10" xfId="5" applyFont="1" applyFill="1" applyBorder="1"/>
    <xf numFmtId="43" fontId="0" fillId="0" borderId="11" xfId="5" applyFont="1" applyFill="1" applyBorder="1"/>
    <xf numFmtId="43" fontId="0" fillId="0" borderId="12" xfId="5" applyFont="1" applyFill="1" applyBorder="1"/>
    <xf numFmtId="0" fontId="7" fillId="0" borderId="0" xfId="0" applyFont="1"/>
    <xf numFmtId="41" fontId="7" fillId="0" borderId="0" xfId="1" applyNumberFormat="1"/>
    <xf numFmtId="2" fontId="0" fillId="0" borderId="0" xfId="0" applyNumberFormat="1" applyFill="1"/>
    <xf numFmtId="0" fontId="3" fillId="0" borderId="0" xfId="4" applyFont="1" applyFill="1"/>
    <xf numFmtId="0" fontId="9" fillId="0" borderId="0" xfId="0" applyFont="1" applyFill="1"/>
    <xf numFmtId="2" fontId="9" fillId="0" borderId="0" xfId="0" applyNumberFormat="1" applyFont="1" applyFill="1"/>
    <xf numFmtId="0" fontId="7" fillId="0" borderId="0" xfId="1" applyFill="1"/>
    <xf numFmtId="2" fontId="7" fillId="0" borderId="0" xfId="1" applyNumberFormat="1" applyFill="1"/>
    <xf numFmtId="0" fontId="7" fillId="0" borderId="0" xfId="0" applyFont="1" applyFill="1"/>
    <xf numFmtId="164" fontId="0" fillId="0" borderId="0" xfId="9" applyNumberFormat="1" applyFont="1" applyFill="1"/>
    <xf numFmtId="43" fontId="0" fillId="0" borderId="0" xfId="9" applyFont="1"/>
    <xf numFmtId="164" fontId="0" fillId="0" borderId="0" xfId="9" applyNumberFormat="1" applyFont="1"/>
    <xf numFmtId="43" fontId="7" fillId="0" borderId="0" xfId="9" applyFont="1"/>
    <xf numFmtId="164" fontId="7" fillId="0" borderId="0" xfId="9" applyNumberFormat="1" applyFont="1"/>
    <xf numFmtId="0" fontId="11" fillId="0" borderId="0" xfId="4" applyFont="1" applyFill="1"/>
    <xf numFmtId="0" fontId="0" fillId="0" borderId="8" xfId="0" applyFill="1" applyBorder="1" applyAlignment="1">
      <alignment horizontal="center"/>
    </xf>
    <xf numFmtId="0" fontId="2" fillId="0" borderId="0" xfId="4" applyFont="1" applyFill="1"/>
    <xf numFmtId="43" fontId="0" fillId="2" borderId="11" xfId="5" applyFont="1" applyFill="1" applyBorder="1"/>
    <xf numFmtId="43" fontId="0" fillId="2" borderId="10" xfId="5" applyFont="1" applyFill="1" applyBorder="1"/>
    <xf numFmtId="43" fontId="0" fillId="2" borderId="0" xfId="5" applyFont="1" applyFill="1" applyBorder="1"/>
    <xf numFmtId="43" fontId="0" fillId="2" borderId="5" xfId="5" applyFont="1" applyFill="1" applyBorder="1"/>
    <xf numFmtId="0" fontId="0" fillId="0" borderId="0" xfId="0" applyAlignment="1">
      <alignment horizontal="center"/>
    </xf>
    <xf numFmtId="0" fontId="14" fillId="0" borderId="0" xfId="4" applyFont="1" applyFill="1"/>
    <xf numFmtId="0" fontId="0" fillId="0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1" applyBorder="1" applyAlignment="1">
      <alignment horizontal="center"/>
    </xf>
    <xf numFmtId="0" fontId="1" fillId="0" borderId="0" xfId="4" applyFont="1" applyFill="1"/>
    <xf numFmtId="49" fontId="1" fillId="0" borderId="0" xfId="4" applyNumberFormat="1" applyFont="1" applyFill="1"/>
    <xf numFmtId="43" fontId="0" fillId="3" borderId="0" xfId="6" applyFont="1" applyFill="1"/>
    <xf numFmtId="43" fontId="7" fillId="3" borderId="0" xfId="6" applyFont="1" applyFill="1"/>
    <xf numFmtId="164" fontId="0" fillId="2" borderId="0" xfId="9" applyNumberFormat="1" applyFont="1" applyFill="1"/>
    <xf numFmtId="164" fontId="4" fillId="2" borderId="0" xfId="9" applyNumberFormat="1" applyFont="1" applyFill="1"/>
    <xf numFmtId="41" fontId="7" fillId="2" borderId="0" xfId="1" applyNumberFormat="1" applyFill="1"/>
    <xf numFmtId="0" fontId="0" fillId="0" borderId="0" xfId="0" applyAlignment="1">
      <alignment horizontal="center"/>
    </xf>
    <xf numFmtId="0" fontId="8" fillId="0" borderId="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43" fontId="0" fillId="4" borderId="1" xfId="9" applyFont="1" applyFill="1" applyBorder="1"/>
    <xf numFmtId="43" fontId="7" fillId="4" borderId="0" xfId="9" applyFont="1" applyFill="1"/>
  </cellXfs>
  <cellStyles count="10">
    <cellStyle name="Comma" xfId="9" builtinId="3"/>
    <cellStyle name="Comma 2" xfId="3"/>
    <cellStyle name="Comma 2 2" xfId="5"/>
    <cellStyle name="Comma 2 2 2" xfId="8"/>
    <cellStyle name="Comma 3" xfId="6"/>
    <cellStyle name="Normal" xfId="0" builtinId="0"/>
    <cellStyle name="Normal 2" xfId="1"/>
    <cellStyle name="Normal 3" xfId="2"/>
    <cellStyle name="Normal 3 2" xfId="4"/>
    <cellStyle name="Normal 3 2 2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tabSelected="1" workbookViewId="0">
      <selection activeCell="O27" sqref="O27"/>
    </sheetView>
  </sheetViews>
  <sheetFormatPr defaultRowHeight="12.75" x14ac:dyDescent="0.2"/>
  <cols>
    <col min="2" max="2" width="13.85546875" customWidth="1"/>
    <col min="3" max="3" width="11.28515625" bestFit="1" customWidth="1"/>
    <col min="5" max="5" width="11.85546875" bestFit="1" customWidth="1"/>
    <col min="7" max="8" width="14.28515625" bestFit="1" customWidth="1"/>
    <col min="9" max="9" width="6" customWidth="1"/>
    <col min="10" max="10" width="9.28515625" bestFit="1" customWidth="1"/>
  </cols>
  <sheetData>
    <row r="1" spans="1:11" x14ac:dyDescent="0.2">
      <c r="A1" t="s">
        <v>0</v>
      </c>
    </row>
    <row r="2" spans="1:11" x14ac:dyDescent="0.2">
      <c r="A2" s="31" t="s">
        <v>31</v>
      </c>
    </row>
    <row r="3" spans="1:11" x14ac:dyDescent="0.2">
      <c r="A3" t="s">
        <v>25</v>
      </c>
    </row>
    <row r="4" spans="1:11" x14ac:dyDescent="0.2">
      <c r="B4" s="56"/>
      <c r="C4" s="56"/>
      <c r="D4" s="56"/>
      <c r="E4" s="56"/>
      <c r="F4" s="56"/>
      <c r="G4" s="56"/>
    </row>
    <row r="5" spans="1:11" x14ac:dyDescent="0.2">
      <c r="G5" s="44" t="s">
        <v>3</v>
      </c>
    </row>
    <row r="6" spans="1:11" x14ac:dyDescent="0.2">
      <c r="A6" s="19"/>
      <c r="B6" s="19"/>
      <c r="C6" s="19"/>
      <c r="D6" s="19"/>
      <c r="E6" s="46" t="s">
        <v>3</v>
      </c>
      <c r="G6" s="44" t="s">
        <v>4</v>
      </c>
    </row>
    <row r="7" spans="1:11" x14ac:dyDescent="0.2">
      <c r="A7" s="19"/>
      <c r="B7" s="19"/>
      <c r="C7" s="38" t="s">
        <v>5</v>
      </c>
      <c r="D7" s="19"/>
      <c r="E7" s="38" t="s">
        <v>4</v>
      </c>
      <c r="G7" s="47" t="s">
        <v>6</v>
      </c>
    </row>
    <row r="8" spans="1:11" ht="15" x14ac:dyDescent="0.25">
      <c r="A8" s="19" t="s">
        <v>7</v>
      </c>
      <c r="B8" t="s">
        <v>32</v>
      </c>
      <c r="C8" s="54">
        <v>23129</v>
      </c>
      <c r="D8" s="19"/>
      <c r="E8" s="32">
        <f>'Single Family Commodities'!O8</f>
        <v>-37417.61</v>
      </c>
      <c r="G8" s="33">
        <f>+E8/C8</f>
        <v>-1.6177789787712396</v>
      </c>
      <c r="H8" s="33"/>
      <c r="I8" s="1"/>
      <c r="J8" s="1"/>
    </row>
    <row r="9" spans="1:11" x14ac:dyDescent="0.2">
      <c r="A9" s="19"/>
      <c r="B9" t="s">
        <v>33</v>
      </c>
      <c r="C9" s="53">
        <v>23256</v>
      </c>
      <c r="D9" s="19"/>
      <c r="E9" s="32">
        <f>'Single Family Commodities'!O10</f>
        <v>-40821.17</v>
      </c>
      <c r="G9" s="33">
        <f>+E9/C9</f>
        <v>-1.7552962676298589</v>
      </c>
      <c r="H9" s="33"/>
      <c r="I9" s="1"/>
      <c r="J9" s="1"/>
    </row>
    <row r="10" spans="1:11" x14ac:dyDescent="0.2">
      <c r="A10" s="19"/>
      <c r="B10" s="19"/>
      <c r="C10" s="32"/>
      <c r="D10" s="19"/>
      <c r="E10" s="32"/>
      <c r="G10" s="33"/>
      <c r="H10" s="33"/>
      <c r="I10" s="1"/>
      <c r="J10" s="1"/>
    </row>
    <row r="11" spans="1:11" x14ac:dyDescent="0.2">
      <c r="A11" s="23" t="s">
        <v>38</v>
      </c>
      <c r="B11" s="19"/>
      <c r="C11" s="32">
        <f>+C9+C8</f>
        <v>46385</v>
      </c>
      <c r="D11" s="19"/>
      <c r="E11" s="32">
        <f>+E9+E8</f>
        <v>-78238.78</v>
      </c>
      <c r="G11" s="33"/>
      <c r="H11" s="33"/>
      <c r="I11" s="1"/>
      <c r="J11" s="1"/>
    </row>
    <row r="12" spans="1:11" x14ac:dyDescent="0.2">
      <c r="A12" s="19"/>
      <c r="B12" s="19"/>
      <c r="C12" s="32"/>
      <c r="D12" s="19"/>
      <c r="E12" s="32"/>
      <c r="G12" s="33"/>
      <c r="H12" s="33"/>
      <c r="I12" s="1"/>
      <c r="J12" s="1"/>
    </row>
    <row r="13" spans="1:11" x14ac:dyDescent="0.2">
      <c r="A13" s="19"/>
      <c r="B13" t="s">
        <v>34</v>
      </c>
      <c r="C13" s="53">
        <v>23425</v>
      </c>
      <c r="D13" s="19"/>
      <c r="E13" s="32">
        <f>'Single Family Commodities'!O12</f>
        <v>-43354.66</v>
      </c>
      <c r="G13" s="33">
        <f t="shared" ref="G13:G16" si="0">+E13/C13</f>
        <v>-1.8507859124866597</v>
      </c>
      <c r="H13" s="33"/>
      <c r="I13" s="1"/>
      <c r="J13" s="1"/>
    </row>
    <row r="14" spans="1:11" x14ac:dyDescent="0.2">
      <c r="A14" s="19"/>
      <c r="B14" t="s">
        <v>35</v>
      </c>
      <c r="C14" s="53">
        <v>23472</v>
      </c>
      <c r="D14" s="19"/>
      <c r="E14" s="32">
        <f>'Single Family Commodities'!O14</f>
        <v>-39544.810000000005</v>
      </c>
      <c r="G14" s="33">
        <f t="shared" si="0"/>
        <v>-1.6847652522154057</v>
      </c>
      <c r="H14" s="33"/>
      <c r="I14" s="1"/>
      <c r="J14" s="1"/>
      <c r="K14" s="1"/>
    </row>
    <row r="15" spans="1:11" x14ac:dyDescent="0.2">
      <c r="A15" s="19"/>
      <c r="B15" t="s">
        <v>36</v>
      </c>
      <c r="C15" s="53">
        <v>23554</v>
      </c>
      <c r="D15" s="19"/>
      <c r="E15" s="32">
        <f>'Single Family Commodities'!O16</f>
        <v>-40233.68</v>
      </c>
      <c r="G15" s="33">
        <f t="shared" si="0"/>
        <v>-1.7081463870255582</v>
      </c>
      <c r="H15" s="33"/>
      <c r="I15" s="1"/>
      <c r="J15" s="1"/>
    </row>
    <row r="16" spans="1:11" x14ac:dyDescent="0.2">
      <c r="A16" s="19"/>
      <c r="B16" t="s">
        <v>37</v>
      </c>
      <c r="C16" s="53">
        <v>23591</v>
      </c>
      <c r="D16" s="19"/>
      <c r="E16" s="32">
        <f>'Single Family Commodities'!O18</f>
        <v>-37467.550000000003</v>
      </c>
      <c r="G16" s="33">
        <f t="shared" si="0"/>
        <v>-1.588213725573312</v>
      </c>
      <c r="H16" s="33"/>
      <c r="I16" s="1"/>
      <c r="J16" s="1"/>
    </row>
    <row r="17" spans="1:10" x14ac:dyDescent="0.2">
      <c r="A17" s="19"/>
      <c r="B17" s="19"/>
      <c r="C17" s="32"/>
      <c r="D17" s="19"/>
      <c r="E17" s="32"/>
      <c r="G17" s="33"/>
      <c r="H17" s="33"/>
      <c r="I17" s="1"/>
    </row>
    <row r="18" spans="1:10" x14ac:dyDescent="0.2">
      <c r="A18" s="19"/>
      <c r="B18" s="19"/>
      <c r="C18" s="32"/>
      <c r="D18" s="19"/>
      <c r="E18" s="32"/>
      <c r="G18" s="33"/>
      <c r="H18" s="33"/>
      <c r="I18" s="1"/>
      <c r="J18" s="1"/>
    </row>
    <row r="19" spans="1:10" x14ac:dyDescent="0.2">
      <c r="A19" s="23" t="s">
        <v>39</v>
      </c>
      <c r="B19" s="19"/>
      <c r="C19" s="32">
        <f>SUM(C13:C17)</f>
        <v>94042</v>
      </c>
      <c r="D19" s="19"/>
      <c r="E19" s="32">
        <f>SUM(E13:E17)</f>
        <v>-160600.70000000001</v>
      </c>
      <c r="G19" s="33"/>
      <c r="H19" s="33"/>
      <c r="I19" s="1"/>
      <c r="J19" s="1"/>
    </row>
    <row r="20" spans="1:10" x14ac:dyDescent="0.2">
      <c r="A20" s="19"/>
      <c r="B20" s="19"/>
      <c r="C20" s="32"/>
      <c r="D20" s="19"/>
      <c r="E20" s="32"/>
      <c r="G20" s="33"/>
      <c r="H20" s="33"/>
      <c r="I20" s="1"/>
      <c r="J20" s="1"/>
    </row>
    <row r="21" spans="1:10" x14ac:dyDescent="0.2">
      <c r="A21" s="19" t="s">
        <v>2</v>
      </c>
      <c r="B21" s="19"/>
      <c r="C21" s="32">
        <f>+C19+C11</f>
        <v>140427</v>
      </c>
      <c r="D21" s="19"/>
      <c r="E21" s="32">
        <f>+E19+E11</f>
        <v>-238839.48</v>
      </c>
      <c r="G21" s="33">
        <f>+E21/C21</f>
        <v>-1.7008088188168942</v>
      </c>
      <c r="H21" s="33"/>
      <c r="I21" s="1"/>
      <c r="J21" s="1"/>
    </row>
    <row r="22" spans="1:10" x14ac:dyDescent="0.2">
      <c r="A22" s="19"/>
      <c r="B22" s="19"/>
      <c r="C22" s="19"/>
      <c r="D22" s="19"/>
      <c r="E22" s="25"/>
      <c r="G22" s="33"/>
      <c r="H22" s="33"/>
      <c r="I22" s="1"/>
      <c r="J22" s="1"/>
    </row>
    <row r="23" spans="1:10" x14ac:dyDescent="0.2">
      <c r="A23" s="19"/>
      <c r="B23" s="19" t="s">
        <v>8</v>
      </c>
      <c r="C23" s="19"/>
      <c r="D23" s="19"/>
      <c r="E23" s="25"/>
      <c r="G23" s="33"/>
      <c r="H23" s="33"/>
      <c r="I23" s="1"/>
      <c r="J23" s="1"/>
    </row>
    <row r="24" spans="1:10" x14ac:dyDescent="0.2">
      <c r="A24" s="19"/>
      <c r="B24" s="19"/>
      <c r="C24" s="19"/>
      <c r="D24" s="19"/>
      <c r="E24" s="25"/>
      <c r="G24" s="33"/>
      <c r="H24" s="33"/>
      <c r="I24" s="1"/>
      <c r="J24" s="1"/>
    </row>
    <row r="25" spans="1:10" x14ac:dyDescent="0.2">
      <c r="A25" s="19"/>
      <c r="B25" s="19"/>
      <c r="C25" s="19"/>
      <c r="D25" s="19" t="s">
        <v>9</v>
      </c>
      <c r="E25" s="25"/>
      <c r="G25" s="33"/>
      <c r="H25" s="33">
        <f>+E21</f>
        <v>-238839.48</v>
      </c>
      <c r="I25" s="1"/>
      <c r="J25" s="1"/>
    </row>
    <row r="26" spans="1:10" x14ac:dyDescent="0.2">
      <c r="A26" s="19"/>
      <c r="B26" s="19"/>
      <c r="C26" s="19"/>
      <c r="D26" s="19"/>
      <c r="E26" s="25"/>
      <c r="G26" s="33"/>
      <c r="H26" s="33"/>
      <c r="I26" s="1"/>
      <c r="J26" s="1"/>
    </row>
    <row r="27" spans="1:10" x14ac:dyDescent="0.2">
      <c r="A27" s="19"/>
      <c r="B27" s="19" t="s">
        <v>10</v>
      </c>
      <c r="C27" s="19"/>
      <c r="D27" s="19"/>
      <c r="E27" s="25"/>
      <c r="G27" s="51">
        <v>-1.39</v>
      </c>
      <c r="H27" s="33"/>
      <c r="I27" s="1"/>
      <c r="J27" s="1"/>
    </row>
    <row r="28" spans="1:10" x14ac:dyDescent="0.2">
      <c r="A28" s="19"/>
      <c r="B28" s="19"/>
      <c r="C28" s="23" t="s">
        <v>45</v>
      </c>
      <c r="D28" s="19"/>
      <c r="E28" s="25"/>
      <c r="G28" s="34">
        <f>+C11</f>
        <v>46385</v>
      </c>
      <c r="H28" s="33"/>
      <c r="I28" s="1"/>
      <c r="J28" s="1"/>
    </row>
    <row r="29" spans="1:10" x14ac:dyDescent="0.2">
      <c r="A29" s="19"/>
      <c r="B29" s="19" t="s">
        <v>11</v>
      </c>
      <c r="C29" s="19"/>
      <c r="D29" s="19"/>
      <c r="E29" s="25"/>
      <c r="G29" s="33">
        <f>+G28*G27</f>
        <v>-64475.149999999994</v>
      </c>
      <c r="H29" s="33"/>
      <c r="I29" s="1"/>
      <c r="J29" s="1"/>
    </row>
    <row r="30" spans="1:10" x14ac:dyDescent="0.2">
      <c r="A30" s="19"/>
      <c r="B30" s="19"/>
      <c r="C30" s="19"/>
      <c r="D30" s="19"/>
      <c r="E30" s="25"/>
      <c r="G30" s="33"/>
      <c r="H30" s="33"/>
      <c r="I30" s="1"/>
      <c r="J30" s="1"/>
    </row>
    <row r="31" spans="1:10" x14ac:dyDescent="0.2">
      <c r="A31" s="19"/>
      <c r="B31" s="19"/>
      <c r="C31" s="19"/>
      <c r="D31" s="19"/>
      <c r="E31" s="25"/>
      <c r="G31" s="33"/>
      <c r="H31" s="33"/>
      <c r="I31" s="1"/>
      <c r="J31" s="1"/>
    </row>
    <row r="32" spans="1:10" x14ac:dyDescent="0.2">
      <c r="A32" s="19"/>
      <c r="B32" s="19" t="s">
        <v>10</v>
      </c>
      <c r="C32" s="19"/>
      <c r="D32" s="19"/>
      <c r="E32" s="25"/>
      <c r="F32" s="19"/>
      <c r="G32" s="51">
        <v>-1.81</v>
      </c>
      <c r="H32" s="33"/>
      <c r="I32" s="1"/>
      <c r="J32" s="1"/>
    </row>
    <row r="33" spans="1:10" x14ac:dyDescent="0.2">
      <c r="A33" s="19"/>
      <c r="B33" s="19"/>
      <c r="C33" s="23" t="s">
        <v>44</v>
      </c>
      <c r="D33" s="19"/>
      <c r="E33" s="25"/>
      <c r="G33" s="34">
        <f>+C19</f>
        <v>94042</v>
      </c>
      <c r="H33" s="33"/>
      <c r="I33" s="1"/>
      <c r="J33" s="1"/>
    </row>
    <row r="34" spans="1:10" x14ac:dyDescent="0.2">
      <c r="B34" t="s">
        <v>11</v>
      </c>
      <c r="E34" s="1"/>
      <c r="G34" s="33">
        <f>+G33*G32</f>
        <v>-170216.02000000002</v>
      </c>
      <c r="H34" s="33">
        <f>+G34+G29</f>
        <v>-234691.17</v>
      </c>
      <c r="I34" s="1"/>
      <c r="J34" s="1"/>
    </row>
    <row r="35" spans="1:10" x14ac:dyDescent="0.2">
      <c r="E35" s="1"/>
      <c r="G35" s="33"/>
      <c r="H35" s="33"/>
      <c r="I35" s="1"/>
      <c r="J35" s="1"/>
    </row>
    <row r="36" spans="1:10" x14ac:dyDescent="0.2">
      <c r="B36" t="s">
        <v>12</v>
      </c>
      <c r="E36" s="1"/>
      <c r="G36" s="33"/>
      <c r="H36" s="33">
        <f>+H25-H34</f>
        <v>-4148.3099999999977</v>
      </c>
      <c r="I36" s="1"/>
      <c r="J36" s="1"/>
    </row>
    <row r="37" spans="1:10" x14ac:dyDescent="0.2">
      <c r="E37" s="1"/>
      <c r="G37" s="33"/>
      <c r="H37" s="33"/>
      <c r="I37" s="1"/>
      <c r="J37" s="1"/>
    </row>
    <row r="38" spans="1:10" x14ac:dyDescent="0.2">
      <c r="E38" s="1"/>
      <c r="G38" s="33"/>
      <c r="H38" s="33"/>
      <c r="I38" s="1"/>
      <c r="J38" s="33"/>
    </row>
    <row r="39" spans="1:10" x14ac:dyDescent="0.2">
      <c r="B39" s="23" t="s">
        <v>41</v>
      </c>
      <c r="E39" s="1"/>
      <c r="G39" s="33"/>
      <c r="H39" s="33"/>
      <c r="I39" s="1"/>
      <c r="J39" s="33"/>
    </row>
    <row r="40" spans="1:10" x14ac:dyDescent="0.2">
      <c r="E40" s="1"/>
      <c r="G40" s="33"/>
      <c r="H40" s="33"/>
      <c r="I40" s="1"/>
      <c r="J40" s="33"/>
    </row>
    <row r="41" spans="1:10" x14ac:dyDescent="0.2">
      <c r="B41" s="23" t="s">
        <v>43</v>
      </c>
      <c r="E41" s="1"/>
      <c r="G41" s="33"/>
      <c r="H41" s="33"/>
      <c r="I41" s="1"/>
      <c r="J41" s="33"/>
    </row>
    <row r="42" spans="1:10" x14ac:dyDescent="0.2">
      <c r="E42" s="1"/>
      <c r="G42" s="33"/>
      <c r="H42" s="33"/>
      <c r="I42" s="1"/>
      <c r="J42" s="33"/>
    </row>
    <row r="43" spans="1:10" x14ac:dyDescent="0.2">
      <c r="D43" t="s">
        <v>28</v>
      </c>
      <c r="E43" s="1"/>
      <c r="G43" s="33"/>
      <c r="H43" s="34">
        <f>+C21</f>
        <v>140427</v>
      </c>
      <c r="I43" s="1"/>
      <c r="J43" s="33"/>
    </row>
    <row r="44" spans="1:10" x14ac:dyDescent="0.2">
      <c r="D44" t="s">
        <v>12</v>
      </c>
      <c r="E44" s="1"/>
      <c r="G44" s="33"/>
      <c r="H44" s="33">
        <f>+H36</f>
        <v>-4148.3099999999977</v>
      </c>
      <c r="I44" s="1"/>
      <c r="J44" s="33"/>
    </row>
    <row r="45" spans="1:10" x14ac:dyDescent="0.2">
      <c r="E45" s="1"/>
      <c r="G45" s="33"/>
      <c r="H45" s="33"/>
      <c r="I45" s="1"/>
      <c r="J45" s="33"/>
    </row>
    <row r="46" spans="1:10" x14ac:dyDescent="0.2">
      <c r="D46" s="23" t="s">
        <v>42</v>
      </c>
      <c r="E46" s="1"/>
      <c r="G46" s="33"/>
      <c r="H46" s="33">
        <f>+H44/H43</f>
        <v>-2.954068662009441E-2</v>
      </c>
      <c r="I46" s="1"/>
      <c r="J46" s="33">
        <f>+H46</f>
        <v>-2.954068662009441E-2</v>
      </c>
    </row>
    <row r="47" spans="1:10" x14ac:dyDescent="0.2">
      <c r="E47" s="1"/>
      <c r="G47" s="33"/>
      <c r="H47" s="33"/>
      <c r="I47" s="1"/>
      <c r="J47" s="33"/>
    </row>
    <row r="48" spans="1:10" x14ac:dyDescent="0.2">
      <c r="B48" s="23" t="s">
        <v>49</v>
      </c>
      <c r="E48" s="1"/>
      <c r="G48" s="33"/>
      <c r="H48" s="33"/>
      <c r="I48" s="1"/>
      <c r="J48" s="33"/>
    </row>
    <row r="49" spans="2:10" x14ac:dyDescent="0.2">
      <c r="B49" s="27" t="s">
        <v>27</v>
      </c>
      <c r="C49" s="27"/>
      <c r="D49" s="27"/>
      <c r="E49" s="28"/>
      <c r="G49" s="33"/>
      <c r="H49" s="33">
        <f>G21</f>
        <v>-1.7008088188168942</v>
      </c>
      <c r="I49" s="1"/>
      <c r="J49" s="33">
        <f>+H49</f>
        <v>-1.7008088188168942</v>
      </c>
    </row>
    <row r="50" spans="2:10" x14ac:dyDescent="0.2">
      <c r="C50" s="19"/>
      <c r="D50" s="19"/>
      <c r="E50" s="25"/>
      <c r="G50" s="33"/>
      <c r="H50" s="33"/>
      <c r="I50" s="1"/>
      <c r="J50" s="33"/>
    </row>
    <row r="51" spans="2:10" x14ac:dyDescent="0.2">
      <c r="E51" s="1"/>
      <c r="G51" s="33"/>
      <c r="H51" s="33"/>
      <c r="I51" s="1"/>
      <c r="J51" s="33"/>
    </row>
    <row r="52" spans="2:10" x14ac:dyDescent="0.2">
      <c r="B52" s="23" t="s">
        <v>41</v>
      </c>
      <c r="E52" s="1"/>
      <c r="G52" s="1"/>
      <c r="H52" s="1"/>
      <c r="I52" s="1"/>
      <c r="J52" s="60">
        <f>+J49+J46</f>
        <v>-1.7303495054369886</v>
      </c>
    </row>
    <row r="53" spans="2:10" x14ac:dyDescent="0.2">
      <c r="E53" s="1"/>
      <c r="G53" s="1"/>
      <c r="H53" s="1"/>
      <c r="I53" s="1"/>
      <c r="J53" s="33"/>
    </row>
    <row r="54" spans="2:10" x14ac:dyDescent="0.2">
      <c r="E54" s="1"/>
      <c r="G54" s="1"/>
      <c r="H54" s="1"/>
      <c r="I54" s="1"/>
      <c r="J54" s="33"/>
    </row>
    <row r="55" spans="2:10" x14ac:dyDescent="0.2">
      <c r="E55" s="1"/>
      <c r="G55" s="1"/>
      <c r="H55" s="1"/>
      <c r="I55" s="1"/>
      <c r="J55" s="33"/>
    </row>
    <row r="56" spans="2:10" x14ac:dyDescent="0.2">
      <c r="E56" s="1"/>
    </row>
    <row r="57" spans="2:10" x14ac:dyDescent="0.2">
      <c r="E57" s="1"/>
    </row>
    <row r="58" spans="2:10" x14ac:dyDescent="0.2">
      <c r="E58" s="1"/>
    </row>
    <row r="59" spans="2:10" x14ac:dyDescent="0.2">
      <c r="E59" s="1"/>
    </row>
    <row r="60" spans="2:10" x14ac:dyDescent="0.2">
      <c r="E60" s="1"/>
    </row>
    <row r="61" spans="2:10" x14ac:dyDescent="0.2">
      <c r="E61" s="1"/>
    </row>
    <row r="62" spans="2:10" x14ac:dyDescent="0.2">
      <c r="E62" s="1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</sheetData>
  <mergeCells count="1">
    <mergeCell ref="B4:G4"/>
  </mergeCells>
  <pageMargins left="0.75" right="0.75" top="1" bottom="1" header="0.5" footer="0.5"/>
  <pageSetup scale="84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4"/>
  <sheetViews>
    <sheetView topLeftCell="A22" workbookViewId="0">
      <selection activeCell="E59" sqref="E59"/>
    </sheetView>
  </sheetViews>
  <sheetFormatPr defaultColWidth="9.140625" defaultRowHeight="12.75" x14ac:dyDescent="0.2"/>
  <cols>
    <col min="1" max="1" width="8.7109375" style="2" customWidth="1"/>
    <col min="2" max="2" width="14.7109375" style="2" customWidth="1"/>
    <col min="3" max="3" width="11.5703125" style="2" customWidth="1"/>
    <col min="4" max="4" width="9.140625" style="2"/>
    <col min="5" max="5" width="10.85546875" style="2" bestFit="1" customWidth="1"/>
    <col min="6" max="6" width="9.140625" style="2"/>
    <col min="7" max="7" width="10.7109375" style="2" bestFit="1" customWidth="1"/>
    <col min="8" max="8" width="11.28515625" style="2" bestFit="1" customWidth="1"/>
    <col min="9" max="9" width="2.7109375" style="2" customWidth="1"/>
    <col min="10" max="10" width="9.42578125" style="2" bestFit="1" customWidth="1"/>
    <col min="11" max="16384" width="9.140625" style="2"/>
  </cols>
  <sheetData>
    <row r="1" spans="1:12" x14ac:dyDescent="0.2">
      <c r="A1" s="5" t="s">
        <v>0</v>
      </c>
    </row>
    <row r="2" spans="1:12" x14ac:dyDescent="0.2">
      <c r="A2" s="2" t="s">
        <v>31</v>
      </c>
    </row>
    <row r="3" spans="1:12" x14ac:dyDescent="0.2">
      <c r="A3" s="2" t="s">
        <v>26</v>
      </c>
    </row>
    <row r="5" spans="1:12" x14ac:dyDescent="0.2">
      <c r="G5" s="2" t="s">
        <v>3</v>
      </c>
    </row>
    <row r="6" spans="1:12" x14ac:dyDescent="0.2">
      <c r="E6" s="2" t="s">
        <v>3</v>
      </c>
      <c r="G6" s="2" t="s">
        <v>4</v>
      </c>
    </row>
    <row r="7" spans="1:12" x14ac:dyDescent="0.2">
      <c r="C7" s="48" t="s">
        <v>24</v>
      </c>
      <c r="E7" s="2" t="s">
        <v>4</v>
      </c>
      <c r="G7" s="2" t="s">
        <v>6</v>
      </c>
    </row>
    <row r="8" spans="1:12" x14ac:dyDescent="0.2">
      <c r="A8" s="2" t="s">
        <v>7</v>
      </c>
      <c r="B8" s="2" t="s">
        <v>32</v>
      </c>
      <c r="C8" s="55">
        <v>18505.57</v>
      </c>
      <c r="E8" s="35">
        <f>'Multi Family Commodities'!O8</f>
        <v>-12388.81</v>
      </c>
      <c r="F8" s="3"/>
      <c r="G8" s="35">
        <f>+E8/C8</f>
        <v>-0.66946384250795843</v>
      </c>
      <c r="H8" s="35"/>
      <c r="I8" s="3"/>
      <c r="J8" s="3"/>
      <c r="K8" s="3"/>
      <c r="L8" s="3"/>
    </row>
    <row r="9" spans="1:12" x14ac:dyDescent="0.2">
      <c r="B9" s="2" t="s">
        <v>33</v>
      </c>
      <c r="C9" s="55">
        <v>18570.669999999998</v>
      </c>
      <c r="E9" s="35">
        <f>'Multi Family Commodities'!O10</f>
        <v>-13019.18</v>
      </c>
      <c r="F9" s="3"/>
      <c r="G9" s="35">
        <f>+E9/C9</f>
        <v>-0.70106140489276914</v>
      </c>
      <c r="H9" s="35"/>
      <c r="I9" s="3"/>
      <c r="J9" s="3"/>
      <c r="K9" s="3"/>
      <c r="L9" s="3"/>
    </row>
    <row r="10" spans="1:12" x14ac:dyDescent="0.2">
      <c r="C10" s="24"/>
      <c r="E10" s="35"/>
      <c r="F10" s="3"/>
      <c r="G10" s="35"/>
      <c r="H10" s="35"/>
      <c r="I10" s="3"/>
      <c r="J10" s="3"/>
      <c r="K10" s="3"/>
      <c r="L10" s="3"/>
    </row>
    <row r="11" spans="1:12" x14ac:dyDescent="0.2">
      <c r="A11" s="2" t="s">
        <v>38</v>
      </c>
      <c r="C11" s="24">
        <f>+C9+C8</f>
        <v>37076.239999999998</v>
      </c>
      <c r="E11" s="35">
        <f>+E9+E8</f>
        <v>-25407.989999999998</v>
      </c>
      <c r="F11" s="3"/>
      <c r="G11" s="35"/>
      <c r="H11" s="35"/>
      <c r="I11" s="3"/>
      <c r="J11" s="3"/>
      <c r="K11" s="3"/>
      <c r="L11" s="3"/>
    </row>
    <row r="12" spans="1:12" x14ac:dyDescent="0.2">
      <c r="A12" s="19"/>
      <c r="C12" s="24"/>
      <c r="E12" s="35"/>
      <c r="F12" s="3"/>
      <c r="G12" s="35"/>
      <c r="H12" s="35"/>
      <c r="I12" s="3"/>
      <c r="J12" s="3"/>
      <c r="K12" s="3"/>
      <c r="L12" s="3"/>
    </row>
    <row r="13" spans="1:12" x14ac:dyDescent="0.2">
      <c r="A13" s="19"/>
      <c r="B13" s="2" t="s">
        <v>34</v>
      </c>
      <c r="C13" s="55">
        <v>18953.78</v>
      </c>
      <c r="E13" s="35">
        <f>'Multi Family Commodities'!O12</f>
        <v>-15339.57</v>
      </c>
      <c r="F13" s="3"/>
      <c r="G13" s="35">
        <f t="shared" ref="G13:G16" si="0">+E13/C13</f>
        <v>-0.80931455361410765</v>
      </c>
      <c r="H13" s="35"/>
      <c r="I13" s="3"/>
      <c r="J13" s="3"/>
      <c r="K13" s="3"/>
      <c r="L13" s="3"/>
    </row>
    <row r="14" spans="1:12" x14ac:dyDescent="0.2">
      <c r="A14" s="19"/>
      <c r="B14" s="2" t="s">
        <v>35</v>
      </c>
      <c r="C14" s="55">
        <v>15792.86</v>
      </c>
      <c r="E14" s="35">
        <f>'Multi Family Commodities'!O14</f>
        <v>-13140.880000000001</v>
      </c>
      <c r="F14" s="3"/>
      <c r="G14" s="35">
        <f t="shared" si="0"/>
        <v>-0.83207728049257701</v>
      </c>
      <c r="H14" s="35"/>
      <c r="I14" s="3"/>
      <c r="J14" s="3"/>
      <c r="K14" s="3"/>
      <c r="L14" s="3"/>
    </row>
    <row r="15" spans="1:12" x14ac:dyDescent="0.2">
      <c r="A15" s="19"/>
      <c r="B15" s="2" t="s">
        <v>36</v>
      </c>
      <c r="C15" s="55">
        <v>15797.15</v>
      </c>
      <c r="E15" s="35">
        <f>'Multi Family Commodities'!O16</f>
        <v>-12944.150000000001</v>
      </c>
      <c r="F15" s="3"/>
      <c r="G15" s="35">
        <f t="shared" si="0"/>
        <v>-0.81939780276822094</v>
      </c>
      <c r="H15" s="35"/>
      <c r="I15" s="3"/>
      <c r="J15" s="3"/>
      <c r="K15" s="3"/>
      <c r="L15" s="3"/>
    </row>
    <row r="16" spans="1:12" x14ac:dyDescent="0.2">
      <c r="A16" s="19"/>
      <c r="B16" s="2" t="s">
        <v>37</v>
      </c>
      <c r="C16" s="55">
        <v>15914.84</v>
      </c>
      <c r="E16" s="35">
        <f>'Multi Family Commodities'!O18</f>
        <v>-13081.29</v>
      </c>
      <c r="F16" s="3"/>
      <c r="G16" s="35">
        <f t="shared" si="0"/>
        <v>-0.82195548305857935</v>
      </c>
      <c r="H16" s="35"/>
      <c r="I16" s="3"/>
      <c r="J16" s="3"/>
      <c r="K16" s="3"/>
      <c r="L16" s="3"/>
    </row>
    <row r="17" spans="1:12" x14ac:dyDescent="0.2">
      <c r="C17" s="24"/>
      <c r="E17" s="35"/>
      <c r="F17" s="3"/>
      <c r="G17" s="35"/>
      <c r="H17" s="35"/>
      <c r="I17" s="3"/>
      <c r="J17" s="3"/>
      <c r="K17" s="3"/>
      <c r="L17" s="3"/>
    </row>
    <row r="18" spans="1:12" x14ac:dyDescent="0.2">
      <c r="A18" s="2" t="s">
        <v>46</v>
      </c>
      <c r="C18" s="24">
        <f>SUM(C13:C17)</f>
        <v>66458.63</v>
      </c>
      <c r="E18" s="35">
        <f>SUM(E13:E17)</f>
        <v>-54505.890000000007</v>
      </c>
      <c r="F18" s="3"/>
      <c r="G18" s="35"/>
      <c r="H18" s="35"/>
      <c r="I18" s="3"/>
      <c r="J18" s="3"/>
      <c r="K18" s="3"/>
      <c r="L18" s="3"/>
    </row>
    <row r="19" spans="1:12" x14ac:dyDescent="0.2">
      <c r="C19" s="24"/>
      <c r="E19" s="35"/>
      <c r="F19" s="3"/>
      <c r="G19" s="35"/>
      <c r="H19" s="35"/>
      <c r="I19" s="3"/>
      <c r="J19" s="3"/>
      <c r="K19" s="3"/>
      <c r="L19" s="3"/>
    </row>
    <row r="20" spans="1:12" x14ac:dyDescent="0.2">
      <c r="A20" s="2" t="s">
        <v>2</v>
      </c>
      <c r="C20" s="24">
        <f>+C18+C11</f>
        <v>103534.87</v>
      </c>
      <c r="E20" s="35">
        <f>+E18+E11</f>
        <v>-79913.88</v>
      </c>
      <c r="F20" s="3"/>
      <c r="G20" s="35">
        <f>+E20/C20</f>
        <v>-0.77185473840842234</v>
      </c>
      <c r="H20" s="35"/>
      <c r="I20" s="3"/>
      <c r="J20" s="3"/>
      <c r="K20" s="3"/>
      <c r="L20" s="3"/>
    </row>
    <row r="21" spans="1:12" x14ac:dyDescent="0.2">
      <c r="E21" s="3"/>
      <c r="F21" s="3"/>
      <c r="G21" s="35"/>
      <c r="H21" s="35"/>
      <c r="I21" s="3"/>
      <c r="J21" s="3"/>
      <c r="K21" s="3"/>
      <c r="L21" s="3"/>
    </row>
    <row r="22" spans="1:12" x14ac:dyDescent="0.2">
      <c r="B22" s="2" t="s">
        <v>8</v>
      </c>
      <c r="E22" s="3"/>
      <c r="F22" s="3"/>
      <c r="G22" s="35"/>
      <c r="H22" s="35"/>
      <c r="I22" s="3"/>
      <c r="J22" s="3"/>
      <c r="K22" s="3"/>
      <c r="L22" s="3"/>
    </row>
    <row r="23" spans="1:12" x14ac:dyDescent="0.2">
      <c r="E23" s="3"/>
      <c r="F23" s="3"/>
      <c r="G23" s="35"/>
      <c r="H23" s="35"/>
      <c r="I23" s="3"/>
      <c r="J23" s="3"/>
      <c r="K23" s="3"/>
      <c r="L23" s="3"/>
    </row>
    <row r="24" spans="1:12" x14ac:dyDescent="0.2">
      <c r="D24" s="2" t="s">
        <v>9</v>
      </c>
      <c r="E24" s="3"/>
      <c r="F24" s="3"/>
      <c r="G24" s="35"/>
      <c r="H24" s="35">
        <f>+E20</f>
        <v>-79913.88</v>
      </c>
      <c r="I24" s="3"/>
      <c r="J24" s="3"/>
      <c r="K24" s="3"/>
      <c r="L24" s="3"/>
    </row>
    <row r="25" spans="1:12" x14ac:dyDescent="0.2">
      <c r="E25" s="3"/>
      <c r="F25" s="3"/>
      <c r="G25" s="35"/>
      <c r="H25" s="35"/>
      <c r="I25" s="3"/>
      <c r="J25" s="3"/>
      <c r="K25" s="3"/>
      <c r="L25" s="3"/>
    </row>
    <row r="26" spans="1:12" x14ac:dyDescent="0.2">
      <c r="B26" s="2" t="s">
        <v>13</v>
      </c>
      <c r="E26" s="3"/>
      <c r="F26" s="3"/>
      <c r="G26" s="52">
        <v>-0.46</v>
      </c>
      <c r="H26" s="35"/>
      <c r="I26" s="3"/>
      <c r="J26" s="3"/>
      <c r="K26" s="3"/>
      <c r="L26" s="3"/>
    </row>
    <row r="27" spans="1:12" x14ac:dyDescent="0.2">
      <c r="C27" s="2" t="s">
        <v>47</v>
      </c>
      <c r="E27" s="3"/>
      <c r="F27" s="3"/>
      <c r="G27" s="36">
        <f>+C11</f>
        <v>37076.239999999998</v>
      </c>
      <c r="H27" s="3"/>
      <c r="I27" s="3"/>
      <c r="J27" s="3"/>
      <c r="K27" s="3"/>
      <c r="L27" s="3"/>
    </row>
    <row r="28" spans="1:12" x14ac:dyDescent="0.2">
      <c r="B28" s="2" t="s">
        <v>11</v>
      </c>
      <c r="E28" s="3"/>
      <c r="F28" s="3"/>
      <c r="G28" s="35">
        <f>+G27*G26</f>
        <v>-17055.070400000001</v>
      </c>
      <c r="H28" s="3"/>
      <c r="I28" s="3"/>
      <c r="J28" s="3"/>
      <c r="K28" s="3"/>
      <c r="L28" s="3"/>
    </row>
    <row r="29" spans="1:12" x14ac:dyDescent="0.2">
      <c r="E29" s="3"/>
      <c r="F29" s="3"/>
      <c r="G29" s="3"/>
      <c r="H29" s="3"/>
      <c r="I29" s="3"/>
      <c r="J29" s="3"/>
      <c r="K29" s="3"/>
      <c r="L29" s="3"/>
    </row>
    <row r="30" spans="1:12" x14ac:dyDescent="0.2">
      <c r="E30" s="3"/>
      <c r="F30" s="3"/>
      <c r="G30" s="3"/>
      <c r="H30" s="3"/>
      <c r="I30" s="3"/>
      <c r="J30" s="3"/>
      <c r="K30" s="3"/>
      <c r="L30" s="3"/>
    </row>
    <row r="31" spans="1:12" x14ac:dyDescent="0.2">
      <c r="B31" s="29" t="s">
        <v>13</v>
      </c>
      <c r="C31" s="29"/>
      <c r="D31" s="29"/>
      <c r="E31" s="30"/>
      <c r="F31" s="30"/>
      <c r="G31" s="52">
        <v>-0.61</v>
      </c>
      <c r="H31" s="3"/>
      <c r="I31" s="3"/>
      <c r="J31" s="3"/>
      <c r="K31" s="3"/>
      <c r="L31" s="3"/>
    </row>
    <row r="32" spans="1:12" x14ac:dyDescent="0.2">
      <c r="C32" s="2" t="s">
        <v>48</v>
      </c>
      <c r="E32" s="3"/>
      <c r="F32" s="35"/>
      <c r="G32" s="35">
        <f>+C18</f>
        <v>66458.63</v>
      </c>
      <c r="H32" s="35"/>
      <c r="I32" s="3"/>
      <c r="J32" s="3"/>
      <c r="K32" s="3"/>
      <c r="L32" s="3"/>
    </row>
    <row r="33" spans="2:12" x14ac:dyDescent="0.2">
      <c r="B33" s="2" t="s">
        <v>11</v>
      </c>
      <c r="E33" s="3"/>
      <c r="F33" s="35"/>
      <c r="G33" s="35">
        <f>+G32*G31</f>
        <v>-40539.764300000003</v>
      </c>
      <c r="H33" s="35">
        <f>+G33+G28</f>
        <v>-57594.834700000007</v>
      </c>
      <c r="I33" s="3"/>
      <c r="J33" s="3"/>
      <c r="K33" s="3"/>
      <c r="L33" s="3"/>
    </row>
    <row r="34" spans="2:12" x14ac:dyDescent="0.2">
      <c r="E34" s="3"/>
      <c r="F34" s="35"/>
      <c r="G34" s="35"/>
      <c r="H34" s="35"/>
      <c r="I34" s="3"/>
      <c r="J34" s="3"/>
      <c r="K34" s="3"/>
      <c r="L34" s="3"/>
    </row>
    <row r="35" spans="2:12" x14ac:dyDescent="0.2">
      <c r="B35" s="2" t="s">
        <v>12</v>
      </c>
      <c r="E35" s="3"/>
      <c r="F35" s="35"/>
      <c r="G35" s="35"/>
      <c r="H35" s="35">
        <f>+H24-H33</f>
        <v>-22319.045299999998</v>
      </c>
      <c r="I35" s="3"/>
      <c r="J35" s="3"/>
      <c r="K35" s="3"/>
      <c r="L35" s="3"/>
    </row>
    <row r="36" spans="2:12" x14ac:dyDescent="0.2">
      <c r="E36" s="3"/>
      <c r="F36" s="3"/>
      <c r="G36" s="3"/>
      <c r="H36" s="3"/>
      <c r="I36" s="3"/>
      <c r="J36" s="3"/>
      <c r="K36" s="3"/>
      <c r="L36" s="3"/>
    </row>
    <row r="37" spans="2:12" x14ac:dyDescent="0.2">
      <c r="E37" s="3"/>
      <c r="F37" s="3"/>
      <c r="G37" s="3"/>
      <c r="H37" s="3"/>
      <c r="I37" s="3"/>
      <c r="J37" s="3"/>
      <c r="K37" s="3"/>
      <c r="L37" s="3"/>
    </row>
    <row r="38" spans="2:12" x14ac:dyDescent="0.2">
      <c r="B38" s="2" t="s">
        <v>40</v>
      </c>
      <c r="E38" s="3"/>
      <c r="F38" s="3"/>
      <c r="G38" s="3"/>
      <c r="H38" s="3"/>
      <c r="I38" s="3"/>
      <c r="J38" s="3"/>
      <c r="K38" s="3"/>
      <c r="L38" s="3"/>
    </row>
    <row r="39" spans="2:12" x14ac:dyDescent="0.2">
      <c r="E39" s="3"/>
      <c r="F39" s="3"/>
      <c r="G39" s="3"/>
      <c r="H39" s="3"/>
      <c r="I39" s="3"/>
      <c r="J39" s="3"/>
      <c r="K39" s="3"/>
      <c r="L39" s="3"/>
    </row>
    <row r="40" spans="2:12" x14ac:dyDescent="0.2">
      <c r="B40" s="2" t="s">
        <v>43</v>
      </c>
      <c r="E40" s="3"/>
      <c r="F40" s="3"/>
      <c r="G40" s="3"/>
      <c r="H40" s="3"/>
      <c r="I40" s="3"/>
      <c r="J40" s="3"/>
      <c r="K40" s="3"/>
      <c r="L40" s="3"/>
    </row>
    <row r="41" spans="2:12" x14ac:dyDescent="0.2">
      <c r="E41" s="3"/>
      <c r="F41" s="3"/>
      <c r="G41" s="3"/>
      <c r="H41" s="3"/>
      <c r="I41" s="3"/>
      <c r="J41" s="3"/>
      <c r="K41" s="3"/>
      <c r="L41" s="3"/>
    </row>
    <row r="42" spans="2:12" x14ac:dyDescent="0.2">
      <c r="D42" s="2" t="s">
        <v>29</v>
      </c>
      <c r="E42" s="3"/>
      <c r="F42" s="3"/>
      <c r="G42" s="3"/>
      <c r="H42" s="35">
        <f>+C20</f>
        <v>103534.87</v>
      </c>
      <c r="I42" s="35"/>
      <c r="J42" s="35"/>
      <c r="K42" s="3"/>
      <c r="L42" s="3"/>
    </row>
    <row r="43" spans="2:12" x14ac:dyDescent="0.2">
      <c r="D43" s="2" t="s">
        <v>12</v>
      </c>
      <c r="E43" s="3"/>
      <c r="F43" s="3"/>
      <c r="G43" s="3"/>
      <c r="H43" s="35">
        <f>+H35</f>
        <v>-22319.045299999998</v>
      </c>
      <c r="I43" s="35"/>
      <c r="J43" s="35"/>
      <c r="K43" s="3"/>
      <c r="L43" s="3"/>
    </row>
    <row r="44" spans="2:12" x14ac:dyDescent="0.2">
      <c r="E44" s="3"/>
      <c r="F44" s="3"/>
      <c r="G44" s="3"/>
      <c r="H44" s="35"/>
      <c r="I44" s="35"/>
      <c r="J44" s="35"/>
      <c r="K44" s="3"/>
      <c r="L44" s="3"/>
    </row>
    <row r="45" spans="2:12" x14ac:dyDescent="0.2">
      <c r="D45" s="2" t="s">
        <v>42</v>
      </c>
      <c r="E45" s="3"/>
      <c r="F45" s="3"/>
      <c r="G45" s="3"/>
      <c r="H45" s="35">
        <f>+H43/H42</f>
        <v>-0.21557032234647128</v>
      </c>
      <c r="I45" s="35"/>
      <c r="J45" s="35">
        <f>+H45</f>
        <v>-0.21557032234647128</v>
      </c>
      <c r="K45" s="3"/>
      <c r="L45" s="3"/>
    </row>
    <row r="46" spans="2:12" x14ac:dyDescent="0.2">
      <c r="E46" s="3"/>
      <c r="F46" s="3"/>
      <c r="G46" s="3"/>
      <c r="H46" s="35"/>
      <c r="I46" s="35"/>
      <c r="J46" s="35"/>
      <c r="K46" s="3"/>
      <c r="L46" s="3"/>
    </row>
    <row r="47" spans="2:12" x14ac:dyDescent="0.2">
      <c r="B47" s="2" t="s">
        <v>49</v>
      </c>
      <c r="E47" s="3"/>
      <c r="F47" s="3"/>
      <c r="G47" s="3"/>
      <c r="H47" s="35"/>
      <c r="I47" s="35"/>
      <c r="J47" s="35"/>
      <c r="K47" s="3"/>
      <c r="L47" s="3"/>
    </row>
    <row r="48" spans="2:12" x14ac:dyDescent="0.2">
      <c r="B48" s="27" t="s">
        <v>27</v>
      </c>
      <c r="C48" s="29"/>
      <c r="D48" s="29"/>
      <c r="E48" s="30"/>
      <c r="F48" s="3"/>
      <c r="G48" s="3"/>
      <c r="H48" s="35">
        <f>G20</f>
        <v>-0.77185473840842234</v>
      </c>
      <c r="I48" s="35"/>
      <c r="J48" s="35">
        <f>+H48</f>
        <v>-0.77185473840842234</v>
      </c>
      <c r="K48" s="3"/>
      <c r="L48" s="3"/>
    </row>
    <row r="49" spans="2:13" x14ac:dyDescent="0.2">
      <c r="E49" s="3"/>
      <c r="F49" s="3"/>
      <c r="G49" s="3"/>
      <c r="H49" s="35"/>
      <c r="I49" s="35"/>
      <c r="J49" s="35"/>
      <c r="K49" s="3"/>
      <c r="L49" s="3"/>
    </row>
    <row r="50" spans="2:13" x14ac:dyDescent="0.2">
      <c r="E50" s="3"/>
      <c r="F50" s="3"/>
      <c r="G50" s="3"/>
      <c r="H50" s="35"/>
      <c r="I50" s="35"/>
      <c r="J50" s="35"/>
      <c r="K50" s="3"/>
      <c r="L50" s="3"/>
    </row>
    <row r="51" spans="2:13" x14ac:dyDescent="0.2">
      <c r="B51" s="2" t="s">
        <v>50</v>
      </c>
      <c r="E51" s="3"/>
      <c r="F51" s="3"/>
      <c r="G51" s="3"/>
      <c r="H51" s="35"/>
      <c r="I51" s="35"/>
      <c r="J51" s="61">
        <f>+J48+J45</f>
        <v>-0.98742506075489356</v>
      </c>
      <c r="K51" s="2" t="s">
        <v>59</v>
      </c>
      <c r="M51" s="35"/>
    </row>
    <row r="52" spans="2:13" x14ac:dyDescent="0.2">
      <c r="E52" s="3"/>
      <c r="F52" s="3"/>
      <c r="G52" s="3"/>
      <c r="H52" s="35"/>
      <c r="I52" s="35"/>
      <c r="J52" s="35"/>
      <c r="M52" s="35"/>
    </row>
    <row r="53" spans="2:13" x14ac:dyDescent="0.2">
      <c r="E53" s="3"/>
      <c r="F53" s="3"/>
      <c r="G53" s="3"/>
      <c r="H53" s="35"/>
      <c r="I53" s="35"/>
      <c r="J53" s="35">
        <f>J51*0.22</f>
        <v>-0.21723351336607657</v>
      </c>
      <c r="K53" s="3" t="s">
        <v>58</v>
      </c>
    </row>
    <row r="54" spans="2:13" x14ac:dyDescent="0.2">
      <c r="E54" s="3"/>
      <c r="F54" s="3"/>
      <c r="G54" s="3"/>
      <c r="H54" s="35"/>
      <c r="I54" s="35"/>
      <c r="J54" s="35">
        <f>J51*2.75</f>
        <v>-2.7154189170759571</v>
      </c>
      <c r="K54" s="2" t="s">
        <v>60</v>
      </c>
    </row>
    <row r="55" spans="2:13" x14ac:dyDescent="0.2">
      <c r="E55" s="3"/>
      <c r="F55" s="3"/>
      <c r="G55" s="3"/>
      <c r="H55" s="3"/>
      <c r="I55" s="3"/>
      <c r="J55" s="3"/>
    </row>
    <row r="56" spans="2:13" x14ac:dyDescent="0.2">
      <c r="E56" s="3"/>
      <c r="F56" s="3"/>
      <c r="G56" s="3"/>
      <c r="H56" s="3"/>
      <c r="I56" s="3"/>
      <c r="J56" s="3"/>
    </row>
    <row r="57" spans="2:13" x14ac:dyDescent="0.2">
      <c r="E57" s="3"/>
      <c r="F57" s="3"/>
      <c r="G57" s="3"/>
      <c r="H57" s="3"/>
      <c r="I57" s="3"/>
      <c r="J57" s="3"/>
    </row>
    <row r="58" spans="2:13" x14ac:dyDescent="0.2">
      <c r="E58" s="3"/>
      <c r="F58" s="3"/>
      <c r="G58" s="3"/>
      <c r="H58" s="3"/>
      <c r="I58" s="3"/>
      <c r="J58" s="3"/>
    </row>
    <row r="59" spans="2:13" x14ac:dyDescent="0.2">
      <c r="E59" s="3"/>
      <c r="F59" s="3"/>
      <c r="G59" s="3"/>
      <c r="H59" s="3"/>
      <c r="I59" s="3"/>
      <c r="J59" s="3"/>
    </row>
    <row r="60" spans="2:13" x14ac:dyDescent="0.2">
      <c r="E60" s="3"/>
      <c r="F60" s="3"/>
      <c r="G60" s="3"/>
      <c r="H60" s="3"/>
      <c r="I60" s="3"/>
      <c r="J60" s="3"/>
    </row>
    <row r="61" spans="2:13" x14ac:dyDescent="0.2">
      <c r="E61" s="3"/>
      <c r="F61" s="3"/>
      <c r="G61" s="3"/>
      <c r="H61" s="3"/>
      <c r="I61" s="3"/>
      <c r="J61" s="3"/>
    </row>
    <row r="62" spans="2:13" x14ac:dyDescent="0.2">
      <c r="E62" s="3"/>
      <c r="F62" s="3"/>
      <c r="G62" s="3"/>
      <c r="H62" s="3"/>
      <c r="I62" s="3"/>
      <c r="J62" s="3"/>
    </row>
    <row r="63" spans="2:13" x14ac:dyDescent="0.2">
      <c r="E63" s="3"/>
      <c r="F63" s="3"/>
      <c r="G63" s="3"/>
      <c r="H63" s="3"/>
      <c r="I63" s="3"/>
      <c r="J63" s="3"/>
    </row>
    <row r="64" spans="2:13" x14ac:dyDescent="0.2">
      <c r="E64" s="3"/>
      <c r="F64" s="3"/>
      <c r="G64" s="3"/>
      <c r="H64" s="3"/>
      <c r="I64" s="3"/>
      <c r="J64" s="3"/>
    </row>
    <row r="65" spans="5:10" x14ac:dyDescent="0.2">
      <c r="E65" s="3"/>
      <c r="F65" s="3"/>
      <c r="G65" s="3"/>
      <c r="H65" s="3"/>
      <c r="I65" s="3"/>
      <c r="J65" s="3"/>
    </row>
    <row r="66" spans="5:10" x14ac:dyDescent="0.2">
      <c r="E66" s="3"/>
      <c r="F66" s="3"/>
      <c r="G66" s="3"/>
      <c r="H66" s="3"/>
      <c r="I66" s="3"/>
      <c r="J66" s="3"/>
    </row>
    <row r="67" spans="5:10" x14ac:dyDescent="0.2">
      <c r="E67" s="3"/>
      <c r="F67" s="3"/>
      <c r="G67" s="3"/>
      <c r="H67" s="3"/>
      <c r="I67" s="3"/>
      <c r="J67" s="3"/>
    </row>
    <row r="68" spans="5:10" x14ac:dyDescent="0.2">
      <c r="E68" s="3"/>
      <c r="F68" s="3"/>
      <c r="G68" s="3"/>
      <c r="H68" s="3"/>
      <c r="I68" s="3"/>
      <c r="J68" s="3"/>
    </row>
    <row r="69" spans="5:10" x14ac:dyDescent="0.2">
      <c r="E69" s="3"/>
      <c r="F69" s="3"/>
      <c r="G69" s="3"/>
      <c r="H69" s="3"/>
      <c r="I69" s="3"/>
      <c r="J69" s="3"/>
    </row>
    <row r="70" spans="5:10" x14ac:dyDescent="0.2">
      <c r="E70" s="3"/>
      <c r="F70" s="3"/>
      <c r="G70" s="3"/>
      <c r="H70" s="3"/>
      <c r="I70" s="3"/>
      <c r="J70" s="3"/>
    </row>
    <row r="71" spans="5:10" x14ac:dyDescent="0.2">
      <c r="E71" s="3"/>
      <c r="F71" s="3"/>
      <c r="G71" s="3"/>
      <c r="H71" s="3"/>
      <c r="I71" s="3"/>
      <c r="J71" s="3"/>
    </row>
    <row r="72" spans="5:10" x14ac:dyDescent="0.2">
      <c r="E72" s="3"/>
      <c r="F72" s="3"/>
      <c r="G72" s="3"/>
      <c r="H72" s="3"/>
      <c r="I72" s="3"/>
      <c r="J72" s="3"/>
    </row>
    <row r="73" spans="5:10" x14ac:dyDescent="0.2">
      <c r="E73" s="3"/>
      <c r="F73" s="3"/>
      <c r="G73" s="3"/>
      <c r="H73" s="3"/>
      <c r="I73" s="3"/>
      <c r="J73" s="3"/>
    </row>
    <row r="74" spans="5:10" x14ac:dyDescent="0.2">
      <c r="E74" s="3"/>
      <c r="F74" s="3"/>
      <c r="G74" s="3"/>
      <c r="H74" s="3"/>
      <c r="I74" s="3"/>
      <c r="J74" s="3"/>
    </row>
    <row r="75" spans="5:10" x14ac:dyDescent="0.2">
      <c r="E75" s="3"/>
      <c r="F75" s="3"/>
      <c r="G75" s="3"/>
      <c r="H75" s="3"/>
      <c r="I75" s="3"/>
      <c r="J75" s="3"/>
    </row>
    <row r="76" spans="5:10" x14ac:dyDescent="0.2">
      <c r="E76" s="3"/>
      <c r="F76" s="3"/>
      <c r="G76" s="3"/>
      <c r="H76" s="3"/>
      <c r="I76" s="3"/>
      <c r="J76" s="3"/>
    </row>
    <row r="77" spans="5:10" x14ac:dyDescent="0.2">
      <c r="E77" s="3"/>
      <c r="F77" s="3"/>
      <c r="G77" s="3"/>
      <c r="H77" s="3"/>
      <c r="I77" s="3"/>
      <c r="J77" s="3"/>
    </row>
    <row r="78" spans="5:10" x14ac:dyDescent="0.2">
      <c r="E78" s="3"/>
      <c r="F78" s="3"/>
      <c r="G78" s="3"/>
      <c r="H78" s="3"/>
      <c r="I78" s="3"/>
      <c r="J78" s="3"/>
    </row>
    <row r="79" spans="5:10" x14ac:dyDescent="0.2">
      <c r="E79" s="3"/>
      <c r="F79" s="3"/>
      <c r="G79" s="3"/>
      <c r="H79" s="3"/>
      <c r="I79" s="3"/>
      <c r="J79" s="3"/>
    </row>
    <row r="80" spans="5:10" x14ac:dyDescent="0.2">
      <c r="E80" s="3"/>
      <c r="F80" s="3"/>
      <c r="G80" s="3"/>
      <c r="H80" s="3"/>
      <c r="I80" s="3"/>
      <c r="J80" s="3"/>
    </row>
    <row r="81" spans="5:10" x14ac:dyDescent="0.2">
      <c r="E81" s="3"/>
      <c r="F81" s="3"/>
      <c r="G81" s="3"/>
      <c r="H81" s="3"/>
      <c r="I81" s="3"/>
      <c r="J81" s="3"/>
    </row>
    <row r="82" spans="5:10" x14ac:dyDescent="0.2">
      <c r="E82" s="3"/>
      <c r="F82" s="3"/>
      <c r="G82" s="3"/>
      <c r="H82" s="3"/>
      <c r="I82" s="3"/>
      <c r="J82" s="3"/>
    </row>
    <row r="83" spans="5:10" x14ac:dyDescent="0.2">
      <c r="E83" s="3"/>
      <c r="F83" s="3"/>
      <c r="G83" s="3"/>
      <c r="H83" s="3"/>
      <c r="I83" s="3"/>
      <c r="J83" s="3"/>
    </row>
    <row r="84" spans="5:10" x14ac:dyDescent="0.2">
      <c r="E84" s="3"/>
      <c r="F84" s="3"/>
      <c r="G84" s="3"/>
      <c r="H84" s="3"/>
      <c r="I84" s="3"/>
      <c r="J84" s="3"/>
    </row>
    <row r="85" spans="5:10" x14ac:dyDescent="0.2">
      <c r="E85" s="3"/>
      <c r="F85" s="3"/>
      <c r="G85" s="3"/>
      <c r="H85" s="3"/>
      <c r="I85" s="3"/>
      <c r="J85" s="3"/>
    </row>
    <row r="86" spans="5:10" x14ac:dyDescent="0.2">
      <c r="E86" s="3"/>
      <c r="F86" s="3"/>
      <c r="G86" s="3"/>
      <c r="H86" s="3"/>
      <c r="I86" s="3"/>
      <c r="J86" s="3"/>
    </row>
    <row r="87" spans="5:10" x14ac:dyDescent="0.2">
      <c r="E87" s="3"/>
      <c r="F87" s="3"/>
      <c r="G87" s="3"/>
      <c r="H87" s="3"/>
      <c r="I87" s="3"/>
      <c r="J87" s="3"/>
    </row>
    <row r="88" spans="5:10" x14ac:dyDescent="0.2">
      <c r="E88" s="3"/>
      <c r="F88" s="3"/>
      <c r="G88" s="3"/>
      <c r="H88" s="3"/>
      <c r="I88" s="3"/>
      <c r="J88" s="3"/>
    </row>
    <row r="89" spans="5:10" x14ac:dyDescent="0.2">
      <c r="E89" s="3"/>
      <c r="F89" s="3"/>
      <c r="G89" s="3"/>
      <c r="H89" s="3"/>
      <c r="I89" s="3"/>
      <c r="J89" s="3"/>
    </row>
    <row r="90" spans="5:10" x14ac:dyDescent="0.2">
      <c r="E90" s="3"/>
      <c r="F90" s="3"/>
      <c r="G90" s="3"/>
      <c r="H90" s="3"/>
      <c r="I90" s="3"/>
      <c r="J90" s="3"/>
    </row>
    <row r="91" spans="5:10" x14ac:dyDescent="0.2">
      <c r="E91" s="3"/>
      <c r="F91" s="3"/>
      <c r="G91" s="3"/>
      <c r="H91" s="3"/>
      <c r="I91" s="3"/>
      <c r="J91" s="3"/>
    </row>
    <row r="92" spans="5:10" x14ac:dyDescent="0.2">
      <c r="E92" s="3"/>
      <c r="F92" s="3"/>
      <c r="G92" s="3"/>
      <c r="H92" s="3"/>
      <c r="I92" s="3"/>
      <c r="J92" s="3"/>
    </row>
    <row r="93" spans="5:10" x14ac:dyDescent="0.2">
      <c r="E93" s="3"/>
      <c r="F93" s="3"/>
      <c r="G93" s="3"/>
      <c r="H93" s="3"/>
      <c r="I93" s="3"/>
      <c r="J93" s="3"/>
    </row>
    <row r="94" spans="5:10" x14ac:dyDescent="0.2">
      <c r="E94" s="3"/>
      <c r="F94" s="3"/>
      <c r="G94" s="3"/>
      <c r="H94" s="3"/>
      <c r="I94" s="3"/>
      <c r="J94" s="3"/>
    </row>
    <row r="95" spans="5:10" x14ac:dyDescent="0.2">
      <c r="E95" s="3"/>
      <c r="F95" s="3"/>
      <c r="G95" s="3"/>
      <c r="H95" s="3"/>
      <c r="I95" s="3"/>
      <c r="J95" s="3"/>
    </row>
    <row r="96" spans="5:10" x14ac:dyDescent="0.2">
      <c r="E96" s="3"/>
      <c r="F96" s="3"/>
      <c r="G96" s="3"/>
      <c r="H96" s="3"/>
      <c r="I96" s="3"/>
      <c r="J96" s="3"/>
    </row>
    <row r="97" spans="5:10" x14ac:dyDescent="0.2">
      <c r="E97" s="3"/>
      <c r="F97" s="3"/>
      <c r="G97" s="3"/>
      <c r="H97" s="3"/>
      <c r="I97" s="3"/>
      <c r="J97" s="3"/>
    </row>
    <row r="98" spans="5:10" x14ac:dyDescent="0.2">
      <c r="E98" s="3"/>
      <c r="F98" s="3"/>
      <c r="G98" s="3"/>
      <c r="H98" s="3"/>
      <c r="I98" s="3"/>
      <c r="J98" s="3"/>
    </row>
    <row r="99" spans="5:10" x14ac:dyDescent="0.2">
      <c r="E99" s="3"/>
      <c r="F99" s="3"/>
      <c r="G99" s="3"/>
      <c r="H99" s="3"/>
      <c r="I99" s="3"/>
      <c r="J99" s="3"/>
    </row>
    <row r="100" spans="5:10" x14ac:dyDescent="0.2">
      <c r="E100" s="3"/>
      <c r="F100" s="3"/>
      <c r="G100" s="3"/>
      <c r="H100" s="3"/>
      <c r="I100" s="3"/>
      <c r="J100" s="3"/>
    </row>
    <row r="101" spans="5:10" x14ac:dyDescent="0.2">
      <c r="E101" s="3"/>
      <c r="F101" s="3"/>
      <c r="G101" s="3"/>
      <c r="H101" s="3"/>
      <c r="I101" s="3"/>
      <c r="J101" s="3"/>
    </row>
    <row r="102" spans="5:10" x14ac:dyDescent="0.2">
      <c r="E102" s="3"/>
      <c r="F102" s="3"/>
      <c r="G102" s="3"/>
      <c r="H102" s="3"/>
      <c r="I102" s="3"/>
      <c r="J102" s="3"/>
    </row>
    <row r="103" spans="5:10" x14ac:dyDescent="0.2">
      <c r="E103" s="3"/>
      <c r="F103" s="3"/>
      <c r="G103" s="3"/>
      <c r="H103" s="3"/>
      <c r="I103" s="3"/>
      <c r="J103" s="3"/>
    </row>
    <row r="104" spans="5:10" x14ac:dyDescent="0.2">
      <c r="E104" s="3"/>
      <c r="F104" s="3"/>
      <c r="G104" s="3"/>
      <c r="H104" s="3"/>
      <c r="I104" s="3"/>
      <c r="J104" s="3"/>
    </row>
    <row r="105" spans="5:10" x14ac:dyDescent="0.2">
      <c r="E105" s="3"/>
      <c r="F105" s="3"/>
      <c r="G105" s="3"/>
      <c r="H105" s="3"/>
      <c r="I105" s="3"/>
      <c r="J105" s="3"/>
    </row>
    <row r="106" spans="5:10" x14ac:dyDescent="0.2">
      <c r="E106" s="3"/>
      <c r="F106" s="3"/>
      <c r="G106" s="3"/>
      <c r="H106" s="3"/>
      <c r="I106" s="3"/>
      <c r="J106" s="3"/>
    </row>
    <row r="107" spans="5:10" x14ac:dyDescent="0.2">
      <c r="E107" s="3"/>
      <c r="F107" s="3"/>
      <c r="G107" s="3"/>
      <c r="H107" s="3"/>
      <c r="I107" s="3"/>
      <c r="J107" s="3"/>
    </row>
    <row r="108" spans="5:10" x14ac:dyDescent="0.2">
      <c r="E108" s="3"/>
      <c r="F108" s="3"/>
      <c r="G108" s="3"/>
      <c r="H108" s="3"/>
      <c r="I108" s="3"/>
      <c r="J108" s="3"/>
    </row>
    <row r="109" spans="5:10" x14ac:dyDescent="0.2">
      <c r="E109" s="3"/>
      <c r="F109" s="3"/>
      <c r="G109" s="3"/>
      <c r="H109" s="3"/>
      <c r="I109" s="3"/>
      <c r="J109" s="3"/>
    </row>
    <row r="110" spans="5:10" x14ac:dyDescent="0.2">
      <c r="E110" s="3"/>
      <c r="F110" s="3"/>
      <c r="G110" s="3"/>
      <c r="H110" s="3"/>
      <c r="I110" s="3"/>
      <c r="J110" s="3"/>
    </row>
    <row r="111" spans="5:10" x14ac:dyDescent="0.2">
      <c r="E111" s="3"/>
      <c r="F111" s="3"/>
      <c r="G111" s="3"/>
      <c r="H111" s="3"/>
      <c r="I111" s="3"/>
      <c r="J111" s="3"/>
    </row>
    <row r="112" spans="5:10" x14ac:dyDescent="0.2">
      <c r="E112" s="3"/>
      <c r="F112" s="3"/>
      <c r="G112" s="3"/>
      <c r="H112" s="3"/>
      <c r="I112" s="3"/>
      <c r="J112" s="3"/>
    </row>
    <row r="113" spans="5:10" x14ac:dyDescent="0.2">
      <c r="E113" s="3"/>
      <c r="F113" s="3"/>
      <c r="G113" s="3"/>
      <c r="H113" s="3"/>
      <c r="I113" s="3"/>
      <c r="J113" s="3"/>
    </row>
    <row r="114" spans="5:10" x14ac:dyDescent="0.2">
      <c r="E114" s="3"/>
      <c r="F114" s="3"/>
      <c r="G114" s="3"/>
      <c r="H114" s="3"/>
      <c r="I114" s="3"/>
      <c r="J114" s="3"/>
    </row>
    <row r="115" spans="5:10" x14ac:dyDescent="0.2">
      <c r="E115" s="3"/>
      <c r="F115" s="3"/>
      <c r="G115" s="3"/>
      <c r="H115" s="3"/>
      <c r="I115" s="3"/>
      <c r="J115" s="3"/>
    </row>
    <row r="116" spans="5:10" x14ac:dyDescent="0.2">
      <c r="E116" s="3"/>
      <c r="F116" s="3"/>
      <c r="G116" s="3"/>
      <c r="H116" s="3"/>
      <c r="I116" s="3"/>
      <c r="J116" s="3"/>
    </row>
    <row r="117" spans="5:10" x14ac:dyDescent="0.2">
      <c r="E117" s="3"/>
      <c r="F117" s="3"/>
      <c r="G117" s="3"/>
      <c r="H117" s="3"/>
      <c r="I117" s="3"/>
      <c r="J117" s="3"/>
    </row>
    <row r="118" spans="5:10" x14ac:dyDescent="0.2">
      <c r="E118" s="3"/>
      <c r="F118" s="3"/>
      <c r="G118" s="3"/>
      <c r="H118" s="3"/>
      <c r="I118" s="3"/>
      <c r="J118" s="3"/>
    </row>
    <row r="119" spans="5:10" x14ac:dyDescent="0.2">
      <c r="E119" s="3"/>
      <c r="F119" s="3"/>
      <c r="G119" s="3"/>
      <c r="H119" s="3"/>
      <c r="I119" s="3"/>
      <c r="J119" s="3"/>
    </row>
    <row r="120" spans="5:10" x14ac:dyDescent="0.2">
      <c r="E120" s="3"/>
      <c r="F120" s="3"/>
      <c r="G120" s="3"/>
      <c r="H120" s="3"/>
      <c r="I120" s="3"/>
      <c r="J120" s="3"/>
    </row>
    <row r="121" spans="5:10" x14ac:dyDescent="0.2">
      <c r="E121" s="3"/>
      <c r="F121" s="3"/>
      <c r="G121" s="3"/>
      <c r="H121" s="3"/>
      <c r="I121" s="3"/>
      <c r="J121" s="3"/>
    </row>
    <row r="122" spans="5:10" x14ac:dyDescent="0.2">
      <c r="E122" s="3"/>
      <c r="F122" s="3"/>
      <c r="G122" s="3"/>
      <c r="H122" s="3"/>
      <c r="I122" s="3"/>
      <c r="J122" s="3"/>
    </row>
    <row r="123" spans="5:10" x14ac:dyDescent="0.2">
      <c r="E123" s="3"/>
      <c r="F123" s="3"/>
      <c r="G123" s="3"/>
      <c r="H123" s="3"/>
      <c r="I123" s="3"/>
      <c r="J123" s="3"/>
    </row>
    <row r="124" spans="5:10" x14ac:dyDescent="0.2">
      <c r="E124" s="3"/>
      <c r="F124" s="3"/>
      <c r="G124" s="3"/>
      <c r="H124" s="3"/>
      <c r="I124" s="3"/>
      <c r="J124" s="3"/>
    </row>
    <row r="125" spans="5:10" x14ac:dyDescent="0.2">
      <c r="E125" s="3"/>
      <c r="F125" s="3"/>
      <c r="G125" s="3"/>
      <c r="H125" s="3"/>
      <c r="I125" s="3"/>
      <c r="J125" s="3"/>
    </row>
    <row r="126" spans="5:10" x14ac:dyDescent="0.2">
      <c r="E126" s="3"/>
      <c r="F126" s="3"/>
      <c r="G126" s="3"/>
      <c r="H126" s="3"/>
      <c r="I126" s="3"/>
      <c r="J126" s="3"/>
    </row>
    <row r="127" spans="5:10" x14ac:dyDescent="0.2">
      <c r="E127" s="3"/>
      <c r="F127" s="3"/>
      <c r="G127" s="3"/>
      <c r="H127" s="3"/>
      <c r="I127" s="3"/>
      <c r="J127" s="3"/>
    </row>
    <row r="128" spans="5:10" x14ac:dyDescent="0.2">
      <c r="E128" s="3"/>
      <c r="F128" s="3"/>
      <c r="G128" s="3"/>
      <c r="H128" s="3"/>
      <c r="I128" s="3"/>
      <c r="J128" s="3"/>
    </row>
    <row r="129" spans="5:10" x14ac:dyDescent="0.2">
      <c r="E129" s="3"/>
      <c r="F129" s="3"/>
      <c r="G129" s="3"/>
      <c r="H129" s="3"/>
      <c r="I129" s="3"/>
      <c r="J129" s="3"/>
    </row>
    <row r="130" spans="5:10" x14ac:dyDescent="0.2">
      <c r="E130" s="3"/>
      <c r="F130" s="3"/>
      <c r="G130" s="3"/>
      <c r="H130" s="3"/>
      <c r="I130" s="3"/>
      <c r="J130" s="3"/>
    </row>
    <row r="131" spans="5:10" x14ac:dyDescent="0.2">
      <c r="E131" s="3"/>
      <c r="F131" s="3"/>
      <c r="G131" s="3"/>
      <c r="H131" s="3"/>
      <c r="I131" s="3"/>
      <c r="J131" s="3"/>
    </row>
    <row r="132" spans="5:10" x14ac:dyDescent="0.2">
      <c r="E132" s="3"/>
      <c r="F132" s="3"/>
      <c r="G132" s="3"/>
      <c r="H132" s="3"/>
      <c r="I132" s="3"/>
      <c r="J132" s="3"/>
    </row>
    <row r="133" spans="5:10" x14ac:dyDescent="0.2">
      <c r="E133" s="3"/>
      <c r="F133" s="3"/>
      <c r="G133" s="3"/>
      <c r="H133" s="3"/>
      <c r="I133" s="3"/>
      <c r="J133" s="3"/>
    </row>
    <row r="134" spans="5:10" x14ac:dyDescent="0.2">
      <c r="E134" s="3"/>
      <c r="F134" s="3"/>
      <c r="G134" s="3"/>
      <c r="H134" s="3"/>
      <c r="I134" s="3"/>
      <c r="J134" s="3"/>
    </row>
    <row r="135" spans="5:10" x14ac:dyDescent="0.2">
      <c r="E135" s="3"/>
      <c r="F135" s="3"/>
      <c r="G135" s="3"/>
      <c r="H135" s="3"/>
      <c r="I135" s="3"/>
      <c r="J135" s="3"/>
    </row>
    <row r="136" spans="5:10" x14ac:dyDescent="0.2">
      <c r="E136" s="3"/>
      <c r="F136" s="3"/>
      <c r="G136" s="3"/>
      <c r="H136" s="3"/>
      <c r="I136" s="3"/>
      <c r="J136" s="3"/>
    </row>
    <row r="137" spans="5:10" x14ac:dyDescent="0.2">
      <c r="E137" s="3"/>
      <c r="F137" s="3"/>
      <c r="G137" s="3"/>
      <c r="H137" s="3"/>
      <c r="I137" s="3"/>
      <c r="J137" s="3"/>
    </row>
    <row r="138" spans="5:10" x14ac:dyDescent="0.2">
      <c r="E138" s="3"/>
      <c r="F138" s="3"/>
      <c r="G138" s="3"/>
      <c r="H138" s="3"/>
      <c r="I138" s="3"/>
      <c r="J138" s="3"/>
    </row>
    <row r="139" spans="5:10" x14ac:dyDescent="0.2">
      <c r="E139" s="3"/>
      <c r="F139" s="3"/>
      <c r="G139" s="3"/>
      <c r="H139" s="3"/>
      <c r="I139" s="3"/>
      <c r="J139" s="3"/>
    </row>
    <row r="140" spans="5:10" x14ac:dyDescent="0.2">
      <c r="E140" s="3"/>
      <c r="F140" s="3"/>
      <c r="G140" s="3"/>
      <c r="H140" s="3"/>
      <c r="I140" s="3"/>
      <c r="J140" s="3"/>
    </row>
    <row r="141" spans="5:10" x14ac:dyDescent="0.2">
      <c r="E141" s="3"/>
      <c r="F141" s="3"/>
      <c r="G141" s="3"/>
      <c r="H141" s="3"/>
      <c r="I141" s="3"/>
      <c r="J141" s="3"/>
    </row>
    <row r="142" spans="5:10" x14ac:dyDescent="0.2">
      <c r="E142" s="3"/>
      <c r="F142" s="3"/>
      <c r="G142" s="3"/>
      <c r="H142" s="3"/>
      <c r="I142" s="3"/>
      <c r="J142" s="3"/>
    </row>
    <row r="143" spans="5:10" x14ac:dyDescent="0.2">
      <c r="E143" s="3"/>
      <c r="F143" s="3"/>
      <c r="G143" s="3"/>
      <c r="H143" s="3"/>
      <c r="I143" s="3"/>
      <c r="J143" s="3"/>
    </row>
    <row r="144" spans="5:10" x14ac:dyDescent="0.2">
      <c r="E144" s="3"/>
      <c r="F144" s="3"/>
      <c r="G144" s="3"/>
      <c r="H144" s="3"/>
      <c r="I144" s="3"/>
      <c r="J144" s="3"/>
    </row>
    <row r="145" spans="5:10" x14ac:dyDescent="0.2">
      <c r="E145" s="3"/>
      <c r="F145" s="3"/>
      <c r="G145" s="3"/>
      <c r="H145" s="3"/>
      <c r="I145" s="3"/>
      <c r="J145" s="3"/>
    </row>
    <row r="146" spans="5:10" x14ac:dyDescent="0.2">
      <c r="E146" s="3"/>
      <c r="F146" s="3"/>
      <c r="G146" s="3"/>
      <c r="H146" s="3"/>
      <c r="I146" s="3"/>
      <c r="J146" s="3"/>
    </row>
    <row r="147" spans="5:10" x14ac:dyDescent="0.2">
      <c r="E147" s="3"/>
      <c r="F147" s="3"/>
      <c r="G147" s="3"/>
      <c r="H147" s="3"/>
      <c r="I147" s="3"/>
      <c r="J147" s="3"/>
    </row>
    <row r="148" spans="5:10" x14ac:dyDescent="0.2">
      <c r="E148" s="3"/>
      <c r="F148" s="3"/>
      <c r="G148" s="3"/>
      <c r="H148" s="3"/>
      <c r="I148" s="3"/>
      <c r="J148" s="3"/>
    </row>
    <row r="149" spans="5:10" x14ac:dyDescent="0.2">
      <c r="E149" s="3"/>
      <c r="F149" s="3"/>
      <c r="G149" s="3"/>
      <c r="H149" s="3"/>
      <c r="I149" s="3"/>
      <c r="J149" s="3"/>
    </row>
    <row r="150" spans="5:10" x14ac:dyDescent="0.2">
      <c r="E150" s="3"/>
      <c r="F150" s="3"/>
      <c r="G150" s="3"/>
      <c r="H150" s="3"/>
      <c r="I150" s="3"/>
      <c r="J150" s="3"/>
    </row>
    <row r="151" spans="5:10" x14ac:dyDescent="0.2">
      <c r="E151" s="3"/>
      <c r="F151" s="3"/>
      <c r="G151" s="3"/>
      <c r="H151" s="3"/>
      <c r="I151" s="3"/>
      <c r="J151" s="3"/>
    </row>
    <row r="152" spans="5:10" x14ac:dyDescent="0.2">
      <c r="E152" s="3"/>
      <c r="F152" s="3"/>
      <c r="G152" s="3"/>
      <c r="H152" s="3"/>
      <c r="I152" s="3"/>
      <c r="J152" s="3"/>
    </row>
    <row r="153" spans="5:10" x14ac:dyDescent="0.2">
      <c r="E153" s="3"/>
      <c r="F153" s="3"/>
      <c r="G153" s="3"/>
      <c r="H153" s="3"/>
      <c r="I153" s="3"/>
      <c r="J153" s="3"/>
    </row>
    <row r="154" spans="5:10" x14ac:dyDescent="0.2">
      <c r="E154" s="3"/>
      <c r="F154" s="3"/>
      <c r="G154" s="3"/>
      <c r="H154" s="3"/>
      <c r="I154" s="3"/>
      <c r="J154" s="3"/>
    </row>
    <row r="155" spans="5:10" x14ac:dyDescent="0.2">
      <c r="E155" s="3"/>
      <c r="F155" s="3"/>
      <c r="G155" s="3"/>
      <c r="H155" s="3"/>
      <c r="I155" s="3"/>
      <c r="J155" s="3"/>
    </row>
    <row r="156" spans="5:10" x14ac:dyDescent="0.2">
      <c r="E156" s="3"/>
      <c r="F156" s="3"/>
      <c r="G156" s="3"/>
      <c r="H156" s="3"/>
      <c r="I156" s="3"/>
      <c r="J156" s="3"/>
    </row>
    <row r="157" spans="5:10" x14ac:dyDescent="0.2">
      <c r="E157" s="3"/>
      <c r="F157" s="3"/>
      <c r="G157" s="3"/>
      <c r="H157" s="3"/>
      <c r="I157" s="3"/>
      <c r="J157" s="3"/>
    </row>
    <row r="158" spans="5:10" x14ac:dyDescent="0.2">
      <c r="E158" s="3"/>
      <c r="F158" s="3"/>
      <c r="G158" s="3"/>
      <c r="H158" s="3"/>
      <c r="I158" s="3"/>
      <c r="J158" s="3"/>
    </row>
    <row r="159" spans="5:10" x14ac:dyDescent="0.2">
      <c r="E159" s="3"/>
      <c r="F159" s="3"/>
      <c r="G159" s="3"/>
      <c r="H159" s="3"/>
      <c r="I159" s="3"/>
      <c r="J159" s="3"/>
    </row>
    <row r="160" spans="5:10" x14ac:dyDescent="0.2">
      <c r="E160" s="3"/>
      <c r="F160" s="3"/>
      <c r="G160" s="3"/>
      <c r="H160" s="3"/>
      <c r="I160" s="3"/>
      <c r="J160" s="3"/>
    </row>
    <row r="161" spans="5:10" x14ac:dyDescent="0.2">
      <c r="E161" s="3"/>
      <c r="F161" s="3"/>
      <c r="G161" s="3"/>
      <c r="H161" s="3"/>
      <c r="I161" s="3"/>
      <c r="J161" s="3"/>
    </row>
    <row r="162" spans="5:10" x14ac:dyDescent="0.2">
      <c r="E162" s="3"/>
      <c r="F162" s="3"/>
      <c r="G162" s="3"/>
      <c r="H162" s="3"/>
      <c r="I162" s="3"/>
      <c r="J162" s="3"/>
    </row>
    <row r="163" spans="5:10" x14ac:dyDescent="0.2">
      <c r="E163" s="3"/>
      <c r="F163" s="3"/>
      <c r="G163" s="3"/>
      <c r="H163" s="3"/>
      <c r="I163" s="3"/>
      <c r="J163" s="3"/>
    </row>
    <row r="164" spans="5:10" x14ac:dyDescent="0.2">
      <c r="E164" s="3"/>
      <c r="F164" s="3"/>
      <c r="G164" s="3"/>
      <c r="H164" s="3"/>
      <c r="I164" s="3"/>
      <c r="J164" s="3"/>
    </row>
  </sheetData>
  <pageMargins left="0.75" right="0.75" top="1" bottom="1" header="0.5" footer="0.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L8" sqref="L8:L21"/>
    </sheetView>
  </sheetViews>
  <sheetFormatPr defaultColWidth="9.140625" defaultRowHeight="15" x14ac:dyDescent="0.25"/>
  <cols>
    <col min="1" max="1" width="17.42578125" style="4" customWidth="1"/>
    <col min="2" max="2" width="10.7109375" style="4" bestFit="1" customWidth="1"/>
    <col min="3" max="3" width="10.140625" style="4" bestFit="1" customWidth="1"/>
    <col min="4" max="4" width="12.28515625" style="4" bestFit="1" customWidth="1"/>
    <col min="5" max="5" width="11.140625" style="4" bestFit="1" customWidth="1"/>
    <col min="6" max="6" width="10.7109375" style="4" bestFit="1" customWidth="1"/>
    <col min="7" max="7" width="10.140625" style="4" bestFit="1" customWidth="1"/>
    <col min="8" max="8" width="12.28515625" style="4" bestFit="1" customWidth="1"/>
    <col min="9" max="9" width="11.140625" style="4" bestFit="1" customWidth="1"/>
    <col min="10" max="10" width="9.28515625" style="4" bestFit="1" customWidth="1"/>
    <col min="11" max="11" width="11.85546875" style="4" bestFit="1" customWidth="1"/>
    <col min="12" max="12" width="10.28515625" style="4" bestFit="1" customWidth="1"/>
    <col min="13" max="13" width="12.28515625" style="4" bestFit="1" customWidth="1"/>
    <col min="14" max="14" width="11.140625" style="4" bestFit="1" customWidth="1"/>
    <col min="15" max="15" width="12.42578125" style="4" customWidth="1"/>
    <col min="16" max="16" width="9.7109375" style="4" bestFit="1" customWidth="1"/>
    <col min="17" max="16384" width="9.140625" style="4"/>
  </cols>
  <sheetData>
    <row r="1" spans="1:16" x14ac:dyDescent="0.25">
      <c r="A1" s="4" t="s">
        <v>14</v>
      </c>
    </row>
    <row r="2" spans="1:16" x14ac:dyDescent="0.25">
      <c r="A2" s="4" t="s">
        <v>1</v>
      </c>
    </row>
    <row r="3" spans="1:16" x14ac:dyDescent="0.25">
      <c r="A3" s="4" t="s">
        <v>23</v>
      </c>
      <c r="K3" s="45"/>
    </row>
    <row r="4" spans="1:16" x14ac:dyDescent="0.25">
      <c r="A4" s="49" t="s">
        <v>51</v>
      </c>
    </row>
    <row r="5" spans="1:16" x14ac:dyDescent="0.25">
      <c r="F5" s="37"/>
      <c r="K5" s="6"/>
    </row>
    <row r="6" spans="1:16" x14ac:dyDescent="0.25">
      <c r="B6" s="57" t="s">
        <v>20</v>
      </c>
      <c r="C6" s="58"/>
      <c r="D6" s="58"/>
      <c r="E6" s="59"/>
      <c r="F6" s="57" t="s">
        <v>21</v>
      </c>
      <c r="G6" s="58"/>
      <c r="H6" s="58"/>
      <c r="I6" s="58"/>
      <c r="J6" s="59"/>
      <c r="K6" s="57" t="s">
        <v>22</v>
      </c>
      <c r="L6" s="58"/>
      <c r="M6" s="58"/>
      <c r="N6" s="58"/>
      <c r="O6" s="59"/>
    </row>
    <row r="7" spans="1:16" x14ac:dyDescent="0.25">
      <c r="B7" s="7" t="s">
        <v>15</v>
      </c>
      <c r="C7" s="7" t="s">
        <v>16</v>
      </c>
      <c r="D7" s="7" t="s">
        <v>17</v>
      </c>
      <c r="E7" s="7" t="s">
        <v>18</v>
      </c>
      <c r="F7" s="7" t="s">
        <v>15</v>
      </c>
      <c r="G7" s="7" t="s">
        <v>16</v>
      </c>
      <c r="H7" s="7" t="s">
        <v>17</v>
      </c>
      <c r="I7" s="7" t="s">
        <v>18</v>
      </c>
      <c r="J7" s="7" t="s">
        <v>2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2</v>
      </c>
    </row>
    <row r="8" spans="1:16" x14ac:dyDescent="0.25">
      <c r="A8" s="50" t="s">
        <v>52</v>
      </c>
      <c r="B8" s="20">
        <f>K8/F8</f>
        <v>-123.31798953832158</v>
      </c>
      <c r="C8" s="21">
        <f>L8/G8</f>
        <v>25.716130100140695</v>
      </c>
      <c r="D8" s="21">
        <f>M8/H8</f>
        <v>-79.173470409559741</v>
      </c>
      <c r="E8" s="21">
        <v>0</v>
      </c>
      <c r="F8" s="41">
        <f>439700/2000</f>
        <v>219.85</v>
      </c>
      <c r="G8" s="40">
        <f>120830/2000</f>
        <v>60.414999999999999</v>
      </c>
      <c r="H8" s="40">
        <f>299590/2000</f>
        <v>149.79499999999999</v>
      </c>
      <c r="I8" s="21">
        <v>0</v>
      </c>
      <c r="J8" s="22">
        <f>SUM(F8:I8)</f>
        <v>430.05999999999995</v>
      </c>
      <c r="K8" s="41">
        <v>-27111.46</v>
      </c>
      <c r="L8" s="40">
        <v>1553.64</v>
      </c>
      <c r="M8" s="40">
        <v>-11859.79</v>
      </c>
      <c r="N8" s="21">
        <v>0</v>
      </c>
      <c r="O8" s="22">
        <f>SUM(K8:N8)</f>
        <v>-37417.61</v>
      </c>
      <c r="P8" s="6"/>
    </row>
    <row r="9" spans="1:16" x14ac:dyDescent="0.25">
      <c r="B9" s="9"/>
      <c r="C9" s="10"/>
      <c r="D9" s="10"/>
      <c r="E9" s="11"/>
      <c r="F9" s="9"/>
      <c r="G9" s="10"/>
      <c r="H9" s="10"/>
      <c r="I9" s="10"/>
      <c r="J9" s="11"/>
      <c r="K9" s="9"/>
      <c r="L9" s="10"/>
      <c r="M9" s="10"/>
      <c r="N9" s="10"/>
      <c r="O9" s="11"/>
    </row>
    <row r="10" spans="1:16" x14ac:dyDescent="0.25">
      <c r="A10" s="50" t="s">
        <v>53</v>
      </c>
      <c r="B10" s="9">
        <f>K10/F10</f>
        <v>-123.99999999999999</v>
      </c>
      <c r="C10" s="10">
        <f>L10/G10</f>
        <v>13.908124525436598</v>
      </c>
      <c r="D10" s="10">
        <f>M10/H10</f>
        <v>-78.344771770799611</v>
      </c>
      <c r="E10" s="10">
        <v>0</v>
      </c>
      <c r="F10" s="43">
        <f>427160/2000</f>
        <v>213.58</v>
      </c>
      <c r="G10" s="42">
        <f>26340/2000</f>
        <v>13.17</v>
      </c>
      <c r="H10" s="42">
        <f>370680/2000</f>
        <v>185.34</v>
      </c>
      <c r="I10" s="10">
        <v>0</v>
      </c>
      <c r="J10" s="11">
        <f>SUM(F10:I10)</f>
        <v>412.09000000000003</v>
      </c>
      <c r="K10" s="43">
        <f>-26483.92</f>
        <v>-26483.919999999998</v>
      </c>
      <c r="L10" s="42">
        <v>183.17</v>
      </c>
      <c r="M10" s="42">
        <v>-14520.42</v>
      </c>
      <c r="N10" s="10">
        <v>0</v>
      </c>
      <c r="O10" s="11">
        <f>SUM(K10:N10)</f>
        <v>-40821.17</v>
      </c>
      <c r="P10" s="6"/>
    </row>
    <row r="11" spans="1:16" x14ac:dyDescent="0.25">
      <c r="B11" s="9"/>
      <c r="C11" s="10"/>
      <c r="D11" s="10"/>
      <c r="E11" s="10"/>
      <c r="F11" s="9"/>
      <c r="G11" s="10"/>
      <c r="H11" s="10"/>
      <c r="I11" s="10"/>
      <c r="J11" s="11"/>
      <c r="K11" s="9"/>
      <c r="L11" s="10"/>
      <c r="M11" s="10"/>
      <c r="N11" s="10"/>
      <c r="O11" s="11"/>
    </row>
    <row r="12" spans="1:16" x14ac:dyDescent="0.25">
      <c r="A12" s="50" t="s">
        <v>54</v>
      </c>
      <c r="B12" s="9">
        <f t="shared" ref="B12:B18" si="0">K12/F12</f>
        <v>-123.99999999999999</v>
      </c>
      <c r="C12" s="10">
        <f t="shared" ref="C12:C18" si="1">L12/G12</f>
        <v>0.52550304164716877</v>
      </c>
      <c r="D12" s="10">
        <f t="shared" ref="D12:D18" si="2">M12/H12</f>
        <v>-79.000000000000014</v>
      </c>
      <c r="E12" s="10">
        <v>0</v>
      </c>
      <c r="F12" s="43">
        <f>461800/2000</f>
        <v>230.9</v>
      </c>
      <c r="G12" s="42">
        <f>42740/2000</f>
        <v>21.37</v>
      </c>
      <c r="H12" s="42">
        <f>373020/2000</f>
        <v>186.51</v>
      </c>
      <c r="I12" s="10">
        <v>0</v>
      </c>
      <c r="J12" s="11">
        <f t="shared" ref="J12:J18" si="3">SUM(F12:I12)</f>
        <v>438.78</v>
      </c>
      <c r="K12" s="43">
        <v>-28631.599999999999</v>
      </c>
      <c r="L12" s="42">
        <f>38.55-27.32</f>
        <v>11.229999999999997</v>
      </c>
      <c r="M12" s="42">
        <v>-14734.29</v>
      </c>
      <c r="N12" s="10">
        <v>0</v>
      </c>
      <c r="O12" s="11">
        <f t="shared" ref="O12:O18" si="4">SUM(K12:N12)</f>
        <v>-43354.66</v>
      </c>
      <c r="P12" s="6"/>
    </row>
    <row r="13" spans="1:16" x14ac:dyDescent="0.25">
      <c r="B13" s="9"/>
      <c r="C13" s="10"/>
      <c r="D13" s="10"/>
      <c r="E13" s="10"/>
      <c r="F13" s="9"/>
      <c r="G13" s="10"/>
      <c r="H13" s="10"/>
      <c r="I13" s="10"/>
      <c r="J13" s="11"/>
      <c r="K13" s="9"/>
      <c r="L13" s="10"/>
      <c r="M13" s="10"/>
      <c r="N13" s="10"/>
      <c r="O13" s="11"/>
    </row>
    <row r="14" spans="1:16" x14ac:dyDescent="0.25">
      <c r="A14" s="50" t="s">
        <v>55</v>
      </c>
      <c r="B14" s="9">
        <f t="shared" si="0"/>
        <v>-120.25703029730222</v>
      </c>
      <c r="C14" s="10">
        <f t="shared" si="1"/>
        <v>22.590256089943779</v>
      </c>
      <c r="D14" s="10">
        <f t="shared" si="2"/>
        <v>-74.725415519016977</v>
      </c>
      <c r="E14" s="10">
        <v>0</v>
      </c>
      <c r="F14" s="43">
        <f>433801/2000</f>
        <v>216.90049999999999</v>
      </c>
      <c r="G14" s="42">
        <f>32020/2000</f>
        <v>16.010000000000002</v>
      </c>
      <c r="H14" s="42">
        <f>369959/2000</f>
        <v>184.9795</v>
      </c>
      <c r="I14" s="10">
        <v>0</v>
      </c>
      <c r="J14" s="11">
        <f t="shared" si="3"/>
        <v>417.89</v>
      </c>
      <c r="K14" s="43">
        <v>-26083.81</v>
      </c>
      <c r="L14" s="42">
        <f>369.83-8.16</f>
        <v>361.66999999999996</v>
      </c>
      <c r="M14" s="42">
        <v>-13822.67</v>
      </c>
      <c r="N14" s="10">
        <v>0</v>
      </c>
      <c r="O14" s="11">
        <f t="shared" si="4"/>
        <v>-39544.810000000005</v>
      </c>
      <c r="P14" s="6"/>
    </row>
    <row r="15" spans="1:16" x14ac:dyDescent="0.25">
      <c r="B15" s="9"/>
      <c r="C15" s="10"/>
      <c r="D15" s="10"/>
      <c r="E15" s="10"/>
      <c r="F15" s="9"/>
      <c r="G15" s="10"/>
      <c r="H15" s="10"/>
      <c r="I15" s="10"/>
      <c r="J15" s="11"/>
      <c r="K15" s="9"/>
      <c r="L15" s="10"/>
      <c r="M15" s="10"/>
      <c r="N15" s="10"/>
      <c r="O15" s="11"/>
    </row>
    <row r="16" spans="1:16" x14ac:dyDescent="0.25">
      <c r="A16" s="50" t="s">
        <v>56</v>
      </c>
      <c r="B16" s="9">
        <f t="shared" si="0"/>
        <v>-117.04154939016217</v>
      </c>
      <c r="C16" s="10">
        <f t="shared" si="1"/>
        <v>38.249221183800621</v>
      </c>
      <c r="D16" s="10">
        <f t="shared" si="2"/>
        <v>-70.593022695513895</v>
      </c>
      <c r="E16" s="10">
        <v>0</v>
      </c>
      <c r="F16" s="43">
        <f>447660/2000</f>
        <v>223.83</v>
      </c>
      <c r="G16" s="42">
        <f>32100/2000</f>
        <v>16.05</v>
      </c>
      <c r="H16" s="42">
        <f>415060/2000</f>
        <v>207.53</v>
      </c>
      <c r="I16" s="10">
        <v>0</v>
      </c>
      <c r="J16" s="11">
        <f t="shared" si="3"/>
        <v>447.41</v>
      </c>
      <c r="K16" s="43">
        <v>-26197.41</v>
      </c>
      <c r="L16" s="42">
        <v>613.9</v>
      </c>
      <c r="M16" s="42">
        <v>-14650.17</v>
      </c>
      <c r="N16" s="10">
        <v>0</v>
      </c>
      <c r="O16" s="11">
        <f t="shared" si="4"/>
        <v>-40233.68</v>
      </c>
      <c r="P16" s="6"/>
    </row>
    <row r="17" spans="1:16" x14ac:dyDescent="0.25">
      <c r="B17" s="9"/>
      <c r="C17" s="10"/>
      <c r="D17" s="10"/>
      <c r="E17" s="10"/>
      <c r="F17" s="9"/>
      <c r="G17" s="10"/>
      <c r="H17" s="10"/>
      <c r="I17" s="10"/>
      <c r="J17" s="11"/>
      <c r="K17" s="9"/>
      <c r="L17" s="10"/>
      <c r="M17" s="10"/>
      <c r="N17" s="10"/>
      <c r="O17" s="11"/>
    </row>
    <row r="18" spans="1:16" x14ac:dyDescent="0.25">
      <c r="A18" s="50" t="s">
        <v>57</v>
      </c>
      <c r="B18" s="9">
        <f t="shared" si="0"/>
        <v>-116</v>
      </c>
      <c r="C18" s="10">
        <f t="shared" si="1"/>
        <v>27.109404990403071</v>
      </c>
      <c r="D18" s="10">
        <f t="shared" si="2"/>
        <v>-65.590720187747522</v>
      </c>
      <c r="E18" s="10">
        <v>0</v>
      </c>
      <c r="F18" s="43">
        <f>422000/2000</f>
        <v>211</v>
      </c>
      <c r="G18" s="42">
        <f>31260/2000</f>
        <v>15.63</v>
      </c>
      <c r="H18" s="42">
        <f>409060/2000</f>
        <v>204.53</v>
      </c>
      <c r="I18" s="10">
        <v>0</v>
      </c>
      <c r="J18" s="11">
        <f t="shared" si="3"/>
        <v>431.15999999999997</v>
      </c>
      <c r="K18" s="43">
        <v>-24476</v>
      </c>
      <c r="L18" s="42">
        <v>423.72</v>
      </c>
      <c r="M18" s="42">
        <v>-13415.27</v>
      </c>
      <c r="N18" s="10">
        <v>0</v>
      </c>
      <c r="O18" s="11">
        <f t="shared" si="4"/>
        <v>-37467.550000000003</v>
      </c>
      <c r="P18" s="6"/>
    </row>
    <row r="19" spans="1:16" x14ac:dyDescent="0.25">
      <c r="A19" s="26"/>
      <c r="B19" s="12"/>
      <c r="C19" s="13"/>
      <c r="D19" s="13"/>
      <c r="E19" s="14"/>
      <c r="F19" s="12"/>
      <c r="G19" s="13"/>
      <c r="H19" s="13"/>
      <c r="I19" s="13"/>
      <c r="J19" s="14"/>
      <c r="K19" s="12"/>
      <c r="L19" s="13"/>
      <c r="M19" s="13"/>
      <c r="N19" s="13"/>
      <c r="O19" s="14"/>
      <c r="P19" s="6"/>
    </row>
    <row r="20" spans="1:1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6" ht="15.75" thickBot="1" x14ac:dyDescent="0.3">
      <c r="B21" s="15"/>
      <c r="C21" s="15"/>
      <c r="D21" s="15"/>
      <c r="E21" s="15"/>
      <c r="F21" s="16">
        <f t="shared" ref="F21:N21" si="5">SUM(F8:F20)</f>
        <v>1316.0605</v>
      </c>
      <c r="G21" s="16">
        <f t="shared" si="5"/>
        <v>142.64500000000001</v>
      </c>
      <c r="H21" s="16">
        <f t="shared" si="5"/>
        <v>1118.6845000000001</v>
      </c>
      <c r="I21" s="16">
        <f t="shared" si="5"/>
        <v>0</v>
      </c>
      <c r="J21" s="16">
        <f t="shared" si="5"/>
        <v>2577.3899999999994</v>
      </c>
      <c r="K21" s="16">
        <f t="shared" si="5"/>
        <v>-158984.19999999998</v>
      </c>
      <c r="L21" s="16">
        <f t="shared" si="5"/>
        <v>3147.33</v>
      </c>
      <c r="M21" s="16">
        <f t="shared" si="5"/>
        <v>-83002.61</v>
      </c>
      <c r="N21" s="16">
        <f t="shared" si="5"/>
        <v>0</v>
      </c>
      <c r="O21" s="16">
        <f>SUM(O8:O19)</f>
        <v>-238839.47999999998</v>
      </c>
    </row>
    <row r="22" spans="1:16" ht="15.75" thickTop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6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O23" s="6"/>
    </row>
    <row r="24" spans="1:16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O25" s="17"/>
    </row>
    <row r="32" spans="1:16" x14ac:dyDescent="0.25">
      <c r="E32" s="39" t="s">
        <v>30</v>
      </c>
    </row>
  </sheetData>
  <mergeCells count="3">
    <mergeCell ref="B6:E6"/>
    <mergeCell ref="F6:J6"/>
    <mergeCell ref="K6:O6"/>
  </mergeCells>
  <pageMargins left="0.7" right="0.7" top="0.75" bottom="0.75" header="0.3" footer="0.3"/>
  <pageSetup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F25" sqref="F25"/>
    </sheetView>
  </sheetViews>
  <sheetFormatPr defaultColWidth="9.140625" defaultRowHeight="15" x14ac:dyDescent="0.25"/>
  <cols>
    <col min="1" max="1" width="17" style="4" customWidth="1"/>
    <col min="2" max="2" width="10.7109375" style="4" bestFit="1" customWidth="1"/>
    <col min="3" max="3" width="10.140625" style="4" bestFit="1" customWidth="1"/>
    <col min="4" max="4" width="12.28515625" style="4" bestFit="1" customWidth="1"/>
    <col min="5" max="5" width="11.140625" style="4" bestFit="1" customWidth="1"/>
    <col min="6" max="6" width="11.42578125" style="4" bestFit="1" customWidth="1"/>
    <col min="7" max="7" width="10.140625" style="4" bestFit="1" customWidth="1"/>
    <col min="8" max="8" width="12.28515625" style="4" bestFit="1" customWidth="1"/>
    <col min="9" max="9" width="11.140625" style="4" bestFit="1" customWidth="1"/>
    <col min="10" max="10" width="9.28515625" style="4" bestFit="1" customWidth="1"/>
    <col min="11" max="11" width="11.85546875" style="4" bestFit="1" customWidth="1"/>
    <col min="12" max="12" width="10.28515625" style="4" bestFit="1" customWidth="1"/>
    <col min="13" max="13" width="12.28515625" style="4" bestFit="1" customWidth="1"/>
    <col min="14" max="15" width="11.140625" style="4" bestFit="1" customWidth="1"/>
    <col min="16" max="16" width="9.7109375" style="4" bestFit="1" customWidth="1"/>
    <col min="17" max="16384" width="9.140625" style="4"/>
  </cols>
  <sheetData>
    <row r="1" spans="1:15" x14ac:dyDescent="0.25">
      <c r="A1" s="4" t="s">
        <v>14</v>
      </c>
    </row>
    <row r="2" spans="1:15" x14ac:dyDescent="0.25">
      <c r="A2" s="4" t="s">
        <v>1</v>
      </c>
    </row>
    <row r="3" spans="1:15" x14ac:dyDescent="0.25">
      <c r="A3" s="18" t="s">
        <v>19</v>
      </c>
    </row>
    <row r="4" spans="1:15" x14ac:dyDescent="0.25">
      <c r="A4" s="49" t="s">
        <v>51</v>
      </c>
    </row>
    <row r="5" spans="1:15" x14ac:dyDescent="0.25">
      <c r="K5" s="6"/>
    </row>
    <row r="6" spans="1:15" x14ac:dyDescent="0.25">
      <c r="B6" s="57" t="s">
        <v>20</v>
      </c>
      <c r="C6" s="58"/>
      <c r="D6" s="58"/>
      <c r="E6" s="59"/>
      <c r="F6" s="57" t="s">
        <v>21</v>
      </c>
      <c r="G6" s="58"/>
      <c r="H6" s="58"/>
      <c r="I6" s="58"/>
      <c r="J6" s="59"/>
      <c r="K6" s="57" t="s">
        <v>22</v>
      </c>
      <c r="L6" s="58"/>
      <c r="M6" s="58"/>
      <c r="N6" s="58"/>
      <c r="O6" s="59"/>
    </row>
    <row r="7" spans="1:15" x14ac:dyDescent="0.25">
      <c r="B7" s="7" t="s">
        <v>15</v>
      </c>
      <c r="C7" s="7" t="s">
        <v>16</v>
      </c>
      <c r="D7" s="7" t="s">
        <v>17</v>
      </c>
      <c r="E7" s="7" t="s">
        <v>18</v>
      </c>
      <c r="F7" s="8" t="s">
        <v>15</v>
      </c>
      <c r="G7" s="7" t="s">
        <v>16</v>
      </c>
      <c r="H7" s="7" t="s">
        <v>17</v>
      </c>
      <c r="I7" s="7" t="s">
        <v>18</v>
      </c>
      <c r="J7" s="7" t="s">
        <v>2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2</v>
      </c>
    </row>
    <row r="8" spans="1:15" x14ac:dyDescent="0.25">
      <c r="A8" s="50" t="s">
        <v>52</v>
      </c>
      <c r="B8" s="9">
        <f>K8/F8</f>
        <v>-123.29460745440126</v>
      </c>
      <c r="C8" s="10">
        <v>0</v>
      </c>
      <c r="D8" s="10">
        <f t="shared" ref="D8" si="0">M8/H8</f>
        <v>-79.345086855068715</v>
      </c>
      <c r="E8" s="10">
        <v>0</v>
      </c>
      <c r="F8" s="41">
        <f>151320/2000</f>
        <v>75.66</v>
      </c>
      <c r="G8" s="40">
        <v>0</v>
      </c>
      <c r="H8" s="40">
        <f>77140/2000</f>
        <v>38.57</v>
      </c>
      <c r="I8" s="21">
        <v>0</v>
      </c>
      <c r="J8" s="22">
        <f>SUM(F8:I8)</f>
        <v>114.22999999999999</v>
      </c>
      <c r="K8" s="41">
        <v>-9328.4699999999993</v>
      </c>
      <c r="L8" s="40">
        <v>0</v>
      </c>
      <c r="M8" s="40">
        <v>-3060.34</v>
      </c>
      <c r="N8" s="21">
        <v>0</v>
      </c>
      <c r="O8" s="22">
        <f>SUM(K8:N8)</f>
        <v>-12388.81</v>
      </c>
    </row>
    <row r="9" spans="1:15" x14ac:dyDescent="0.25">
      <c r="B9" s="9"/>
      <c r="C9" s="10"/>
      <c r="D9" s="10"/>
      <c r="E9" s="11"/>
      <c r="F9" s="9"/>
      <c r="G9" s="10"/>
      <c r="H9" s="10"/>
      <c r="I9" s="10"/>
      <c r="J9" s="11"/>
      <c r="K9" s="10"/>
      <c r="L9" s="10"/>
      <c r="M9" s="10"/>
      <c r="N9" s="10"/>
      <c r="O9" s="11"/>
    </row>
    <row r="10" spans="1:15" x14ac:dyDescent="0.25">
      <c r="A10" s="50" t="s">
        <v>53</v>
      </c>
      <c r="B10" s="9">
        <f>K10/F10</f>
        <v>-124.00000000000001</v>
      </c>
      <c r="C10" s="10">
        <v>0</v>
      </c>
      <c r="D10" s="10">
        <f t="shared" ref="D10" si="1">M10/H10</f>
        <v>-78.257128810226149</v>
      </c>
      <c r="E10" s="11">
        <v>0</v>
      </c>
      <c r="F10" s="43">
        <f>158640/2000</f>
        <v>79.319999999999993</v>
      </c>
      <c r="G10" s="42">
        <v>0</v>
      </c>
      <c r="H10" s="42">
        <f>81360/2000</f>
        <v>40.68</v>
      </c>
      <c r="I10" s="10">
        <v>0</v>
      </c>
      <c r="J10" s="11">
        <f>SUM(F10:I10)</f>
        <v>120</v>
      </c>
      <c r="K10" s="43">
        <v>-9835.68</v>
      </c>
      <c r="L10" s="42">
        <v>0</v>
      </c>
      <c r="M10" s="42">
        <v>-3183.5</v>
      </c>
      <c r="N10" s="10">
        <v>0</v>
      </c>
      <c r="O10" s="11">
        <f>SUM(K10:N10)</f>
        <v>-13019.18</v>
      </c>
    </row>
    <row r="11" spans="1:15" x14ac:dyDescent="0.25">
      <c r="B11" s="9"/>
      <c r="C11" s="10"/>
      <c r="D11" s="10"/>
      <c r="E11" s="11"/>
      <c r="F11" s="9"/>
      <c r="G11" s="10"/>
      <c r="H11" s="10"/>
      <c r="I11" s="10"/>
      <c r="J11" s="11"/>
      <c r="K11" s="9"/>
      <c r="L11" s="10"/>
      <c r="M11" s="10"/>
      <c r="N11" s="10"/>
      <c r="O11" s="11"/>
    </row>
    <row r="12" spans="1:15" x14ac:dyDescent="0.25">
      <c r="A12" s="50" t="s">
        <v>54</v>
      </c>
      <c r="B12" s="9">
        <f>K12/F12</f>
        <v>-124</v>
      </c>
      <c r="C12" s="10">
        <v>0</v>
      </c>
      <c r="D12" s="10">
        <f t="shared" ref="D12" si="2">M12/H12</f>
        <v>-79</v>
      </c>
      <c r="E12" s="11">
        <v>0</v>
      </c>
      <c r="F12" s="43">
        <f>189220/2000</f>
        <v>94.61</v>
      </c>
      <c r="G12" s="42">
        <v>0</v>
      </c>
      <c r="H12" s="42">
        <f>91340/2000</f>
        <v>45.67</v>
      </c>
      <c r="I12" s="10">
        <v>0</v>
      </c>
      <c r="J12" s="11">
        <f>SUM(F12:I12)</f>
        <v>140.28</v>
      </c>
      <c r="K12" s="43">
        <v>-11731.64</v>
      </c>
      <c r="L12" s="42">
        <v>0</v>
      </c>
      <c r="M12" s="42">
        <v>-3607.93</v>
      </c>
      <c r="N12" s="10">
        <v>0</v>
      </c>
      <c r="O12" s="11">
        <f>SUM(K12:N12)</f>
        <v>-15339.57</v>
      </c>
    </row>
    <row r="13" spans="1:15" x14ac:dyDescent="0.25">
      <c r="B13" s="9"/>
      <c r="C13" s="10"/>
      <c r="D13" s="10"/>
      <c r="E13" s="11"/>
      <c r="F13" s="9"/>
      <c r="G13" s="10"/>
      <c r="H13" s="10"/>
      <c r="I13" s="10"/>
      <c r="J13" s="11"/>
      <c r="K13" s="9"/>
      <c r="L13" s="10"/>
      <c r="M13" s="10"/>
      <c r="N13" s="10"/>
      <c r="O13" s="11"/>
    </row>
    <row r="14" spans="1:15" x14ac:dyDescent="0.25">
      <c r="A14" s="50" t="s">
        <v>55</v>
      </c>
      <c r="B14" s="9">
        <f>K14/F14</f>
        <v>-120.22781774580335</v>
      </c>
      <c r="C14" s="10">
        <v>0</v>
      </c>
      <c r="D14" s="10">
        <f t="shared" ref="D14" si="3">M14/H14</f>
        <v>-74.727141828653714</v>
      </c>
      <c r="E14" s="11">
        <v>0</v>
      </c>
      <c r="F14" s="43">
        <f>166800/2000</f>
        <v>83.4</v>
      </c>
      <c r="G14" s="42">
        <v>0</v>
      </c>
      <c r="H14" s="42">
        <f>83340/2000</f>
        <v>41.67</v>
      </c>
      <c r="I14" s="10">
        <v>0</v>
      </c>
      <c r="J14" s="11">
        <f>SUM(F14:I14)</f>
        <v>125.07000000000001</v>
      </c>
      <c r="K14" s="43">
        <v>-10027</v>
      </c>
      <c r="L14" s="42">
        <v>0</v>
      </c>
      <c r="M14" s="42">
        <v>-3113.88</v>
      </c>
      <c r="N14" s="10">
        <v>0</v>
      </c>
      <c r="O14" s="11">
        <f>SUM(K14:N14)</f>
        <v>-13140.880000000001</v>
      </c>
    </row>
    <row r="15" spans="1:15" x14ac:dyDescent="0.25">
      <c r="B15" s="9"/>
      <c r="C15" s="10"/>
      <c r="D15" s="10"/>
      <c r="E15" s="11"/>
      <c r="F15" s="9"/>
      <c r="G15" s="10"/>
      <c r="H15" s="10"/>
      <c r="I15" s="10"/>
      <c r="J15" s="11"/>
      <c r="K15" s="9"/>
      <c r="L15" s="10"/>
      <c r="M15" s="10"/>
      <c r="N15" s="10"/>
      <c r="O15" s="11"/>
    </row>
    <row r="16" spans="1:15" x14ac:dyDescent="0.25">
      <c r="A16" s="50" t="s">
        <v>56</v>
      </c>
      <c r="B16" s="9">
        <f>K16/F16</f>
        <v>-117.1219920986472</v>
      </c>
      <c r="C16" s="10">
        <v>0</v>
      </c>
      <c r="D16" s="10">
        <f t="shared" ref="D16" si="4">M16/H16</f>
        <v>-71.032584269662919</v>
      </c>
      <c r="E16" s="11">
        <v>0</v>
      </c>
      <c r="F16" s="43">
        <f>167060/2000</f>
        <v>83.53</v>
      </c>
      <c r="G16" s="42">
        <v>0</v>
      </c>
      <c r="H16" s="42">
        <f>89000/2000</f>
        <v>44.5</v>
      </c>
      <c r="I16" s="10">
        <v>0</v>
      </c>
      <c r="J16" s="11">
        <f>SUM(F16:I16)</f>
        <v>128.03</v>
      </c>
      <c r="K16" s="43">
        <v>-9783.2000000000007</v>
      </c>
      <c r="L16" s="42">
        <v>0</v>
      </c>
      <c r="M16" s="42">
        <v>-3160.95</v>
      </c>
      <c r="N16" s="10">
        <v>0</v>
      </c>
      <c r="O16" s="11">
        <f>SUM(K16:N16)</f>
        <v>-12944.150000000001</v>
      </c>
    </row>
    <row r="17" spans="1:15" x14ac:dyDescent="0.25">
      <c r="B17" s="9"/>
      <c r="C17" s="10"/>
      <c r="D17" s="10"/>
      <c r="E17" s="11"/>
      <c r="F17" s="9"/>
      <c r="G17" s="10"/>
      <c r="H17" s="10"/>
      <c r="I17" s="10"/>
      <c r="J17" s="11"/>
      <c r="K17" s="9"/>
      <c r="L17" s="10"/>
      <c r="M17" s="10"/>
      <c r="N17" s="10"/>
      <c r="O17" s="11"/>
    </row>
    <row r="18" spans="1:15" x14ac:dyDescent="0.25">
      <c r="A18" s="50" t="s">
        <v>57</v>
      </c>
      <c r="B18" s="9">
        <f>K18/F18</f>
        <v>-115.99999999999999</v>
      </c>
      <c r="C18" s="9">
        <v>0</v>
      </c>
      <c r="D18" s="10">
        <f t="shared" ref="D18" si="5">M18/H18</f>
        <v>-65.480249899234181</v>
      </c>
      <c r="E18" s="11">
        <v>0</v>
      </c>
      <c r="F18" s="43">
        <f>169520/2000</f>
        <v>84.76</v>
      </c>
      <c r="G18" s="42">
        <v>0</v>
      </c>
      <c r="H18" s="42">
        <f>99240/2000</f>
        <v>49.62</v>
      </c>
      <c r="I18" s="10">
        <v>0</v>
      </c>
      <c r="J18" s="11">
        <f>SUM(F18:I18)</f>
        <v>134.38</v>
      </c>
      <c r="K18" s="43">
        <v>-9832.16</v>
      </c>
      <c r="L18" s="42">
        <v>0</v>
      </c>
      <c r="M18" s="42">
        <v>-3249.13</v>
      </c>
      <c r="N18" s="10">
        <v>0</v>
      </c>
      <c r="O18" s="11">
        <f>SUM(K18:N18)</f>
        <v>-13081.29</v>
      </c>
    </row>
    <row r="19" spans="1:15" x14ac:dyDescent="0.25">
      <c r="A19" s="26"/>
      <c r="B19" s="12"/>
      <c r="C19" s="13"/>
      <c r="D19" s="13"/>
      <c r="E19" s="14"/>
      <c r="F19" s="12"/>
      <c r="G19" s="13"/>
      <c r="H19" s="13"/>
      <c r="I19" s="13"/>
      <c r="J19" s="14"/>
      <c r="K19" s="12"/>
      <c r="L19" s="13"/>
      <c r="M19" s="13"/>
      <c r="N19" s="13"/>
      <c r="O19" s="14"/>
    </row>
    <row r="20" spans="1:15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75" thickBot="1" x14ac:dyDescent="0.3">
      <c r="B21" s="15"/>
      <c r="C21" s="15"/>
      <c r="D21" s="15"/>
      <c r="E21" s="15"/>
      <c r="F21" s="16">
        <f t="shared" ref="F21:K21" si="6">SUM(F8:F20)</f>
        <v>501.28</v>
      </c>
      <c r="G21" s="16">
        <f t="shared" si="6"/>
        <v>0</v>
      </c>
      <c r="H21" s="16">
        <f t="shared" si="6"/>
        <v>260.70999999999998</v>
      </c>
      <c r="I21" s="16">
        <f t="shared" si="6"/>
        <v>0</v>
      </c>
      <c r="J21" s="16">
        <f t="shared" si="6"/>
        <v>761.99</v>
      </c>
      <c r="K21" s="16">
        <f t="shared" si="6"/>
        <v>-60538.150000000009</v>
      </c>
      <c r="L21" s="16">
        <f t="shared" ref="L21:N21" si="7">SUM(L8:L20)</f>
        <v>0</v>
      </c>
      <c r="M21" s="16">
        <f t="shared" si="7"/>
        <v>-19375.730000000003</v>
      </c>
      <c r="N21" s="16">
        <f t="shared" si="7"/>
        <v>0</v>
      </c>
      <c r="O21" s="16">
        <f>SUM(O8:O19)</f>
        <v>-79913.88</v>
      </c>
    </row>
    <row r="22" spans="1:15" ht="15.75" thickTop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5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O23" s="6"/>
    </row>
    <row r="24" spans="1:15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M24" s="6"/>
    </row>
    <row r="25" spans="1:15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O25" s="17"/>
    </row>
  </sheetData>
  <mergeCells count="3">
    <mergeCell ref="B6:E6"/>
    <mergeCell ref="F6:J6"/>
    <mergeCell ref="K6:O6"/>
  </mergeCell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200944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CBD6BDC334D54F84AC0DD7462BD5EA" ma:contentTypeVersion="52" ma:contentTypeDescription="" ma:contentTypeScope="" ma:versionID="877b6b156c993c89958e73c051e1137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B3EDE-4B03-4D50-B6BA-800FF8ED6F25}"/>
</file>

<file path=customXml/itemProps2.xml><?xml version="1.0" encoding="utf-8"?>
<ds:datastoreItem xmlns:ds="http://schemas.openxmlformats.org/officeDocument/2006/customXml" ds:itemID="{705EE089-7E48-41DA-891B-B2CCB10796EF}"/>
</file>

<file path=customXml/itemProps3.xml><?xml version="1.0" encoding="utf-8"?>
<ds:datastoreItem xmlns:ds="http://schemas.openxmlformats.org/officeDocument/2006/customXml" ds:itemID="{4105CE66-F7A7-425B-AA26-B149D2E90EA9}"/>
</file>

<file path=customXml/itemProps4.xml><?xml version="1.0" encoding="utf-8"?>
<ds:datastoreItem xmlns:ds="http://schemas.openxmlformats.org/officeDocument/2006/customXml" ds:itemID="{43B3BA65-AF18-47F3-950F-EF1DD5CC7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Sara Campbell</cp:lastModifiedBy>
  <cp:lastPrinted>2020-11-03T21:03:13Z</cp:lastPrinted>
  <dcterms:created xsi:type="dcterms:W3CDTF">2011-05-13T18:16:28Z</dcterms:created>
  <dcterms:modified xsi:type="dcterms:W3CDTF">2020-11-03T21:56:41Z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0x0101006E56B4D1795A2E4DB2F0B01679ED314A0057CBD6BDC334D54F84AC0DD7462BD5EA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