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xl/externalLinks/externalLink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Western Region\WUTC\WUTC-LeMay\Commodity Credit\2188 Joe's, RSA-1\Commodity Price Adjust 1-1-2021\"/>
    </mc:Choice>
  </mc:AlternateContent>
  <bookViews>
    <workbookView xWindow="120" yWindow="120" windowWidth="2640" windowHeight="3675"/>
  </bookViews>
  <sheets>
    <sheet name="RSA-1 CPA Eff. 1.1.2021" sheetId="9" r:id="rId1"/>
    <sheet name="Joe's CPA Eff. 1.1.2021" sheetId="10" r:id="rId2"/>
    <sheet name="RSA-1 CPA Eff. 1.1.2020" sheetId="7" r:id="rId3"/>
    <sheet name="Joe's CPA Eff 1.1.2020" sheetId="8" r:id="rId4"/>
    <sheet name="RSA-1 CPA Eff. 7.1.19" sheetId="1" r:id="rId5"/>
    <sheet name="Joe's CPA Eff 7.1.19" sheetId="2" r:id="rId6"/>
    <sheet name="RSA-1 CPA Eff 7.1.18" sheetId="5" r:id="rId7"/>
    <sheet name="Joe's CPA Eff 7.1.18" sheetId="6" r:id="rId8"/>
  </sheets>
  <externalReferences>
    <externalReference r:id="rId9"/>
    <externalReference r:id="rId10"/>
    <externalReference r:id="rId11"/>
    <externalReference r:id="rId12"/>
    <externalReference r:id="rId13"/>
    <externalReference r:id="rId14"/>
  </externalReferences>
  <definedNames>
    <definedName name="_xlnm.Print_Area" localSheetId="3">'Joe''s CPA Eff 1.1.2020'!$A$1:$I$65</definedName>
    <definedName name="_xlnm.Print_Area" localSheetId="7">'Joe''s CPA Eff 7.1.18'!$A$1:$O$66</definedName>
    <definedName name="_xlnm.Print_Area" localSheetId="5">'Joe''s CPA Eff 7.1.19'!$A$1:$I$67</definedName>
    <definedName name="_xlnm.Print_Area" localSheetId="1">'Joe''s CPA Eff. 1.1.2021'!$A$1:$O$66</definedName>
    <definedName name="_xlnm.Print_Area" localSheetId="6">'RSA-1 CPA Eff 7.1.18'!$A$1:$P$28</definedName>
    <definedName name="_xlnm.Print_Area" localSheetId="2">'RSA-1 CPA Eff. 1.1.2020'!$A$1:$I$28</definedName>
    <definedName name="_xlnm.Print_Area" localSheetId="0">'RSA-1 CPA Eff. 1.1.2021'!$A$1:$P$28</definedName>
    <definedName name="_xlnm.Print_Area" localSheetId="4">'RSA-1 CPA Eff. 7.1.19'!$A$1:$I$29</definedName>
    <definedName name="_xlnm.Print_Titles" localSheetId="3">'Joe''s CPA Eff 1.1.2020'!$1:$4</definedName>
    <definedName name="_xlnm.Print_Titles" localSheetId="7">'Joe''s CPA Eff 7.1.18'!$1:$4</definedName>
    <definedName name="_xlnm.Print_Titles" localSheetId="5">'Joe''s CPA Eff 7.1.19'!$1:$4</definedName>
    <definedName name="_xlnm.Print_Titles" localSheetId="1">'Joe''s CPA Eff. 1.1.2021'!$1:$4</definedName>
    <definedName name="_xlnm.Print_Titles" localSheetId="6">'RSA-1 CPA Eff 7.1.18'!$A:$A</definedName>
    <definedName name="_xlnm.Print_Titles" localSheetId="2">'RSA-1 CPA Eff. 1.1.2020'!$A:$A</definedName>
    <definedName name="_xlnm.Print_Titles" localSheetId="0">'RSA-1 CPA Eff. 1.1.2021'!$A:$A</definedName>
    <definedName name="_xlnm.Print_Titles" localSheetId="4">'RSA-1 CPA Eff. 7.1.19'!$A:$A</definedName>
  </definedNames>
  <calcPr calcId="162913" iterate="1" concurrentManualCount="4"/>
</workbook>
</file>

<file path=xl/calcChain.xml><?xml version="1.0" encoding="utf-8"?>
<calcChain xmlns="http://schemas.openxmlformats.org/spreadsheetml/2006/main">
  <c r="E25" i="10" l="1"/>
  <c r="F25" i="10"/>
  <c r="G25" i="10"/>
  <c r="H25" i="10"/>
  <c r="I25" i="10"/>
  <c r="J25" i="10"/>
  <c r="K25" i="10"/>
  <c r="L25" i="10"/>
  <c r="M25" i="10"/>
  <c r="D25" i="10"/>
  <c r="N63" i="10" l="1"/>
  <c r="M16" i="9"/>
  <c r="L16" i="9"/>
  <c r="K16" i="9"/>
  <c r="J16" i="9"/>
  <c r="I16" i="9"/>
  <c r="H16" i="9"/>
  <c r="G16" i="9"/>
  <c r="F16" i="9"/>
  <c r="E16" i="9"/>
  <c r="D16" i="9"/>
  <c r="C16" i="9"/>
  <c r="B16" i="9"/>
  <c r="N64" i="10"/>
  <c r="C53" i="10"/>
  <c r="D53" i="10"/>
  <c r="E53" i="10"/>
  <c r="F53" i="10"/>
  <c r="G53" i="10"/>
  <c r="H53" i="10"/>
  <c r="I53" i="10"/>
  <c r="J53" i="10"/>
  <c r="K53" i="10"/>
  <c r="L53" i="10"/>
  <c r="M53" i="10"/>
  <c r="B53" i="10"/>
  <c r="E56" i="10"/>
  <c r="F56" i="10"/>
  <c r="G56" i="10"/>
  <c r="H56" i="10"/>
  <c r="I56" i="10"/>
  <c r="J56" i="10"/>
  <c r="K56" i="10"/>
  <c r="L56" i="10"/>
  <c r="M56" i="10"/>
  <c r="D56" i="10"/>
  <c r="C56" i="10"/>
  <c r="B56" i="10"/>
  <c r="C49" i="10"/>
  <c r="D49" i="10"/>
  <c r="E49" i="10"/>
  <c r="F49" i="10"/>
  <c r="G49" i="10"/>
  <c r="H49" i="10"/>
  <c r="I49" i="10"/>
  <c r="J49" i="10"/>
  <c r="K49" i="10"/>
  <c r="L49" i="10"/>
  <c r="M49" i="10"/>
  <c r="C50" i="10"/>
  <c r="D50" i="10"/>
  <c r="E50" i="10"/>
  <c r="F50" i="10"/>
  <c r="G50" i="10"/>
  <c r="H50" i="10"/>
  <c r="I50" i="10"/>
  <c r="J50" i="10"/>
  <c r="K50" i="10"/>
  <c r="L50" i="10"/>
  <c r="M50" i="10"/>
  <c r="C40" i="10"/>
  <c r="D40" i="10"/>
  <c r="E40" i="10"/>
  <c r="F40" i="10"/>
  <c r="G40" i="10"/>
  <c r="H40" i="10"/>
  <c r="I40" i="10"/>
  <c r="J40" i="10"/>
  <c r="K40" i="10"/>
  <c r="L40" i="10"/>
  <c r="M40" i="10"/>
  <c r="C41" i="10"/>
  <c r="D41" i="10"/>
  <c r="E41" i="10"/>
  <c r="F41" i="10"/>
  <c r="G41" i="10"/>
  <c r="H41" i="10"/>
  <c r="I41" i="10"/>
  <c r="J41" i="10"/>
  <c r="K41" i="10"/>
  <c r="L41" i="10"/>
  <c r="M41" i="10"/>
  <c r="B41" i="10"/>
  <c r="B40" i="10"/>
  <c r="N32" i="10"/>
  <c r="C25" i="10"/>
  <c r="B25" i="10"/>
  <c r="C22" i="10"/>
  <c r="D22" i="10"/>
  <c r="E22" i="10"/>
  <c r="F22" i="10"/>
  <c r="G22" i="10"/>
  <c r="H22" i="10"/>
  <c r="I22" i="10"/>
  <c r="J22" i="10"/>
  <c r="K22" i="10"/>
  <c r="L22" i="10"/>
  <c r="M22" i="10"/>
  <c r="B22" i="10"/>
  <c r="C18" i="10"/>
  <c r="D18" i="10"/>
  <c r="E18" i="10"/>
  <c r="F18" i="10"/>
  <c r="G18" i="10"/>
  <c r="H18" i="10"/>
  <c r="I18" i="10"/>
  <c r="J18" i="10"/>
  <c r="K18" i="10"/>
  <c r="L18" i="10"/>
  <c r="M18" i="10"/>
  <c r="C19" i="10"/>
  <c r="D19" i="10"/>
  <c r="E19" i="10"/>
  <c r="F19" i="10"/>
  <c r="G19" i="10"/>
  <c r="H19" i="10"/>
  <c r="I19" i="10"/>
  <c r="J19" i="10"/>
  <c r="K19" i="10"/>
  <c r="L19" i="10"/>
  <c r="M19" i="10"/>
  <c r="C15" i="10"/>
  <c r="D15" i="10"/>
  <c r="E15" i="10"/>
  <c r="F15" i="10"/>
  <c r="G15" i="10"/>
  <c r="H15" i="10"/>
  <c r="I15" i="10"/>
  <c r="J15" i="10"/>
  <c r="K15" i="10"/>
  <c r="L15" i="10"/>
  <c r="M15" i="10"/>
  <c r="B15" i="10"/>
  <c r="C9" i="10"/>
  <c r="D9" i="10"/>
  <c r="E9" i="10"/>
  <c r="F9" i="10"/>
  <c r="G9" i="10"/>
  <c r="H9" i="10"/>
  <c r="I9" i="10"/>
  <c r="J9" i="10"/>
  <c r="K9" i="10"/>
  <c r="L9" i="10"/>
  <c r="M9" i="10"/>
  <c r="C10" i="10"/>
  <c r="D10" i="10"/>
  <c r="E10" i="10"/>
  <c r="F10" i="10"/>
  <c r="G10" i="10"/>
  <c r="H10" i="10"/>
  <c r="I10" i="10"/>
  <c r="J10" i="10"/>
  <c r="K10" i="10"/>
  <c r="L10" i="10"/>
  <c r="M10" i="10"/>
  <c r="B10" i="10"/>
  <c r="B9" i="10"/>
  <c r="N26" i="9" l="1"/>
  <c r="E19" i="9"/>
  <c r="F19" i="9"/>
  <c r="G19" i="9"/>
  <c r="H19" i="9"/>
  <c r="I19" i="9"/>
  <c r="J19" i="9"/>
  <c r="K19" i="9"/>
  <c r="L19" i="9"/>
  <c r="M19" i="9"/>
  <c r="D19" i="9"/>
  <c r="C19" i="9"/>
  <c r="B19" i="9"/>
  <c r="C9" i="9"/>
  <c r="D9" i="9"/>
  <c r="E9" i="9"/>
  <c r="F9" i="9"/>
  <c r="G9" i="9"/>
  <c r="H9" i="9"/>
  <c r="I9" i="9"/>
  <c r="J9" i="9"/>
  <c r="K9" i="9"/>
  <c r="L9" i="9"/>
  <c r="M9" i="9"/>
  <c r="B9" i="9"/>
  <c r="L12" i="9" l="1"/>
  <c r="C12" i="9"/>
  <c r="F12" i="9"/>
  <c r="H12" i="9"/>
  <c r="D12" i="9"/>
  <c r="K12" i="9"/>
  <c r="G12" i="9"/>
  <c r="B12" i="9"/>
  <c r="J12" i="9"/>
  <c r="M12" i="9"/>
  <c r="I12" i="9"/>
  <c r="E12" i="9"/>
  <c r="D6" i="9" l="1"/>
  <c r="E6" i="9"/>
  <c r="F6" i="9"/>
  <c r="G6" i="9"/>
  <c r="H6" i="9" s="1"/>
  <c r="I6" i="9" s="1"/>
  <c r="J6" i="9" s="1"/>
  <c r="K6" i="9" s="1"/>
  <c r="L6" i="9" s="1"/>
  <c r="M6" i="9" s="1"/>
  <c r="C6" i="9"/>
  <c r="N53" i="10" l="1"/>
  <c r="M46" i="10"/>
  <c r="L46" i="10"/>
  <c r="K46" i="10"/>
  <c r="J46" i="10"/>
  <c r="I46" i="10"/>
  <c r="H46" i="10"/>
  <c r="G46" i="10"/>
  <c r="F46" i="10"/>
  <c r="E46" i="10"/>
  <c r="D46" i="10"/>
  <c r="C46" i="10"/>
  <c r="B46" i="10"/>
  <c r="B50" i="10" s="1"/>
  <c r="M42" i="10"/>
  <c r="L42" i="10"/>
  <c r="K42" i="10"/>
  <c r="J42" i="10"/>
  <c r="I42" i="10"/>
  <c r="H42" i="10"/>
  <c r="G42" i="10"/>
  <c r="F42" i="10"/>
  <c r="E42" i="10"/>
  <c r="D42" i="10"/>
  <c r="C42" i="10"/>
  <c r="B42" i="10"/>
  <c r="N41" i="10"/>
  <c r="N40" i="10"/>
  <c r="N22" i="10"/>
  <c r="B19" i="10"/>
  <c r="M14" i="10"/>
  <c r="M20" i="10" s="1"/>
  <c r="M24" i="10" s="1"/>
  <c r="M26" i="10" s="1"/>
  <c r="L14" i="10"/>
  <c r="L45" i="10" s="1"/>
  <c r="K14" i="10"/>
  <c r="K45" i="10" s="1"/>
  <c r="K51" i="10" s="1"/>
  <c r="K55" i="10" s="1"/>
  <c r="K57" i="10" s="1"/>
  <c r="J14" i="10"/>
  <c r="J20" i="10" s="1"/>
  <c r="J24" i="10" s="1"/>
  <c r="J26" i="10" s="1"/>
  <c r="I14" i="10"/>
  <c r="I20" i="10" s="1"/>
  <c r="I24" i="10" s="1"/>
  <c r="I26" i="10" s="1"/>
  <c r="H14" i="10"/>
  <c r="H45" i="10" s="1"/>
  <c r="H51" i="10" s="1"/>
  <c r="H55" i="10" s="1"/>
  <c r="H57" i="10" s="1"/>
  <c r="G14" i="10"/>
  <c r="G45" i="10" s="1"/>
  <c r="G51" i="10" s="1"/>
  <c r="G55" i="10" s="1"/>
  <c r="G57" i="10" s="1"/>
  <c r="F14" i="10"/>
  <c r="E14" i="10"/>
  <c r="E20" i="10" s="1"/>
  <c r="E24" i="10" s="1"/>
  <c r="E26" i="10" s="1"/>
  <c r="D14" i="10"/>
  <c r="D45" i="10" s="1"/>
  <c r="C14" i="10"/>
  <c r="C45" i="10" s="1"/>
  <c r="C51" i="10" s="1"/>
  <c r="C55" i="10" s="1"/>
  <c r="C57" i="10" s="1"/>
  <c r="B14" i="10"/>
  <c r="B18" i="10" s="1"/>
  <c r="M11" i="10"/>
  <c r="L11" i="10"/>
  <c r="K11" i="10"/>
  <c r="J11" i="10"/>
  <c r="I11" i="10"/>
  <c r="H11" i="10"/>
  <c r="G11" i="10"/>
  <c r="F11" i="10"/>
  <c r="E11" i="10"/>
  <c r="D11" i="10"/>
  <c r="C11" i="10"/>
  <c r="B11" i="10"/>
  <c r="N11" i="10" s="1"/>
  <c r="N10" i="10"/>
  <c r="N9" i="10"/>
  <c r="M6" i="10"/>
  <c r="M37" i="10" s="1"/>
  <c r="L6" i="10"/>
  <c r="L37" i="10" s="1"/>
  <c r="K6" i="10"/>
  <c r="K37" i="10" s="1"/>
  <c r="J6" i="10"/>
  <c r="J37" i="10" s="1"/>
  <c r="I6" i="10"/>
  <c r="I37" i="10" s="1"/>
  <c r="H6" i="10"/>
  <c r="H37" i="10" s="1"/>
  <c r="G6" i="10"/>
  <c r="G37" i="10" s="1"/>
  <c r="F6" i="10"/>
  <c r="F37" i="10" s="1"/>
  <c r="E6" i="10"/>
  <c r="E37" i="10" s="1"/>
  <c r="D6" i="10"/>
  <c r="D37" i="10" s="1"/>
  <c r="C6" i="10"/>
  <c r="C37" i="10" s="1"/>
  <c r="B6" i="10"/>
  <c r="B37" i="10" s="1"/>
  <c r="A4" i="10"/>
  <c r="N16" i="9"/>
  <c r="M14" i="9"/>
  <c r="L14" i="9"/>
  <c r="K14" i="9"/>
  <c r="J14" i="9"/>
  <c r="I14" i="9"/>
  <c r="H14" i="9"/>
  <c r="G14" i="9"/>
  <c r="F14" i="9"/>
  <c r="E14" i="9"/>
  <c r="D14" i="9"/>
  <c r="C14" i="9"/>
  <c r="B14" i="9"/>
  <c r="B18" i="9" s="1"/>
  <c r="B20" i="9" s="1"/>
  <c r="N9" i="9"/>
  <c r="N42" i="10" l="1"/>
  <c r="D51" i="10"/>
  <c r="D55" i="10" s="1"/>
  <c r="D57" i="10" s="1"/>
  <c r="L51" i="10"/>
  <c r="L55" i="10" s="1"/>
  <c r="L57" i="10" s="1"/>
  <c r="F20" i="10"/>
  <c r="F24" i="10" s="1"/>
  <c r="F26" i="10" s="1"/>
  <c r="N19" i="10"/>
  <c r="J18" i="9"/>
  <c r="J20" i="9" s="1"/>
  <c r="F18" i="9"/>
  <c r="F20" i="9" s="1"/>
  <c r="K18" i="9"/>
  <c r="K20" i="9" s="1"/>
  <c r="C18" i="9"/>
  <c r="C20" i="9" s="1"/>
  <c r="G20" i="9"/>
  <c r="G18" i="9"/>
  <c r="H18" i="9"/>
  <c r="H20" i="9" s="1"/>
  <c r="D18" i="9"/>
  <c r="D20" i="9" s="1"/>
  <c r="L18" i="9"/>
  <c r="L20" i="9" s="1"/>
  <c r="E18" i="9"/>
  <c r="E20" i="9" s="1"/>
  <c r="I18" i="9"/>
  <c r="I20" i="9" s="1"/>
  <c r="M18" i="9"/>
  <c r="M20" i="9" s="1"/>
  <c r="N14" i="9"/>
  <c r="N23" i="9" s="1"/>
  <c r="B20" i="10"/>
  <c r="B24" i="10" s="1"/>
  <c r="B26" i="10" s="1"/>
  <c r="N50" i="10"/>
  <c r="C20" i="10"/>
  <c r="C24" i="10" s="1"/>
  <c r="C26" i="10" s="1"/>
  <c r="G20" i="10"/>
  <c r="G24" i="10" s="1"/>
  <c r="G26" i="10" s="1"/>
  <c r="K20" i="10"/>
  <c r="K24" i="10" s="1"/>
  <c r="K26" i="10" s="1"/>
  <c r="E45" i="10"/>
  <c r="E51" i="10" s="1"/>
  <c r="E55" i="10" s="1"/>
  <c r="E57" i="10" s="1"/>
  <c r="I45" i="10"/>
  <c r="I51" i="10" s="1"/>
  <c r="I55" i="10" s="1"/>
  <c r="I57" i="10" s="1"/>
  <c r="M45" i="10"/>
  <c r="M51" i="10" s="1"/>
  <c r="M55" i="10" s="1"/>
  <c r="M57" i="10" s="1"/>
  <c r="D20" i="10"/>
  <c r="D24" i="10" s="1"/>
  <c r="D26" i="10" s="1"/>
  <c r="H20" i="10"/>
  <c r="H24" i="10" s="1"/>
  <c r="H26" i="10" s="1"/>
  <c r="L20" i="10"/>
  <c r="L24" i="10" s="1"/>
  <c r="L26" i="10" s="1"/>
  <c r="B45" i="10"/>
  <c r="B49" i="10" s="1"/>
  <c r="F45" i="10"/>
  <c r="F51" i="10" s="1"/>
  <c r="F55" i="10" s="1"/>
  <c r="F57" i="10" s="1"/>
  <c r="J45" i="10"/>
  <c r="J51" i="10" s="1"/>
  <c r="J55" i="10" s="1"/>
  <c r="J57" i="10" s="1"/>
  <c r="N20" i="9" l="1"/>
  <c r="N22" i="9" s="1"/>
  <c r="N24" i="9" s="1"/>
  <c r="N27" i="9" s="1"/>
  <c r="N28" i="9" s="1"/>
  <c r="N26" i="10"/>
  <c r="N28" i="10" s="1"/>
  <c r="N30" i="10" s="1"/>
  <c r="N33" i="10" s="1"/>
  <c r="B51" i="10"/>
  <c r="N49" i="10"/>
  <c r="N51" i="10" s="1"/>
  <c r="N60" i="10" s="1"/>
  <c r="N18" i="10"/>
  <c r="N20" i="10" s="1"/>
  <c r="N29" i="10" s="1"/>
  <c r="B55" i="10" l="1"/>
  <c r="B57" i="10" s="1"/>
  <c r="N57" i="10" s="1"/>
  <c r="N59" i="10" s="1"/>
  <c r="N61" i="10" s="1"/>
  <c r="N65" i="10" s="1"/>
  <c r="P27" i="9"/>
  <c r="O64" i="10" l="1"/>
  <c r="N34" i="10"/>
  <c r="O33" i="10"/>
  <c r="G42" i="8" l="1"/>
  <c r="C42" i="8"/>
  <c r="H22" i="8"/>
  <c r="F46" i="8"/>
  <c r="F50" i="8" s="1"/>
  <c r="E46" i="8"/>
  <c r="E50" i="8" s="1"/>
  <c r="D46" i="8"/>
  <c r="D50" i="8" s="1"/>
  <c r="B46" i="8"/>
  <c r="B50" i="8" s="1"/>
  <c r="G45" i="8"/>
  <c r="F45" i="8"/>
  <c r="E45" i="8"/>
  <c r="E49" i="8" s="1"/>
  <c r="D45" i="8"/>
  <c r="C45" i="8"/>
  <c r="B45" i="8"/>
  <c r="F11" i="8"/>
  <c r="G11" i="8"/>
  <c r="F18" i="8"/>
  <c r="D11" i="8"/>
  <c r="C11" i="8"/>
  <c r="B18" i="8"/>
  <c r="G6" i="8"/>
  <c r="G37" i="8" s="1"/>
  <c r="F6" i="8"/>
  <c r="F37" i="8" s="1"/>
  <c r="E6" i="8"/>
  <c r="E37" i="8" s="1"/>
  <c r="D6" i="8"/>
  <c r="D37" i="8" s="1"/>
  <c r="C6" i="8"/>
  <c r="C37" i="8" s="1"/>
  <c r="B6" i="8"/>
  <c r="B37" i="8" s="1"/>
  <c r="A4" i="8"/>
  <c r="H16" i="7"/>
  <c r="G14" i="7"/>
  <c r="G18" i="7" s="1"/>
  <c r="E14" i="7"/>
  <c r="E18" i="7" s="1"/>
  <c r="D14" i="7"/>
  <c r="D18" i="7" s="1"/>
  <c r="C14" i="7"/>
  <c r="C18" i="7" s="1"/>
  <c r="E42" i="8" l="1"/>
  <c r="H10" i="8"/>
  <c r="D49" i="8"/>
  <c r="D51" i="8" s="1"/>
  <c r="D55" i="8" s="1"/>
  <c r="E11" i="8"/>
  <c r="C19" i="8"/>
  <c r="G19" i="8"/>
  <c r="H41" i="8"/>
  <c r="H53" i="8"/>
  <c r="B11" i="8"/>
  <c r="D19" i="8"/>
  <c r="B42" i="8"/>
  <c r="F42" i="8"/>
  <c r="D42" i="8"/>
  <c r="H9" i="7"/>
  <c r="F14" i="7"/>
  <c r="F18" i="7" s="1"/>
  <c r="E51" i="8"/>
  <c r="E55" i="8" s="1"/>
  <c r="H9" i="8"/>
  <c r="C18" i="8"/>
  <c r="G18" i="8"/>
  <c r="G20" i="8" s="1"/>
  <c r="G24" i="8" s="1"/>
  <c r="C46" i="8"/>
  <c r="C50" i="8" s="1"/>
  <c r="H50" i="8" s="1"/>
  <c r="G46" i="8"/>
  <c r="G50" i="8" s="1"/>
  <c r="D18" i="8"/>
  <c r="D20" i="8" s="1"/>
  <c r="D24" i="8" s="1"/>
  <c r="E19" i="8"/>
  <c r="B49" i="8"/>
  <c r="F49" i="8"/>
  <c r="F51" i="8" s="1"/>
  <c r="F55" i="8" s="1"/>
  <c r="B14" i="7"/>
  <c r="E18" i="8"/>
  <c r="E20" i="8" s="1"/>
  <c r="E24" i="8" s="1"/>
  <c r="B19" i="8"/>
  <c r="F19" i="8"/>
  <c r="F20" i="8" s="1"/>
  <c r="F24" i="8" s="1"/>
  <c r="H40" i="8"/>
  <c r="H42" i="8" s="1"/>
  <c r="C49" i="8"/>
  <c r="G49" i="8"/>
  <c r="H11" i="8" l="1"/>
  <c r="C20" i="8"/>
  <c r="C24" i="8" s="1"/>
  <c r="G51" i="8"/>
  <c r="G55" i="8" s="1"/>
  <c r="H18" i="8"/>
  <c r="H19" i="8"/>
  <c r="B51" i="8"/>
  <c r="H49" i="8"/>
  <c r="H51" i="8" s="1"/>
  <c r="C51" i="8"/>
  <c r="C55" i="8" s="1"/>
  <c r="G23" i="7"/>
  <c r="B18" i="7"/>
  <c r="H14" i="7"/>
  <c r="B20" i="8"/>
  <c r="M56" i="6"/>
  <c r="L56" i="6"/>
  <c r="K56" i="6"/>
  <c r="J56" i="6"/>
  <c r="I56" i="6"/>
  <c r="H56" i="6"/>
  <c r="G56" i="6"/>
  <c r="F56" i="6"/>
  <c r="E56" i="6"/>
  <c r="D56" i="6"/>
  <c r="C56" i="6"/>
  <c r="B56" i="6"/>
  <c r="M53" i="6"/>
  <c r="L53" i="6"/>
  <c r="K53" i="6"/>
  <c r="J53" i="6"/>
  <c r="I53" i="6"/>
  <c r="H53" i="6"/>
  <c r="G53" i="6"/>
  <c r="F53" i="6"/>
  <c r="E53" i="6"/>
  <c r="D53" i="6"/>
  <c r="C53" i="6"/>
  <c r="B53" i="6"/>
  <c r="M41" i="6"/>
  <c r="L41" i="6"/>
  <c r="K41" i="6"/>
  <c r="J41" i="6"/>
  <c r="I41" i="6"/>
  <c r="H41" i="6"/>
  <c r="G41" i="6"/>
  <c r="F41" i="6"/>
  <c r="E41" i="6"/>
  <c r="D41" i="6"/>
  <c r="C41" i="6"/>
  <c r="B41" i="6"/>
  <c r="M40" i="6"/>
  <c r="L40" i="6"/>
  <c r="K40" i="6"/>
  <c r="K42" i="6" s="1"/>
  <c r="J40" i="6"/>
  <c r="I40" i="6"/>
  <c r="H40" i="6"/>
  <c r="G40" i="6"/>
  <c r="G42" i="6" s="1"/>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M15" i="6"/>
  <c r="M46" i="6" s="1"/>
  <c r="M50" i="6" s="1"/>
  <c r="L15" i="6"/>
  <c r="L46" i="6" s="1"/>
  <c r="L50" i="6" s="1"/>
  <c r="K15" i="6"/>
  <c r="J15" i="6"/>
  <c r="J46" i="6" s="1"/>
  <c r="J50" i="6" s="1"/>
  <c r="I15" i="6"/>
  <c r="I46" i="6" s="1"/>
  <c r="I50" i="6" s="1"/>
  <c r="H15" i="6"/>
  <c r="H46" i="6" s="1"/>
  <c r="H50" i="6" s="1"/>
  <c r="G15" i="6"/>
  <c r="F15" i="6"/>
  <c r="F46" i="6" s="1"/>
  <c r="F50" i="6" s="1"/>
  <c r="E15" i="6"/>
  <c r="E46" i="6" s="1"/>
  <c r="E50" i="6" s="1"/>
  <c r="D15" i="6"/>
  <c r="D46" i="6" s="1"/>
  <c r="D50" i="6" s="1"/>
  <c r="C15" i="6"/>
  <c r="B15" i="6"/>
  <c r="B46" i="6" s="1"/>
  <c r="B50" i="6" s="1"/>
  <c r="M10" i="6"/>
  <c r="G32" i="6" s="1"/>
  <c r="L10" i="6"/>
  <c r="F32" i="6" s="1"/>
  <c r="K10" i="6"/>
  <c r="E32" i="6" s="1"/>
  <c r="J10" i="6"/>
  <c r="D32" i="6" s="1"/>
  <c r="I10" i="6"/>
  <c r="C32" i="6" s="1"/>
  <c r="H10" i="6"/>
  <c r="B32" i="6" s="1"/>
  <c r="G10" i="6"/>
  <c r="F10" i="6"/>
  <c r="E10" i="6"/>
  <c r="D10" i="6"/>
  <c r="C10" i="6"/>
  <c r="B10" i="6"/>
  <c r="M9" i="6"/>
  <c r="M11" i="6" s="1"/>
  <c r="L9" i="6"/>
  <c r="K9" i="6"/>
  <c r="J9" i="6"/>
  <c r="I9" i="6"/>
  <c r="I11" i="6" s="1"/>
  <c r="H9" i="6"/>
  <c r="G9" i="6"/>
  <c r="F9" i="6"/>
  <c r="E9" i="6"/>
  <c r="E11" i="6" s="1"/>
  <c r="D9" i="6"/>
  <c r="C9" i="6"/>
  <c r="B9" i="6"/>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M12" i="5"/>
  <c r="L12" i="5"/>
  <c r="L14" i="6" s="1"/>
  <c r="K12" i="5"/>
  <c r="K14" i="6" s="1"/>
  <c r="J12" i="5"/>
  <c r="J14" i="6" s="1"/>
  <c r="I12" i="5"/>
  <c r="H12" i="5"/>
  <c r="H14" i="6" s="1"/>
  <c r="G12" i="5"/>
  <c r="G14" i="6" s="1"/>
  <c r="G45" i="6" s="1"/>
  <c r="F12" i="5"/>
  <c r="F14" i="6" s="1"/>
  <c r="F45" i="6" s="1"/>
  <c r="E12" i="5"/>
  <c r="D12" i="5"/>
  <c r="D14" i="6" s="1"/>
  <c r="D45" i="6" s="1"/>
  <c r="C12" i="5"/>
  <c r="C14" i="6" s="1"/>
  <c r="C45" i="6" s="1"/>
  <c r="B12" i="5"/>
  <c r="B14" i="6" s="1"/>
  <c r="B45" i="6" s="1"/>
  <c r="M9" i="5"/>
  <c r="L9" i="5"/>
  <c r="K9" i="5"/>
  <c r="K14" i="5" s="1"/>
  <c r="K18" i="5" s="1"/>
  <c r="K20" i="5" s="1"/>
  <c r="J9" i="5"/>
  <c r="J14" i="5" s="1"/>
  <c r="J18" i="5" s="1"/>
  <c r="J20" i="5" s="1"/>
  <c r="I9" i="5"/>
  <c r="H9" i="5"/>
  <c r="G9" i="5"/>
  <c r="G14" i="5" s="1"/>
  <c r="G18" i="5" s="1"/>
  <c r="G20" i="5" s="1"/>
  <c r="F9" i="5"/>
  <c r="F14" i="5" s="1"/>
  <c r="F18" i="5" s="1"/>
  <c r="F20" i="5" s="1"/>
  <c r="E9" i="5"/>
  <c r="D9" i="5"/>
  <c r="D14" i="5" s="1"/>
  <c r="D18" i="5" s="1"/>
  <c r="C9" i="5"/>
  <c r="C14" i="5" s="1"/>
  <c r="C18" i="5" s="1"/>
  <c r="C20" i="5" s="1"/>
  <c r="B9" i="5"/>
  <c r="B14" i="5" s="1"/>
  <c r="D20" i="5" l="1"/>
  <c r="N41" i="6"/>
  <c r="N9" i="6"/>
  <c r="N10" i="6"/>
  <c r="N22" i="6"/>
  <c r="N53" i="6"/>
  <c r="C19" i="6"/>
  <c r="G19" i="6"/>
  <c r="K19" i="6"/>
  <c r="E14" i="5"/>
  <c r="E18" i="5" s="1"/>
  <c r="E20" i="5" s="1"/>
  <c r="I14" i="5"/>
  <c r="I18" i="5" s="1"/>
  <c r="I20" i="5" s="1"/>
  <c r="M14" i="5"/>
  <c r="M18" i="5" s="1"/>
  <c r="M20" i="5" s="1"/>
  <c r="N16" i="5"/>
  <c r="H60" i="8"/>
  <c r="B55" i="8"/>
  <c r="H29" i="8"/>
  <c r="B24" i="8"/>
  <c r="H20" i="8"/>
  <c r="F18" i="6"/>
  <c r="J18" i="6"/>
  <c r="B49" i="6"/>
  <c r="B51" i="6" s="1"/>
  <c r="B55" i="6" s="1"/>
  <c r="B57" i="6" s="1"/>
  <c r="F49" i="6"/>
  <c r="F51" i="6" s="1"/>
  <c r="F55" i="6" s="1"/>
  <c r="F57" i="6" s="1"/>
  <c r="D62" i="6"/>
  <c r="E30" i="6"/>
  <c r="E31" i="6" s="1"/>
  <c r="E33" i="6" s="1"/>
  <c r="K45" i="6"/>
  <c r="H45" i="6"/>
  <c r="B30" i="6"/>
  <c r="B31" i="6" s="1"/>
  <c r="B33" i="6" s="1"/>
  <c r="L45" i="6"/>
  <c r="L49" i="6" s="1"/>
  <c r="L51" i="6" s="1"/>
  <c r="L55" i="6" s="1"/>
  <c r="L57" i="6" s="1"/>
  <c r="F30" i="6"/>
  <c r="F31" i="6" s="1"/>
  <c r="F33" i="6" s="1"/>
  <c r="C18" i="6"/>
  <c r="C20" i="6" s="1"/>
  <c r="C24" i="6" s="1"/>
  <c r="C26" i="6" s="1"/>
  <c r="G18" i="6"/>
  <c r="G20" i="6" s="1"/>
  <c r="G24" i="6" s="1"/>
  <c r="G26" i="6" s="1"/>
  <c r="K18" i="6"/>
  <c r="K20" i="6" s="1"/>
  <c r="K24" i="6" s="1"/>
  <c r="K26" i="6" s="1"/>
  <c r="D18" i="6"/>
  <c r="H18" i="6"/>
  <c r="L18" i="6"/>
  <c r="D49" i="6"/>
  <c r="D51" i="6" s="1"/>
  <c r="D55" i="6" s="1"/>
  <c r="D57" i="6" s="1"/>
  <c r="F61" i="6"/>
  <c r="B62" i="6"/>
  <c r="F62" i="6"/>
  <c r="B18" i="5"/>
  <c r="B20" i="5" s="1"/>
  <c r="J45" i="6"/>
  <c r="J49" i="6" s="1"/>
  <c r="J51" i="6" s="1"/>
  <c r="J55" i="6" s="1"/>
  <c r="J57" i="6" s="1"/>
  <c r="D30" i="6"/>
  <c r="D31" i="6" s="1"/>
  <c r="D33" i="6" s="1"/>
  <c r="C62" i="6"/>
  <c r="G62" i="6"/>
  <c r="N9" i="5"/>
  <c r="H14" i="5"/>
  <c r="H18" i="5" s="1"/>
  <c r="H20" i="5" s="1"/>
  <c r="L14" i="5"/>
  <c r="L18" i="5" s="1"/>
  <c r="L20" i="5" s="1"/>
  <c r="C24" i="5"/>
  <c r="C25" i="5" s="1"/>
  <c r="C27" i="5" s="1"/>
  <c r="G24" i="5"/>
  <c r="G25" i="5" s="1"/>
  <c r="G27" i="5" s="1"/>
  <c r="B11" i="6"/>
  <c r="F11" i="6"/>
  <c r="J11" i="6"/>
  <c r="E14" i="6"/>
  <c r="E45" i="6" s="1"/>
  <c r="E49" i="6" s="1"/>
  <c r="E51" i="6" s="1"/>
  <c r="E55" i="6" s="1"/>
  <c r="E57" i="6" s="1"/>
  <c r="I14" i="6"/>
  <c r="M14" i="6"/>
  <c r="D19" i="6"/>
  <c r="H19" i="6"/>
  <c r="L19" i="6"/>
  <c r="N40" i="6"/>
  <c r="N42" i="6" s="1"/>
  <c r="D42" i="6"/>
  <c r="H42" i="6"/>
  <c r="L42" i="6"/>
  <c r="C46" i="6"/>
  <c r="C50" i="6" s="1"/>
  <c r="G46" i="6"/>
  <c r="G50" i="6" s="1"/>
  <c r="K46" i="6"/>
  <c r="K50" i="6" s="1"/>
  <c r="C49" i="6"/>
  <c r="G49" i="6"/>
  <c r="K49" i="6"/>
  <c r="D61" i="6"/>
  <c r="D24" i="5"/>
  <c r="D25" i="5" s="1"/>
  <c r="D27" i="5" s="1"/>
  <c r="C11" i="6"/>
  <c r="G11" i="6"/>
  <c r="K11" i="6"/>
  <c r="B18" i="6"/>
  <c r="E19" i="6"/>
  <c r="I19" i="6"/>
  <c r="M19" i="6"/>
  <c r="E42" i="6"/>
  <c r="I42" i="6"/>
  <c r="M42" i="6"/>
  <c r="H49" i="6"/>
  <c r="H51" i="6" s="1"/>
  <c r="H55" i="6" s="1"/>
  <c r="H57" i="6" s="1"/>
  <c r="E61" i="6"/>
  <c r="E24" i="5"/>
  <c r="E25" i="5" s="1"/>
  <c r="E27" i="5" s="1"/>
  <c r="D11" i="6"/>
  <c r="H11" i="6"/>
  <c r="L11" i="6"/>
  <c r="B19" i="6"/>
  <c r="F19" i="6"/>
  <c r="J19" i="6"/>
  <c r="J20" i="6" s="1"/>
  <c r="J24" i="6" s="1"/>
  <c r="J26" i="6" s="1"/>
  <c r="B42" i="6"/>
  <c r="F42" i="6"/>
  <c r="J42" i="6"/>
  <c r="B24" i="5"/>
  <c r="B25" i="5" s="1"/>
  <c r="B27" i="5" s="1"/>
  <c r="F24" i="5"/>
  <c r="F25" i="5" s="1"/>
  <c r="F27" i="5" s="1"/>
  <c r="F20" i="6" l="1"/>
  <c r="F24" i="6" s="1"/>
  <c r="F26" i="6" s="1"/>
  <c r="D63" i="6"/>
  <c r="L20" i="6"/>
  <c r="L24" i="6" s="1"/>
  <c r="L26" i="6" s="1"/>
  <c r="N14" i="5"/>
  <c r="N19" i="6"/>
  <c r="N50" i="6"/>
  <c r="E18" i="6"/>
  <c r="N20" i="5"/>
  <c r="N22" i="5" s="1"/>
  <c r="N24" i="5" s="1"/>
  <c r="N27" i="5" s="1"/>
  <c r="N23" i="5"/>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F63" i="6"/>
  <c r="H20" i="6"/>
  <c r="H24" i="6" s="1"/>
  <c r="H26" i="6" s="1"/>
  <c r="C51" i="6"/>
  <c r="C55" i="6" s="1"/>
  <c r="C57" i="6" s="1"/>
  <c r="I18" i="6"/>
  <c r="I20" i="6" s="1"/>
  <c r="I24" i="6" s="1"/>
  <c r="I26" i="6" s="1"/>
  <c r="B61" i="6"/>
  <c r="B63" i="6" s="1"/>
  <c r="D20" i="6"/>
  <c r="D24" i="6" s="1"/>
  <c r="D26" i="6" s="1"/>
  <c r="E62" i="6"/>
  <c r="E63" i="6" s="1"/>
  <c r="N18" i="6" l="1"/>
  <c r="N20" i="6" s="1"/>
  <c r="E20" i="6"/>
  <c r="E24" i="6" s="1"/>
  <c r="E26" i="6" s="1"/>
  <c r="N26" i="6" s="1"/>
  <c r="N28" i="6" s="1"/>
  <c r="N57" i="6"/>
  <c r="N59" i="6" s="1"/>
  <c r="C31" i="6"/>
  <c r="C33" i="6" s="1"/>
  <c r="C61" i="6"/>
  <c r="C63" i="6" s="1"/>
  <c r="P27" i="5"/>
  <c r="N28" i="5"/>
  <c r="G31" i="6"/>
  <c r="G33" i="6" s="1"/>
  <c r="G61" i="6"/>
  <c r="G63" i="6" s="1"/>
  <c r="N60" i="6" s="1"/>
  <c r="N49" i="6"/>
  <c r="N51" i="6" s="1"/>
  <c r="N61" i="6" l="1"/>
  <c r="N64" i="6" s="1"/>
  <c r="N65" i="6"/>
  <c r="O64" i="6"/>
  <c r="N29" i="6"/>
  <c r="N30" i="6" s="1"/>
  <c r="N33" i="6" s="1"/>
  <c r="N34" i="6" l="1"/>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25" i="8" l="1"/>
  <c r="C26" i="8" s="1"/>
  <c r="B25" i="8"/>
  <c r="B26" i="8" s="1"/>
  <c r="C56" i="8"/>
  <c r="C57" i="8" s="1"/>
  <c r="B56" i="8"/>
  <c r="B57" i="8" s="1"/>
  <c r="C19" i="1"/>
  <c r="D19" i="1"/>
  <c r="E19" i="1"/>
  <c r="F19" i="1"/>
  <c r="G19" i="1"/>
  <c r="B19" i="1"/>
  <c r="C16" i="1"/>
  <c r="D16" i="1"/>
  <c r="E16" i="1"/>
  <c r="F16" i="1"/>
  <c r="G16" i="1"/>
  <c r="B16" i="1"/>
  <c r="C12" i="1"/>
  <c r="D12" i="1"/>
  <c r="E12" i="1"/>
  <c r="F12" i="1"/>
  <c r="B12" i="1"/>
  <c r="C9" i="1"/>
  <c r="D9" i="1"/>
  <c r="E9" i="1"/>
  <c r="F9" i="1"/>
  <c r="G9" i="1"/>
  <c r="B9" i="1"/>
  <c r="C19" i="7" l="1"/>
  <c r="C20" i="7" s="1"/>
  <c r="B19" i="7"/>
  <c r="B20" i="7" s="1"/>
  <c r="G12" i="1"/>
  <c r="B47" i="2" l="1"/>
  <c r="C6" i="2"/>
  <c r="D6" i="2"/>
  <c r="E6" i="2"/>
  <c r="F6" i="2"/>
  <c r="G6" i="2"/>
  <c r="B6" i="2"/>
  <c r="B46" i="2" l="1"/>
  <c r="B14" i="1"/>
  <c r="G11" i="2" l="1"/>
  <c r="F11" i="2"/>
  <c r="E11" i="2"/>
  <c r="C11" i="2"/>
  <c r="B11" i="2"/>
  <c r="H9" i="2"/>
  <c r="H9" i="1"/>
  <c r="A4" i="2" l="1"/>
  <c r="G38" i="2" l="1"/>
  <c r="F38" i="2"/>
  <c r="E38" i="2"/>
  <c r="D38" i="2"/>
  <c r="C38" i="2"/>
  <c r="B38" i="2"/>
  <c r="H16" i="1"/>
  <c r="G24" i="1" s="1"/>
  <c r="H22" i="2" l="1"/>
  <c r="H30" i="2" s="1"/>
  <c r="H54" i="2"/>
  <c r="H62" i="2" s="1"/>
  <c r="B43" i="2" l="1"/>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G52" i="2" s="1"/>
  <c r="G56" i="2" s="1"/>
  <c r="G58" i="2" s="1"/>
  <c r="E51" i="2"/>
  <c r="C18" i="1"/>
  <c r="C20" i="1" s="1"/>
  <c r="G23" i="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G25" i="1" s="1"/>
  <c r="G26" i="7" s="1"/>
  <c r="H14" i="1"/>
  <c r="G20" i="2"/>
  <c r="G24" i="2" s="1"/>
  <c r="G26" i="2" s="1"/>
  <c r="G19" i="7" l="1"/>
  <c r="G20" i="7" s="1"/>
  <c r="F19" i="7"/>
  <c r="F20" i="7" s="1"/>
  <c r="E19" i="7"/>
  <c r="E20" i="7" s="1"/>
  <c r="D19" i="7"/>
  <c r="D20" i="7" s="1"/>
  <c r="C52" i="2"/>
  <c r="C56" i="2" s="1"/>
  <c r="C58" i="2" s="1"/>
  <c r="H51" i="2"/>
  <c r="H29" i="2"/>
  <c r="F52" i="2"/>
  <c r="F56" i="2" s="1"/>
  <c r="F58" i="2" s="1"/>
  <c r="B56" i="2"/>
  <c r="B58" i="2" s="1"/>
  <c r="D52" i="2"/>
  <c r="D56" i="2" s="1"/>
  <c r="D58" i="2" s="1"/>
  <c r="E52" i="2"/>
  <c r="E56" i="2" s="1"/>
  <c r="E58" i="2" s="1"/>
  <c r="G28" i="1"/>
  <c r="H50" i="2"/>
  <c r="H26" i="2"/>
  <c r="H28" i="2" s="1"/>
  <c r="H31" i="2" s="1"/>
  <c r="H32" i="8" s="1"/>
  <c r="H18" i="2"/>
  <c r="H20" i="2" s="1"/>
  <c r="H20" i="7" l="1"/>
  <c r="G22" i="7" s="1"/>
  <c r="G24" i="7" s="1"/>
  <c r="G27" i="7" s="1"/>
  <c r="E25" i="8"/>
  <c r="E26" i="8" s="1"/>
  <c r="D25" i="8"/>
  <c r="D26" i="8" s="1"/>
  <c r="G25" i="8"/>
  <c r="G26" i="8" s="1"/>
  <c r="F25" i="8"/>
  <c r="F26" i="8" s="1"/>
  <c r="H52" i="2"/>
  <c r="H61" i="2"/>
  <c r="H58" i="2"/>
  <c r="H60" i="2" s="1"/>
  <c r="H63" i="2" s="1"/>
  <c r="H63" i="8" s="1"/>
  <c r="H34" i="2"/>
  <c r="H28" i="1"/>
  <c r="G29" i="1"/>
  <c r="G28" i="7" l="1"/>
  <c r="H27" i="7"/>
  <c r="G56" i="8"/>
  <c r="G57" i="8" s="1"/>
  <c r="F56" i="8"/>
  <c r="F57" i="8" s="1"/>
  <c r="E56" i="8"/>
  <c r="E57" i="8" s="1"/>
  <c r="D56" i="8"/>
  <c r="D57" i="8" s="1"/>
  <c r="H26" i="8"/>
  <c r="H28" i="8" s="1"/>
  <c r="H30" i="8" s="1"/>
  <c r="H33" i="8" s="1"/>
  <c r="H66" i="2"/>
  <c r="I66" i="2" s="1"/>
  <c r="H35" i="2"/>
  <c r="I34" i="2"/>
  <c r="H34" i="8" l="1"/>
  <c r="I33" i="8"/>
  <c r="H57" i="8"/>
  <c r="H67" i="2"/>
  <c r="H59" i="8" l="1"/>
  <c r="H61" i="8" s="1"/>
  <c r="H64" i="8" s="1"/>
  <c r="H65" i="8" l="1"/>
  <c r="I64" i="8"/>
</calcChain>
</file>

<file path=xl/comments1.xml><?xml version="1.0" encoding="utf-8"?>
<comments xmlns="http://schemas.openxmlformats.org/spreadsheetml/2006/main">
  <authors>
    <author>Heather Garland</author>
  </authors>
  <commentList>
    <comment ref="G22"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Heather Garland</author>
  </authors>
  <commentList>
    <comment ref="H28"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 ref="H59"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3.xml><?xml version="1.0" encoding="utf-8"?>
<comments xmlns="http://schemas.openxmlformats.org/spreadsheetml/2006/main">
  <authors>
    <author>Heather Garland</author>
  </authors>
  <commentList>
    <comment ref="G24" authorId="0" shapeId="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4.xml><?xml version="1.0" encoding="utf-8"?>
<comments xmlns="http://schemas.openxmlformats.org/spreadsheetml/2006/main">
  <authors>
    <author>Chelsea Paschke</author>
  </authors>
  <commentList>
    <comment ref="H30"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5.xml><?xml version="1.0" encoding="utf-8"?>
<comments xmlns="http://schemas.openxmlformats.org/spreadsheetml/2006/main">
  <authors>
    <author>Author</author>
  </authors>
  <commentList>
    <comment ref="A23"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6.xml><?xml version="1.0" encoding="utf-8"?>
<comments xmlns="http://schemas.openxmlformats.org/spreadsheetml/2006/main">
  <authors>
    <author>Author</author>
  </authors>
  <commentList>
    <comment ref="A29"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<sst xmlns="http://schemas.openxmlformats.org/spreadsheetml/2006/main" count="306" uniqueCount="43">
  <si>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</si>
  <si>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</si>
  <si>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</si>
  <si>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</si>
  <si>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</si>
  <si>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</si>
  <si>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</si>
  <si>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</si>
  <si>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</si>
  <si>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</si>
  <si>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</si>
  <si>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</si>
  <si>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</si>
  <si>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</si>
  <si>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</si>
  <si>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</si>
  <si>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</si>
  <si>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</si>
  <si>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</si>
  <si>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</si>
  <si>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</si>
  <si>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</si>
  <si>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</si>
  <si>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</si>
  <si>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</si>
  <si>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</si>
  <si>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</si>
  <si>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</si>
  <si>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</si>
  <si>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</si>
  <si>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</si>
  <si>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</si>
  <si>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</si>
  <si>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</si>
  <si>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</si>
  <si>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</si>
  <si>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</si>
  <si>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</si>
  <si>
    <t>Effective January 1, 2020</t>
  </si>
  <si>
    <t>Effective January 1, 2021</t>
  </si>
  <si>
    <t>12 Month Average:</t>
  </si>
  <si>
    <t>New Commodity Debit/(Credit):</t>
  </si>
  <si>
    <t>Old Debit/(Credit):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</si>
</sst>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s>
  <fonts count="55"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s>
  <fills count="36">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s>
  <borders count="22">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59">
    <xf numFmtId="0" fontId="0" fillId="0" borderId="0" xfId="0"/>
    <xf numFmtId="0" fontId="1" fillId="0" borderId="0" xfId="4" applyFill="1"/>
    <xf numFmtId="43" fontId="1" fillId="0" borderId="0" xfId="1" applyFill="1"/>
    <xf numFmtId="0" fontId="2" fillId="0" borderId="0" xfId="4" applyFont="1" applyFill="1"/>
    <xf numFmtId="17" fontId="2" fillId="0" borderId="0" xfId="4" applyNumberFormat="1" applyFont="1" applyFill="1" applyBorder="1" applyAlignment="1">
      <alignment horizontal="center"/>
    </xf>
    <xf numFmtId="165" fontId="1" fillId="0" borderId="0" xfId="1" applyNumberFormat="1" applyFill="1"/>
    <xf numFmtId="0" fontId="1" fillId="0" borderId="0" xfId="4" applyFont="1" applyFill="1" applyBorder="1" applyAlignment="1">
      <alignment horizontal="center"/>
    </xf>
    <xf numFmtId="0" fontId="1" fillId="0" borderId="0" xfId="4" applyFont="1" applyFill="1" applyBorder="1"/>
    <xf numFmtId="3" fontId="1" fillId="0" borderId="0" xfId="1" applyNumberFormat="1" applyFill="1" applyBorder="1"/>
    <xf numFmtId="3" fontId="1" fillId="0" borderId="0" xfId="4" applyNumberFormat="1" applyFill="1" applyBorder="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applyFill="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applyFill="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applyFill="1" applyBorder="1"/>
    <xf numFmtId="4" fontId="1" fillId="0" borderId="0" xfId="1" applyNumberFormat="1" applyFill="1" applyBorder="1"/>
    <xf numFmtId="0" fontId="1" fillId="0" borderId="0" xfId="4" applyFont="1" applyFill="1" applyAlignment="1">
      <alignment horizontal="right"/>
    </xf>
    <xf numFmtId="0" fontId="1" fillId="0" borderId="0" xfId="4" applyFont="1" applyFill="1"/>
    <xf numFmtId="0" fontId="1" fillId="0" borderId="0" xfId="5" applyFill="1" applyBorder="1" applyAlignment="1">
      <alignment horizontal="center"/>
    </xf>
    <xf numFmtId="43" fontId="1" fillId="0" borderId="0" xfId="1" applyFill="1" applyBorder="1"/>
    <xf numFmtId="0" fontId="1" fillId="0" borderId="0" xfId="5" applyFill="1" applyAlignment="1">
      <alignment horizontal="center"/>
    </xf>
    <xf numFmtId="17" fontId="2" fillId="0" borderId="1" xfId="4" applyNumberFormat="1" applyFont="1" applyFill="1" applyBorder="1" applyAlignment="1">
      <alignment horizontal="center"/>
    </xf>
    <xf numFmtId="4" fontId="1" fillId="0" borderId="0" xfId="4" applyNumberFormat="1" applyFill="1"/>
    <xf numFmtId="43" fontId="2" fillId="0" borderId="0" xfId="1" applyFont="1" applyFill="1"/>
    <xf numFmtId="43" fontId="2" fillId="0" borderId="0" xfId="1" applyFont="1" applyFill="1" applyBorder="1"/>
    <xf numFmtId="43" fontId="1" fillId="0" borderId="0" xfId="4" applyNumberFormat="1" applyFill="1"/>
    <xf numFmtId="0" fontId="1" fillId="0" borderId="0" xfId="4" applyFill="1" applyBorder="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5" fontId="1" fillId="0" borderId="0" xfId="4" applyNumberFormat="1" applyFill="1" applyBorder="1"/>
    <xf numFmtId="166" fontId="1" fillId="0" borderId="0" xfId="1" applyNumberFormat="1" applyFont="1" applyFill="1"/>
    <xf numFmtId="37" fontId="1" fillId="0" borderId="0" xfId="1" applyNumberFormat="1" applyFill="1"/>
    <xf numFmtId="43" fontId="1" fillId="0" borderId="0" xfId="4" applyNumberFormat="1" applyFill="1" applyBorder="1"/>
    <xf numFmtId="0" fontId="2" fillId="0" borderId="0" xfId="4" applyFont="1" applyFill="1" applyAlignment="1">
      <alignment horizontal="left"/>
    </xf>
    <xf numFmtId="0" fontId="1" fillId="0" borderId="0" xfId="4" applyFill="1" applyAlignment="1">
      <alignment horizontal="center"/>
    </xf>
    <xf numFmtId="0" fontId="2" fillId="0" borderId="0" xfId="4" applyFont="1" applyFill="1" applyAlignment="1">
      <alignment horizontal="center"/>
    </xf>
    <xf numFmtId="164" fontId="1" fillId="0" borderId="0" xfId="4" applyNumberFormat="1" applyFill="1" applyAlignment="1">
      <alignment horizontal="center"/>
    </xf>
    <xf numFmtId="0" fontId="2" fillId="0" borderId="0" xfId="4" applyFont="1" applyFill="1" applyBorder="1" applyAlignment="1">
      <alignment horizontal="center"/>
    </xf>
    <xf numFmtId="0" fontId="3" fillId="0" borderId="0" xfId="4" applyFont="1" applyFill="1" applyAlignment="1">
      <alignment horizontal="center"/>
    </xf>
    <xf numFmtId="43" fontId="1" fillId="0" borderId="0" xfId="1" applyNumberFormat="1" applyFill="1"/>
    <xf numFmtId="4" fontId="1" fillId="0" borderId="0" xfId="4" applyNumberFormat="1" applyFont="1" applyFill="1"/>
    <xf numFmtId="5" fontId="1" fillId="0" borderId="0" xfId="4" applyNumberFormat="1" applyFill="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applyFill="1"/>
    <xf numFmtId="169" fontId="1" fillId="0" borderId="0" xfId="1" applyNumberFormat="1" applyFill="1"/>
    <xf numFmtId="169" fontId="1" fillId="0" borderId="0" xfId="4" applyNumberFormat="1" applyFill="1"/>
    <xf numFmtId="43" fontId="1" fillId="0" borderId="0" xfId="1" applyFont="1" applyFill="1" applyAlignment="1">
      <alignment horizontal="right"/>
    </xf>
    <xf numFmtId="1" fontId="1" fillId="0" borderId="0" xfId="1" applyNumberFormat="1" applyFill="1"/>
    <xf numFmtId="44" fontId="2" fillId="0" borderId="0" xfId="4" applyNumberFormat="1" applyFont="1" applyFill="1" applyBorder="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applyFill="1" applyBorder="1"/>
    <xf numFmtId="44" fontId="1" fillId="0" borderId="0" xfId="4" applyNumberFormat="1" applyFill="1" applyBorder="1"/>
    <xf numFmtId="10" fontId="1" fillId="0" borderId="0" xfId="3" applyNumberFormat="1" applyFont="1" applyFill="1" applyAlignment="1">
      <alignment horizontal="right"/>
    </xf>
    <xf numFmtId="0" fontId="2" fillId="0" borderId="0" xfId="4" applyFont="1" applyFill="1" applyBorder="1"/>
    <xf numFmtId="0" fontId="1" fillId="0" borderId="0" xfId="4" applyFont="1" applyFill="1" applyAlignment="1">
      <alignment horizontal="center"/>
    </xf>
    <xf numFmtId="0" fontId="2" fillId="0" borderId="1" xfId="4" applyFont="1" applyFill="1" applyBorder="1" applyAlignment="1">
      <alignment horizontal="center"/>
    </xf>
    <xf numFmtId="164" fontId="1" fillId="0" borderId="0" xfId="4" applyNumberFormat="1" applyFill="1" applyBorder="1"/>
    <xf numFmtId="0" fontId="6" fillId="0" borderId="0" xfId="4" applyFont="1" applyFill="1" applyAlignment="1">
      <alignment horizontal="center"/>
    </xf>
    <xf numFmtId="17" fontId="2" fillId="0" borderId="0" xfId="4" quotePrefix="1" applyNumberFormat="1" applyFont="1" applyFill="1" applyBorder="1" applyAlignment="1">
      <alignment horizontal="center"/>
    </xf>
    <xf numFmtId="4" fontId="1" fillId="0" borderId="0" xfId="4" applyNumberFormat="1" applyFont="1" applyFill="1" applyBorder="1"/>
    <xf numFmtId="43" fontId="2" fillId="0" borderId="0" xfId="1" applyNumberFormat="1" applyFont="1" applyFill="1" applyBorder="1"/>
    <xf numFmtId="43" fontId="1" fillId="0" borderId="0" xfId="1" applyNumberFormat="1" applyFont="1" applyFill="1" applyBorder="1"/>
    <xf numFmtId="3" fontId="2" fillId="0" borderId="0" xfId="1" applyNumberFormat="1" applyFont="1" applyFill="1"/>
    <xf numFmtId="3" fontId="2" fillId="0" borderId="0" xfId="4" applyNumberFormat="1" applyFont="1" applyFill="1"/>
    <xf numFmtId="3" fontId="1" fillId="0" borderId="0" xfId="4" applyNumberFormat="1" applyFill="1"/>
    <xf numFmtId="0" fontId="1" fillId="0" borderId="0" xfId="1" applyNumberFormat="1" applyFill="1"/>
    <xf numFmtId="0" fontId="2" fillId="0" borderId="0" xfId="1" applyNumberFormat="1" applyFont="1" applyFill="1"/>
    <xf numFmtId="37" fontId="1" fillId="0" borderId="0" xfId="4" applyNumberFormat="1" applyFill="1"/>
    <xf numFmtId="0" fontId="1" fillId="0" borderId="0" xfId="1" applyNumberFormat="1" applyFont="1" applyFill="1"/>
    <xf numFmtId="0" fontId="4" fillId="0" borderId="0" xfId="4" applyFont="1" applyFill="1"/>
    <xf numFmtId="43" fontId="1" fillId="0" borderId="0" xfId="1" applyNumberFormat="1" applyFont="1" applyFill="1" applyAlignment="1">
      <alignment horizontal="left"/>
    </xf>
    <xf numFmtId="10" fontId="1" fillId="0" borderId="0" xfId="3" applyNumberFormat="1" applyFill="1"/>
    <xf numFmtId="0" fontId="1" fillId="0" borderId="0" xfId="4" applyFill="1"/>
    <xf numFmtId="0" fontId="1" fillId="0" borderId="0" xfId="4" applyFont="1" applyFill="1"/>
    <xf numFmtId="43" fontId="1" fillId="0" borderId="0" xfId="1" applyFill="1"/>
    <xf numFmtId="167" fontId="1" fillId="0" borderId="0" xfId="2"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0" fontId="0" fillId="0" borderId="0" xfId="0" applyFill="1"/>
    <xf numFmtId="14" fontId="0" fillId="0" borderId="0" xfId="0" applyNumberFormat="1" applyFill="1"/>
    <xf numFmtId="40" fontId="2" fillId="0" borderId="0" xfId="0" applyNumberFormat="1" applyFont="1" applyFill="1"/>
    <xf numFmtId="40" fontId="2" fillId="0" borderId="0" xfId="0" applyNumberFormat="1"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Fill="1" applyBorder="1" applyAlignment="1">
      <alignment horizontal="center"/>
    </xf>
    <xf numFmtId="44" fontId="1" fillId="0" borderId="0" xfId="5" applyNumberFormat="1" applyFont="1" applyFill="1" applyBorder="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NumberFormat="1" applyFont="1" applyFill="1" applyBorder="1"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NumberFormat="1" applyFont="1" applyFill="1" applyBorder="1" applyAlignment="1">
      <alignment horizontal="left"/>
    </xf>
    <xf numFmtId="0" fontId="1" fillId="0" borderId="0" xfId="4" applyFont="1" applyFill="1" applyBorder="1" applyAlignment="1">
      <alignment horizontal="righ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0" fontId="1" fillId="0" borderId="0" xfId="4" applyFill="1" applyAlignment="1">
      <alignment horizontal="right"/>
    </xf>
    <xf numFmtId="44" fontId="1" fillId="0" borderId="0" xfId="64" applyFont="1" applyFill="1"/>
    <xf numFmtId="0" fontId="0" fillId="0" borderId="0" xfId="4" applyFont="1" applyFill="1"/>
    <xf numFmtId="0" fontId="51" fillId="0" borderId="0" xfId="34" applyNumberFormat="1" applyFont="1"/>
    <xf numFmtId="17" fontId="2" fillId="0" borderId="3" xfId="5" applyNumberFormat="1" applyFont="1" applyFill="1" applyBorder="1" applyAlignment="1">
      <alignment horizontal="center"/>
    </xf>
    <xf numFmtId="0" fontId="1" fillId="0" borderId="0" xfId="5" applyNumberFormat="1" applyFont="1" applyFill="1" applyAlignment="1">
      <alignment horizontal="right" wrapText="1"/>
    </xf>
    <xf numFmtId="44" fontId="1" fillId="0" borderId="0" xfId="5" applyNumberFormat="1" applyFont="1" applyFill="1"/>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applyFill="1"/>
    <xf numFmtId="0" fontId="0" fillId="0" borderId="0" xfId="5" applyFont="1" applyFill="1" applyBorder="1" applyAlignment="1">
      <alignment horizontal="center"/>
    </xf>
    <xf numFmtId="43" fontId="1" fillId="0" borderId="0" xfId="6" applyFill="1"/>
    <xf numFmtId="44" fontId="1" fillId="0" borderId="21" xfId="5" applyNumberFormat="1" applyFont="1" applyFill="1" applyBorder="1"/>
    <xf numFmtId="44" fontId="1" fillId="0" borderId="3" xfId="5" applyNumberFormat="1" applyFont="1" applyFill="1" applyBorder="1"/>
    <xf numFmtId="44" fontId="1" fillId="0" borderId="0" xfId="64" applyFont="1" applyFill="1" applyAlignment="1">
      <alignment horizontal="right"/>
    </xf>
    <xf numFmtId="0" fontId="54" fillId="0" borderId="0" xfId="4" applyFont="1" applyFill="1"/>
    <xf numFmtId="43" fontId="1" fillId="35" borderId="0" xfId="1" applyFill="1"/>
    <xf numFmtId="44" fontId="1" fillId="35" borderId="0" xfId="4" applyNumberFormat="1" applyFill="1"/>
    <xf numFmtId="44" fontId="1" fillId="34" borderId="0" xfId="2" applyNumberFormat="1" applyFill="1"/>
    <xf numFmtId="44" fontId="1" fillId="0" borderId="3" xfId="2" applyFont="1" applyFill="1" applyBorder="1" applyAlignment="1">
      <alignment horizontal="right"/>
    </xf>
    <xf numFmtId="44" fontId="1" fillId="0" borderId="0" xfId="2" applyFont="1" applyFill="1" applyBorder="1" applyAlignment="1">
      <alignment horizontal="right"/>
    </xf>
    <xf numFmtId="44" fontId="1" fillId="0" borderId="3" xfId="2" applyFill="1" applyBorder="1"/>
    <xf numFmtId="43" fontId="1" fillId="34" borderId="3" xfId="6" applyFill="1" applyBorder="1"/>
    <xf numFmtId="167" fontId="1" fillId="0" borderId="3" xfId="2" applyNumberFormat="1" applyFont="1" applyFill="1" applyBorder="1"/>
    <xf numFmtId="7" fontId="1" fillId="34" borderId="3" xfId="2" applyNumberFormat="1" applyFill="1" applyBorder="1"/>
    <xf numFmtId="44" fontId="1" fillId="34" borderId="3" xfId="2" applyNumberFormat="1" applyFill="1" applyBorder="1"/>
    <xf numFmtId="44" fontId="1" fillId="0" borderId="0" xfId="4" applyNumberFormat="1" applyFill="1"/>
    <xf numFmtId="165" fontId="0" fillId="0" borderId="0" xfId="1" applyNumberFormat="1" applyFont="1" applyFill="1" applyAlignment="1">
      <alignment horizontal="left"/>
    </xf>
    <xf numFmtId="165" fontId="1" fillId="0" borderId="0" xfId="1" applyNumberFormat="1" applyFont="1" applyFill="1" applyAlignment="1">
      <alignment horizontal="left"/>
    </xf>
    <xf numFmtId="10" fontId="0" fillId="0" borderId="0" xfId="3" applyNumberFormat="1" applyFont="1" applyFill="1" applyAlignment="1">
      <alignment horizontal="left"/>
    </xf>
    <xf numFmtId="8" fontId="1" fillId="0" borderId="0" xfId="64" applyNumberFormat="1" applyFont="1" applyFill="1"/>
    <xf numFmtId="8" fontId="1" fillId="0" borderId="0" xfId="2" applyNumberFormat="1" applyFont="1" applyFill="1"/>
    <xf numFmtId="43" fontId="1" fillId="0" borderId="0" xfId="1" applyNumberFormat="1" applyFont="1" applyFill="1" applyAlignment="1">
      <alignment horizontal="right"/>
    </xf>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2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19/Lewis%20County,%20Joe's%20Commodity%20Credit%20Calc%201-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8/Lewis%20County%20RSA-1,%20Joe's%20Commodity%20Accrual%20Calc%202017-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Oct 20"/>
      <sheetName val="Landfill Cost - Sep 20"/>
      <sheetName val="Landfill Cost - Aug 20"/>
      <sheetName val="Landfill Cost - July 20"/>
      <sheetName val="Landfill Cost - June 20"/>
      <sheetName val="Landfill Cost - May 20"/>
      <sheetName val="Landfill Cost - Apr 20"/>
      <sheetName val="Landfill Cost - Mar 20"/>
      <sheetName val="Landfill Cost - Feb 20"/>
      <sheetName val="Landfill Cost - Jan 20"/>
      <sheetName val="Landfill Cost - Dec 19"/>
      <sheetName val="Landfill Cost - Nov 19"/>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 Count"/>
    </sheetNames>
    <sheetDataSet>
      <sheetData sheetId="0">
        <row r="9">
          <cell r="B9">
            <v>135.32000000000002</v>
          </cell>
          <cell r="C9">
            <v>158.05000000000004</v>
          </cell>
          <cell r="D9">
            <v>174.72000000000006</v>
          </cell>
          <cell r="E9">
            <v>136.07</v>
          </cell>
          <cell r="F9">
            <v>144.13999999999996</v>
          </cell>
          <cell r="G9">
            <v>165.45999999999998</v>
          </cell>
          <cell r="H9">
            <v>153.18</v>
          </cell>
          <cell r="I9">
            <v>171.43999999999997</v>
          </cell>
          <cell r="J9">
            <v>178.31</v>
          </cell>
          <cell r="K9">
            <v>158.47999999999996</v>
          </cell>
          <cell r="L9">
            <v>164.29</v>
          </cell>
          <cell r="M9">
            <v>169.93000000000004</v>
          </cell>
        </row>
        <row r="13">
          <cell r="B13">
            <v>-112.07739999999998</v>
          </cell>
          <cell r="C13">
            <v>-111.72239999999998</v>
          </cell>
          <cell r="D13">
            <v>-105.466292</v>
          </cell>
          <cell r="E13">
            <v>-103.51889199999999</v>
          </cell>
          <cell r="F13">
            <v>-102.62899200000001</v>
          </cell>
          <cell r="G13">
            <v>-103.82879199999999</v>
          </cell>
          <cell r="H13">
            <v>-87.989891999999998</v>
          </cell>
          <cell r="I13">
            <v>-99.692811999999989</v>
          </cell>
          <cell r="J13">
            <v>-101.05185199999997</v>
          </cell>
          <cell r="K13">
            <v>-94.481131999999988</v>
          </cell>
          <cell r="L13">
            <v>-87.155441999999994</v>
          </cell>
          <cell r="M13">
            <v>-83.977722</v>
          </cell>
        </row>
        <row r="18">
          <cell r="B18">
            <v>10185</v>
          </cell>
          <cell r="C18">
            <v>10184</v>
          </cell>
          <cell r="D18">
            <v>10202</v>
          </cell>
          <cell r="E18">
            <v>10216</v>
          </cell>
          <cell r="F18">
            <v>10274</v>
          </cell>
          <cell r="G18">
            <v>10432</v>
          </cell>
          <cell r="H18">
            <v>10177</v>
          </cell>
          <cell r="I18">
            <v>10208</v>
          </cell>
          <cell r="J18">
            <v>10261</v>
          </cell>
          <cell r="K18">
            <v>10340</v>
          </cell>
          <cell r="L18">
            <v>10374</v>
          </cell>
          <cell r="M18">
            <v>10360</v>
          </cell>
        </row>
      </sheetData>
      <sheetData sheetId="1"/>
      <sheetData sheetId="2">
        <row r="9">
          <cell r="B9">
            <v>59.907750336775926</v>
          </cell>
          <cell r="C9">
            <v>60.073245908989023</v>
          </cell>
          <cell r="D9">
            <v>69.494715118887399</v>
          </cell>
          <cell r="E9">
            <v>61.050224416517047</v>
          </cell>
          <cell r="F9">
            <v>72.914936284372914</v>
          </cell>
          <cell r="G9">
            <v>76.927226760874376</v>
          </cell>
          <cell r="H9">
            <v>75.202772255356763</v>
          </cell>
          <cell r="I9">
            <v>68.609576345984124</v>
          </cell>
          <cell r="J9">
            <v>64.290792642872773</v>
          </cell>
          <cell r="K9">
            <v>72.020540540540551</v>
          </cell>
          <cell r="L9">
            <v>88.765140004341191</v>
          </cell>
          <cell r="M9">
            <v>73.426473388143677</v>
          </cell>
        </row>
        <row r="10">
          <cell r="B10">
            <v>6.97</v>
          </cell>
          <cell r="C10">
            <v>11.83</v>
          </cell>
          <cell r="D10">
            <v>9.66</v>
          </cell>
          <cell r="E10">
            <v>7.81</v>
          </cell>
          <cell r="F10">
            <v>8.41</v>
          </cell>
          <cell r="G10">
            <v>13.42</v>
          </cell>
          <cell r="H10">
            <v>16.02</v>
          </cell>
          <cell r="I10">
            <v>12.07</v>
          </cell>
          <cell r="J10">
            <v>11.62</v>
          </cell>
          <cell r="K10">
            <v>10.79</v>
          </cell>
          <cell r="L10">
            <v>11.29</v>
          </cell>
          <cell r="M10">
            <v>9.51</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4164</v>
          </cell>
          <cell r="C23">
            <v>4171</v>
          </cell>
          <cell r="D23">
            <v>4168</v>
          </cell>
          <cell r="E23">
            <v>4166</v>
          </cell>
          <cell r="F23">
            <v>4183</v>
          </cell>
          <cell r="G23">
            <v>4239</v>
          </cell>
          <cell r="H23">
            <v>4237</v>
          </cell>
          <cell r="I23">
            <v>4242</v>
          </cell>
          <cell r="J23">
            <v>4277</v>
          </cell>
          <cell r="K23">
            <v>4298</v>
          </cell>
          <cell r="L23">
            <v>4316</v>
          </cell>
          <cell r="M23">
            <v>4331</v>
          </cell>
        </row>
        <row r="39">
          <cell r="B39">
            <v>4.1722496632240711</v>
          </cell>
          <cell r="C39">
            <v>4.1767540910109844</v>
          </cell>
          <cell r="D39">
            <v>4.8352848811126004</v>
          </cell>
          <cell r="E39">
            <v>4.2497755834829505</v>
          </cell>
          <cell r="F39">
            <v>5.0550637156270977</v>
          </cell>
          <cell r="G39">
            <v>5.2627732391256368</v>
          </cell>
          <cell r="H39">
            <v>5.1472277446432457</v>
          </cell>
          <cell r="I39">
            <v>4.6904236540158877</v>
          </cell>
          <cell r="J39">
            <v>4.3592073571272172</v>
          </cell>
          <cell r="K39">
            <v>4.8594594594594591</v>
          </cell>
          <cell r="L39">
            <v>5.9848599956587805</v>
          </cell>
          <cell r="M39">
            <v>4.9335266118563359</v>
          </cell>
        </row>
        <row r="40">
          <cell r="B40">
            <v>0.41</v>
          </cell>
          <cell r="C40">
            <v>0.69</v>
          </cell>
          <cell r="D40">
            <v>0.56000000000000005</v>
          </cell>
          <cell r="E40">
            <v>0.46</v>
          </cell>
          <cell r="F40">
            <v>0.49</v>
          </cell>
          <cell r="G40">
            <v>0.77</v>
          </cell>
          <cell r="H40">
            <v>0.92</v>
          </cell>
          <cell r="I40">
            <v>0.69</v>
          </cell>
          <cell r="J40">
            <v>0.67</v>
          </cell>
          <cell r="K40">
            <v>0.6099999999999568</v>
          </cell>
          <cell r="L40">
            <v>0.64</v>
          </cell>
          <cell r="M40">
            <v>0.53</v>
          </cell>
        </row>
        <row r="53">
          <cell r="B53">
            <v>290</v>
          </cell>
          <cell r="C53">
            <v>290</v>
          </cell>
          <cell r="D53">
            <v>290</v>
          </cell>
          <cell r="E53">
            <v>290</v>
          </cell>
          <cell r="F53">
            <v>290</v>
          </cell>
          <cell r="G53">
            <v>290</v>
          </cell>
          <cell r="H53">
            <v>290</v>
          </cell>
          <cell r="I53">
            <v>290</v>
          </cell>
          <cell r="J53">
            <v>290</v>
          </cell>
          <cell r="K53">
            <v>290</v>
          </cell>
          <cell r="L53">
            <v>291</v>
          </cell>
          <cell r="M53">
            <v>291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I36"/>
  <sheetViews>
    <sheetView showGridLines="0" tabSelected="1" view="pageBreakPreview" zoomScaleNormal="100" zoomScaleSheetLayoutView="100" workbookViewId="0">
      <pane xSplit="1" ySplit="6" topLeftCell="B7" activePane="bottomRight" state="frozen"/>
      <selection activeCell="D33" sqref="D33"/>
      <selection pane="topRight" activeCell="D33" sqref="D33"/>
      <selection pane="bottomLeft" activeCell="D33" sqref="D33"/>
      <selection pane="bottomRight" activeCell="K34" sqref="K34"/>
    </sheetView>
  </sheetViews>
  <sheetFormatPr defaultRowHeight="12.75" x14ac:dyDescent="0.2"/>
  <cols>
    <col min="1" max="1" width="24" style="88" customWidth="1"/>
    <col min="2" max="12" width="11.85546875" style="88" bestFit="1" customWidth="1"/>
    <col min="13" max="13" width="12.8554687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row>
    <row r="3" spans="1:35" x14ac:dyDescent="0.2">
      <c r="A3" s="3" t="s">
        <v>16</v>
      </c>
    </row>
    <row r="4" spans="1:35" x14ac:dyDescent="0.2">
      <c r="A4" s="3" t="s">
        <v>39</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43770</v>
      </c>
      <c r="C6" s="31">
        <f>+B6+31</f>
        <v>43801</v>
      </c>
      <c r="D6" s="31">
        <f t="shared" ref="D6:M6" si="0">+C6+31</f>
        <v>43832</v>
      </c>
      <c r="E6" s="31">
        <f t="shared" si="0"/>
        <v>43863</v>
      </c>
      <c r="F6" s="31">
        <f t="shared" si="0"/>
        <v>43894</v>
      </c>
      <c r="G6" s="31">
        <f t="shared" si="0"/>
        <v>43925</v>
      </c>
      <c r="H6" s="31">
        <f t="shared" si="0"/>
        <v>43956</v>
      </c>
      <c r="I6" s="31">
        <f t="shared" si="0"/>
        <v>43987</v>
      </c>
      <c r="J6" s="31">
        <f t="shared" si="0"/>
        <v>44018</v>
      </c>
      <c r="K6" s="31">
        <f t="shared" si="0"/>
        <v>44049</v>
      </c>
      <c r="L6" s="31">
        <f t="shared" si="0"/>
        <v>44080</v>
      </c>
      <c r="M6" s="31">
        <f t="shared" si="0"/>
        <v>44111</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+'[1]Designated RSA-1 Comm Credi'!B9</f>
        <v>135.32000000000002</v>
      </c>
      <c r="C9" s="90">
        <f>+'[1]Designated RSA-1 Comm Credi'!C9</f>
        <v>158.05000000000004</v>
      </c>
      <c r="D9" s="90">
        <f>+'[1]Designated RSA-1 Comm Credi'!D9</f>
        <v>174.72000000000006</v>
      </c>
      <c r="E9" s="90">
        <f>+'[1]Designated RSA-1 Comm Credi'!E9</f>
        <v>136.07</v>
      </c>
      <c r="F9" s="90">
        <f>+'[1]Designated RSA-1 Comm Credi'!F9</f>
        <v>144.13999999999996</v>
      </c>
      <c r="G9" s="90">
        <f>+'[1]Designated RSA-1 Comm Credi'!G9</f>
        <v>165.45999999999998</v>
      </c>
      <c r="H9" s="90">
        <f>+'[1]Designated RSA-1 Comm Credi'!H9</f>
        <v>153.18</v>
      </c>
      <c r="I9" s="90">
        <f>+'[1]Designated RSA-1 Comm Credi'!I9</f>
        <v>171.43999999999997</v>
      </c>
      <c r="J9" s="90">
        <f>+'[1]Designated RSA-1 Comm Credi'!J9</f>
        <v>178.31</v>
      </c>
      <c r="K9" s="90">
        <f>+'[1]Designated RSA-1 Comm Credi'!K9</f>
        <v>158.47999999999996</v>
      </c>
      <c r="L9" s="90">
        <f>+'[1]Designated RSA-1 Comm Credi'!L9</f>
        <v>164.29</v>
      </c>
      <c r="M9" s="90">
        <f>+'[1]Designated RSA-1 Comm Credi'!M9</f>
        <v>169.93000000000004</v>
      </c>
      <c r="N9" s="29">
        <f>SUM(B9:M9)</f>
        <v>1909.39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56">
        <f>+'[1]Designated RSA-1 Comm Credi'!B13</f>
        <v>-112.07739999999998</v>
      </c>
      <c r="C12" s="156">
        <f>+'[1]Designated RSA-1 Comm Credi'!C13</f>
        <v>-111.72239999999998</v>
      </c>
      <c r="D12" s="156">
        <f>+'[1]Designated RSA-1 Comm Credi'!D13</f>
        <v>-105.466292</v>
      </c>
      <c r="E12" s="156">
        <f>+'[1]Designated RSA-1 Comm Credi'!E13</f>
        <v>-103.51889199999999</v>
      </c>
      <c r="F12" s="156">
        <f>+'[1]Designated RSA-1 Comm Credi'!F13</f>
        <v>-102.62899200000001</v>
      </c>
      <c r="G12" s="156">
        <f>+'[1]Designated RSA-1 Comm Credi'!G13</f>
        <v>-103.82879199999999</v>
      </c>
      <c r="H12" s="156">
        <f>+'[1]Designated RSA-1 Comm Credi'!H13</f>
        <v>-87.989891999999998</v>
      </c>
      <c r="I12" s="156">
        <f>+'[1]Designated RSA-1 Comm Credi'!I13</f>
        <v>-99.692811999999989</v>
      </c>
      <c r="J12" s="156">
        <f>+'[1]Designated RSA-1 Comm Credi'!J13</f>
        <v>-101.05185199999997</v>
      </c>
      <c r="K12" s="156">
        <f>+'[1]Designated RSA-1 Comm Credi'!K13</f>
        <v>-94.481131999999988</v>
      </c>
      <c r="L12" s="156">
        <f>+'[1]Designated RSA-1 Comm Credi'!L13</f>
        <v>-87.155441999999994</v>
      </c>
      <c r="M12" s="156">
        <f>+'[1]Designated RSA-1 Comm Credi'!M13</f>
        <v>-83.977722</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1">+B9*B12</f>
        <v>-15166.313768</v>
      </c>
      <c r="C14" s="91">
        <f t="shared" si="1"/>
        <v>-17657.725320000001</v>
      </c>
      <c r="D14" s="91">
        <f t="shared" si="1"/>
        <v>-18427.070538240005</v>
      </c>
      <c r="E14" s="91">
        <f t="shared" si="1"/>
        <v>-14085.815634439998</v>
      </c>
      <c r="F14" s="91">
        <f t="shared" si="1"/>
        <v>-14792.942906879996</v>
      </c>
      <c r="G14" s="91">
        <f t="shared" si="1"/>
        <v>-17179.511924319995</v>
      </c>
      <c r="H14" s="91">
        <f t="shared" si="1"/>
        <v>-13478.291656560001</v>
      </c>
      <c r="I14" s="91">
        <f t="shared" si="1"/>
        <v>-17091.335689279997</v>
      </c>
      <c r="J14" s="91">
        <f t="shared" si="1"/>
        <v>-18018.555730119995</v>
      </c>
      <c r="K14" s="91">
        <f>+K9*K12</f>
        <v>-14973.369799359994</v>
      </c>
      <c r="L14" s="91">
        <f>+L9*L12</f>
        <v>-14318.767566179999</v>
      </c>
      <c r="M14" s="91">
        <f>+M9*M12</f>
        <v>-14270.334299460003</v>
      </c>
      <c r="N14" s="12">
        <f>SUM(B14:M14)</f>
        <v>-189460.03483284</v>
      </c>
      <c r="P14" s="54"/>
      <c r="Q14" s="13"/>
    </row>
    <row r="15" spans="1:35" x14ac:dyDescent="0.2">
      <c r="E15" s="89"/>
      <c r="N15" s="9"/>
    </row>
    <row r="16" spans="1:35" s="5" customFormat="1" x14ac:dyDescent="0.2">
      <c r="A16" s="3" t="s">
        <v>6</v>
      </c>
      <c r="B16" s="5">
        <f>+'[1]Designated RSA-1 Comm Credi'!B18</f>
        <v>10185</v>
      </c>
      <c r="C16" s="5">
        <f>+'[1]Designated RSA-1 Comm Credi'!C18</f>
        <v>10184</v>
      </c>
      <c r="D16" s="5">
        <f>+'[1]Designated RSA-1 Comm Credi'!D18</f>
        <v>10202</v>
      </c>
      <c r="E16" s="5">
        <f>+'[1]Designated RSA-1 Comm Credi'!E18</f>
        <v>10216</v>
      </c>
      <c r="F16" s="5">
        <f>+'[1]Designated RSA-1 Comm Credi'!F18</f>
        <v>10274</v>
      </c>
      <c r="G16" s="5">
        <f>+'[1]Designated RSA-1 Comm Credi'!G18</f>
        <v>10432</v>
      </c>
      <c r="H16" s="5">
        <f>+'[1]Designated RSA-1 Comm Credi'!H18</f>
        <v>10177</v>
      </c>
      <c r="I16" s="5">
        <f>+'[1]Designated RSA-1 Comm Credi'!I18</f>
        <v>10208</v>
      </c>
      <c r="J16" s="5">
        <f>+'[1]Designated RSA-1 Comm Credi'!J18</f>
        <v>10261</v>
      </c>
      <c r="K16" s="5">
        <f>+'[1]Designated RSA-1 Comm Credi'!K18</f>
        <v>10340</v>
      </c>
      <c r="L16" s="5">
        <f>+'[1]Designated RSA-1 Comm Credi'!L18</f>
        <v>10374</v>
      </c>
      <c r="M16" s="5">
        <f>+'[1]Designated RSA-1 Comm Credi'!M18</f>
        <v>10360</v>
      </c>
      <c r="N16" s="22">
        <f>SUM(B16:M16)</f>
        <v>123213</v>
      </c>
      <c r="O16" s="90"/>
      <c r="P16" s="14"/>
      <c r="Q16" s="13"/>
      <c r="R16" s="15"/>
    </row>
    <row r="17" spans="1:18" s="5" customFormat="1" x14ac:dyDescent="0.2">
      <c r="A17" s="16"/>
      <c r="N17" s="8"/>
      <c r="O17" s="90"/>
      <c r="P17" s="14"/>
      <c r="Q17" s="13"/>
      <c r="R17" s="15"/>
    </row>
    <row r="18" spans="1:18" x14ac:dyDescent="0.2">
      <c r="A18" s="88" t="s">
        <v>7</v>
      </c>
      <c r="B18" s="17">
        <f t="shared" ref="B18:M18" si="2">+IFERROR(B14/B16,0)</f>
        <v>-1.4890833351006383</v>
      </c>
      <c r="C18" s="17">
        <f t="shared" si="2"/>
        <v>-1.7338693362136686</v>
      </c>
      <c r="D18" s="17">
        <f t="shared" si="2"/>
        <v>-1.8062213819094299</v>
      </c>
      <c r="E18" s="17">
        <f t="shared" si="2"/>
        <v>-1.3787994943657007</v>
      </c>
      <c r="F18" s="17">
        <f t="shared" si="2"/>
        <v>-1.4398426033560441</v>
      </c>
      <c r="G18" s="17">
        <f t="shared" si="2"/>
        <v>-1.6468090418251529</v>
      </c>
      <c r="H18" s="17">
        <f t="shared" si="2"/>
        <v>-1.3243875067858899</v>
      </c>
      <c r="I18" s="17">
        <f t="shared" si="2"/>
        <v>-1.6743079632915356</v>
      </c>
      <c r="J18" s="17">
        <f t="shared" si="2"/>
        <v>-1.7560233632316533</v>
      </c>
      <c r="K18" s="17">
        <f t="shared" si="2"/>
        <v>-1.4481015279845255</v>
      </c>
      <c r="L18" s="17">
        <f t="shared" si="2"/>
        <v>-1.3802552117004048</v>
      </c>
      <c r="M18" s="17">
        <f t="shared" si="2"/>
        <v>-1.3774453957007724</v>
      </c>
      <c r="N18" s="18"/>
      <c r="P18" s="19"/>
    </row>
    <row r="19" spans="1:18" x14ac:dyDescent="0.2">
      <c r="A19" s="88" t="s">
        <v>8</v>
      </c>
      <c r="B19" s="17">
        <f>+'RSA-1 CPA Eff. 1.1.2020'!$G$19</f>
        <v>-1.435280438855316</v>
      </c>
      <c r="C19" s="17">
        <f>+'RSA-1 CPA Eff. 1.1.2020'!$G$19</f>
        <v>-1.435280438855316</v>
      </c>
      <c r="D19" s="17">
        <f>+'RSA-1 CPA Eff. 1.1.2020'!$G$23</f>
        <v>-1.5945397579791578</v>
      </c>
      <c r="E19" s="17">
        <f>+'RSA-1 CPA Eff. 1.1.2020'!$G$23</f>
        <v>-1.5945397579791578</v>
      </c>
      <c r="F19" s="17">
        <f>+'RSA-1 CPA Eff. 1.1.2020'!$G$23</f>
        <v>-1.5945397579791578</v>
      </c>
      <c r="G19" s="17">
        <f>+'RSA-1 CPA Eff. 1.1.2020'!$G$23</f>
        <v>-1.5945397579791578</v>
      </c>
      <c r="H19" s="17">
        <f>+'RSA-1 CPA Eff. 1.1.2020'!$G$23</f>
        <v>-1.5945397579791578</v>
      </c>
      <c r="I19" s="17">
        <f>+'RSA-1 CPA Eff. 1.1.2020'!$G$23</f>
        <v>-1.5945397579791578</v>
      </c>
      <c r="J19" s="17">
        <f>+'RSA-1 CPA Eff. 1.1.2020'!$G$23</f>
        <v>-1.5945397579791578</v>
      </c>
      <c r="K19" s="17">
        <f>+'RSA-1 CPA Eff. 1.1.2020'!$G$23</f>
        <v>-1.5945397579791578</v>
      </c>
      <c r="L19" s="17">
        <f>+'RSA-1 CPA Eff. 1.1.2020'!$G$23</f>
        <v>-1.5945397579791578</v>
      </c>
      <c r="M19" s="17">
        <f>+'RSA-1 CPA Eff. 1.1.2020'!$G$23</f>
        <v>-1.5945397579791578</v>
      </c>
      <c r="N19" s="18"/>
      <c r="P19" s="20"/>
    </row>
    <row r="20" spans="1:18" x14ac:dyDescent="0.2">
      <c r="A20" s="21" t="s">
        <v>17</v>
      </c>
      <c r="B20" s="21">
        <f>+(B18-B19)*B16</f>
        <v>-547.98249825860773</v>
      </c>
      <c r="C20" s="21">
        <f>+(C18-C19)*C16</f>
        <v>-3040.8293306974629</v>
      </c>
      <c r="D20" s="21">
        <f t="shared" ref="D20:M20" si="3">+(D18-D19)*D16</f>
        <v>-2159.5759273366361</v>
      </c>
      <c r="E20" s="21">
        <f t="shared" si="3"/>
        <v>2204.0025330750777</v>
      </c>
      <c r="F20" s="21">
        <f t="shared" si="3"/>
        <v>1589.3585665978705</v>
      </c>
      <c r="G20" s="21">
        <f t="shared" si="3"/>
        <v>-545.27316908142041</v>
      </c>
      <c r="H20" s="21">
        <f t="shared" si="3"/>
        <v>2749.3394603938877</v>
      </c>
      <c r="I20" s="21">
        <f t="shared" si="3"/>
        <v>-814.2738398287529</v>
      </c>
      <c r="J20" s="21">
        <f t="shared" si="3"/>
        <v>-1656.9832734958563</v>
      </c>
      <c r="K20" s="21">
        <f t="shared" si="3"/>
        <v>1514.171298144498</v>
      </c>
      <c r="L20" s="21">
        <f t="shared" si="3"/>
        <v>2222.9878830957841</v>
      </c>
      <c r="M20" s="21">
        <f t="shared" si="3"/>
        <v>2249.0975932040728</v>
      </c>
      <c r="N20" s="55">
        <f>SUM(B20:M20)</f>
        <v>3764.0392958124548</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0.03</v>
      </c>
      <c r="O22" s="23"/>
      <c r="Q22" s="57"/>
    </row>
    <row r="23" spans="1:18" x14ac:dyDescent="0.2">
      <c r="B23" s="158"/>
      <c r="C23" s="158"/>
      <c r="D23" s="158"/>
      <c r="E23" s="158"/>
      <c r="F23" s="158"/>
      <c r="G23" s="158"/>
      <c r="H23" s="158"/>
      <c r="I23" s="158"/>
      <c r="J23" s="158"/>
      <c r="K23" s="158"/>
      <c r="L23" s="23"/>
      <c r="M23" s="92" t="s">
        <v>40</v>
      </c>
      <c r="N23" s="145">
        <f>ROUND(N14/N16,2)</f>
        <v>-1.54</v>
      </c>
      <c r="O23" s="23"/>
      <c r="Q23" s="19"/>
    </row>
    <row r="24" spans="1:18" x14ac:dyDescent="0.2">
      <c r="B24" s="23"/>
      <c r="C24" s="23"/>
      <c r="D24" s="23"/>
      <c r="E24" s="23"/>
      <c r="F24" s="23"/>
      <c r="G24" s="23"/>
      <c r="H24" s="23"/>
      <c r="I24" s="23"/>
      <c r="J24" s="23"/>
      <c r="K24" s="23"/>
      <c r="L24" s="23"/>
      <c r="M24" s="93" t="s">
        <v>41</v>
      </c>
      <c r="N24" s="64">
        <f>-N22-N23</f>
        <v>1.51</v>
      </c>
      <c r="O24" s="23"/>
      <c r="Q24" s="57"/>
    </row>
    <row r="25" spans="1:18" ht="15" x14ac:dyDescent="0.25">
      <c r="B25" s="153"/>
      <c r="C25" s="23"/>
      <c r="D25" s="23"/>
      <c r="E25" s="23"/>
      <c r="F25" s="23"/>
      <c r="G25" s="23"/>
      <c r="H25" s="23"/>
      <c r="I25" s="23"/>
      <c r="J25" s="23"/>
      <c r="K25" s="23"/>
      <c r="L25" s="23"/>
      <c r="M25" s="23"/>
      <c r="N25" s="63"/>
      <c r="O25" s="23"/>
    </row>
    <row r="26" spans="1:18" x14ac:dyDescent="0.2">
      <c r="A26" s="3"/>
      <c r="B26" s="154"/>
      <c r="C26" s="23"/>
      <c r="D26" s="23"/>
      <c r="E26" s="23"/>
      <c r="F26" s="23"/>
      <c r="G26" s="23"/>
      <c r="H26" s="23"/>
      <c r="I26" s="23"/>
      <c r="J26" s="23"/>
      <c r="K26" s="23"/>
      <c r="L26" s="23"/>
      <c r="M26" s="92" t="s">
        <v>42</v>
      </c>
      <c r="N26" s="17">
        <f>-'RSA-1 CPA Eff. 1.1.2020'!G24</f>
        <v>1.7345397579791579</v>
      </c>
      <c r="O26" s="88"/>
      <c r="P26" s="58"/>
      <c r="Q26" s="59"/>
    </row>
    <row r="27" spans="1:18" x14ac:dyDescent="0.2">
      <c r="A27" s="3"/>
      <c r="B27" s="23"/>
      <c r="C27" s="23"/>
      <c r="D27" s="23"/>
      <c r="E27" s="23"/>
      <c r="F27" s="23"/>
      <c r="G27" s="23"/>
      <c r="H27" s="23"/>
      <c r="I27" s="23"/>
      <c r="J27" s="23"/>
      <c r="K27" s="23"/>
      <c r="L27" s="23"/>
      <c r="M27" s="92" t="s">
        <v>9</v>
      </c>
      <c r="N27" s="10">
        <f>+N24-N26</f>
        <v>-0.22453975797915793</v>
      </c>
      <c r="O27" s="89"/>
      <c r="P27" s="87">
        <f>N27/N26</f>
        <v>-0.12945206758521355</v>
      </c>
    </row>
    <row r="28" spans="1:18" x14ac:dyDescent="0.2">
      <c r="B28" s="60"/>
      <c r="C28" s="60"/>
      <c r="D28" s="60"/>
      <c r="E28" s="60"/>
      <c r="F28" s="60"/>
      <c r="G28" s="60"/>
      <c r="H28" s="60"/>
      <c r="I28" s="60"/>
      <c r="J28" s="60"/>
      <c r="K28" s="60"/>
      <c r="L28" s="23"/>
      <c r="M28" s="92" t="s">
        <v>34</v>
      </c>
      <c r="N28" s="39">
        <f>N27*N16</f>
        <v>-27666.217199885985</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2:17" x14ac:dyDescent="0.2">
      <c r="L33" s="36"/>
      <c r="M33" s="65"/>
      <c r="N33" s="62"/>
      <c r="Q33" s="19"/>
    </row>
    <row r="34" spans="12:17" ht="15" x14ac:dyDescent="0.25">
      <c r="L34" s="36"/>
      <c r="M34" s="66"/>
      <c r="N34" s="29"/>
      <c r="Q34" s="57"/>
    </row>
    <row r="35" spans="12:17" ht="15" x14ac:dyDescent="0.25">
      <c r="L35" s="36"/>
      <c r="M35" s="66"/>
      <c r="N35" s="67"/>
    </row>
    <row r="36" spans="12:17" x14ac:dyDescent="0.2">
      <c r="L36" s="36"/>
      <c r="M36" s="36"/>
      <c r="N36" s="36"/>
    </row>
  </sheetData>
  <pageMargins left="0.7" right="0.7" top="0.75" bottom="0.75" header="0.3" footer="0.3"/>
  <pageSetup scale="55"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H103"/>
  <sheetViews>
    <sheetView showGridLines="0" view="pageBreakPreview" topLeftCell="A34" zoomScaleNormal="100" zoomScaleSheetLayoutView="100" workbookViewId="0">
      <selection activeCell="D33" sqref="D33"/>
    </sheetView>
  </sheetViews>
  <sheetFormatPr defaultRowHeight="12.75" x14ac:dyDescent="0.2"/>
  <cols>
    <col min="1" max="1" width="21.85546875" style="88" customWidth="1"/>
    <col min="2" max="4" width="11.85546875" style="88" bestFit="1" customWidth="1"/>
    <col min="5" max="5" width="10.85546875" style="88" bestFit="1" customWidth="1"/>
    <col min="6" max="12" width="11.85546875" style="88" bestFit="1" customWidth="1"/>
    <col min="13" max="13" width="15.140625" style="88" customWidth="1"/>
    <col min="14" max="14" width="12.85546875" style="88" bestFit="1"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28"/>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1.1.2021'!A4</f>
        <v>Effective January 1, 2021</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1.1.2021'!B6</f>
        <v>43770</v>
      </c>
      <c r="C6" s="31">
        <f>'RSA-1 CPA Eff. 1.1.2021'!C6</f>
        <v>43801</v>
      </c>
      <c r="D6" s="31">
        <f>'RSA-1 CPA Eff. 1.1.2021'!D6</f>
        <v>43832</v>
      </c>
      <c r="E6" s="31">
        <f>'RSA-1 CPA Eff. 1.1.2021'!E6</f>
        <v>43863</v>
      </c>
      <c r="F6" s="31">
        <f>'RSA-1 CPA Eff. 1.1.2021'!F6</f>
        <v>43894</v>
      </c>
      <c r="G6" s="31">
        <f>'RSA-1 CPA Eff. 1.1.2021'!G6</f>
        <v>43925</v>
      </c>
      <c r="H6" s="31">
        <f>'RSA-1 CPA Eff. 1.1.2021'!H6</f>
        <v>43956</v>
      </c>
      <c r="I6" s="31">
        <f>'RSA-1 CPA Eff. 1.1.2021'!I6</f>
        <v>43987</v>
      </c>
      <c r="J6" s="31">
        <f>'RSA-1 CPA Eff. 1.1.2021'!J6</f>
        <v>44018</v>
      </c>
      <c r="K6" s="31">
        <f>'RSA-1 CPA Eff. 1.1.2021'!K6</f>
        <v>44049</v>
      </c>
      <c r="L6" s="31">
        <f>'RSA-1 CPA Eff. 1.1.2021'!L6</f>
        <v>44080</v>
      </c>
      <c r="M6" s="31">
        <f>'RSA-1 CPA Eff. 1.1.2021'!M6</f>
        <v>44111</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+'[1]Joe''s Comm Credit'!B9</f>
        <v>59.907750336775926</v>
      </c>
      <c r="C9" s="137">
        <f>+'[1]Joe''s Comm Credit'!C9</f>
        <v>60.073245908989023</v>
      </c>
      <c r="D9" s="137">
        <f>+'[1]Joe''s Comm Credit'!D9</f>
        <v>69.494715118887399</v>
      </c>
      <c r="E9" s="137">
        <f>+'[1]Joe''s Comm Credit'!E9</f>
        <v>61.050224416517047</v>
      </c>
      <c r="F9" s="137">
        <f>+'[1]Joe''s Comm Credit'!F9</f>
        <v>72.914936284372914</v>
      </c>
      <c r="G9" s="137">
        <f>+'[1]Joe''s Comm Credit'!G9</f>
        <v>76.927226760874376</v>
      </c>
      <c r="H9" s="137">
        <f>+'[1]Joe''s Comm Credit'!H9</f>
        <v>75.202772255356763</v>
      </c>
      <c r="I9" s="137">
        <f>+'[1]Joe''s Comm Credit'!I9</f>
        <v>68.609576345984124</v>
      </c>
      <c r="J9" s="137">
        <f>+'[1]Joe''s Comm Credit'!J9</f>
        <v>64.290792642872773</v>
      </c>
      <c r="K9" s="137">
        <f>+'[1]Joe''s Comm Credit'!K9</f>
        <v>72.020540540540551</v>
      </c>
      <c r="L9" s="137">
        <f>+'[1]Joe''s Comm Credit'!L9</f>
        <v>88.765140004341191</v>
      </c>
      <c r="M9" s="137">
        <f>+'[1]Joe''s Comm Credit'!M9</f>
        <v>73.426473388143677</v>
      </c>
      <c r="N9" s="29">
        <f>SUM(B9:M9)</f>
        <v>842.68339400365585</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+'[1]Joe''s Comm Credit'!B10</f>
        <v>6.97</v>
      </c>
      <c r="C10" s="137">
        <f>+'[1]Joe''s Comm Credit'!C10</f>
        <v>11.83</v>
      </c>
      <c r="D10" s="137">
        <f>+'[1]Joe''s Comm Credit'!D10</f>
        <v>9.66</v>
      </c>
      <c r="E10" s="137">
        <f>+'[1]Joe''s Comm Credit'!E10</f>
        <v>7.81</v>
      </c>
      <c r="F10" s="137">
        <f>+'[1]Joe''s Comm Credit'!F10</f>
        <v>8.41</v>
      </c>
      <c r="G10" s="137">
        <f>+'[1]Joe''s Comm Credit'!G10</f>
        <v>13.42</v>
      </c>
      <c r="H10" s="137">
        <f>+'[1]Joe''s Comm Credit'!H10</f>
        <v>16.02</v>
      </c>
      <c r="I10" s="137">
        <f>+'[1]Joe''s Comm Credit'!I10</f>
        <v>12.07</v>
      </c>
      <c r="J10" s="137">
        <f>+'[1]Joe''s Comm Credit'!J10</f>
        <v>11.62</v>
      </c>
      <c r="K10" s="137">
        <f>+'[1]Joe''s Comm Credit'!K10</f>
        <v>10.79</v>
      </c>
      <c r="L10" s="137">
        <f>+'[1]Joe''s Comm Credit'!L10</f>
        <v>11.29</v>
      </c>
      <c r="M10" s="137">
        <f>+'[1]Joe''s Comm Credit'!M10</f>
        <v>9.51</v>
      </c>
      <c r="N10" s="29">
        <f>SUM(B10:M10)</f>
        <v>129.39999999999998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66.877750336775932</v>
      </c>
      <c r="C11" s="33">
        <f t="shared" ref="C11:J11" si="0">SUM(C9:C10)</f>
        <v>71.903245908989021</v>
      </c>
      <c r="D11" s="33">
        <f t="shared" si="0"/>
        <v>79.154715118887395</v>
      </c>
      <c r="E11" s="33">
        <f>SUM(E9:E10)</f>
        <v>68.860224416517042</v>
      </c>
      <c r="F11" s="33">
        <f>SUM(F9:F10)</f>
        <v>81.32493628437291</v>
      </c>
      <c r="G11" s="33">
        <f t="shared" si="0"/>
        <v>90.347226760874378</v>
      </c>
      <c r="H11" s="33">
        <f>SUM(H9:H10)</f>
        <v>91.222772255356759</v>
      </c>
      <c r="I11" s="33">
        <f>SUM(I9:I10)</f>
        <v>80.679576345984117</v>
      </c>
      <c r="J11" s="33">
        <f t="shared" si="0"/>
        <v>75.910792642872778</v>
      </c>
      <c r="K11" s="33">
        <f>SUM(K9:K10)</f>
        <v>82.810540540540558</v>
      </c>
      <c r="L11" s="33">
        <f>SUM(L9:L10)</f>
        <v>100.05514000434118</v>
      </c>
      <c r="M11" s="33">
        <f>SUM(M9:M10)</f>
        <v>82.936473388143682</v>
      </c>
      <c r="N11" s="34">
        <f>SUM(B11:M11)</f>
        <v>972.08339400365594</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57">
        <f>'RSA-1 CPA Eff. 1.1.2021'!B12</f>
        <v>-112.07739999999998</v>
      </c>
      <c r="C14" s="157">
        <f>'RSA-1 CPA Eff. 1.1.2021'!C12</f>
        <v>-111.72239999999998</v>
      </c>
      <c r="D14" s="157">
        <f>'RSA-1 CPA Eff. 1.1.2021'!D12</f>
        <v>-105.466292</v>
      </c>
      <c r="E14" s="157">
        <f>'RSA-1 CPA Eff. 1.1.2021'!E12</f>
        <v>-103.51889199999999</v>
      </c>
      <c r="F14" s="157">
        <f>'RSA-1 CPA Eff. 1.1.2021'!F12</f>
        <v>-102.62899200000001</v>
      </c>
      <c r="G14" s="157">
        <f>'RSA-1 CPA Eff. 1.1.2021'!G12</f>
        <v>-103.82879199999999</v>
      </c>
      <c r="H14" s="157">
        <f>'RSA-1 CPA Eff. 1.1.2021'!H12</f>
        <v>-87.989891999999998</v>
      </c>
      <c r="I14" s="157">
        <f>'RSA-1 CPA Eff. 1.1.2021'!I12</f>
        <v>-99.692811999999989</v>
      </c>
      <c r="J14" s="157">
        <f>'RSA-1 CPA Eff. 1.1.2021'!J12</f>
        <v>-101.05185199999997</v>
      </c>
      <c r="K14" s="157">
        <f>'RSA-1 CPA Eff. 1.1.2021'!K12</f>
        <v>-94.481131999999988</v>
      </c>
      <c r="L14" s="157">
        <f>'RSA-1 CPA Eff. 1.1.2021'!L12</f>
        <v>-87.155441999999994</v>
      </c>
      <c r="M14" s="157">
        <f>'RSA-1 CPA Eff. 1.1.2021'!M12</f>
        <v>-83.977722</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57">
        <f>+'[1]Joe''s Comm Credit'!B16</f>
        <v>-30</v>
      </c>
      <c r="C15" s="157">
        <f>+'[1]Joe''s Comm Credit'!C16</f>
        <v>-30</v>
      </c>
      <c r="D15" s="157">
        <f>+'[1]Joe''s Comm Credit'!D16</f>
        <v>-33</v>
      </c>
      <c r="E15" s="157">
        <f>+'[1]Joe''s Comm Credit'!E16</f>
        <v>-33</v>
      </c>
      <c r="F15" s="157">
        <f>+'[1]Joe''s Comm Credit'!F16</f>
        <v>-33</v>
      </c>
      <c r="G15" s="157">
        <f>+'[1]Joe''s Comm Credit'!G16</f>
        <v>-33</v>
      </c>
      <c r="H15" s="157">
        <f>+'[1]Joe''s Comm Credit'!H16</f>
        <v>-33</v>
      </c>
      <c r="I15" s="157">
        <f>+'[1]Joe''s Comm Credit'!I16</f>
        <v>-33</v>
      </c>
      <c r="J15" s="157">
        <f>+'[1]Joe''s Comm Credit'!J16</f>
        <v>-33</v>
      </c>
      <c r="K15" s="157">
        <f>+'[1]Joe''s Comm Credit'!K16</f>
        <v>-33</v>
      </c>
      <c r="L15" s="157">
        <f>+'[1]Joe''s Comm Credit'!L16</f>
        <v>-33</v>
      </c>
      <c r="M15" s="157">
        <f>+'[1]Joe''s Comm Credit'!M16</f>
        <v>-33</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-6714.3048975949696</v>
      </c>
      <c r="C18" s="39">
        <f t="shared" ref="C18:M18" si="1">C9*C14</f>
        <v>-6711.5272087424337</v>
      </c>
      <c r="D18" s="39">
        <f t="shared" si="1"/>
        <v>-7329.3499171853928</v>
      </c>
      <c r="E18" s="39">
        <f t="shared" si="1"/>
        <v>-6319.8515879491906</v>
      </c>
      <c r="F18" s="39">
        <f t="shared" si="1"/>
        <v>-7483.1864126094179</v>
      </c>
      <c r="G18" s="39">
        <f t="shared" si="1"/>
        <v>-7987.2610264916584</v>
      </c>
      <c r="H18" s="39">
        <f t="shared" si="1"/>
        <v>-6617.0838088494374</v>
      </c>
      <c r="I18" s="39">
        <f t="shared" si="1"/>
        <v>-6839.8815960598413</v>
      </c>
      <c r="J18" s="39">
        <f t="shared" si="1"/>
        <v>-6496.7036631102665</v>
      </c>
      <c r="K18" s="39">
        <f t="shared" si="1"/>
        <v>-6804.5821975221625</v>
      </c>
      <c r="L18" s="39">
        <f t="shared" si="1"/>
        <v>-7736.365011270238</v>
      </c>
      <c r="M18" s="39">
        <f t="shared" si="1"/>
        <v>-6166.1879696299275</v>
      </c>
      <c r="N18" s="12">
        <f>SUM(B18:M18)</f>
        <v>-83206.28529701494</v>
      </c>
      <c r="O18" s="15"/>
    </row>
    <row r="19" spans="1:17" x14ac:dyDescent="0.2">
      <c r="A19" s="89" t="s">
        <v>11</v>
      </c>
      <c r="B19" s="39">
        <f>+B15*B10</f>
        <v>-209.1</v>
      </c>
      <c r="C19" s="39">
        <f t="shared" ref="C19:M19" si="2">+C15*C10</f>
        <v>-354.9</v>
      </c>
      <c r="D19" s="39">
        <f t="shared" si="2"/>
        <v>-318.78000000000003</v>
      </c>
      <c r="E19" s="39">
        <f t="shared" si="2"/>
        <v>-257.72999999999996</v>
      </c>
      <c r="F19" s="39">
        <f t="shared" si="2"/>
        <v>-277.53000000000003</v>
      </c>
      <c r="G19" s="39">
        <f t="shared" si="2"/>
        <v>-442.86</v>
      </c>
      <c r="H19" s="39">
        <f t="shared" si="2"/>
        <v>-528.66</v>
      </c>
      <c r="I19" s="39">
        <f t="shared" si="2"/>
        <v>-398.31</v>
      </c>
      <c r="J19" s="39">
        <f t="shared" si="2"/>
        <v>-383.46</v>
      </c>
      <c r="K19" s="39">
        <f t="shared" si="2"/>
        <v>-356.07</v>
      </c>
      <c r="L19" s="39">
        <f t="shared" si="2"/>
        <v>-372.57</v>
      </c>
      <c r="M19" s="39">
        <f t="shared" si="2"/>
        <v>-313.83</v>
      </c>
      <c r="N19" s="12">
        <f>SUM(B19:M19)</f>
        <v>-4213.8</v>
      </c>
      <c r="O19" s="44"/>
    </row>
    <row r="20" spans="1:17" s="3" customFormat="1" x14ac:dyDescent="0.2">
      <c r="A20" s="3" t="s">
        <v>14</v>
      </c>
      <c r="B20" s="40">
        <f>+B18+B19</f>
        <v>-6923.40489759497</v>
      </c>
      <c r="C20" s="40">
        <f>+C18+C19</f>
        <v>-7066.4272087424333</v>
      </c>
      <c r="D20" s="40">
        <f t="shared" ref="D20:I20" si="3">+D18+D19</f>
        <v>-7648.1299171853925</v>
      </c>
      <c r="E20" s="40">
        <f t="shared" si="3"/>
        <v>-6577.5815879491902</v>
      </c>
      <c r="F20" s="40">
        <f t="shared" si="3"/>
        <v>-7760.7164126094176</v>
      </c>
      <c r="G20" s="40">
        <f t="shared" si="3"/>
        <v>-8430.121026491659</v>
      </c>
      <c r="H20" s="40">
        <f t="shared" si="3"/>
        <v>-7145.7438088494373</v>
      </c>
      <c r="I20" s="40">
        <f t="shared" si="3"/>
        <v>-7238.1915960598417</v>
      </c>
      <c r="J20" s="40">
        <f>+J18+J19</f>
        <v>-6880.1636631102665</v>
      </c>
      <c r="K20" s="40">
        <f>+K18+K19</f>
        <v>-7160.6521975221622</v>
      </c>
      <c r="L20" s="40">
        <f>+L18+L19</f>
        <v>-8108.9350112702377</v>
      </c>
      <c r="M20" s="40">
        <f>+M18+M19</f>
        <v>-6480.0179696299274</v>
      </c>
      <c r="N20" s="41">
        <f>SUM(N18:N19)</f>
        <v>-87420.085297014943</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+'[1]Joe''s Comm Credit'!B23</f>
        <v>4164</v>
      </c>
      <c r="C22" s="5">
        <f>+'[1]Joe''s Comm Credit'!C23</f>
        <v>4171</v>
      </c>
      <c r="D22" s="5">
        <f>+'[1]Joe''s Comm Credit'!D23</f>
        <v>4168</v>
      </c>
      <c r="E22" s="5">
        <f>+'[1]Joe''s Comm Credit'!E23</f>
        <v>4166</v>
      </c>
      <c r="F22" s="5">
        <f>+'[1]Joe''s Comm Credit'!F23</f>
        <v>4183</v>
      </c>
      <c r="G22" s="5">
        <f>+'[1]Joe''s Comm Credit'!G23</f>
        <v>4239</v>
      </c>
      <c r="H22" s="5">
        <f>+'[1]Joe''s Comm Credit'!H23</f>
        <v>4237</v>
      </c>
      <c r="I22" s="5">
        <f>+'[1]Joe''s Comm Credit'!I23</f>
        <v>4242</v>
      </c>
      <c r="J22" s="5">
        <f>+'[1]Joe''s Comm Credit'!J23</f>
        <v>4277</v>
      </c>
      <c r="K22" s="5">
        <f>+'[1]Joe''s Comm Credit'!K23</f>
        <v>4298</v>
      </c>
      <c r="L22" s="5">
        <f>+'[1]Joe''s Comm Credit'!L23</f>
        <v>4316</v>
      </c>
      <c r="M22" s="5">
        <f>+'[1]Joe''s Comm Credit'!M23</f>
        <v>4331</v>
      </c>
      <c r="N22" s="8">
        <f>SUM(B22:M22)</f>
        <v>50792</v>
      </c>
      <c r="Q22" s="15"/>
    </row>
    <row r="23" spans="1:17" s="5" customFormat="1" x14ac:dyDescent="0.2">
      <c r="N23" s="8"/>
      <c r="Q23" s="15"/>
    </row>
    <row r="24" spans="1:17" x14ac:dyDescent="0.2">
      <c r="A24" s="88" t="s">
        <v>7</v>
      </c>
      <c r="B24" s="17">
        <f t="shared" ref="B24:M24" si="4">+IFERROR(B20/B22,0)</f>
        <v>-1.6626812914493203</v>
      </c>
      <c r="C24" s="17">
        <f t="shared" si="4"/>
        <v>-1.6941805822925997</v>
      </c>
      <c r="D24" s="17">
        <f t="shared" si="4"/>
        <v>-1.8349639916471672</v>
      </c>
      <c r="E24" s="17">
        <f t="shared" si="4"/>
        <v>-1.5788722006599112</v>
      </c>
      <c r="F24" s="17">
        <f t="shared" si="4"/>
        <v>-1.8552991662943863</v>
      </c>
      <c r="G24" s="17">
        <f t="shared" si="4"/>
        <v>-1.9887051253813774</v>
      </c>
      <c r="H24" s="17">
        <f t="shared" si="4"/>
        <v>-1.6865102215835348</v>
      </c>
      <c r="I24" s="17">
        <f t="shared" si="4"/>
        <v>-1.706315793507742</v>
      </c>
      <c r="J24" s="17">
        <f t="shared" si="4"/>
        <v>-1.6086424276619748</v>
      </c>
      <c r="K24" s="17">
        <f t="shared" si="4"/>
        <v>-1.6660428565663477</v>
      </c>
      <c r="L24" s="17">
        <f t="shared" si="4"/>
        <v>-1.8788079266149762</v>
      </c>
      <c r="M24" s="17">
        <f t="shared" si="4"/>
        <v>-1.4961944053636407</v>
      </c>
      <c r="N24" s="18"/>
      <c r="O24" s="43"/>
    </row>
    <row r="25" spans="1:17" x14ac:dyDescent="0.2">
      <c r="A25" s="88" t="s">
        <v>8</v>
      </c>
      <c r="B25" s="17">
        <f>+'Joe''s CPA Eff 1.1.2020'!$G$25</f>
        <v>-1.3735000133956987</v>
      </c>
      <c r="C25" s="17">
        <f>+'Joe''s CPA Eff 1.1.2020'!$G$25</f>
        <v>-1.3735000133956987</v>
      </c>
      <c r="D25" s="17">
        <f>'Joe''s CPA Eff 1.1.2020'!$H$29</f>
        <v>-1.8374658676875288</v>
      </c>
      <c r="E25" s="17">
        <f>'Joe''s CPA Eff 1.1.2020'!$H$29</f>
        <v>-1.8374658676875288</v>
      </c>
      <c r="F25" s="17">
        <f>'Joe''s CPA Eff 1.1.2020'!$H$29</f>
        <v>-1.8374658676875288</v>
      </c>
      <c r="G25" s="17">
        <f>'Joe''s CPA Eff 1.1.2020'!$H$29</f>
        <v>-1.8374658676875288</v>
      </c>
      <c r="H25" s="17">
        <f>'Joe''s CPA Eff 1.1.2020'!$H$29</f>
        <v>-1.8374658676875288</v>
      </c>
      <c r="I25" s="17">
        <f>'Joe''s CPA Eff 1.1.2020'!$H$29</f>
        <v>-1.8374658676875288</v>
      </c>
      <c r="J25" s="17">
        <f>'Joe''s CPA Eff 1.1.2020'!$H$29</f>
        <v>-1.8374658676875288</v>
      </c>
      <c r="K25" s="17">
        <f>'Joe''s CPA Eff 1.1.2020'!$H$29</f>
        <v>-1.8374658676875288</v>
      </c>
      <c r="L25" s="17">
        <f>'Joe''s CPA Eff 1.1.2020'!$H$29</f>
        <v>-1.8374658676875288</v>
      </c>
      <c r="M25" s="17">
        <f>'Joe''s CPA Eff 1.1.2020'!$H$29</f>
        <v>-1.8374658676875288</v>
      </c>
      <c r="N25" s="18"/>
      <c r="O25" s="20"/>
    </row>
    <row r="26" spans="1:17" x14ac:dyDescent="0.2">
      <c r="A26" s="21" t="s">
        <v>17</v>
      </c>
      <c r="B26" s="21">
        <f>+(B24-B25)*B22</f>
        <v>-1204.1508418152803</v>
      </c>
      <c r="C26" s="21">
        <f t="shared" ref="C26:I26" si="5">+(C24-C25)*C22</f>
        <v>-1337.5586528689741</v>
      </c>
      <c r="D26" s="21">
        <f t="shared" si="5"/>
        <v>10.427819336227451</v>
      </c>
      <c r="E26" s="21">
        <f t="shared" si="5"/>
        <v>1077.3012168370551</v>
      </c>
      <c r="F26" s="21">
        <f t="shared" si="5"/>
        <v>-74.59668807248471</v>
      </c>
      <c r="G26" s="21">
        <f t="shared" si="5"/>
        <v>-641.10321336422419</v>
      </c>
      <c r="H26" s="21">
        <f t="shared" si="5"/>
        <v>639.59907254262271</v>
      </c>
      <c r="I26" s="21">
        <f t="shared" si="5"/>
        <v>556.33861467065583</v>
      </c>
      <c r="J26" s="21">
        <f>+(J24-J25)*J22</f>
        <v>978.67785298929448</v>
      </c>
      <c r="K26" s="21">
        <f>+(K24-K25)*K22</f>
        <v>736.77610179883675</v>
      </c>
      <c r="L26" s="21">
        <f>+(L24-L25)*L22</f>
        <v>-178.43232633086279</v>
      </c>
      <c r="M26" s="21">
        <f>+(M24-M25)*M22</f>
        <v>1478.0467033247596</v>
      </c>
      <c r="N26" s="55">
        <f>SUM(B26:M26)</f>
        <v>2041.3256590476258</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0.04</v>
      </c>
      <c r="P28" s="35"/>
    </row>
    <row r="29" spans="1:17" x14ac:dyDescent="0.2">
      <c r="B29" s="158"/>
      <c r="C29" s="158"/>
      <c r="D29" s="158"/>
      <c r="E29" s="158"/>
      <c r="F29" s="158"/>
      <c r="G29" s="158"/>
      <c r="H29" s="158"/>
      <c r="I29" s="158"/>
      <c r="J29" s="158"/>
      <c r="K29" s="158"/>
      <c r="L29" s="23"/>
      <c r="M29" s="92" t="s">
        <v>40</v>
      </c>
      <c r="N29" s="147">
        <f>ROUND(N20/N22,2)</f>
        <v>-1.72</v>
      </c>
      <c r="P29" s="35"/>
    </row>
    <row r="30" spans="1:17" x14ac:dyDescent="0.2">
      <c r="A30" s="89"/>
      <c r="B30" s="60"/>
      <c r="C30" s="23"/>
      <c r="D30" s="23"/>
      <c r="E30" s="23"/>
      <c r="F30" s="23"/>
      <c r="G30" s="23"/>
      <c r="H30" s="23"/>
      <c r="I30" s="23"/>
      <c r="J30" s="23"/>
      <c r="K30" s="23"/>
      <c r="L30" s="23"/>
      <c r="M30" s="93" t="s">
        <v>41</v>
      </c>
      <c r="N30" s="55">
        <f>-N28-N29</f>
        <v>1.68</v>
      </c>
      <c r="P30" s="35"/>
    </row>
    <row r="31" spans="1:17" ht="15" x14ac:dyDescent="0.25">
      <c r="B31" s="155"/>
      <c r="C31" s="23"/>
      <c r="D31" s="23"/>
      <c r="E31" s="23"/>
      <c r="F31" s="23"/>
      <c r="G31" s="23"/>
      <c r="H31" s="23"/>
      <c r="I31" s="23"/>
      <c r="J31" s="23"/>
      <c r="K31" s="23"/>
      <c r="L31" s="23"/>
      <c r="M31" s="23"/>
      <c r="N31" s="55"/>
    </row>
    <row r="32" spans="1:17" x14ac:dyDescent="0.2">
      <c r="B32" s="154"/>
      <c r="C32" s="23"/>
      <c r="D32" s="23"/>
      <c r="E32" s="23"/>
      <c r="F32" s="23"/>
      <c r="G32" s="23"/>
      <c r="H32" s="23"/>
      <c r="I32" s="23"/>
      <c r="M32" s="92" t="s">
        <v>42</v>
      </c>
      <c r="N32" s="37">
        <f>-'Joe''s CPA Eff 1.1.2020'!H30</f>
        <v>2.0874658676875288</v>
      </c>
      <c r="O32" s="14"/>
      <c r="P32" s="80"/>
    </row>
    <row r="33" spans="1:16" x14ac:dyDescent="0.2">
      <c r="B33" s="89"/>
      <c r="C33" s="89"/>
      <c r="D33" s="89"/>
      <c r="E33" s="89"/>
      <c r="F33" s="89"/>
      <c r="G33" s="89"/>
      <c r="H33" s="89"/>
      <c r="I33" s="89"/>
      <c r="J33" s="89"/>
      <c r="K33" s="89"/>
      <c r="L33" s="89"/>
      <c r="M33" s="92" t="s">
        <v>9</v>
      </c>
      <c r="N33" s="18">
        <f>+N30-N32</f>
        <v>-0.4074658676875289</v>
      </c>
      <c r="O33" s="87">
        <f>N33/N32</f>
        <v>-0.19519642164923875</v>
      </c>
    </row>
    <row r="34" spans="1:16" x14ac:dyDescent="0.2">
      <c r="B34" s="89"/>
      <c r="C34" s="89"/>
      <c r="D34" s="89"/>
      <c r="E34" s="89"/>
      <c r="F34" s="89"/>
      <c r="G34" s="89"/>
      <c r="H34" s="89"/>
      <c r="I34" s="89"/>
      <c r="J34" s="89"/>
      <c r="K34" s="89"/>
      <c r="L34" s="89"/>
      <c r="M34" s="92" t="s">
        <v>34</v>
      </c>
      <c r="N34" s="12">
        <f>N33*N22</f>
        <v>-20696.006351584969</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6">B6</f>
        <v>43770</v>
      </c>
      <c r="C37" s="31">
        <f t="shared" si="6"/>
        <v>43801</v>
      </c>
      <c r="D37" s="31">
        <f t="shared" si="6"/>
        <v>43832</v>
      </c>
      <c r="E37" s="31">
        <f t="shared" si="6"/>
        <v>43863</v>
      </c>
      <c r="F37" s="31">
        <f t="shared" si="6"/>
        <v>43894</v>
      </c>
      <c r="G37" s="31">
        <f t="shared" si="6"/>
        <v>43925</v>
      </c>
      <c r="H37" s="31">
        <f t="shared" si="6"/>
        <v>43956</v>
      </c>
      <c r="I37" s="31">
        <f t="shared" si="6"/>
        <v>43987</v>
      </c>
      <c r="J37" s="31">
        <f t="shared" si="6"/>
        <v>44018</v>
      </c>
      <c r="K37" s="31">
        <f t="shared" si="6"/>
        <v>44049</v>
      </c>
      <c r="L37" s="31">
        <f t="shared" si="6"/>
        <v>44080</v>
      </c>
      <c r="M37" s="31">
        <f t="shared" si="6"/>
        <v>44111</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+'[1]Joe''s Comm Credit'!B39</f>
        <v>4.1722496632240711</v>
      </c>
      <c r="C40" s="90">
        <f>+'[1]Joe''s Comm Credit'!C39</f>
        <v>4.1767540910109844</v>
      </c>
      <c r="D40" s="90">
        <f>+'[1]Joe''s Comm Credit'!D39</f>
        <v>4.8352848811126004</v>
      </c>
      <c r="E40" s="90">
        <f>+'[1]Joe''s Comm Credit'!E39</f>
        <v>4.2497755834829505</v>
      </c>
      <c r="F40" s="90">
        <f>+'[1]Joe''s Comm Credit'!F39</f>
        <v>5.0550637156270977</v>
      </c>
      <c r="G40" s="90">
        <f>+'[1]Joe''s Comm Credit'!G39</f>
        <v>5.2627732391256368</v>
      </c>
      <c r="H40" s="90">
        <f>+'[1]Joe''s Comm Credit'!H39</f>
        <v>5.1472277446432457</v>
      </c>
      <c r="I40" s="90">
        <f>+'[1]Joe''s Comm Credit'!I39</f>
        <v>4.6904236540158877</v>
      </c>
      <c r="J40" s="90">
        <f>+'[1]Joe''s Comm Credit'!J39</f>
        <v>4.3592073571272172</v>
      </c>
      <c r="K40" s="90">
        <f>+'[1]Joe''s Comm Credit'!K39</f>
        <v>4.8594594594594591</v>
      </c>
      <c r="L40" s="90">
        <f>+'[1]Joe''s Comm Credit'!L39</f>
        <v>5.9848599956587805</v>
      </c>
      <c r="M40" s="90">
        <f>+'[1]Joe''s Comm Credit'!M39</f>
        <v>4.9335266118563359</v>
      </c>
      <c r="N40" s="29">
        <f>SUM(B40:M40)</f>
        <v>57.726605996344269</v>
      </c>
      <c r="P40" s="35"/>
    </row>
    <row r="41" spans="1:16" x14ac:dyDescent="0.2">
      <c r="A41" s="84" t="s">
        <v>11</v>
      </c>
      <c r="B41" s="90">
        <f>+'[1]Joe''s Comm Credit'!B40</f>
        <v>0.41</v>
      </c>
      <c r="C41" s="90">
        <f>+'[1]Joe''s Comm Credit'!C40</f>
        <v>0.69</v>
      </c>
      <c r="D41" s="90">
        <f>+'[1]Joe''s Comm Credit'!D40</f>
        <v>0.56000000000000005</v>
      </c>
      <c r="E41" s="90">
        <f>+'[1]Joe''s Comm Credit'!E40</f>
        <v>0.46</v>
      </c>
      <c r="F41" s="90">
        <f>+'[1]Joe''s Comm Credit'!F40</f>
        <v>0.49</v>
      </c>
      <c r="G41" s="90">
        <f>+'[1]Joe''s Comm Credit'!G40</f>
        <v>0.77</v>
      </c>
      <c r="H41" s="90">
        <f>+'[1]Joe''s Comm Credit'!H40</f>
        <v>0.92</v>
      </c>
      <c r="I41" s="90">
        <f>+'[1]Joe''s Comm Credit'!I40</f>
        <v>0.69</v>
      </c>
      <c r="J41" s="90">
        <f>+'[1]Joe''s Comm Credit'!J40</f>
        <v>0.67</v>
      </c>
      <c r="K41" s="90">
        <f>+'[1]Joe''s Comm Credit'!K40</f>
        <v>0.6099999999999568</v>
      </c>
      <c r="L41" s="90">
        <f>+'[1]Joe''s Comm Credit'!L40</f>
        <v>0.64</v>
      </c>
      <c r="M41" s="90">
        <f>+'[1]Joe''s Comm Credit'!M40</f>
        <v>0.53</v>
      </c>
      <c r="N41" s="29">
        <f>SUM(B41:M41)</f>
        <v>7.4399999999999569</v>
      </c>
      <c r="O41" s="85"/>
      <c r="P41" s="35"/>
    </row>
    <row r="42" spans="1:16" x14ac:dyDescent="0.2">
      <c r="A42" s="82" t="s">
        <v>12</v>
      </c>
      <c r="B42" s="33">
        <f t="shared" ref="B42:M42" si="7">SUM(B40:B41)</f>
        <v>4.5822496632240712</v>
      </c>
      <c r="C42" s="33">
        <f t="shared" si="7"/>
        <v>4.8667540910109839</v>
      </c>
      <c r="D42" s="33">
        <f t="shared" si="7"/>
        <v>5.3952848811126</v>
      </c>
      <c r="E42" s="33">
        <f t="shared" si="7"/>
        <v>4.7097755834829504</v>
      </c>
      <c r="F42" s="33">
        <f t="shared" si="7"/>
        <v>5.5450637156270979</v>
      </c>
      <c r="G42" s="33">
        <f t="shared" si="7"/>
        <v>6.0327732391256372</v>
      </c>
      <c r="H42" s="33">
        <f t="shared" si="7"/>
        <v>6.0672277446432457</v>
      </c>
      <c r="I42" s="33">
        <f t="shared" si="7"/>
        <v>5.3804236540158872</v>
      </c>
      <c r="J42" s="33">
        <f t="shared" si="7"/>
        <v>5.0292073571272171</v>
      </c>
      <c r="K42" s="33">
        <f t="shared" si="7"/>
        <v>5.4694594594594159</v>
      </c>
      <c r="L42" s="33">
        <f>SUM(L40:L41)</f>
        <v>6.6248599956587801</v>
      </c>
      <c r="M42" s="33">
        <f t="shared" si="7"/>
        <v>5.4635266118563361</v>
      </c>
      <c r="N42" s="34">
        <f>SUM(N40:N41)</f>
        <v>65.166605996344231</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57">
        <f t="shared" ref="B45:M46" si="8">+B14</f>
        <v>-112.07739999999998</v>
      </c>
      <c r="C45" s="157">
        <f t="shared" si="8"/>
        <v>-111.72239999999998</v>
      </c>
      <c r="D45" s="157">
        <f t="shared" si="8"/>
        <v>-105.466292</v>
      </c>
      <c r="E45" s="157">
        <f t="shared" si="8"/>
        <v>-103.51889199999999</v>
      </c>
      <c r="F45" s="157">
        <f t="shared" si="8"/>
        <v>-102.62899200000001</v>
      </c>
      <c r="G45" s="157">
        <f t="shared" si="8"/>
        <v>-103.82879199999999</v>
      </c>
      <c r="H45" s="157">
        <f t="shared" si="8"/>
        <v>-87.989891999999998</v>
      </c>
      <c r="I45" s="157">
        <f t="shared" si="8"/>
        <v>-99.692811999999989</v>
      </c>
      <c r="J45" s="157">
        <f t="shared" si="8"/>
        <v>-101.05185199999997</v>
      </c>
      <c r="K45" s="157">
        <f t="shared" si="8"/>
        <v>-94.481131999999988</v>
      </c>
      <c r="L45" s="157">
        <f t="shared" si="8"/>
        <v>-87.155441999999994</v>
      </c>
      <c r="M45" s="157">
        <f t="shared" si="8"/>
        <v>-83.977722</v>
      </c>
      <c r="N45" s="36"/>
    </row>
    <row r="46" spans="1:16" x14ac:dyDescent="0.2">
      <c r="A46" s="84" t="s">
        <v>11</v>
      </c>
      <c r="B46" s="157">
        <f t="shared" si="8"/>
        <v>-30</v>
      </c>
      <c r="C46" s="157">
        <f t="shared" si="8"/>
        <v>-30</v>
      </c>
      <c r="D46" s="157">
        <f t="shared" si="8"/>
        <v>-33</v>
      </c>
      <c r="E46" s="157">
        <f t="shared" si="8"/>
        <v>-33</v>
      </c>
      <c r="F46" s="157">
        <f t="shared" si="8"/>
        <v>-33</v>
      </c>
      <c r="G46" s="157">
        <f t="shared" si="8"/>
        <v>-33</v>
      </c>
      <c r="H46" s="157">
        <f t="shared" si="8"/>
        <v>-33</v>
      </c>
      <c r="I46" s="157">
        <f t="shared" si="8"/>
        <v>-33</v>
      </c>
      <c r="J46" s="157">
        <f t="shared" si="8"/>
        <v>-33</v>
      </c>
      <c r="K46" s="157">
        <f t="shared" si="8"/>
        <v>-33</v>
      </c>
      <c r="L46" s="157">
        <f t="shared" si="8"/>
        <v>-33</v>
      </c>
      <c r="M46" s="157">
        <f t="shared" si="8"/>
        <v>-33</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 si="9">+B40*B45</f>
        <v>-467.61489440502942</v>
      </c>
      <c r="C49" s="91">
        <f t="shared" ref="C49:M49" si="10">+C40*C45</f>
        <v>-466.63699125756551</v>
      </c>
      <c r="D49" s="91">
        <f t="shared" si="10"/>
        <v>-509.95956717460678</v>
      </c>
      <c r="E49" s="91">
        <f t="shared" si="10"/>
        <v>-439.93205965080853</v>
      </c>
      <c r="F49" s="91">
        <f t="shared" si="10"/>
        <v>-518.79609363058375</v>
      </c>
      <c r="G49" s="91">
        <f t="shared" si="10"/>
        <v>-546.42738798834193</v>
      </c>
      <c r="H49" s="91">
        <f t="shared" si="10"/>
        <v>-452.90401335056276</v>
      </c>
      <c r="I49" s="91">
        <f t="shared" si="10"/>
        <v>-467.60152354015889</v>
      </c>
      <c r="J49" s="91">
        <f t="shared" si="10"/>
        <v>-440.50597668973057</v>
      </c>
      <c r="K49" s="91">
        <f t="shared" si="10"/>
        <v>-459.12723063783773</v>
      </c>
      <c r="L49" s="91">
        <f t="shared" si="10"/>
        <v>-521.61311822975904</v>
      </c>
      <c r="M49" s="91">
        <f t="shared" si="10"/>
        <v>-414.30632629007329</v>
      </c>
      <c r="N49" s="12">
        <f>SUM(B49:M49)</f>
        <v>-5705.425182845057</v>
      </c>
    </row>
    <row r="50" spans="1:17" x14ac:dyDescent="0.2">
      <c r="A50" s="84" t="s">
        <v>11</v>
      </c>
      <c r="B50" s="91">
        <f t="shared" ref="B50" si="11">+B46*B41</f>
        <v>-12.299999999999999</v>
      </c>
      <c r="C50" s="91">
        <f t="shared" ref="C50:M50" si="12">+C46*C41</f>
        <v>-20.7</v>
      </c>
      <c r="D50" s="91">
        <f t="shared" si="12"/>
        <v>-18.48</v>
      </c>
      <c r="E50" s="91">
        <f t="shared" si="12"/>
        <v>-15.180000000000001</v>
      </c>
      <c r="F50" s="91">
        <f t="shared" si="12"/>
        <v>-16.169999999999998</v>
      </c>
      <c r="G50" s="91">
        <f t="shared" si="12"/>
        <v>-25.41</v>
      </c>
      <c r="H50" s="91">
        <f t="shared" si="12"/>
        <v>-30.360000000000003</v>
      </c>
      <c r="I50" s="91">
        <f t="shared" si="12"/>
        <v>-22.77</v>
      </c>
      <c r="J50" s="91">
        <f t="shared" si="12"/>
        <v>-22.110000000000003</v>
      </c>
      <c r="K50" s="91">
        <f t="shared" si="12"/>
        <v>-20.129999999998574</v>
      </c>
      <c r="L50" s="91">
        <f t="shared" si="12"/>
        <v>-21.12</v>
      </c>
      <c r="M50" s="91">
        <f t="shared" si="12"/>
        <v>-17.490000000000002</v>
      </c>
      <c r="N50" s="12">
        <f>SUM(B50:M50)</f>
        <v>-242.21999999999863</v>
      </c>
    </row>
    <row r="51" spans="1:17" x14ac:dyDescent="0.2">
      <c r="A51" s="3" t="s">
        <v>14</v>
      </c>
      <c r="B51" s="40">
        <f t="shared" ref="B51:I51" si="13">+B49+B50</f>
        <v>-479.91489440502943</v>
      </c>
      <c r="C51" s="40">
        <f t="shared" si="13"/>
        <v>-487.3369912575655</v>
      </c>
      <c r="D51" s="40">
        <f t="shared" si="13"/>
        <v>-528.43956717460674</v>
      </c>
      <c r="E51" s="40">
        <f t="shared" si="13"/>
        <v>-455.11205965080853</v>
      </c>
      <c r="F51" s="40">
        <f t="shared" si="13"/>
        <v>-534.96609363058371</v>
      </c>
      <c r="G51" s="40">
        <f t="shared" si="13"/>
        <v>-571.8373879883419</v>
      </c>
      <c r="H51" s="40">
        <f t="shared" si="13"/>
        <v>-483.26401335056278</v>
      </c>
      <c r="I51" s="40">
        <f t="shared" si="13"/>
        <v>-490.37152354015888</v>
      </c>
      <c r="J51" s="40">
        <f>+J49+J50</f>
        <v>-462.61597668973059</v>
      </c>
      <c r="K51" s="40">
        <f>+K49+K50</f>
        <v>-479.2572306378363</v>
      </c>
      <c r="L51" s="40">
        <f>+L49+L50</f>
        <v>-542.73311822975904</v>
      </c>
      <c r="M51" s="40">
        <f>+M49+M50</f>
        <v>-431.7963262900733</v>
      </c>
      <c r="N51" s="41">
        <f>SUM(N49:N50)</f>
        <v>-5947.6451828450554</v>
      </c>
    </row>
    <row r="52" spans="1:17" x14ac:dyDescent="0.2">
      <c r="B52" s="5"/>
      <c r="C52" s="5"/>
      <c r="D52" s="5"/>
      <c r="E52" s="5"/>
      <c r="F52" s="5"/>
      <c r="G52" s="5"/>
      <c r="H52" s="5"/>
      <c r="I52" s="5"/>
      <c r="J52" s="5"/>
      <c r="K52" s="5"/>
      <c r="L52" s="5"/>
      <c r="M52" s="5"/>
      <c r="N52" s="9"/>
    </row>
    <row r="53" spans="1:17" x14ac:dyDescent="0.2">
      <c r="A53" s="82" t="s">
        <v>6</v>
      </c>
      <c r="B53" s="5">
        <f>+'[1]Joe''s Comm Credit'!B53</f>
        <v>290</v>
      </c>
      <c r="C53" s="5">
        <f>+'[1]Joe''s Comm Credit'!C53</f>
        <v>290</v>
      </c>
      <c r="D53" s="5">
        <f>+'[1]Joe''s Comm Credit'!D53</f>
        <v>290</v>
      </c>
      <c r="E53" s="5">
        <f>+'[1]Joe''s Comm Credit'!E53</f>
        <v>290</v>
      </c>
      <c r="F53" s="5">
        <f>+'[1]Joe''s Comm Credit'!F53</f>
        <v>290</v>
      </c>
      <c r="G53" s="5">
        <f>+'[1]Joe''s Comm Credit'!G53</f>
        <v>290</v>
      </c>
      <c r="H53" s="5">
        <f>+'[1]Joe''s Comm Credit'!H53</f>
        <v>290</v>
      </c>
      <c r="I53" s="5">
        <f>+'[1]Joe''s Comm Credit'!I53</f>
        <v>290</v>
      </c>
      <c r="J53" s="5">
        <f>+'[1]Joe''s Comm Credit'!J53</f>
        <v>290</v>
      </c>
      <c r="K53" s="5">
        <f>+'[1]Joe''s Comm Credit'!K53</f>
        <v>290</v>
      </c>
      <c r="L53" s="5">
        <f>+'[1]Joe''s Comm Credit'!L53</f>
        <v>291</v>
      </c>
      <c r="M53" s="5">
        <f>+'[1]Joe''s Comm Credit'!M53</f>
        <v>291</v>
      </c>
      <c r="N53" s="8">
        <f>SUM(B53:M53)</f>
        <v>3482</v>
      </c>
      <c r="Q53" s="89"/>
    </row>
    <row r="54" spans="1:17" x14ac:dyDescent="0.2">
      <c r="A54" s="84"/>
      <c r="N54" s="9"/>
    </row>
    <row r="55" spans="1:17" x14ac:dyDescent="0.2">
      <c r="A55" s="89" t="s">
        <v>7</v>
      </c>
      <c r="B55" s="17">
        <f t="shared" ref="B55:M55" si="14">IFERROR(B51/B53,0)</f>
        <v>-1.6548789462242395</v>
      </c>
      <c r="C55" s="17">
        <f t="shared" si="14"/>
        <v>-1.6804723836467776</v>
      </c>
      <c r="D55" s="17">
        <f t="shared" si="14"/>
        <v>-1.8222054040503681</v>
      </c>
      <c r="E55" s="17">
        <f t="shared" si="14"/>
        <v>-1.5693519298303742</v>
      </c>
      <c r="F55" s="17">
        <f t="shared" si="14"/>
        <v>-1.844710667691668</v>
      </c>
      <c r="G55" s="17">
        <f t="shared" si="14"/>
        <v>-1.9718530620287651</v>
      </c>
      <c r="H55" s="17">
        <f t="shared" si="14"/>
        <v>-1.66642763224332</v>
      </c>
      <c r="I55" s="17">
        <f t="shared" si="14"/>
        <v>-1.6909362880695133</v>
      </c>
      <c r="J55" s="17">
        <f t="shared" si="14"/>
        <v>-1.5952275058266572</v>
      </c>
      <c r="K55" s="17">
        <f t="shared" si="14"/>
        <v>-1.6526111401304699</v>
      </c>
      <c r="L55" s="17">
        <f t="shared" si="14"/>
        <v>-1.8650622619579349</v>
      </c>
      <c r="M55" s="17">
        <f t="shared" si="14"/>
        <v>-1.4838361728181213</v>
      </c>
      <c r="N55" s="18"/>
    </row>
    <row r="56" spans="1:17" x14ac:dyDescent="0.2">
      <c r="A56" s="89" t="s">
        <v>8</v>
      </c>
      <c r="B56" s="17">
        <f>+'Joe''s CPA Eff 1.1.2020'!$G$56</f>
        <v>-1.3507803500318183</v>
      </c>
      <c r="C56" s="17">
        <f>+'Joe''s CPA Eff 1.1.2020'!$G$56</f>
        <v>-1.3507803500318183</v>
      </c>
      <c r="D56" s="17">
        <f>+'Joe''s CPA Eff 1.1.2020'!$H$60</f>
        <v>-1.8272175292549726</v>
      </c>
      <c r="E56" s="17">
        <f>+'Joe''s CPA Eff 1.1.2020'!$H$60</f>
        <v>-1.8272175292549726</v>
      </c>
      <c r="F56" s="17">
        <f>+'Joe''s CPA Eff 1.1.2020'!$H$60</f>
        <v>-1.8272175292549726</v>
      </c>
      <c r="G56" s="17">
        <f>+'Joe''s CPA Eff 1.1.2020'!$H$60</f>
        <v>-1.8272175292549726</v>
      </c>
      <c r="H56" s="17">
        <f>+'Joe''s CPA Eff 1.1.2020'!$H$60</f>
        <v>-1.8272175292549726</v>
      </c>
      <c r="I56" s="17">
        <f>+'Joe''s CPA Eff 1.1.2020'!$H$60</f>
        <v>-1.8272175292549726</v>
      </c>
      <c r="J56" s="17">
        <f>+'Joe''s CPA Eff 1.1.2020'!$H$60</f>
        <v>-1.8272175292549726</v>
      </c>
      <c r="K56" s="17">
        <f>+'Joe''s CPA Eff 1.1.2020'!$H$60</f>
        <v>-1.8272175292549726</v>
      </c>
      <c r="L56" s="17">
        <f>+'Joe''s CPA Eff 1.1.2020'!$H$60</f>
        <v>-1.8272175292549726</v>
      </c>
      <c r="M56" s="17">
        <f>+'Joe''s CPA Eff 1.1.2020'!$H$60</f>
        <v>-1.8272175292549726</v>
      </c>
      <c r="N56" s="18"/>
    </row>
    <row r="57" spans="1:17" x14ac:dyDescent="0.2">
      <c r="A57" s="21" t="s">
        <v>17</v>
      </c>
      <c r="B57" s="21">
        <f>(B55-B56)*B53</f>
        <v>-88.188592895802145</v>
      </c>
      <c r="C57" s="21">
        <f t="shared" ref="C57:I57" si="15">(C55-C56)*C53</f>
        <v>-95.610689748338217</v>
      </c>
      <c r="D57" s="21">
        <f t="shared" si="15"/>
        <v>1.4535163093352987</v>
      </c>
      <c r="E57" s="21">
        <f t="shared" si="15"/>
        <v>74.781023833133546</v>
      </c>
      <c r="F57" s="21">
        <f t="shared" si="15"/>
        <v>-5.0730101466416722</v>
      </c>
      <c r="G57" s="21">
        <f t="shared" si="15"/>
        <v>-41.944304504399824</v>
      </c>
      <c r="H57" s="21">
        <f t="shared" si="15"/>
        <v>46.629070133379251</v>
      </c>
      <c r="I57" s="21">
        <f t="shared" si="15"/>
        <v>39.521559943783181</v>
      </c>
      <c r="J57" s="21">
        <f>(J55-J56)*J53</f>
        <v>67.277106794211477</v>
      </c>
      <c r="K57" s="21">
        <f>(K55-K56)*K53</f>
        <v>50.63585284610577</v>
      </c>
      <c r="L57" s="21">
        <f>(L55-L56)*L53</f>
        <v>-11.012817216562027</v>
      </c>
      <c r="M57" s="21">
        <f>(M55-M56)*M53</f>
        <v>99.923974723123735</v>
      </c>
      <c r="N57" s="55">
        <f>SUM(B57:M57)</f>
        <v>138.39269007132839</v>
      </c>
    </row>
    <row r="58" spans="1:17" x14ac:dyDescent="0.2">
      <c r="N58" s="7"/>
    </row>
    <row r="59" spans="1:17" ht="15" x14ac:dyDescent="0.25">
      <c r="A59" s="126"/>
      <c r="B59" s="56"/>
      <c r="C59" s="56"/>
      <c r="D59" s="56"/>
      <c r="E59" s="56"/>
      <c r="F59" s="56"/>
      <c r="G59" s="56"/>
      <c r="H59" s="56"/>
      <c r="I59" s="56"/>
      <c r="J59" s="56"/>
      <c r="K59" s="56"/>
      <c r="L59" s="56"/>
      <c r="M59" s="92" t="s">
        <v>19</v>
      </c>
      <c r="N59" s="18">
        <f>ROUND(N57/N53,2)</f>
        <v>0.04</v>
      </c>
    </row>
    <row r="60" spans="1:17" x14ac:dyDescent="0.2">
      <c r="B60" s="158"/>
      <c r="C60" s="158"/>
      <c r="D60" s="158"/>
      <c r="E60" s="158"/>
      <c r="F60" s="158"/>
      <c r="G60" s="158"/>
      <c r="H60" s="158"/>
      <c r="I60" s="158"/>
      <c r="J60" s="158"/>
      <c r="K60" s="158"/>
      <c r="L60" s="23"/>
      <c r="M60" s="92" t="s">
        <v>40</v>
      </c>
      <c r="N60" s="147">
        <f>ROUND(N51/N53,2)</f>
        <v>-1.71</v>
      </c>
    </row>
    <row r="61" spans="1:17" ht="15" x14ac:dyDescent="0.25">
      <c r="A61" s="126"/>
      <c r="B61" s="68"/>
      <c r="C61" s="68"/>
      <c r="D61" s="68"/>
      <c r="E61" s="68"/>
      <c r="F61" s="68"/>
      <c r="G61" s="68"/>
      <c r="H61" s="68"/>
      <c r="I61" s="68"/>
      <c r="J61" s="68"/>
      <c r="K61" s="68"/>
      <c r="L61" s="68"/>
      <c r="M61" s="93" t="s">
        <v>41</v>
      </c>
      <c r="N61" s="55">
        <f>-N59-N60</f>
        <v>1.67</v>
      </c>
    </row>
    <row r="62" spans="1:17" ht="15" x14ac:dyDescent="0.25">
      <c r="B62" s="153"/>
      <c r="C62" s="23"/>
      <c r="D62" s="23"/>
      <c r="E62" s="23"/>
      <c r="F62" s="23"/>
      <c r="G62" s="23"/>
      <c r="H62" s="23"/>
      <c r="I62" s="23"/>
      <c r="J62" s="23"/>
      <c r="K62" s="23"/>
      <c r="L62" s="23"/>
      <c r="M62" s="23"/>
      <c r="N62" s="55"/>
    </row>
    <row r="63" spans="1:17" ht="15" x14ac:dyDescent="0.25">
      <c r="A63" s="126"/>
      <c r="B63" s="86"/>
      <c r="C63" s="86"/>
      <c r="D63" s="86"/>
      <c r="E63" s="86"/>
      <c r="F63" s="86"/>
      <c r="G63" s="86"/>
      <c r="H63" s="86"/>
      <c r="I63" s="86"/>
      <c r="J63" s="86"/>
      <c r="K63" s="86"/>
      <c r="L63" s="86"/>
      <c r="M63" s="92" t="s">
        <v>42</v>
      </c>
      <c r="N63" s="37">
        <f>-'Joe''s CPA Eff 1.1.2020'!H61</f>
        <v>2.0872175292549726</v>
      </c>
    </row>
    <row r="64" spans="1:17" x14ac:dyDescent="0.2">
      <c r="B64" s="26"/>
      <c r="C64" s="26"/>
      <c r="D64" s="26"/>
      <c r="E64" s="26"/>
      <c r="F64" s="26"/>
      <c r="G64" s="26"/>
      <c r="H64" s="26"/>
      <c r="I64" s="26"/>
      <c r="J64" s="26"/>
      <c r="K64" s="26"/>
      <c r="L64" s="26"/>
      <c r="M64" s="92" t="s">
        <v>9</v>
      </c>
      <c r="N64" s="18">
        <f>+N61-N63</f>
        <v>-0.41721752925497269</v>
      </c>
      <c r="O64" s="87">
        <f>N64/N63</f>
        <v>-0.19989173308826008</v>
      </c>
    </row>
    <row r="65" spans="1:60" x14ac:dyDescent="0.2">
      <c r="B65" s="26"/>
      <c r="C65" s="26"/>
      <c r="D65" s="26"/>
      <c r="E65" s="26"/>
      <c r="F65" s="26"/>
      <c r="G65" s="26"/>
      <c r="H65" s="26"/>
      <c r="I65" s="26"/>
      <c r="J65" s="26"/>
      <c r="K65" s="26"/>
      <c r="L65" s="26"/>
      <c r="M65" s="92" t="s">
        <v>34</v>
      </c>
      <c r="N65" s="12">
        <f>N64*N53</f>
        <v>-1452.7514368658149</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5" fitToHeight="0" orientation="landscape" r:id="rId1"/>
  <headerFooter alignWithMargins="0"/>
  <rowBreaks count="1" manualBreakCount="1">
    <brk id="35" max="16383" man="1"/>
  </rowBreaks>
  <colBreaks count="1" manualBreakCount="1">
    <brk id="13" max="6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49"/>
  <sheetViews>
    <sheetView showGridLines="0" view="pageBreakPreview" zoomScaleNormal="100" zoomScaleSheetLayoutView="100" workbookViewId="0">
      <pane xSplit="1" ySplit="6" topLeftCell="B7" activePane="bottomRight" state="frozen"/>
      <selection activeCell="S42" sqref="S42:S43"/>
      <selection pane="topRight" activeCell="S42" sqref="S42:S43"/>
      <selection pane="bottomLeft" activeCell="S42" sqref="S42:S43"/>
      <selection pane="bottomRight" activeCell="G23" sqref="G23"/>
    </sheetView>
  </sheetViews>
  <sheetFormatPr defaultRowHeight="12.75" x14ac:dyDescent="0.2"/>
  <cols>
    <col min="1" max="1" width="24" style="88" customWidth="1"/>
    <col min="2" max="7" width="12.5703125" style="88" customWidth="1"/>
    <col min="8" max="8" width="13.1406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29" x14ac:dyDescent="0.2">
      <c r="A1" s="3" t="s">
        <v>15</v>
      </c>
    </row>
    <row r="2" spans="1:29" x14ac:dyDescent="0.2">
      <c r="A2" s="46" t="s">
        <v>0</v>
      </c>
    </row>
    <row r="3" spans="1:29" x14ac:dyDescent="0.2">
      <c r="A3" s="3" t="s">
        <v>16</v>
      </c>
    </row>
    <row r="4" spans="1:29" x14ac:dyDescent="0.2">
      <c r="A4" s="3" t="s">
        <v>38</v>
      </c>
      <c r="H4" s="47"/>
      <c r="I4" s="90"/>
      <c r="O4" s="88"/>
    </row>
    <row r="5" spans="1:29" x14ac:dyDescent="0.2">
      <c r="B5" s="3"/>
      <c r="C5" s="3"/>
      <c r="D5" s="3"/>
      <c r="E5" s="3"/>
      <c r="F5" s="3"/>
      <c r="G5" s="3"/>
      <c r="H5" s="48" t="s">
        <v>24</v>
      </c>
      <c r="I5" s="90"/>
      <c r="J5" s="49"/>
      <c r="K5" s="49"/>
      <c r="L5" s="49"/>
      <c r="M5" s="49"/>
      <c r="N5" s="49"/>
      <c r="O5" s="49"/>
      <c r="P5" s="49"/>
      <c r="Q5" s="49"/>
      <c r="R5" s="49"/>
      <c r="S5" s="49"/>
      <c r="T5" s="49"/>
      <c r="U5" s="49"/>
      <c r="V5" s="49"/>
      <c r="W5" s="49"/>
    </row>
    <row r="6" spans="1:29" ht="13.5" thickBot="1" x14ac:dyDescent="0.25">
      <c r="A6" s="47"/>
      <c r="B6" s="122">
        <v>43586</v>
      </c>
      <c r="C6" s="122">
        <v>43617</v>
      </c>
      <c r="D6" s="122">
        <v>43647</v>
      </c>
      <c r="E6" s="122">
        <v>43678</v>
      </c>
      <c r="F6" s="122">
        <v>43709</v>
      </c>
      <c r="G6" s="122">
        <v>43739</v>
      </c>
      <c r="H6" s="50" t="s">
        <v>1</v>
      </c>
      <c r="I6" s="90"/>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90"/>
      <c r="O7" s="88"/>
    </row>
    <row r="8" spans="1:29" ht="12.75" customHeight="1" x14ac:dyDescent="0.2">
      <c r="A8" s="3" t="s">
        <v>2</v>
      </c>
      <c r="H8" s="7"/>
      <c r="I8" s="90"/>
      <c r="O8" s="88"/>
    </row>
    <row r="9" spans="1:29" x14ac:dyDescent="0.2">
      <c r="A9" s="89" t="s">
        <v>3</v>
      </c>
      <c r="B9" s="100">
        <v>152.92000000000007</v>
      </c>
      <c r="C9" s="100">
        <v>145.34000000000006</v>
      </c>
      <c r="D9" s="100">
        <v>148.54</v>
      </c>
      <c r="E9" s="100">
        <v>159.39000000000001</v>
      </c>
      <c r="F9" s="100">
        <v>146.08000000000001</v>
      </c>
      <c r="G9" s="100">
        <v>149.04000000000005</v>
      </c>
      <c r="H9" s="29">
        <f>SUM(B9:G9)</f>
        <v>901.31000000000017</v>
      </c>
      <c r="I9" s="90"/>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90"/>
      <c r="J10" s="89"/>
      <c r="O10" s="88"/>
    </row>
    <row r="11" spans="1:29" x14ac:dyDescent="0.2">
      <c r="A11" s="3" t="s">
        <v>4</v>
      </c>
      <c r="H11" s="9"/>
      <c r="I11" s="90"/>
      <c r="K11" s="152"/>
      <c r="O11" s="88"/>
    </row>
    <row r="12" spans="1:29" x14ac:dyDescent="0.2">
      <c r="A12" s="89" t="s">
        <v>3</v>
      </c>
      <c r="B12" s="101">
        <v>-108.96529999999996</v>
      </c>
      <c r="C12" s="101">
        <v>-107.60559999999998</v>
      </c>
      <c r="D12" s="101">
        <v>-105.66559999999998</v>
      </c>
      <c r="E12" s="101">
        <v>-105.90090000000001</v>
      </c>
      <c r="F12" s="101">
        <v>-109.95339999999997</v>
      </c>
      <c r="G12" s="101">
        <v>-111.92589999999997</v>
      </c>
      <c r="H12" s="18"/>
      <c r="I12" s="90"/>
      <c r="J12" s="19"/>
      <c r="K12" s="32"/>
      <c r="L12" s="32"/>
      <c r="M12" s="32"/>
      <c r="N12" s="32"/>
      <c r="O12" s="32"/>
      <c r="P12" s="32"/>
      <c r="Q12" s="32"/>
      <c r="R12" s="32"/>
      <c r="S12" s="32"/>
      <c r="T12" s="32"/>
      <c r="U12" s="32"/>
      <c r="V12" s="32"/>
      <c r="W12" s="32"/>
      <c r="X12" s="32"/>
    </row>
    <row r="13" spans="1:29" x14ac:dyDescent="0.2">
      <c r="H13" s="9"/>
      <c r="I13" s="90"/>
      <c r="O13" s="88"/>
    </row>
    <row r="14" spans="1:29" x14ac:dyDescent="0.2">
      <c r="A14" s="3" t="s">
        <v>5</v>
      </c>
      <c r="B14" s="91">
        <f>+B9*B12</f>
        <v>-16662.973676000001</v>
      </c>
      <c r="C14" s="91">
        <f t="shared" ref="C14:G14" si="0">+C9*C12</f>
        <v>-15639.397904000003</v>
      </c>
      <c r="D14" s="91">
        <f t="shared" si="0"/>
        <v>-15695.568223999997</v>
      </c>
      <c r="E14" s="91">
        <f t="shared" si="0"/>
        <v>-16879.544451000002</v>
      </c>
      <c r="F14" s="91">
        <f t="shared" si="0"/>
        <v>-16061.992671999997</v>
      </c>
      <c r="G14" s="91">
        <f t="shared" si="0"/>
        <v>-16681.436136</v>
      </c>
      <c r="H14" s="12">
        <f>SUM(B14:G14)</f>
        <v>-97620.913063</v>
      </c>
      <c r="I14" s="90"/>
      <c r="J14" s="54"/>
      <c r="K14" s="13"/>
      <c r="O14" s="88"/>
    </row>
    <row r="15" spans="1:29" x14ac:dyDescent="0.2">
      <c r="E15" s="89"/>
      <c r="H15" s="9"/>
      <c r="I15" s="90"/>
      <c r="O15" s="88"/>
    </row>
    <row r="16" spans="1:29" s="5" customFormat="1" x14ac:dyDescent="0.2">
      <c r="A16" s="3" t="s">
        <v>6</v>
      </c>
      <c r="B16" s="102">
        <v>10129</v>
      </c>
      <c r="C16" s="102">
        <v>10155</v>
      </c>
      <c r="D16" s="102">
        <v>10205</v>
      </c>
      <c r="E16" s="102">
        <v>10251</v>
      </c>
      <c r="F16" s="102">
        <v>10253</v>
      </c>
      <c r="G16" s="102">
        <v>10229</v>
      </c>
      <c r="H16" s="22">
        <f>SUM(B16:G16)</f>
        <v>61222</v>
      </c>
      <c r="I16" s="90"/>
      <c r="J16" s="14"/>
      <c r="K16" s="13"/>
      <c r="L16" s="15"/>
    </row>
    <row r="17" spans="1:16" s="5" customFormat="1" x14ac:dyDescent="0.2">
      <c r="A17" s="16"/>
      <c r="H17" s="8"/>
      <c r="I17" s="90"/>
      <c r="J17" s="14"/>
      <c r="K17" s="13"/>
      <c r="L17" s="15"/>
    </row>
    <row r="18" spans="1:16" x14ac:dyDescent="0.2">
      <c r="A18" s="88" t="s">
        <v>7</v>
      </c>
      <c r="B18" s="17">
        <f t="shared" ref="B18:G18" si="1">+IFERROR(B14/B16,0)</f>
        <v>-1.6450758886365882</v>
      </c>
      <c r="C18" s="17">
        <f t="shared" si="1"/>
        <v>-1.54006872516002</v>
      </c>
      <c r="D18" s="17">
        <f t="shared" si="1"/>
        <v>-1.5380272634982848</v>
      </c>
      <c r="E18" s="17">
        <f t="shared" si="1"/>
        <v>-1.6466241782265147</v>
      </c>
      <c r="F18" s="17">
        <f t="shared" si="1"/>
        <v>-1.5665651684385056</v>
      </c>
      <c r="G18" s="17">
        <f t="shared" si="1"/>
        <v>-1.6307983318017403</v>
      </c>
      <c r="H18" s="18"/>
      <c r="I18" s="90"/>
      <c r="J18" s="19"/>
      <c r="O18" s="88"/>
    </row>
    <row r="19" spans="1:16" x14ac:dyDescent="0.2">
      <c r="A19" s="88" t="s">
        <v>8</v>
      </c>
      <c r="B19" s="103">
        <f>'RSA-1 CPA Eff. 7.1.19'!$G$19</f>
        <v>-1.06</v>
      </c>
      <c r="C19" s="103">
        <f>'RSA-1 CPA Eff. 7.1.19'!$G$19</f>
        <v>-1.06</v>
      </c>
      <c r="D19" s="144">
        <f>'RSA-1 CPA Eff. 7.1.19'!$G$23</f>
        <v>-1.435280438855316</v>
      </c>
      <c r="E19" s="144">
        <f>'RSA-1 CPA Eff. 7.1.19'!$G$23</f>
        <v>-1.435280438855316</v>
      </c>
      <c r="F19" s="144">
        <f>'RSA-1 CPA Eff. 7.1.19'!$G$23</f>
        <v>-1.435280438855316</v>
      </c>
      <c r="G19" s="144">
        <f>'RSA-1 CPA Eff. 7.1.19'!$G$23</f>
        <v>-1.435280438855316</v>
      </c>
      <c r="H19" s="18"/>
      <c r="I19" s="90"/>
      <c r="J19" s="20"/>
      <c r="O19" s="88"/>
    </row>
    <row r="20" spans="1:16" x14ac:dyDescent="0.2">
      <c r="A20" s="21" t="s">
        <v>17</v>
      </c>
      <c r="B20" s="21">
        <f>+(B18-B19)*B16</f>
        <v>-5926.2336760000007</v>
      </c>
      <c r="C20" s="21">
        <f>+(C18-C19)*C16</f>
        <v>-4875.0979040000029</v>
      </c>
      <c r="D20" s="21">
        <f t="shared" ref="D20:G20" si="2">+(D18-D19)*D16</f>
        <v>-1048.5313454814966</v>
      </c>
      <c r="E20" s="21">
        <f t="shared" si="2"/>
        <v>-2166.4846722941584</v>
      </c>
      <c r="F20" s="21">
        <f t="shared" si="2"/>
        <v>-1346.062332416443</v>
      </c>
      <c r="G20" s="21">
        <f t="shared" si="2"/>
        <v>-1999.9525269489741</v>
      </c>
      <c r="H20" s="55">
        <f>SUM(B20:G20)</f>
        <v>-17362.362457141076</v>
      </c>
      <c r="I20" s="90"/>
      <c r="J20" s="5"/>
      <c r="K20" s="13"/>
      <c r="O20" s="88"/>
    </row>
    <row r="21" spans="1:16" x14ac:dyDescent="0.2">
      <c r="A21" s="5"/>
      <c r="B21" s="5"/>
      <c r="C21" s="5"/>
      <c r="D21" s="5"/>
      <c r="E21" s="5"/>
      <c r="F21" s="5"/>
      <c r="G21" s="22"/>
      <c r="O21" s="88"/>
    </row>
    <row r="22" spans="1:16" x14ac:dyDescent="0.2">
      <c r="A22" s="56"/>
      <c r="B22" s="56"/>
      <c r="C22" s="56"/>
      <c r="D22" s="56"/>
      <c r="E22" s="56"/>
      <c r="F22" s="92" t="s">
        <v>19</v>
      </c>
      <c r="G22" s="146">
        <f>ROUND(H20/H16/2,2)</f>
        <v>-0.14000000000000001</v>
      </c>
      <c r="H22" s="23"/>
      <c r="J22" s="57"/>
      <c r="O22" s="88"/>
    </row>
    <row r="23" spans="1:16" x14ac:dyDescent="0.2">
      <c r="A23" s="104"/>
      <c r="B23" s="23"/>
      <c r="C23" s="23"/>
      <c r="D23" s="23"/>
      <c r="E23" s="23"/>
      <c r="F23" s="92" t="s">
        <v>20</v>
      </c>
      <c r="G23" s="145">
        <f>SUM(B14:G14)/SUM(B16:G16)</f>
        <v>-1.5945397579791578</v>
      </c>
      <c r="H23" s="23"/>
      <c r="J23" s="19"/>
      <c r="O23" s="88"/>
    </row>
    <row r="24" spans="1:16" x14ac:dyDescent="0.2">
      <c r="A24" s="106"/>
      <c r="B24" s="23"/>
      <c r="C24" s="23"/>
      <c r="D24" s="23"/>
      <c r="E24" s="23"/>
      <c r="F24" s="93" t="s">
        <v>21</v>
      </c>
      <c r="G24" s="64">
        <f>SUM(G22:G23)</f>
        <v>-1.7345397579791579</v>
      </c>
      <c r="H24" s="23"/>
      <c r="O24" s="88"/>
    </row>
    <row r="25" spans="1:16" x14ac:dyDescent="0.2">
      <c r="A25" s="106"/>
      <c r="B25" s="23"/>
      <c r="C25" s="23"/>
      <c r="D25" s="23"/>
      <c r="E25" s="23"/>
      <c r="F25" s="92"/>
      <c r="G25" s="63"/>
      <c r="H25" s="23"/>
      <c r="I25" s="58"/>
      <c r="J25" s="59"/>
      <c r="O25" s="88"/>
    </row>
    <row r="26" spans="1:16" x14ac:dyDescent="0.2">
      <c r="A26" s="107"/>
      <c r="B26" s="23"/>
      <c r="C26" s="23"/>
      <c r="D26" s="23"/>
      <c r="E26" s="23"/>
      <c r="F26" s="92" t="s">
        <v>22</v>
      </c>
      <c r="G26" s="109">
        <f>'RSA-1 CPA Eff. 7.1.19'!G25</f>
        <v>-2.4543494692353223</v>
      </c>
      <c r="O26" s="88"/>
    </row>
    <row r="27" spans="1:16" x14ac:dyDescent="0.2">
      <c r="A27" s="108"/>
      <c r="B27" s="60"/>
      <c r="C27" s="60"/>
      <c r="D27" s="60"/>
      <c r="E27" s="23"/>
      <c r="F27" s="92" t="s">
        <v>9</v>
      </c>
      <c r="G27" s="10">
        <f>G26-G24</f>
        <v>-0.71980971125616433</v>
      </c>
      <c r="H27" s="87">
        <f>G27/G26</f>
        <v>0.29327922542360213</v>
      </c>
      <c r="I27" s="61"/>
      <c r="O27" s="88"/>
    </row>
    <row r="28" spans="1:16" x14ac:dyDescent="0.2">
      <c r="A28" s="23"/>
      <c r="B28" s="23"/>
      <c r="C28" s="23"/>
      <c r="D28" s="23"/>
      <c r="E28" s="23"/>
      <c r="F28" s="92" t="s">
        <v>23</v>
      </c>
      <c r="G28" s="10">
        <f>G27*H16</f>
        <v>-44068.190142524894</v>
      </c>
      <c r="H28" s="89"/>
      <c r="I28" s="38"/>
      <c r="O28" s="88"/>
    </row>
    <row r="29" spans="1:16" x14ac:dyDescent="0.2">
      <c r="G29" s="35"/>
      <c r="H29" s="90"/>
      <c r="I29" s="20"/>
      <c r="O29" s="88"/>
    </row>
    <row r="30" spans="1:16" x14ac:dyDescent="0.2">
      <c r="J30" s="36"/>
      <c r="K30" s="36"/>
      <c r="L30" s="36"/>
      <c r="M30" s="90"/>
      <c r="N30" s="5"/>
      <c r="O30" s="13"/>
    </row>
    <row r="31" spans="1:16" x14ac:dyDescent="0.2">
      <c r="J31" s="36"/>
      <c r="K31" s="65"/>
      <c r="L31" s="34"/>
      <c r="M31" s="90"/>
      <c r="O31" s="57"/>
    </row>
    <row r="32" spans="1:16" x14ac:dyDescent="0.2">
      <c r="K32" s="36"/>
      <c r="L32" s="65"/>
      <c r="M32" s="62"/>
      <c r="N32" s="90"/>
      <c r="O32" s="88"/>
      <c r="P32" s="19"/>
    </row>
    <row r="33" spans="1:29" ht="15" x14ac:dyDescent="0.25">
      <c r="K33" s="36"/>
      <c r="L33" s="66"/>
      <c r="M33" s="29"/>
      <c r="N33" s="90"/>
      <c r="O33" s="88"/>
      <c r="P33" s="57"/>
    </row>
    <row r="34" spans="1:29" ht="15" x14ac:dyDescent="0.25">
      <c r="A34" s="94"/>
      <c r="B34" s="95"/>
      <c r="C34" s="96"/>
      <c r="D34" s="96"/>
      <c r="E34" s="97"/>
      <c r="F34" s="94"/>
      <c r="G34" s="98"/>
      <c r="H34" s="94"/>
      <c r="I34" s="94"/>
      <c r="J34" s="94"/>
      <c r="K34" s="99"/>
      <c r="L34" s="99"/>
      <c r="M34" s="99"/>
      <c r="N34" s="67"/>
    </row>
    <row r="35" spans="1:29" ht="15" x14ac:dyDescent="0.25">
      <c r="A35" s="94"/>
      <c r="B35" s="95"/>
      <c r="C35" s="96"/>
      <c r="D35" s="96"/>
      <c r="E35" s="97"/>
      <c r="F35" s="94"/>
      <c r="G35" s="98"/>
      <c r="H35" s="94"/>
      <c r="I35" s="94"/>
      <c r="J35" s="94"/>
      <c r="K35" s="99"/>
      <c r="L35" s="99"/>
      <c r="M35" s="99"/>
      <c r="N35" s="36"/>
    </row>
    <row r="36" spans="1:29" ht="15" x14ac:dyDescent="0.25">
      <c r="A36" s="94"/>
      <c r="B36" s="95"/>
      <c r="C36" s="96"/>
      <c r="D36" s="96"/>
      <c r="E36" s="97"/>
      <c r="F36" s="94"/>
      <c r="G36" s="98"/>
      <c r="H36" s="94"/>
      <c r="I36" s="94"/>
      <c r="J36" s="94"/>
      <c r="K36" s="99"/>
      <c r="L36" s="99"/>
      <c r="M36" s="99"/>
    </row>
    <row r="37" spans="1:29" ht="15" x14ac:dyDescent="0.25">
      <c r="A37" s="94"/>
      <c r="B37" s="95"/>
      <c r="C37" s="96"/>
      <c r="D37" s="96"/>
      <c r="E37" s="97"/>
      <c r="F37" s="94"/>
      <c r="G37" s="98"/>
      <c r="H37" s="94"/>
      <c r="I37" s="94"/>
      <c r="J37" s="94"/>
      <c r="K37" s="99"/>
      <c r="L37" s="99"/>
      <c r="M37" s="99"/>
    </row>
    <row r="38" spans="1:29" ht="15" x14ac:dyDescent="0.25">
      <c r="A38" s="94"/>
      <c r="B38" s="95"/>
      <c r="C38" s="96"/>
      <c r="D38" s="96"/>
      <c r="E38" s="97"/>
      <c r="F38" s="94"/>
      <c r="G38" s="98"/>
      <c r="H38" s="94"/>
      <c r="I38" s="94"/>
      <c r="J38" s="94"/>
      <c r="K38" s="99"/>
      <c r="L38" s="99"/>
      <c r="M38" s="99"/>
    </row>
    <row r="39" spans="1:29" ht="15" x14ac:dyDescent="0.25">
      <c r="A39" s="94"/>
      <c r="B39" s="95"/>
      <c r="C39" s="96"/>
      <c r="D39" s="96"/>
      <c r="E39" s="97"/>
      <c r="F39" s="94"/>
      <c r="G39" s="98"/>
      <c r="H39" s="94"/>
      <c r="I39" s="94"/>
      <c r="J39" s="94"/>
      <c r="K39" s="99"/>
      <c r="L39" s="99"/>
      <c r="M39" s="99"/>
    </row>
    <row r="40" spans="1:29" ht="15" x14ac:dyDescent="0.25">
      <c r="A40" s="94"/>
      <c r="B40" s="95"/>
      <c r="C40" s="96"/>
      <c r="D40" s="96"/>
      <c r="E40" s="97"/>
      <c r="F40" s="94"/>
      <c r="G40" s="98"/>
      <c r="H40" s="94"/>
      <c r="I40" s="94"/>
      <c r="J40" s="94"/>
      <c r="K40" s="99"/>
      <c r="L40" s="99"/>
      <c r="M40" s="99"/>
    </row>
    <row r="41" spans="1:29" ht="15" x14ac:dyDescent="0.25">
      <c r="A41" s="94"/>
      <c r="B41" s="95"/>
      <c r="C41" s="96"/>
      <c r="D41" s="96"/>
      <c r="E41" s="97"/>
      <c r="F41" s="94"/>
      <c r="G41" s="98"/>
      <c r="H41" s="94"/>
      <c r="I41" s="94"/>
      <c r="J41" s="94"/>
      <c r="K41" s="99"/>
      <c r="L41" s="99"/>
      <c r="M41" s="99"/>
    </row>
    <row r="42" spans="1:29" ht="15" x14ac:dyDescent="0.25">
      <c r="A42" s="94"/>
      <c r="B42" s="95"/>
      <c r="C42" s="96"/>
      <c r="D42" s="96"/>
      <c r="E42" s="97"/>
      <c r="F42" s="94"/>
      <c r="G42" s="98"/>
      <c r="H42" s="94"/>
      <c r="I42" s="94"/>
      <c r="J42" s="94"/>
      <c r="K42" s="99"/>
      <c r="L42" s="99"/>
      <c r="M42" s="99"/>
    </row>
    <row r="43" spans="1:29" ht="15" x14ac:dyDescent="0.25">
      <c r="A43" s="94"/>
      <c r="B43" s="95"/>
      <c r="C43" s="96"/>
      <c r="D43" s="96"/>
      <c r="E43" s="97"/>
      <c r="F43" s="94"/>
      <c r="G43" s="98"/>
      <c r="H43" s="94"/>
      <c r="I43" s="94"/>
      <c r="J43" s="94"/>
      <c r="K43" s="99"/>
      <c r="L43" s="99"/>
      <c r="M43" s="99"/>
    </row>
    <row r="44" spans="1:29" ht="15" x14ac:dyDescent="0.25">
      <c r="A44" s="94"/>
      <c r="B44" s="95"/>
      <c r="C44" s="96"/>
      <c r="D44" s="96"/>
      <c r="E44" s="97"/>
      <c r="F44" s="94"/>
      <c r="G44" s="98"/>
      <c r="H44" s="94"/>
      <c r="I44" s="94"/>
      <c r="J44" s="94"/>
      <c r="K44" s="99"/>
      <c r="L44" s="99"/>
      <c r="M44" s="99"/>
    </row>
    <row r="45" spans="1:29" ht="15" x14ac:dyDescent="0.25">
      <c r="A45" s="94"/>
      <c r="B45" s="95"/>
      <c r="C45" s="96"/>
      <c r="D45" s="96"/>
      <c r="E45" s="97"/>
      <c r="F45" s="94"/>
      <c r="G45" s="98"/>
      <c r="H45" s="94"/>
      <c r="I45" s="94"/>
      <c r="J45" s="94"/>
      <c r="K45" s="99"/>
      <c r="L45" s="99"/>
      <c r="M45" s="99"/>
    </row>
    <row r="46" spans="1:29" ht="15" x14ac:dyDescent="0.25">
      <c r="A46" s="94"/>
      <c r="B46" s="95"/>
      <c r="C46" s="96"/>
      <c r="D46" s="96"/>
      <c r="E46" s="97"/>
      <c r="F46" s="94"/>
      <c r="G46" s="98"/>
      <c r="H46" s="94"/>
      <c r="I46" s="94"/>
      <c r="J46" s="94"/>
      <c r="K46" s="99"/>
      <c r="L46" s="99"/>
      <c r="M46" s="99"/>
    </row>
    <row r="47" spans="1:29" ht="15" x14ac:dyDescent="0.25">
      <c r="A47" s="94"/>
      <c r="B47" s="95"/>
      <c r="C47" s="96"/>
      <c r="D47" s="96"/>
      <c r="E47" s="97"/>
      <c r="F47" s="94"/>
      <c r="G47" s="98"/>
      <c r="H47" s="94"/>
      <c r="I47" s="94"/>
      <c r="J47" s="94"/>
      <c r="K47" s="99"/>
      <c r="L47" s="99"/>
      <c r="M47" s="99"/>
    </row>
    <row r="48" spans="1:29" s="90" customFormat="1" ht="15" x14ac:dyDescent="0.25">
      <c r="A48" s="94"/>
      <c r="B48" s="95"/>
      <c r="C48" s="96"/>
      <c r="D48" s="96"/>
      <c r="E48" s="97"/>
      <c r="F48" s="94"/>
      <c r="G48" s="98"/>
      <c r="H48" s="94"/>
      <c r="I48" s="94"/>
      <c r="J48" s="94"/>
      <c r="K48" s="99"/>
      <c r="L48" s="99"/>
      <c r="M48" s="99"/>
      <c r="N48" s="88"/>
      <c r="P48" s="88"/>
      <c r="Q48" s="88"/>
      <c r="R48" s="88"/>
      <c r="S48" s="88"/>
      <c r="T48" s="88"/>
      <c r="U48" s="88"/>
      <c r="V48" s="88"/>
      <c r="W48" s="88"/>
      <c r="X48" s="88"/>
      <c r="Y48" s="88"/>
      <c r="Z48" s="88"/>
      <c r="AA48" s="88"/>
      <c r="AB48" s="88"/>
      <c r="AC48" s="88"/>
    </row>
    <row r="49" spans="1:29" s="90" customFormat="1" x14ac:dyDescent="0.2">
      <c r="A49" s="88"/>
      <c r="B49" s="88"/>
      <c r="C49" s="88"/>
      <c r="D49" s="88"/>
      <c r="E49" s="88"/>
      <c r="F49" s="88"/>
      <c r="G49" s="88"/>
      <c r="H49" s="88"/>
      <c r="I49" s="88"/>
      <c r="J49" s="88"/>
      <c r="K49" s="88"/>
      <c r="L49" s="88"/>
      <c r="M49" s="88"/>
      <c r="N49" s="88"/>
      <c r="P49" s="88"/>
      <c r="Q49" s="88"/>
      <c r="R49" s="88"/>
      <c r="S49" s="88"/>
      <c r="T49" s="88"/>
      <c r="U49" s="88"/>
      <c r="V49" s="88"/>
      <c r="W49" s="88"/>
      <c r="X49" s="88"/>
      <c r="Y49" s="88"/>
      <c r="Z49" s="88"/>
      <c r="AA49" s="88"/>
      <c r="AB49" s="88"/>
      <c r="AC49" s="88"/>
    </row>
  </sheetData>
  <pageMargins left="0.7" right="0.7" top="0.75" bottom="0.75" header="0.3" footer="0.3"/>
  <pageSetup scale="82"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2"/>
  <sheetViews>
    <sheetView showGridLines="0" topLeftCell="A34" zoomScaleNormal="100" workbookViewId="0">
      <selection activeCell="G56" sqref="G56"/>
    </sheetView>
  </sheetViews>
  <sheetFormatPr defaultRowHeight="12.75" x14ac:dyDescent="0.2"/>
  <cols>
    <col min="1" max="1" width="35.85546875" style="88" customWidth="1"/>
    <col min="2" max="8" width="12.5703125" style="88" customWidth="1"/>
    <col min="9" max="9" width="11.85546875" style="88" bestFit="1" customWidth="1"/>
    <col min="10" max="10" width="11.28515625" style="88" bestFit="1" customWidth="1"/>
    <col min="11" max="16384" width="9.140625" style="88"/>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1.1.2020'!A4</f>
        <v>Effective January 1, 2020</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1.1.2020'!B6</f>
        <v>43586</v>
      </c>
      <c r="C6" s="31">
        <f>'RSA-1 CPA Eff. 1.1.2020'!C6</f>
        <v>43617</v>
      </c>
      <c r="D6" s="31">
        <f>'RSA-1 CPA Eff. 1.1.2020'!D6</f>
        <v>43647</v>
      </c>
      <c r="E6" s="31">
        <f>'RSA-1 CPA Eff. 1.1.2020'!E6</f>
        <v>43678</v>
      </c>
      <c r="F6" s="31">
        <f>'RSA-1 CPA Eff. 1.1.2020'!F6</f>
        <v>43709</v>
      </c>
      <c r="G6" s="31">
        <f>'RSA-1 CPA Eff. 1.1.2020'!G6</f>
        <v>43739</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89" t="s">
        <v>3</v>
      </c>
      <c r="B9" s="119">
        <v>75.084124293785337</v>
      </c>
      <c r="C9" s="119">
        <v>61.532455347049506</v>
      </c>
      <c r="D9" s="119">
        <v>66.144509803921579</v>
      </c>
      <c r="E9" s="119">
        <v>60.70050763701709</v>
      </c>
      <c r="F9" s="119">
        <v>67.570829596412565</v>
      </c>
      <c r="G9" s="119">
        <v>76.07080844374579</v>
      </c>
      <c r="H9" s="29">
        <f>SUM(B9:G9)</f>
        <v>407.1032351219319</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89" t="s">
        <v>11</v>
      </c>
      <c r="B10" s="148">
        <v>8.76</v>
      </c>
      <c r="C10" s="148">
        <v>9.26</v>
      </c>
      <c r="D10" s="148">
        <v>10.99</v>
      </c>
      <c r="E10" s="148">
        <v>8.33</v>
      </c>
      <c r="F10" s="148">
        <v>8.3699999999999992</v>
      </c>
      <c r="G10" s="148">
        <v>7.86</v>
      </c>
      <c r="H10" s="29">
        <f>SUM(B10:G10)</f>
        <v>53.569999999999993</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83.844124293785342</v>
      </c>
      <c r="C11" s="33">
        <f>SUM(C9:C10)</f>
        <v>70.792455347049511</v>
      </c>
      <c r="D11" s="33">
        <f t="shared" ref="D11" si="0">SUM(D9:D10)</f>
        <v>77.134509803921574</v>
      </c>
      <c r="E11" s="33">
        <f>SUM(E9:E10)</f>
        <v>69.030507637017095</v>
      </c>
      <c r="F11" s="33">
        <f>SUM(F9:F10)</f>
        <v>75.94082959641257</v>
      </c>
      <c r="G11" s="33">
        <f>SUM(G9:G10)</f>
        <v>83.930808443745789</v>
      </c>
      <c r="H11" s="34">
        <f>SUM(B11:G11)</f>
        <v>460.67323512193184</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89"/>
      <c r="B12" s="90"/>
      <c r="C12" s="90"/>
      <c r="D12" s="90"/>
      <c r="E12" s="90"/>
      <c r="F12" s="90"/>
      <c r="G12" s="90"/>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v>-108.96529999999997</v>
      </c>
      <c r="C14" s="118">
        <v>-107.60560000000002</v>
      </c>
      <c r="D14" s="118">
        <v>-105.66559999999997</v>
      </c>
      <c r="E14" s="118">
        <v>-105.90089999999996</v>
      </c>
      <c r="F14" s="118">
        <v>-109.95339999999997</v>
      </c>
      <c r="G14" s="118">
        <v>-111.92589999999994</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89" t="s">
        <v>11</v>
      </c>
      <c r="B15" s="118">
        <v>-30</v>
      </c>
      <c r="C15" s="118">
        <v>-30</v>
      </c>
      <c r="D15" s="118">
        <v>-30</v>
      </c>
      <c r="E15" s="118">
        <v>-30</v>
      </c>
      <c r="F15" s="118">
        <v>-30</v>
      </c>
      <c r="G15" s="118">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x14ac:dyDescent="0.2">
      <c r="A17" s="3" t="s">
        <v>5</v>
      </c>
      <c r="H17" s="36"/>
    </row>
    <row r="18" spans="1:11" x14ac:dyDescent="0.2">
      <c r="A18" s="84" t="s">
        <v>3</v>
      </c>
      <c r="B18" s="39">
        <f t="shared" ref="B18:G18" si="1">B9*B14</f>
        <v>-8181.5641289096047</v>
      </c>
      <c r="C18" s="39">
        <f t="shared" si="1"/>
        <v>-6621.236777092472</v>
      </c>
      <c r="D18" s="39">
        <f t="shared" si="1"/>
        <v>-6989.1993151372544</v>
      </c>
      <c r="E18" s="39">
        <f t="shared" si="1"/>
        <v>-6428.238389216981</v>
      </c>
      <c r="F18" s="39">
        <f t="shared" si="1"/>
        <v>-7429.6424549461872</v>
      </c>
      <c r="G18" s="39">
        <f t="shared" si="1"/>
        <v>-8514.2936987938429</v>
      </c>
      <c r="H18" s="12">
        <f>SUM(B18:G18)</f>
        <v>-44164.174764096344</v>
      </c>
      <c r="I18" s="15"/>
    </row>
    <row r="19" spans="1:11" x14ac:dyDescent="0.2">
      <c r="A19" s="89" t="s">
        <v>11</v>
      </c>
      <c r="B19" s="149">
        <f>+B15*B10</f>
        <v>-262.8</v>
      </c>
      <c r="C19" s="149">
        <f>+C15*C10</f>
        <v>-277.8</v>
      </c>
      <c r="D19" s="149">
        <f t="shared" ref="D19:G19" si="2">+D15*D10</f>
        <v>-329.7</v>
      </c>
      <c r="E19" s="149">
        <f t="shared" si="2"/>
        <v>-249.9</v>
      </c>
      <c r="F19" s="149">
        <f>+F15*F10</f>
        <v>-251.09999999999997</v>
      </c>
      <c r="G19" s="149">
        <f t="shared" si="2"/>
        <v>-235.8</v>
      </c>
      <c r="H19" s="12">
        <f>SUM(B19:G19)</f>
        <v>-1607.1</v>
      </c>
      <c r="I19" s="44"/>
    </row>
    <row r="20" spans="1:11" s="3" customFormat="1" x14ac:dyDescent="0.2">
      <c r="A20" s="3" t="s">
        <v>14</v>
      </c>
      <c r="B20" s="40">
        <f t="shared" ref="B20:C20" si="3">+B18+B19</f>
        <v>-8444.3641289096049</v>
      </c>
      <c r="C20" s="40">
        <f t="shared" si="3"/>
        <v>-6899.0367770924722</v>
      </c>
      <c r="D20" s="40">
        <f>+D18+D19</f>
        <v>-7318.8993151372542</v>
      </c>
      <c r="E20" s="40">
        <f>+E18+E19</f>
        <v>-6678.1383892169806</v>
      </c>
      <c r="F20" s="40">
        <f>+F18+F19</f>
        <v>-7680.7424549461875</v>
      </c>
      <c r="G20" s="40">
        <f>+G18+G19</f>
        <v>-8750.0936987938421</v>
      </c>
      <c r="H20" s="41">
        <f>SUM(H18:H19)</f>
        <v>-45771.274764096343</v>
      </c>
      <c r="I20" s="78"/>
      <c r="J20" s="79"/>
    </row>
    <row r="21" spans="1:11" x14ac:dyDescent="0.2">
      <c r="B21" s="13"/>
      <c r="C21" s="13"/>
      <c r="D21" s="13"/>
      <c r="E21" s="13"/>
      <c r="F21" s="13"/>
      <c r="G21" s="13"/>
      <c r="H21" s="42"/>
    </row>
    <row r="22" spans="1:11" s="5" customFormat="1" x14ac:dyDescent="0.2">
      <c r="A22" s="3" t="s">
        <v>6</v>
      </c>
      <c r="B22" s="123">
        <v>4135</v>
      </c>
      <c r="C22" s="123">
        <v>4133</v>
      </c>
      <c r="D22" s="123">
        <v>4147</v>
      </c>
      <c r="E22" s="123">
        <v>4162</v>
      </c>
      <c r="F22" s="123">
        <v>4170</v>
      </c>
      <c r="G22" s="123">
        <v>4163</v>
      </c>
      <c r="H22" s="8">
        <f>SUM(B22:G22)</f>
        <v>24910</v>
      </c>
      <c r="K22" s="15"/>
    </row>
    <row r="23" spans="1:11" s="5" customFormat="1" x14ac:dyDescent="0.2">
      <c r="H23" s="8"/>
      <c r="K23" s="15"/>
    </row>
    <row r="24" spans="1:11" x14ac:dyDescent="0.2">
      <c r="A24" s="88" t="s">
        <v>7</v>
      </c>
      <c r="B24" s="17">
        <f>+IFERROR(B20/B22,0)</f>
        <v>-2.0421678667254182</v>
      </c>
      <c r="C24" s="17">
        <f t="shared" ref="C24:G24" si="4">+IFERROR(C20/C22,0)</f>
        <v>-1.6692564183625629</v>
      </c>
      <c r="D24" s="17">
        <f t="shared" si="4"/>
        <v>-1.7648660031678935</v>
      </c>
      <c r="E24" s="17">
        <f t="shared" si="4"/>
        <v>-1.6045503097590055</v>
      </c>
      <c r="F24" s="17">
        <f t="shared" si="4"/>
        <v>-1.8419046654547213</v>
      </c>
      <c r="G24" s="17">
        <f t="shared" si="4"/>
        <v>-2.1018721351894887</v>
      </c>
      <c r="H24" s="18"/>
      <c r="I24" s="43"/>
    </row>
    <row r="25" spans="1:11" x14ac:dyDescent="0.2">
      <c r="A25" s="88" t="s">
        <v>8</v>
      </c>
      <c r="B25" s="150">
        <f>'Joe''s CPA Eff 7.1.19'!$G$25</f>
        <v>-1.26</v>
      </c>
      <c r="C25" s="150">
        <f>'Joe''s CPA Eff 7.1.19'!$G$25</f>
        <v>-1.26</v>
      </c>
      <c r="D25" s="151">
        <f>'Joe''s CPA Eff 7.1.19'!$H$29</f>
        <v>-1.3735000133956987</v>
      </c>
      <c r="E25" s="151">
        <f>'Joe''s CPA Eff 7.1.19'!$H$29</f>
        <v>-1.3735000133956987</v>
      </c>
      <c r="F25" s="151">
        <f>'Joe''s CPA Eff 7.1.19'!$H$29</f>
        <v>-1.3735000133956987</v>
      </c>
      <c r="G25" s="151">
        <f>'Joe''s CPA Eff 7.1.19'!$H$29</f>
        <v>-1.3735000133956987</v>
      </c>
      <c r="H25" s="18"/>
      <c r="I25" s="20"/>
    </row>
    <row r="26" spans="1:11" x14ac:dyDescent="0.2">
      <c r="A26" s="21" t="s">
        <v>17</v>
      </c>
      <c r="B26" s="21">
        <f t="shared" ref="B26:C26" si="5">+(B24-B25)*B22</f>
        <v>-3234.2641289096041</v>
      </c>
      <c r="C26" s="21">
        <f t="shared" si="5"/>
        <v>-1691.4567770924723</v>
      </c>
      <c r="D26" s="21">
        <f>+(D24-D25)*D22</f>
        <v>-1622.9947595852921</v>
      </c>
      <c r="E26" s="21">
        <f>+(E24-E25)*E22</f>
        <v>-961.63133346408279</v>
      </c>
      <c r="F26" s="21">
        <f>+(F24-F25)*F22</f>
        <v>-1953.2473990861242</v>
      </c>
      <c r="G26" s="21">
        <f>+(G24-G25)*G22</f>
        <v>-3032.2131430275476</v>
      </c>
      <c r="H26" s="55">
        <f>SUM(B26:G26)</f>
        <v>-12495.807541165123</v>
      </c>
      <c r="I26" s="5"/>
      <c r="J26" s="35"/>
    </row>
    <row r="27" spans="1:11" x14ac:dyDescent="0.2">
      <c r="B27" s="5"/>
      <c r="C27" s="5"/>
      <c r="D27" s="5"/>
      <c r="E27" s="5"/>
      <c r="F27" s="5"/>
      <c r="G27" s="5"/>
      <c r="H27" s="22"/>
    </row>
    <row r="28" spans="1:11" x14ac:dyDescent="0.2">
      <c r="A28" s="7"/>
      <c r="B28" s="56"/>
      <c r="C28" s="56"/>
      <c r="D28" s="56"/>
      <c r="E28" s="56"/>
      <c r="F28" s="56"/>
      <c r="G28" s="92" t="s">
        <v>19</v>
      </c>
      <c r="H28" s="146">
        <f>ROUND(H26/H22/2,2)</f>
        <v>-0.25</v>
      </c>
      <c r="J28" s="35"/>
    </row>
    <row r="29" spans="1:11" x14ac:dyDescent="0.2">
      <c r="A29" s="111"/>
      <c r="B29" s="23"/>
      <c r="C29" s="23"/>
      <c r="D29" s="23"/>
      <c r="E29" s="23"/>
      <c r="F29" s="23"/>
      <c r="G29" s="92" t="s">
        <v>20</v>
      </c>
      <c r="H29" s="147">
        <f>SUM(B20:G20)/SUM(B22:G22)</f>
        <v>-1.8374658676875288</v>
      </c>
      <c r="J29" s="35"/>
    </row>
    <row r="30" spans="1:11" x14ac:dyDescent="0.2">
      <c r="A30" s="112"/>
      <c r="B30" s="23"/>
      <c r="C30" s="23"/>
      <c r="D30" s="23"/>
      <c r="E30" s="23"/>
      <c r="F30" s="23"/>
      <c r="G30" s="93" t="s">
        <v>21</v>
      </c>
      <c r="H30" s="55">
        <f>SUM(H28:H29)</f>
        <v>-2.0874658676875288</v>
      </c>
    </row>
    <row r="31" spans="1:11" x14ac:dyDescent="0.2">
      <c r="A31" s="112"/>
      <c r="B31" s="23"/>
      <c r="C31" s="23"/>
      <c r="G31" s="92"/>
      <c r="H31" s="55"/>
      <c r="J31" s="80"/>
    </row>
    <row r="32" spans="1:11" x14ac:dyDescent="0.2">
      <c r="A32" s="113"/>
      <c r="B32" s="89"/>
      <c r="C32" s="89"/>
      <c r="D32" s="89"/>
      <c r="E32" s="89"/>
      <c r="F32" s="89"/>
      <c r="G32" s="92" t="s">
        <v>22</v>
      </c>
      <c r="H32" s="120">
        <f>'Joe''s CPA Eff 7.1.19'!H31</f>
        <v>-2.1924432633595705</v>
      </c>
      <c r="I32" s="14"/>
    </row>
    <row r="33" spans="1:10" x14ac:dyDescent="0.2">
      <c r="A33" s="36"/>
      <c r="B33" s="89"/>
      <c r="C33" s="89"/>
      <c r="D33" s="89"/>
      <c r="E33" s="89"/>
      <c r="F33" s="89"/>
      <c r="G33" s="92" t="s">
        <v>9</v>
      </c>
      <c r="H33" s="18">
        <f>H32-H30</f>
        <v>-0.10497739567204167</v>
      </c>
      <c r="I33" s="87">
        <f>H33/H32</f>
        <v>4.7881465133642963E-2</v>
      </c>
      <c r="J33" s="80"/>
    </row>
    <row r="34" spans="1:10" x14ac:dyDescent="0.2">
      <c r="A34" s="81"/>
      <c r="B34" s="89"/>
      <c r="C34" s="89"/>
      <c r="D34" s="89"/>
      <c r="E34" s="89"/>
      <c r="F34" s="89"/>
      <c r="G34" s="92" t="s">
        <v>23</v>
      </c>
      <c r="H34" s="18">
        <f>H33*H22</f>
        <v>-2614.9869261905583</v>
      </c>
      <c r="I34" s="14"/>
    </row>
    <row r="35" spans="1:10" x14ac:dyDescent="0.2">
      <c r="A35" s="81"/>
      <c r="B35" s="89"/>
      <c r="C35" s="89"/>
      <c r="D35" s="89"/>
      <c r="E35" s="89"/>
      <c r="F35" s="89"/>
      <c r="G35" s="89"/>
      <c r="H35" s="24"/>
    </row>
    <row r="36" spans="1:10" x14ac:dyDescent="0.2">
      <c r="A36" s="81"/>
      <c r="B36" s="3"/>
      <c r="C36" s="3"/>
      <c r="D36" s="3"/>
      <c r="E36" s="3"/>
      <c r="F36" s="3"/>
      <c r="G36" s="3"/>
      <c r="H36" s="48" t="s">
        <v>24</v>
      </c>
      <c r="I36" s="38"/>
    </row>
    <row r="37" spans="1:10" ht="13.5" thickBot="1" x14ac:dyDescent="0.25">
      <c r="A37" s="73" t="s">
        <v>13</v>
      </c>
      <c r="B37" s="31">
        <f t="shared" ref="B37:G37" si="6">B6</f>
        <v>43586</v>
      </c>
      <c r="C37" s="31">
        <f t="shared" si="6"/>
        <v>43617</v>
      </c>
      <c r="D37" s="31">
        <f t="shared" si="6"/>
        <v>43647</v>
      </c>
      <c r="E37" s="31">
        <f t="shared" si="6"/>
        <v>43678</v>
      </c>
      <c r="F37" s="31">
        <f t="shared" si="6"/>
        <v>43709</v>
      </c>
      <c r="G37" s="31">
        <f t="shared" si="6"/>
        <v>43739</v>
      </c>
      <c r="H37" s="71" t="s">
        <v>1</v>
      </c>
      <c r="I37" s="44"/>
      <c r="J37" s="83"/>
    </row>
    <row r="38" spans="1:10" x14ac:dyDescent="0.2">
      <c r="A38" s="73"/>
      <c r="B38" s="4"/>
      <c r="C38" s="4"/>
      <c r="D38" s="4"/>
      <c r="E38" s="4"/>
      <c r="F38" s="4"/>
      <c r="G38" s="4"/>
      <c r="H38" s="50"/>
      <c r="I38" s="44"/>
      <c r="J38" s="83"/>
    </row>
    <row r="39" spans="1:10" x14ac:dyDescent="0.2">
      <c r="A39" s="3" t="s">
        <v>2</v>
      </c>
      <c r="H39" s="24"/>
    </row>
    <row r="40" spans="1:10" x14ac:dyDescent="0.2">
      <c r="A40" s="84" t="s">
        <v>3</v>
      </c>
      <c r="B40" s="100">
        <v>5.2658757062146861</v>
      </c>
      <c r="C40" s="100">
        <v>4.3175446529504882</v>
      </c>
      <c r="D40" s="100">
        <v>4.6254901960784309</v>
      </c>
      <c r="E40" s="100">
        <v>4.2294923629829251</v>
      </c>
      <c r="F40" s="100">
        <v>4.6991704035874449</v>
      </c>
      <c r="G40" s="100">
        <v>5.2991915562542147</v>
      </c>
      <c r="H40" s="29">
        <f>SUM(B40:G40)</f>
        <v>28.436764878068189</v>
      </c>
      <c r="J40" s="35"/>
    </row>
    <row r="41" spans="1:10" x14ac:dyDescent="0.2">
      <c r="A41" s="84" t="s">
        <v>11</v>
      </c>
      <c r="B41" s="100">
        <v>0.52</v>
      </c>
      <c r="C41" s="100">
        <v>0.53</v>
      </c>
      <c r="D41" s="100">
        <v>0.64</v>
      </c>
      <c r="E41" s="100">
        <v>0.49</v>
      </c>
      <c r="F41" s="100">
        <v>0.49</v>
      </c>
      <c r="G41" s="100">
        <v>0.48</v>
      </c>
      <c r="H41" s="29">
        <f>SUM(B41:G41)</f>
        <v>3.15</v>
      </c>
      <c r="I41" s="85"/>
      <c r="J41" s="35"/>
    </row>
    <row r="42" spans="1:10" x14ac:dyDescent="0.2">
      <c r="A42" s="82" t="s">
        <v>12</v>
      </c>
      <c r="B42" s="33">
        <f t="shared" ref="B42:G42" si="7">SUM(B40:B41)</f>
        <v>5.7858757062146857</v>
      </c>
      <c r="C42" s="33">
        <f t="shared" si="7"/>
        <v>4.8475446529504884</v>
      </c>
      <c r="D42" s="33">
        <f t="shared" si="7"/>
        <v>5.2654901960784306</v>
      </c>
      <c r="E42" s="33">
        <f t="shared" si="7"/>
        <v>4.7194923629829253</v>
      </c>
      <c r="F42" s="33">
        <f>SUM(F40:F41)</f>
        <v>5.1891704035874451</v>
      </c>
      <c r="G42" s="33">
        <f t="shared" si="7"/>
        <v>5.7791915562542151</v>
      </c>
      <c r="H42" s="34">
        <f>SUM(H40:H41)</f>
        <v>31.586764878068188</v>
      </c>
    </row>
    <row r="43" spans="1:10" x14ac:dyDescent="0.2">
      <c r="A43" s="84"/>
      <c r="B43" s="90"/>
      <c r="C43" s="90"/>
      <c r="D43" s="90"/>
      <c r="E43" s="90"/>
      <c r="F43" s="90"/>
      <c r="G43" s="90"/>
      <c r="H43" s="45"/>
    </row>
    <row r="44" spans="1:10" x14ac:dyDescent="0.2">
      <c r="A44" s="82" t="s">
        <v>4</v>
      </c>
      <c r="H44" s="36"/>
    </row>
    <row r="45" spans="1:10" x14ac:dyDescent="0.2">
      <c r="A45" s="84" t="s">
        <v>3</v>
      </c>
      <c r="B45" s="121">
        <f t="shared" ref="B45:G46" si="8">+B14</f>
        <v>-108.96529999999997</v>
      </c>
      <c r="C45" s="121">
        <f t="shared" si="8"/>
        <v>-107.60560000000002</v>
      </c>
      <c r="D45" s="121">
        <f t="shared" si="8"/>
        <v>-105.66559999999997</v>
      </c>
      <c r="E45" s="121">
        <f t="shared" si="8"/>
        <v>-105.90089999999996</v>
      </c>
      <c r="F45" s="121">
        <f t="shared" si="8"/>
        <v>-109.95339999999997</v>
      </c>
      <c r="G45" s="121">
        <f t="shared" si="8"/>
        <v>-111.92589999999994</v>
      </c>
      <c r="H45" s="36"/>
    </row>
    <row r="46" spans="1:10" x14ac:dyDescent="0.2">
      <c r="A46" s="84" t="s">
        <v>11</v>
      </c>
      <c r="B46" s="121">
        <f t="shared" si="8"/>
        <v>-30</v>
      </c>
      <c r="C46" s="121">
        <f t="shared" si="8"/>
        <v>-30</v>
      </c>
      <c r="D46" s="121">
        <f t="shared" si="8"/>
        <v>-30</v>
      </c>
      <c r="E46" s="121">
        <f t="shared" si="8"/>
        <v>-30</v>
      </c>
      <c r="F46" s="121">
        <f t="shared" si="8"/>
        <v>-30</v>
      </c>
      <c r="G46" s="121">
        <f t="shared" si="8"/>
        <v>-30</v>
      </c>
      <c r="H46" s="36"/>
    </row>
    <row r="47" spans="1:10" x14ac:dyDescent="0.2">
      <c r="A47" s="84"/>
      <c r="B47" s="90"/>
      <c r="C47" s="90"/>
      <c r="D47" s="90"/>
      <c r="E47" s="90"/>
      <c r="F47" s="90"/>
      <c r="G47" s="90"/>
      <c r="H47" s="36"/>
    </row>
    <row r="48" spans="1:10" x14ac:dyDescent="0.2">
      <c r="A48" s="3" t="s">
        <v>5</v>
      </c>
      <c r="B48" s="90"/>
      <c r="C48" s="90"/>
      <c r="D48" s="90"/>
      <c r="E48" s="90"/>
      <c r="F48" s="90"/>
      <c r="G48" s="90"/>
      <c r="H48" s="36"/>
    </row>
    <row r="49" spans="1:11" x14ac:dyDescent="0.2">
      <c r="A49" s="84" t="s">
        <v>3</v>
      </c>
      <c r="B49" s="91">
        <f t="shared" ref="B49:G49" si="9">+B40*B45</f>
        <v>-573.79772609039503</v>
      </c>
      <c r="C49" s="91">
        <f t="shared" si="9"/>
        <v>-464.59198290752914</v>
      </c>
      <c r="D49" s="91">
        <f t="shared" si="9"/>
        <v>-488.75519686274492</v>
      </c>
      <c r="E49" s="91">
        <f t="shared" si="9"/>
        <v>-447.9070477830183</v>
      </c>
      <c r="F49" s="91">
        <f>+F40*F45</f>
        <v>-516.68976305381159</v>
      </c>
      <c r="G49" s="91">
        <f t="shared" si="9"/>
        <v>-593.11678420615328</v>
      </c>
      <c r="H49" s="12">
        <f>SUM(B49:G49)</f>
        <v>-3084.8585009036519</v>
      </c>
    </row>
    <row r="50" spans="1:11" x14ac:dyDescent="0.2">
      <c r="A50" s="84" t="s">
        <v>11</v>
      </c>
      <c r="B50" s="91">
        <f t="shared" ref="B50:G50" si="10">+B46*B41</f>
        <v>-15.600000000000001</v>
      </c>
      <c r="C50" s="91">
        <f t="shared" si="10"/>
        <v>-15.9</v>
      </c>
      <c r="D50" s="91">
        <f t="shared" si="10"/>
        <v>-19.2</v>
      </c>
      <c r="E50" s="91">
        <f t="shared" si="10"/>
        <v>-14.7</v>
      </c>
      <c r="F50" s="91">
        <f>+F46*F41</f>
        <v>-14.7</v>
      </c>
      <c r="G50" s="91">
        <f t="shared" si="10"/>
        <v>-14.399999999999999</v>
      </c>
      <c r="H50" s="12">
        <f>SUM(B50:G50)</f>
        <v>-94.5</v>
      </c>
    </row>
    <row r="51" spans="1:11" x14ac:dyDescent="0.2">
      <c r="A51" s="3" t="s">
        <v>14</v>
      </c>
      <c r="B51" s="40">
        <f t="shared" ref="B51:C51" si="11">+B49+B50</f>
        <v>-589.39772609039505</v>
      </c>
      <c r="C51" s="40">
        <f t="shared" si="11"/>
        <v>-480.49198290752912</v>
      </c>
      <c r="D51" s="40">
        <f>+D49+D50</f>
        <v>-507.95519686274491</v>
      </c>
      <c r="E51" s="40">
        <f>+E49+E50</f>
        <v>-462.60704778301829</v>
      </c>
      <c r="F51" s="40">
        <f>+F49+F50</f>
        <v>-531.38976305381163</v>
      </c>
      <c r="G51" s="40">
        <f>+G49+G50</f>
        <v>-607.51678420615326</v>
      </c>
      <c r="H51" s="41">
        <f>SUM(H49:H50)</f>
        <v>-3179.3585009036519</v>
      </c>
    </row>
    <row r="52" spans="1:11" x14ac:dyDescent="0.2">
      <c r="B52" s="5"/>
      <c r="C52" s="5"/>
      <c r="D52" s="5"/>
      <c r="E52" s="5"/>
      <c r="F52" s="5"/>
      <c r="G52" s="5"/>
      <c r="H52" s="9"/>
    </row>
    <row r="53" spans="1:11" x14ac:dyDescent="0.2">
      <c r="A53" s="82" t="s">
        <v>6</v>
      </c>
      <c r="B53" s="102">
        <v>290</v>
      </c>
      <c r="C53" s="102">
        <v>290</v>
      </c>
      <c r="D53" s="102">
        <v>290</v>
      </c>
      <c r="E53" s="102">
        <v>290</v>
      </c>
      <c r="F53" s="102">
        <v>290</v>
      </c>
      <c r="G53" s="102">
        <v>290</v>
      </c>
      <c r="H53" s="8">
        <f>SUM(B53:G53)</f>
        <v>1740</v>
      </c>
      <c r="K53" s="89"/>
    </row>
    <row r="54" spans="1:11" x14ac:dyDescent="0.2">
      <c r="A54" s="84"/>
      <c r="H54" s="9"/>
    </row>
    <row r="55" spans="1:11" x14ac:dyDescent="0.2">
      <c r="A55" s="89" t="s">
        <v>7</v>
      </c>
      <c r="B55" s="17">
        <f t="shared" ref="B55:G55" si="12">IFERROR(B51/B53,0)</f>
        <v>-2.0324059520358451</v>
      </c>
      <c r="C55" s="17">
        <f t="shared" si="12"/>
        <v>-1.6568689065776867</v>
      </c>
      <c r="D55" s="17">
        <f t="shared" si="12"/>
        <v>-1.7515696443542927</v>
      </c>
      <c r="E55" s="17">
        <f t="shared" si="12"/>
        <v>-1.5951967164931664</v>
      </c>
      <c r="F55" s="17">
        <f t="shared" si="12"/>
        <v>-1.8323784932890057</v>
      </c>
      <c r="G55" s="17">
        <f t="shared" si="12"/>
        <v>-2.094885462779839</v>
      </c>
      <c r="H55" s="18"/>
    </row>
    <row r="56" spans="1:11" x14ac:dyDescent="0.2">
      <c r="A56" s="89" t="s">
        <v>8</v>
      </c>
      <c r="B56" s="103">
        <f>'Joe''s CPA Eff 7.1.19'!$G$57</f>
        <v>-1.24</v>
      </c>
      <c r="C56" s="103">
        <f>'Joe''s CPA Eff 7.1.19'!$G$57</f>
        <v>-1.24</v>
      </c>
      <c r="D56" s="144">
        <f>'Joe''s CPA Eff 7.1.19'!$H$61</f>
        <v>-1.3507803500318183</v>
      </c>
      <c r="E56" s="144">
        <f>'Joe''s CPA Eff 7.1.19'!$H$61</f>
        <v>-1.3507803500318183</v>
      </c>
      <c r="F56" s="144">
        <f>'Joe''s CPA Eff 7.1.19'!$H$61</f>
        <v>-1.3507803500318183</v>
      </c>
      <c r="G56" s="144">
        <f>'Joe''s CPA Eff 7.1.19'!$H$61</f>
        <v>-1.3507803500318183</v>
      </c>
      <c r="H56" s="18"/>
    </row>
    <row r="57" spans="1:11" x14ac:dyDescent="0.2">
      <c r="A57" s="21" t="s">
        <v>17</v>
      </c>
      <c r="B57" s="21">
        <f t="shared" ref="B57:C57" si="13">(B55-B56)*B53</f>
        <v>-229.79772609039506</v>
      </c>
      <c r="C57" s="21">
        <f t="shared" si="13"/>
        <v>-120.89198290752915</v>
      </c>
      <c r="D57" s="21">
        <f>(D55-D56)*D53</f>
        <v>-116.22889535351759</v>
      </c>
      <c r="E57" s="21">
        <f>(E55-E56)*E53</f>
        <v>-70.880746273790962</v>
      </c>
      <c r="F57" s="21">
        <f>(F55-F56)*F53</f>
        <v>-139.66346154458435</v>
      </c>
      <c r="G57" s="21">
        <f>(G55-G56)*G53</f>
        <v>-215.79048269692601</v>
      </c>
      <c r="H57" s="55">
        <f>SUM(B57:G57)</f>
        <v>-893.25329486674309</v>
      </c>
    </row>
    <row r="58" spans="1:11" x14ac:dyDescent="0.2">
      <c r="H58" s="7"/>
    </row>
    <row r="59" spans="1:11" ht="15" x14ac:dyDescent="0.25">
      <c r="A59" s="66"/>
      <c r="B59" s="110"/>
      <c r="C59" s="56"/>
      <c r="D59" s="56"/>
      <c r="E59" s="56"/>
      <c r="F59" s="56"/>
      <c r="G59" s="92" t="s">
        <v>19</v>
      </c>
      <c r="H59" s="146">
        <f>ROUND(H57/H53/2,2)</f>
        <v>-0.26</v>
      </c>
    </row>
    <row r="60" spans="1:11" x14ac:dyDescent="0.2">
      <c r="A60" s="111"/>
      <c r="B60" s="114"/>
      <c r="C60" s="23"/>
      <c r="D60" s="23"/>
      <c r="E60" s="23"/>
      <c r="F60" s="23"/>
      <c r="G60" s="92" t="s">
        <v>20</v>
      </c>
      <c r="H60" s="147">
        <f>SUM(B51:G51)/SUM(B53:G53)</f>
        <v>-1.8272175292549726</v>
      </c>
    </row>
    <row r="61" spans="1:11" x14ac:dyDescent="0.2">
      <c r="A61" s="112"/>
      <c r="B61" s="114"/>
      <c r="C61" s="23"/>
      <c r="D61" s="23"/>
      <c r="E61" s="23"/>
      <c r="F61" s="23"/>
      <c r="G61" s="93" t="s">
        <v>21</v>
      </c>
      <c r="H61" s="55">
        <f>SUM(H59:H60)</f>
        <v>-2.0872175292549726</v>
      </c>
    </row>
    <row r="62" spans="1:11" x14ac:dyDescent="0.2">
      <c r="A62" s="113"/>
      <c r="B62" s="116"/>
      <c r="C62" s="86"/>
      <c r="D62" s="86"/>
      <c r="E62" s="86"/>
      <c r="F62" s="86"/>
      <c r="G62" s="92"/>
      <c r="H62" s="55"/>
    </row>
    <row r="63" spans="1:11" x14ac:dyDescent="0.2">
      <c r="A63" s="36"/>
      <c r="B63" s="117"/>
      <c r="C63" s="26"/>
      <c r="D63" s="26"/>
      <c r="E63" s="26"/>
      <c r="F63" s="26"/>
      <c r="G63" s="92" t="s">
        <v>22</v>
      </c>
      <c r="H63" s="120">
        <f>'Joe''s CPA Eff 7.1.19'!H63</f>
        <v>-2.3466852017327371</v>
      </c>
    </row>
    <row r="64" spans="1:11" x14ac:dyDescent="0.2">
      <c r="A64" s="36"/>
      <c r="B64" s="117"/>
      <c r="C64" s="26"/>
      <c r="D64" s="26"/>
      <c r="E64" s="26"/>
      <c r="F64" s="26"/>
      <c r="G64" s="92" t="s">
        <v>9</v>
      </c>
      <c r="H64" s="18">
        <f>H63-H61</f>
        <v>-0.25946767247776448</v>
      </c>
      <c r="I64" s="87">
        <f>H64/H63</f>
        <v>0.11056773711539139</v>
      </c>
    </row>
    <row r="65" spans="1:54" x14ac:dyDescent="0.2">
      <c r="A65" s="36"/>
      <c r="B65" s="36"/>
      <c r="G65" s="92" t="s">
        <v>23</v>
      </c>
      <c r="H65" s="18">
        <f>H64*H53</f>
        <v>-451.47375011131021</v>
      </c>
    </row>
    <row r="66" spans="1:54" x14ac:dyDescent="0.2">
      <c r="B66" s="13"/>
      <c r="C66" s="13"/>
      <c r="D66" s="13"/>
      <c r="E66" s="13"/>
      <c r="F66" s="13"/>
    </row>
    <row r="67" spans="1:54" x14ac:dyDescent="0.2">
      <c r="B67" s="13"/>
      <c r="C67" s="13"/>
      <c r="D67" s="13"/>
      <c r="E67" s="13"/>
      <c r="F67" s="13"/>
      <c r="G67" s="13"/>
      <c r="H67" s="36"/>
    </row>
    <row r="68" spans="1:54" x14ac:dyDescent="0.2">
      <c r="B68" s="13"/>
      <c r="C68" s="13"/>
      <c r="D68" s="13"/>
      <c r="E68" s="13"/>
      <c r="F68" s="13"/>
      <c r="G68" s="13"/>
      <c r="H68" s="36"/>
    </row>
    <row r="69" spans="1:54" x14ac:dyDescent="0.2">
      <c r="H69" s="36"/>
    </row>
    <row r="70" spans="1:54" x14ac:dyDescent="0.2">
      <c r="B70" s="13"/>
      <c r="C70" s="13"/>
      <c r="D70" s="13"/>
      <c r="E70" s="13"/>
      <c r="F70" s="13"/>
      <c r="G70" s="13"/>
      <c r="H70" s="36"/>
    </row>
    <row r="71" spans="1:54" s="90" customFormat="1" x14ac:dyDescent="0.2">
      <c r="A71" s="88"/>
      <c r="B71" s="13"/>
      <c r="C71" s="13"/>
      <c r="D71" s="13"/>
      <c r="E71" s="13"/>
      <c r="F71" s="13"/>
      <c r="G71" s="13"/>
      <c r="H71" s="36"/>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row>
    <row r="72" spans="1:54" s="90" customFormat="1" x14ac:dyDescent="0.2">
      <c r="A72" s="88"/>
      <c r="B72" s="13"/>
      <c r="C72" s="13"/>
      <c r="D72" s="13"/>
      <c r="E72" s="13"/>
      <c r="F72" s="13"/>
      <c r="G72" s="13"/>
      <c r="H72" s="36"/>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row>
    <row r="73" spans="1:54" s="90" customFormat="1" x14ac:dyDescent="0.2">
      <c r="A73" s="88"/>
      <c r="B73" s="88"/>
      <c r="C73" s="88"/>
      <c r="D73" s="88"/>
      <c r="E73" s="88"/>
      <c r="F73" s="88"/>
      <c r="G73" s="88"/>
      <c r="H73" s="36"/>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row>
    <row r="74" spans="1:54" s="90" customFormat="1" x14ac:dyDescent="0.2">
      <c r="A74" s="88"/>
      <c r="B74" s="88"/>
      <c r="C74" s="88"/>
      <c r="D74" s="88"/>
      <c r="E74" s="88"/>
      <c r="F74" s="88"/>
      <c r="G74" s="88"/>
      <c r="H74" s="36"/>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row>
    <row r="75" spans="1:54" s="90" customFormat="1" x14ac:dyDescent="0.2">
      <c r="A75" s="88"/>
      <c r="B75" s="88"/>
      <c r="C75" s="88"/>
      <c r="D75" s="88"/>
      <c r="E75" s="88"/>
      <c r="F75" s="88"/>
      <c r="G75" s="88"/>
      <c r="H75" s="36"/>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row>
    <row r="76" spans="1:54" s="90" customFormat="1" x14ac:dyDescent="0.2">
      <c r="A76" s="88"/>
      <c r="B76" s="88"/>
      <c r="C76" s="88"/>
      <c r="D76" s="88"/>
      <c r="E76" s="88"/>
      <c r="F76" s="88"/>
      <c r="G76" s="88"/>
      <c r="H76" s="36"/>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row>
    <row r="77" spans="1:54" s="90" customFormat="1" x14ac:dyDescent="0.2">
      <c r="A77" s="88"/>
      <c r="B77" s="88"/>
      <c r="C77" s="88"/>
      <c r="D77" s="88"/>
      <c r="E77" s="88"/>
      <c r="F77" s="88"/>
      <c r="G77" s="88"/>
      <c r="H77" s="36"/>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row>
    <row r="78" spans="1:54" s="90" customFormat="1" x14ac:dyDescent="0.2">
      <c r="A78" s="88"/>
      <c r="B78" s="88"/>
      <c r="C78" s="88"/>
      <c r="D78" s="88"/>
      <c r="E78" s="88"/>
      <c r="F78" s="88"/>
      <c r="G78" s="88"/>
      <c r="H78" s="36"/>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row>
    <row r="79" spans="1:54" s="90" customFormat="1" x14ac:dyDescent="0.2">
      <c r="A79" s="88"/>
      <c r="B79" s="88"/>
      <c r="C79" s="88"/>
      <c r="D79" s="88"/>
      <c r="E79" s="88"/>
      <c r="F79" s="88"/>
      <c r="G79" s="88"/>
      <c r="H79" s="36"/>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row>
    <row r="80" spans="1:54" s="90" customFormat="1" x14ac:dyDescent="0.2">
      <c r="A80" s="88"/>
      <c r="B80" s="88"/>
      <c r="C80" s="88"/>
      <c r="D80" s="88"/>
      <c r="E80" s="88"/>
      <c r="F80" s="88"/>
      <c r="G80" s="88"/>
      <c r="H80" s="36"/>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row>
    <row r="81" spans="1:54" s="90" customFormat="1" x14ac:dyDescent="0.2">
      <c r="A81" s="88"/>
      <c r="B81" s="88"/>
      <c r="C81" s="88"/>
      <c r="D81" s="88"/>
      <c r="E81" s="88"/>
      <c r="F81" s="88"/>
      <c r="G81" s="88"/>
      <c r="H81" s="36"/>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row>
    <row r="82" spans="1:54" s="90" customFormat="1" x14ac:dyDescent="0.2">
      <c r="A82" s="88"/>
      <c r="B82" s="88"/>
      <c r="C82" s="88"/>
      <c r="D82" s="88"/>
      <c r="E82" s="88"/>
      <c r="F82" s="88"/>
      <c r="G82" s="88"/>
      <c r="H82" s="36"/>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row>
    <row r="83" spans="1:54" s="90" customFormat="1" x14ac:dyDescent="0.2">
      <c r="A83" s="88"/>
      <c r="B83" s="88"/>
      <c r="C83" s="88"/>
      <c r="D83" s="88"/>
      <c r="E83" s="88"/>
      <c r="F83" s="88"/>
      <c r="G83" s="88"/>
      <c r="H83" s="36"/>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row>
    <row r="84" spans="1:54" s="90" customFormat="1" x14ac:dyDescent="0.2">
      <c r="A84" s="88"/>
      <c r="B84" s="88"/>
      <c r="C84" s="88"/>
      <c r="D84" s="88"/>
      <c r="E84" s="88"/>
      <c r="F84" s="88"/>
      <c r="G84" s="88"/>
      <c r="H84" s="36"/>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row>
    <row r="85" spans="1:54" s="90" customFormat="1" x14ac:dyDescent="0.2">
      <c r="A85" s="88"/>
      <c r="B85" s="88"/>
      <c r="C85" s="88"/>
      <c r="D85" s="88"/>
      <c r="E85" s="88"/>
      <c r="F85" s="88"/>
      <c r="G85" s="88"/>
      <c r="H85" s="36"/>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row>
    <row r="86" spans="1:54" s="90" customFormat="1" x14ac:dyDescent="0.2">
      <c r="A86" s="88"/>
      <c r="B86" s="88"/>
      <c r="C86" s="88"/>
      <c r="D86" s="88"/>
      <c r="E86" s="88"/>
      <c r="F86" s="88"/>
      <c r="G86" s="88"/>
      <c r="H86" s="36"/>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row>
    <row r="87" spans="1:54" s="90" customFormat="1" x14ac:dyDescent="0.2">
      <c r="A87" s="88"/>
      <c r="B87" s="88"/>
      <c r="C87" s="88"/>
      <c r="D87" s="88"/>
      <c r="E87" s="88"/>
      <c r="F87" s="88"/>
      <c r="G87" s="88"/>
      <c r="H87" s="36"/>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row>
    <row r="88" spans="1:54" s="90" customFormat="1" x14ac:dyDescent="0.2">
      <c r="A88" s="88"/>
      <c r="B88" s="88"/>
      <c r="C88" s="88"/>
      <c r="D88" s="88"/>
      <c r="E88" s="88"/>
      <c r="F88" s="88"/>
      <c r="G88" s="88"/>
      <c r="H88" s="36"/>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row>
    <row r="89" spans="1:54" s="90" customFormat="1" x14ac:dyDescent="0.2">
      <c r="A89" s="88"/>
      <c r="B89" s="88"/>
      <c r="C89" s="88"/>
      <c r="D89" s="88"/>
      <c r="E89" s="88"/>
      <c r="F89" s="88"/>
      <c r="G89" s="88"/>
      <c r="H89" s="36"/>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row>
    <row r="90" spans="1:54" s="90" customFormat="1" x14ac:dyDescent="0.2">
      <c r="A90" s="88"/>
      <c r="B90" s="88"/>
      <c r="C90" s="88"/>
      <c r="D90" s="88"/>
      <c r="E90" s="88"/>
      <c r="F90" s="88"/>
      <c r="G90" s="88"/>
      <c r="H90" s="36"/>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row>
    <row r="91" spans="1:54" s="90" customFormat="1" x14ac:dyDescent="0.2">
      <c r="A91" s="88"/>
      <c r="B91" s="88"/>
      <c r="C91" s="88"/>
      <c r="D91" s="88"/>
      <c r="E91" s="88"/>
      <c r="F91" s="88"/>
      <c r="G91" s="88"/>
      <c r="H91" s="36"/>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row>
    <row r="92" spans="1:54" s="90" customFormat="1" x14ac:dyDescent="0.2">
      <c r="A92" s="88"/>
      <c r="B92" s="88"/>
      <c r="C92" s="88"/>
      <c r="D92" s="88"/>
      <c r="E92" s="88"/>
      <c r="F92" s="88"/>
      <c r="G92" s="88"/>
      <c r="H92" s="36"/>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row>
    <row r="93" spans="1:54" s="90" customFormat="1" x14ac:dyDescent="0.2">
      <c r="A93" s="88"/>
      <c r="B93" s="88"/>
      <c r="C93" s="88"/>
      <c r="D93" s="88"/>
      <c r="E93" s="88"/>
      <c r="F93" s="88"/>
      <c r="G93" s="88"/>
      <c r="H93" s="36"/>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row>
    <row r="94" spans="1:54" s="90" customFormat="1" x14ac:dyDescent="0.2">
      <c r="A94" s="88"/>
      <c r="B94" s="88"/>
      <c r="C94" s="88"/>
      <c r="D94" s="88"/>
      <c r="E94" s="88"/>
      <c r="F94" s="88"/>
      <c r="G94" s="88"/>
      <c r="H94" s="36"/>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row>
    <row r="95" spans="1:54" s="90" customFormat="1" x14ac:dyDescent="0.2">
      <c r="A95" s="88"/>
      <c r="B95" s="88"/>
      <c r="C95" s="88"/>
      <c r="D95" s="88"/>
      <c r="E95" s="88"/>
      <c r="F95" s="88"/>
      <c r="G95" s="88"/>
      <c r="H95" s="36"/>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row>
    <row r="96" spans="1:54" s="90" customFormat="1" x14ac:dyDescent="0.2">
      <c r="A96" s="88"/>
      <c r="B96" s="88"/>
      <c r="C96" s="88"/>
      <c r="D96" s="88"/>
      <c r="E96" s="88"/>
      <c r="F96" s="88"/>
      <c r="G96" s="88"/>
      <c r="H96" s="36"/>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row>
    <row r="97" spans="1:54" s="90" customFormat="1" x14ac:dyDescent="0.2">
      <c r="A97" s="88"/>
      <c r="B97" s="88"/>
      <c r="C97" s="88"/>
      <c r="D97" s="88"/>
      <c r="E97" s="88"/>
      <c r="F97" s="88"/>
      <c r="G97" s="88"/>
      <c r="H97" s="36"/>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row>
    <row r="98" spans="1:54" s="90" customFormat="1" x14ac:dyDescent="0.2">
      <c r="A98" s="88"/>
      <c r="B98" s="88"/>
      <c r="C98" s="88"/>
      <c r="D98" s="88"/>
      <c r="E98" s="88"/>
      <c r="F98" s="88"/>
      <c r="G98" s="88"/>
      <c r="H98" s="36"/>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row>
    <row r="99" spans="1:54" s="90" customFormat="1" x14ac:dyDescent="0.2">
      <c r="A99" s="88"/>
      <c r="B99" s="88"/>
      <c r="C99" s="88"/>
      <c r="D99" s="88"/>
      <c r="E99" s="88"/>
      <c r="F99" s="88"/>
      <c r="G99" s="88"/>
      <c r="H99" s="36"/>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row>
    <row r="100" spans="1:54" s="90" customFormat="1" x14ac:dyDescent="0.2">
      <c r="A100" s="88"/>
      <c r="B100" s="88"/>
      <c r="C100" s="88"/>
      <c r="D100" s="88"/>
      <c r="E100" s="88"/>
      <c r="F100" s="88"/>
      <c r="G100" s="88"/>
      <c r="H100" s="36"/>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row>
    <row r="101" spans="1:54" s="90" customFormat="1" x14ac:dyDescent="0.2">
      <c r="A101" s="88"/>
      <c r="B101" s="88"/>
      <c r="C101" s="88"/>
      <c r="D101" s="88"/>
      <c r="E101" s="88"/>
      <c r="F101" s="88"/>
      <c r="G101" s="88"/>
      <c r="H101" s="36"/>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row>
    <row r="102" spans="1:54" s="90" customFormat="1" x14ac:dyDescent="0.2">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row>
  </sheetData>
  <pageMargins left="0.7" right="0.7" top="0.75" bottom="0.75" header="0.3" footer="0.3"/>
  <pageSetup scale="90" fitToHeight="0" orientation="landscape" horizontalDpi="300" verticalDpi="300" r:id="rId1"/>
  <headerFooter alignWithMargins="0"/>
  <rowBreaks count="1" manualBreakCount="1">
    <brk id="35" max="16383" man="1"/>
  </rowBreaks>
  <colBreaks count="1" manualBreakCount="1">
    <brk id="7" max="6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50"/>
  <sheetViews>
    <sheetView showGridLines="0" view="pageBreakPreview" zoomScale="115" zoomScaleNormal="100" zoomScaleSheetLayoutView="115" workbookViewId="0">
      <pane xSplit="1" ySplit="6" topLeftCell="B7" activePane="bottomRight" state="frozen"/>
      <selection activeCell="S43" sqref="S42:S43"/>
      <selection pane="topRight" activeCell="S43" sqref="S42:S43"/>
      <selection pane="bottomLeft" activeCell="S43" sqref="S42:S43"/>
      <selection pane="bottomRight" activeCell="G25" sqref="G25"/>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46" t="s">
        <v>0</v>
      </c>
    </row>
    <row r="3" spans="1:29" x14ac:dyDescent="0.2">
      <c r="A3" s="3" t="s">
        <v>16</v>
      </c>
    </row>
    <row r="4" spans="1:29" x14ac:dyDescent="0.2">
      <c r="A4" s="3" t="s">
        <v>25</v>
      </c>
      <c r="H4" s="47"/>
      <c r="I4" s="2"/>
      <c r="O4" s="1"/>
    </row>
    <row r="5" spans="1:29" x14ac:dyDescent="0.2">
      <c r="B5" s="3"/>
      <c r="C5" s="3"/>
      <c r="D5" s="3"/>
      <c r="E5" s="3"/>
      <c r="F5" s="3"/>
      <c r="G5" s="3"/>
      <c r="H5" s="48" t="s">
        <v>24</v>
      </c>
      <c r="I5" s="2"/>
      <c r="J5" s="49"/>
      <c r="K5" s="49"/>
      <c r="L5" s="49"/>
      <c r="M5" s="49"/>
      <c r="N5" s="49"/>
      <c r="O5" s="49"/>
      <c r="P5" s="49"/>
      <c r="Q5" s="49"/>
      <c r="R5" s="49"/>
      <c r="S5" s="49"/>
      <c r="T5" s="49"/>
      <c r="U5" s="49"/>
      <c r="V5" s="49"/>
      <c r="W5" s="49"/>
    </row>
    <row r="6" spans="1:29" ht="13.5" thickBot="1" x14ac:dyDescent="0.25">
      <c r="A6" s="47"/>
      <c r="B6" s="122">
        <v>43434</v>
      </c>
      <c r="C6" s="122">
        <v>43464</v>
      </c>
      <c r="D6" s="122">
        <v>43495</v>
      </c>
      <c r="E6" s="122">
        <v>43524</v>
      </c>
      <c r="F6" s="122">
        <v>43542</v>
      </c>
      <c r="G6" s="122">
        <v>43585</v>
      </c>
      <c r="H6" s="50" t="s">
        <v>1</v>
      </c>
      <c r="I6" s="2"/>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2"/>
      <c r="O7" s="1"/>
    </row>
    <row r="8" spans="1:29" ht="12.75" customHeight="1" x14ac:dyDescent="0.2">
      <c r="A8" s="3" t="s">
        <v>2</v>
      </c>
      <c r="H8" s="7"/>
      <c r="I8" s="2"/>
      <c r="O8" s="1"/>
    </row>
    <row r="9" spans="1:29" x14ac:dyDescent="0.2">
      <c r="A9" s="27" t="s">
        <v>3</v>
      </c>
      <c r="B9" s="100">
        <f>'[2]Designated RSA-1 Comm Credi'!B9</f>
        <v>148.71500000000003</v>
      </c>
      <c r="C9" s="100">
        <f>'[2]Designated RSA-1 Comm Credi'!C9</f>
        <v>168.37000000000003</v>
      </c>
      <c r="D9" s="100">
        <f>'[2]Designated RSA-1 Comm Credi'!D9</f>
        <v>186.19</v>
      </c>
      <c r="E9" s="100">
        <f>'[2]Designated RSA-1 Comm Credi'!E9</f>
        <v>134.09999999999997</v>
      </c>
      <c r="F9" s="100">
        <f>'[2]Designated RSA-1 Comm Credi'!F9</f>
        <v>151.87999999999997</v>
      </c>
      <c r="G9" s="100">
        <f>'[2]Designated RSA-1 Comm Credi'!G9</f>
        <v>157.41999999999999</v>
      </c>
      <c r="H9" s="29">
        <f>SUM(B9:G9)</f>
        <v>946.67499999999995</v>
      </c>
      <c r="I9" s="2"/>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2"/>
      <c r="J10" s="27"/>
      <c r="O10" s="1"/>
    </row>
    <row r="11" spans="1:29" x14ac:dyDescent="0.2">
      <c r="A11" s="3" t="s">
        <v>4</v>
      </c>
      <c r="B11" s="88"/>
      <c r="C11" s="88"/>
      <c r="D11" s="88"/>
      <c r="E11" s="88"/>
      <c r="F11" s="88"/>
      <c r="G11" s="88"/>
      <c r="H11" s="9"/>
      <c r="I11" s="2"/>
      <c r="O11" s="1"/>
    </row>
    <row r="12" spans="1:29" x14ac:dyDescent="0.2">
      <c r="A12" s="27" t="s">
        <v>3</v>
      </c>
      <c r="B12" s="101">
        <f>'[2]Designated RSA-1 Comm Credi'!B13</f>
        <v>-75.002049999999997</v>
      </c>
      <c r="C12" s="101">
        <f>'[2]Designated RSA-1 Comm Credi'!C13</f>
        <v>-79.117449999999991</v>
      </c>
      <c r="D12" s="101">
        <f>'[2]Designated RSA-1 Comm Credi'!D13</f>
        <v>-87.291550000000001</v>
      </c>
      <c r="E12" s="101">
        <f>'[2]Designated RSA-1 Comm Credi'!E13</f>
        <v>-98.354200000000006</v>
      </c>
      <c r="F12" s="101">
        <f>'[2]Designated RSA-1 Comm Credi'!F13</f>
        <v>-100.63680000000002</v>
      </c>
      <c r="G12" s="101">
        <f>'[2]Designated RSA-1 Comm Credi'!G13</f>
        <v>-106.56740000000001</v>
      </c>
      <c r="H12" s="18"/>
      <c r="I12" s="2"/>
      <c r="J12" s="19"/>
      <c r="K12" s="32"/>
      <c r="L12" s="32"/>
      <c r="M12" s="32"/>
      <c r="N12" s="32"/>
      <c r="O12" s="32"/>
      <c r="P12" s="32"/>
      <c r="Q12" s="32"/>
      <c r="R12" s="32"/>
      <c r="S12" s="32"/>
      <c r="T12" s="32"/>
      <c r="U12" s="32"/>
      <c r="V12" s="32"/>
      <c r="W12" s="32"/>
      <c r="X12" s="32"/>
    </row>
    <row r="13" spans="1:29" x14ac:dyDescent="0.2">
      <c r="B13" s="88"/>
      <c r="C13" s="88"/>
      <c r="D13" s="88"/>
      <c r="E13" s="88"/>
      <c r="F13" s="88"/>
      <c r="G13" s="88"/>
      <c r="H13" s="9"/>
      <c r="I13" s="2"/>
      <c r="O13" s="1"/>
    </row>
    <row r="14" spans="1:29" x14ac:dyDescent="0.2">
      <c r="A14" s="3" t="s">
        <v>5</v>
      </c>
      <c r="B14" s="91">
        <f>+B9*B12</f>
        <v>-11153.929865750002</v>
      </c>
      <c r="C14" s="91">
        <f t="shared" ref="C14:G14" si="0">+C9*C12</f>
        <v>-13321.005056500002</v>
      </c>
      <c r="D14" s="91">
        <f t="shared" si="0"/>
        <v>-16252.813694500001</v>
      </c>
      <c r="E14" s="91">
        <f t="shared" si="0"/>
        <v>-13189.298219999997</v>
      </c>
      <c r="F14" s="91">
        <f t="shared" si="0"/>
        <v>-15284.717183999999</v>
      </c>
      <c r="G14" s="91">
        <f t="shared" si="0"/>
        <v>-16775.840108</v>
      </c>
      <c r="H14" s="12">
        <f>SUM(B14:G14)</f>
        <v>-85977.604128749997</v>
      </c>
      <c r="I14" s="2"/>
      <c r="J14" s="54"/>
      <c r="K14" s="13"/>
      <c r="O14" s="1"/>
    </row>
    <row r="15" spans="1:29" x14ac:dyDescent="0.2">
      <c r="B15" s="88"/>
      <c r="C15" s="88"/>
      <c r="D15" s="88"/>
      <c r="E15" s="89"/>
      <c r="F15" s="88"/>
      <c r="G15" s="88"/>
      <c r="H15" s="9"/>
      <c r="I15" s="2"/>
      <c r="O15" s="1"/>
    </row>
    <row r="16" spans="1:29" s="5" customFormat="1" x14ac:dyDescent="0.2">
      <c r="A16" s="3" t="s">
        <v>6</v>
      </c>
      <c r="B16" s="102">
        <f>'[2]Designated RSA-1 Comm Credi'!B18</f>
        <v>9995</v>
      </c>
      <c r="C16" s="102">
        <f>'[2]Designated RSA-1 Comm Credi'!C18</f>
        <v>9963</v>
      </c>
      <c r="D16" s="102">
        <f>'[2]Designated RSA-1 Comm Credi'!D18</f>
        <v>9959</v>
      </c>
      <c r="E16" s="102">
        <f>'[2]Designated RSA-1 Comm Credi'!E18</f>
        <v>9960</v>
      </c>
      <c r="F16" s="102">
        <f>'[2]Designated RSA-1 Comm Credi'!F18</f>
        <v>9968</v>
      </c>
      <c r="G16" s="102">
        <f>'[2]Designated RSA-1 Comm Credi'!G18</f>
        <v>10058</v>
      </c>
      <c r="H16" s="22">
        <f>SUM(B16:G16)</f>
        <v>59903</v>
      </c>
      <c r="I16" s="2"/>
      <c r="J16" s="14"/>
      <c r="K16" s="13"/>
      <c r="L16" s="15"/>
    </row>
    <row r="17" spans="1:15" s="5" customFormat="1" x14ac:dyDescent="0.2">
      <c r="A17" s="16"/>
      <c r="H17" s="8"/>
      <c r="I17" s="2"/>
      <c r="J17" s="14"/>
      <c r="K17" s="13"/>
      <c r="L17" s="15"/>
    </row>
    <row r="18" spans="1:15" x14ac:dyDescent="0.2">
      <c r="A18" s="1" t="s">
        <v>7</v>
      </c>
      <c r="B18" s="17">
        <f t="shared" ref="B18:G18" si="1">+IFERROR(B14/B16,0)</f>
        <v>-1.1159509620560282</v>
      </c>
      <c r="C18" s="17">
        <f t="shared" si="1"/>
        <v>-1.3370475817022986</v>
      </c>
      <c r="D18" s="17">
        <f t="shared" si="1"/>
        <v>-1.6319724565217393</v>
      </c>
      <c r="E18" s="17">
        <f t="shared" si="1"/>
        <v>-1.3242267289156624</v>
      </c>
      <c r="F18" s="17">
        <f t="shared" si="1"/>
        <v>-1.533378529695024</v>
      </c>
      <c r="G18" s="17">
        <f t="shared" si="1"/>
        <v>-1.6679101320342016</v>
      </c>
      <c r="H18" s="18"/>
      <c r="I18" s="2"/>
      <c r="J18" s="19"/>
      <c r="O18" s="1"/>
    </row>
    <row r="19" spans="1:15" x14ac:dyDescent="0.2">
      <c r="A19" s="1" t="s">
        <v>8</v>
      </c>
      <c r="B19" s="103">
        <f>'[2]Designated RSA-1 Comm Credi'!B21</f>
        <v>-0.98</v>
      </c>
      <c r="C19" s="103">
        <f>'[2]Designated RSA-1 Comm Credi'!C21</f>
        <v>-0.98</v>
      </c>
      <c r="D19" s="103">
        <f>'[2]Designated RSA-1 Comm Credi'!D21</f>
        <v>-1.06</v>
      </c>
      <c r="E19" s="103">
        <f>'[2]Designated RSA-1 Comm Credi'!E21</f>
        <v>-1.06</v>
      </c>
      <c r="F19" s="103">
        <f>'[2]Designated RSA-1 Comm Credi'!F21</f>
        <v>-1.06</v>
      </c>
      <c r="G19" s="103">
        <f>'[2]Designated RSA-1 Comm Credi'!G21</f>
        <v>-1.06</v>
      </c>
      <c r="H19" s="18"/>
      <c r="I19" s="2"/>
      <c r="J19" s="20"/>
      <c r="O19" s="1"/>
    </row>
    <row r="20" spans="1:15" x14ac:dyDescent="0.2">
      <c r="A20" s="21" t="s">
        <v>17</v>
      </c>
      <c r="B20" s="21">
        <f>+(B18-B19)*B16</f>
        <v>-1358.8298657500018</v>
      </c>
      <c r="C20" s="21">
        <f>+(C18-C19)*C16</f>
        <v>-3557.2650565000017</v>
      </c>
      <c r="D20" s="21">
        <f t="shared" ref="D20" si="2">+(D18-D19)*D16</f>
        <v>-5696.2736945000006</v>
      </c>
      <c r="E20" s="21">
        <f t="shared" ref="E20:G20" si="3">+(E18-E19)*E16</f>
        <v>-2631.698219999997</v>
      </c>
      <c r="F20" s="21">
        <f t="shared" si="3"/>
        <v>-4718.6371839999983</v>
      </c>
      <c r="G20" s="21">
        <f t="shared" si="3"/>
        <v>-6114.3601079999989</v>
      </c>
      <c r="H20" s="55">
        <f>SUM(B20:G20)</f>
        <v>-24077.064128749997</v>
      </c>
      <c r="I20" s="2"/>
      <c r="J20" s="5"/>
      <c r="K20" s="13"/>
      <c r="O20" s="1"/>
    </row>
    <row r="21" spans="1:15" x14ac:dyDescent="0.2">
      <c r="A21" s="5"/>
      <c r="B21" s="5"/>
      <c r="C21" s="5"/>
      <c r="D21" s="5"/>
      <c r="E21" s="5"/>
      <c r="F21" s="5"/>
      <c r="G21" s="22"/>
      <c r="O21" s="1"/>
    </row>
    <row r="22" spans="1:15" x14ac:dyDescent="0.2">
      <c r="A22" s="56"/>
      <c r="B22" s="56"/>
      <c r="C22" s="56"/>
      <c r="D22" s="56"/>
      <c r="E22" s="56"/>
      <c r="F22" s="92" t="s">
        <v>19</v>
      </c>
      <c r="G22" s="63">
        <f>ROUND(H20/H16,2)</f>
        <v>-0.4</v>
      </c>
      <c r="H22" s="23"/>
      <c r="J22" s="57"/>
      <c r="O22" s="1"/>
    </row>
    <row r="23" spans="1:15" x14ac:dyDescent="0.2">
      <c r="A23" s="104"/>
      <c r="B23" s="23"/>
      <c r="C23" s="23"/>
      <c r="D23" s="23"/>
      <c r="E23" s="23"/>
      <c r="F23" s="92" t="s">
        <v>20</v>
      </c>
      <c r="G23" s="63">
        <f>SUM(B14:G14)/SUM(B16:G16)</f>
        <v>-1.435280438855316</v>
      </c>
      <c r="H23" s="23"/>
      <c r="J23" s="19"/>
      <c r="O23" s="1"/>
    </row>
    <row r="24" spans="1:15" x14ac:dyDescent="0.2">
      <c r="A24" s="105"/>
      <c r="B24" s="23"/>
      <c r="C24" s="23"/>
      <c r="D24" s="23"/>
      <c r="E24" s="23"/>
      <c r="F24" s="124" t="s">
        <v>37</v>
      </c>
      <c r="G24" s="143">
        <f>-(('RSA-1 CPA Eff 7.1.18'!N22*'RSA-1 CPA Eff. 7.1.19'!H16)-'RSA-1 CPA Eff 7.1.18'!N20)/H16</f>
        <v>-0.61906903038000594</v>
      </c>
      <c r="J24" s="57"/>
      <c r="O24" s="1"/>
    </row>
    <row r="25" spans="1:15" x14ac:dyDescent="0.2">
      <c r="A25" s="106"/>
      <c r="B25" s="23"/>
      <c r="C25" s="23"/>
      <c r="D25" s="23"/>
      <c r="E25" s="23"/>
      <c r="F25" s="93" t="s">
        <v>21</v>
      </c>
      <c r="G25" s="64">
        <f>SUM(G22:G24)</f>
        <v>-2.4543494692353223</v>
      </c>
      <c r="H25" s="23"/>
      <c r="O25" s="1"/>
    </row>
    <row r="26" spans="1:15" x14ac:dyDescent="0.2">
      <c r="A26" s="106"/>
      <c r="B26" s="23"/>
      <c r="C26" s="23"/>
      <c r="D26" s="23"/>
      <c r="E26" s="23"/>
      <c r="F26" s="92"/>
      <c r="G26" s="63"/>
      <c r="H26" s="23"/>
      <c r="I26" s="58"/>
      <c r="J26" s="59"/>
      <c r="O26" s="1"/>
    </row>
    <row r="27" spans="1:15" x14ac:dyDescent="0.2">
      <c r="A27" s="107"/>
      <c r="B27" s="23"/>
      <c r="C27" s="23"/>
      <c r="D27" s="23"/>
      <c r="E27" s="23"/>
      <c r="F27" s="92" t="s">
        <v>22</v>
      </c>
      <c r="G27" s="109">
        <f>'[3]Designated RSA-1 Comm Credit'!$G$25</f>
        <v>-1.9430046563665688</v>
      </c>
      <c r="O27" s="1"/>
    </row>
    <row r="28" spans="1:15" x14ac:dyDescent="0.2">
      <c r="A28" s="108"/>
      <c r="B28" s="60"/>
      <c r="C28" s="60"/>
      <c r="D28" s="60"/>
      <c r="E28" s="23"/>
      <c r="F28" s="92" t="s">
        <v>9</v>
      </c>
      <c r="G28" s="10">
        <f>G27-G25</f>
        <v>0.51134481286875344</v>
      </c>
      <c r="H28" s="87">
        <f>G28/G27</f>
        <v>-0.26317220146295045</v>
      </c>
      <c r="I28" s="61"/>
      <c r="O28" s="1"/>
    </row>
    <row r="29" spans="1:15" x14ac:dyDescent="0.2">
      <c r="A29" s="23"/>
      <c r="B29" s="23"/>
      <c r="C29" s="23"/>
      <c r="D29" s="23"/>
      <c r="E29" s="23"/>
      <c r="F29" s="92" t="s">
        <v>23</v>
      </c>
      <c r="G29" s="10">
        <f>G28*H16</f>
        <v>30631.088325276938</v>
      </c>
      <c r="H29" s="27"/>
      <c r="I29" s="38"/>
      <c r="O29" s="1"/>
    </row>
    <row r="30" spans="1:15" x14ac:dyDescent="0.2">
      <c r="G30" s="35"/>
      <c r="H30" s="2"/>
      <c r="I30" s="20"/>
      <c r="O30" s="1"/>
    </row>
    <row r="31" spans="1:15" x14ac:dyDescent="0.2">
      <c r="J31" s="36"/>
      <c r="K31" s="36"/>
      <c r="L31" s="36"/>
      <c r="M31" s="2"/>
      <c r="N31" s="5"/>
      <c r="O31" s="13"/>
    </row>
    <row r="32" spans="1:15" x14ac:dyDescent="0.2">
      <c r="J32" s="36"/>
      <c r="K32" s="65"/>
      <c r="L32" s="34"/>
      <c r="M32" s="2"/>
      <c r="O32" s="57"/>
    </row>
    <row r="33" spans="1:16" x14ac:dyDescent="0.2">
      <c r="K33" s="36"/>
      <c r="L33" s="65"/>
      <c r="M33" s="62"/>
      <c r="N33" s="2"/>
      <c r="O33" s="1"/>
      <c r="P33" s="19"/>
    </row>
    <row r="34" spans="1:16" ht="15" x14ac:dyDescent="0.25">
      <c r="K34" s="36"/>
      <c r="L34" s="66"/>
      <c r="M34" s="29"/>
      <c r="N34" s="2"/>
      <c r="O34" s="1"/>
      <c r="P34" s="57"/>
    </row>
    <row r="35" spans="1:16" ht="15" x14ac:dyDescent="0.25">
      <c r="A35" s="94"/>
      <c r="B35" s="95"/>
      <c r="C35" s="96"/>
      <c r="D35" s="96"/>
      <c r="E35" s="97"/>
      <c r="F35" s="94"/>
      <c r="G35" s="98"/>
      <c r="H35" s="94"/>
      <c r="I35" s="94"/>
      <c r="J35" s="94"/>
      <c r="K35" s="99"/>
      <c r="L35" s="99"/>
      <c r="M35" s="99"/>
      <c r="N35" s="67"/>
    </row>
    <row r="36" spans="1:16" ht="15" x14ac:dyDescent="0.25">
      <c r="A36" s="94"/>
      <c r="B36" s="95"/>
      <c r="C36" s="96"/>
      <c r="D36" s="96"/>
      <c r="E36" s="97"/>
      <c r="F36" s="94"/>
      <c r="G36" s="98"/>
      <c r="H36" s="94"/>
      <c r="I36" s="94"/>
      <c r="J36" s="94"/>
      <c r="K36" s="99"/>
      <c r="L36" s="99"/>
      <c r="M36" s="99"/>
      <c r="N36" s="36"/>
    </row>
    <row r="37" spans="1:16" ht="15" x14ac:dyDescent="0.25">
      <c r="A37" s="94"/>
      <c r="B37" s="95"/>
      <c r="C37" s="96"/>
      <c r="D37" s="96"/>
      <c r="E37" s="97"/>
      <c r="F37" s="94"/>
      <c r="G37" s="98"/>
      <c r="H37" s="94"/>
      <c r="I37" s="94"/>
      <c r="J37" s="94"/>
      <c r="K37" s="99"/>
      <c r="L37" s="99"/>
      <c r="M37" s="99"/>
      <c r="N37" s="88"/>
    </row>
    <row r="38" spans="1:16" ht="15" x14ac:dyDescent="0.25">
      <c r="A38" s="94"/>
      <c r="B38" s="95"/>
      <c r="C38" s="96"/>
      <c r="D38" s="96"/>
      <c r="E38" s="97"/>
      <c r="F38" s="94"/>
      <c r="G38" s="98"/>
      <c r="H38" s="94"/>
      <c r="I38" s="94"/>
      <c r="J38" s="94"/>
      <c r="K38" s="99"/>
      <c r="L38" s="99"/>
      <c r="M38" s="99"/>
      <c r="N38" s="88"/>
    </row>
    <row r="39" spans="1:16" ht="15" x14ac:dyDescent="0.25">
      <c r="A39" s="94"/>
      <c r="B39" s="95"/>
      <c r="C39" s="96"/>
      <c r="D39" s="96"/>
      <c r="E39" s="97"/>
      <c r="F39" s="94"/>
      <c r="G39" s="98"/>
      <c r="H39" s="94"/>
      <c r="I39" s="94"/>
      <c r="J39" s="94"/>
      <c r="K39" s="99"/>
      <c r="L39" s="99"/>
      <c r="M39" s="99"/>
      <c r="N39" s="88"/>
    </row>
    <row r="40" spans="1:16" ht="15" x14ac:dyDescent="0.25">
      <c r="A40" s="94"/>
      <c r="B40" s="95"/>
      <c r="C40" s="96"/>
      <c r="D40" s="96"/>
      <c r="E40" s="97"/>
      <c r="F40" s="94"/>
      <c r="G40" s="98"/>
      <c r="H40" s="94"/>
      <c r="I40" s="94"/>
      <c r="J40" s="94"/>
      <c r="K40" s="99"/>
      <c r="L40" s="99"/>
      <c r="M40" s="99"/>
      <c r="N40" s="88"/>
    </row>
    <row r="41" spans="1:16" ht="15" x14ac:dyDescent="0.25">
      <c r="A41" s="94"/>
      <c r="B41" s="95"/>
      <c r="C41" s="96"/>
      <c r="D41" s="96"/>
      <c r="E41" s="97"/>
      <c r="F41" s="94"/>
      <c r="G41" s="98"/>
      <c r="H41" s="94"/>
      <c r="I41" s="94"/>
      <c r="J41" s="94"/>
      <c r="K41" s="99"/>
      <c r="L41" s="99"/>
      <c r="M41" s="99"/>
      <c r="N41" s="88"/>
    </row>
    <row r="42" spans="1:16" ht="15" x14ac:dyDescent="0.25">
      <c r="A42" s="94"/>
      <c r="B42" s="95"/>
      <c r="C42" s="96"/>
      <c r="D42" s="96"/>
      <c r="E42" s="97"/>
      <c r="F42" s="94"/>
      <c r="G42" s="98"/>
      <c r="H42" s="94"/>
      <c r="I42" s="94"/>
      <c r="J42" s="94"/>
      <c r="K42" s="99"/>
      <c r="L42" s="99"/>
      <c r="M42" s="99"/>
      <c r="N42" s="88"/>
    </row>
    <row r="43" spans="1:16" ht="15" x14ac:dyDescent="0.25">
      <c r="A43" s="94"/>
      <c r="B43" s="95"/>
      <c r="C43" s="96"/>
      <c r="D43" s="96"/>
      <c r="E43" s="97"/>
      <c r="F43" s="94"/>
      <c r="G43" s="98"/>
      <c r="H43" s="94"/>
      <c r="I43" s="94"/>
      <c r="J43" s="94"/>
      <c r="K43" s="99"/>
      <c r="L43" s="99"/>
      <c r="M43" s="99"/>
      <c r="N43" s="88"/>
    </row>
    <row r="44" spans="1:16" ht="15" x14ac:dyDescent="0.25">
      <c r="A44" s="94"/>
      <c r="B44" s="95"/>
      <c r="C44" s="96"/>
      <c r="D44" s="96"/>
      <c r="E44" s="97"/>
      <c r="F44" s="94"/>
      <c r="G44" s="98"/>
      <c r="H44" s="94"/>
      <c r="I44" s="94"/>
      <c r="J44" s="94"/>
      <c r="K44" s="99"/>
      <c r="L44" s="99"/>
      <c r="M44" s="99"/>
      <c r="N44" s="88"/>
    </row>
    <row r="45" spans="1:16" ht="15" x14ac:dyDescent="0.25">
      <c r="A45" s="94"/>
      <c r="B45" s="95"/>
      <c r="C45" s="96"/>
      <c r="D45" s="96"/>
      <c r="E45" s="97"/>
      <c r="F45" s="94"/>
      <c r="G45" s="98"/>
      <c r="H45" s="94"/>
      <c r="I45" s="94"/>
      <c r="J45" s="94"/>
      <c r="K45" s="99"/>
      <c r="L45" s="99"/>
      <c r="M45" s="99"/>
      <c r="N45" s="88"/>
    </row>
    <row r="46" spans="1:16" ht="15" x14ac:dyDescent="0.25">
      <c r="A46" s="94"/>
      <c r="B46" s="95"/>
      <c r="C46" s="96"/>
      <c r="D46" s="96"/>
      <c r="E46" s="97"/>
      <c r="F46" s="94"/>
      <c r="G46" s="98"/>
      <c r="H46" s="94"/>
      <c r="I46" s="94"/>
      <c r="J46" s="94"/>
      <c r="K46" s="99"/>
      <c r="L46" s="99"/>
      <c r="M46" s="99"/>
      <c r="N46" s="88"/>
    </row>
    <row r="47" spans="1:16" ht="15" x14ac:dyDescent="0.25">
      <c r="A47" s="94"/>
      <c r="B47" s="95"/>
      <c r="C47" s="96"/>
      <c r="D47" s="96"/>
      <c r="E47" s="97"/>
      <c r="F47" s="94"/>
      <c r="G47" s="98"/>
      <c r="H47" s="94"/>
      <c r="I47" s="94"/>
      <c r="J47" s="94"/>
      <c r="K47" s="99"/>
      <c r="L47" s="99"/>
      <c r="M47" s="99"/>
      <c r="N47" s="88"/>
    </row>
    <row r="48" spans="1:16" ht="15" x14ac:dyDescent="0.25">
      <c r="A48" s="94"/>
      <c r="B48" s="95"/>
      <c r="C48" s="96"/>
      <c r="D48" s="96"/>
      <c r="E48" s="97"/>
      <c r="F48" s="94"/>
      <c r="G48" s="98"/>
      <c r="H48" s="94"/>
      <c r="I48" s="94"/>
      <c r="J48" s="94"/>
      <c r="K48" s="99"/>
      <c r="L48" s="99"/>
      <c r="M48" s="99"/>
      <c r="N48" s="88"/>
    </row>
    <row r="49" spans="1:14" ht="15" x14ac:dyDescent="0.25">
      <c r="A49" s="94"/>
      <c r="B49" s="95"/>
      <c r="C49" s="96"/>
      <c r="D49" s="96"/>
      <c r="E49" s="97"/>
      <c r="F49" s="94"/>
      <c r="G49" s="98"/>
      <c r="H49" s="94"/>
      <c r="I49" s="94"/>
      <c r="J49" s="94"/>
      <c r="K49" s="99"/>
      <c r="L49" s="99"/>
      <c r="M49" s="99"/>
      <c r="N49" s="88"/>
    </row>
    <row r="50" spans="1:14" x14ac:dyDescent="0.2">
      <c r="A50" s="88"/>
      <c r="B50" s="88"/>
      <c r="C50" s="88"/>
      <c r="D50" s="88"/>
      <c r="E50" s="88"/>
      <c r="F50" s="88"/>
      <c r="G50" s="88"/>
      <c r="H50" s="88"/>
      <c r="I50" s="88"/>
      <c r="J50" s="88"/>
      <c r="K50" s="88"/>
      <c r="L50" s="88"/>
      <c r="M50" s="88"/>
      <c r="N50" s="88"/>
    </row>
  </sheetData>
  <pageMargins left="0.7" right="0.7" top="0.75" bottom="0.75" header="0.3" footer="0.3"/>
  <pageSetup scale="82"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4"/>
  <sheetViews>
    <sheetView showGridLines="0" topLeftCell="A19" zoomScale="85" zoomScaleNormal="85"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7.1.19'!A4</f>
        <v>Effective July 1, 2019</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7.1.19'!B6</f>
        <v>43434</v>
      </c>
      <c r="C6" s="31">
        <f>'RSA-1 CPA Eff. 7.1.19'!C6</f>
        <v>43464</v>
      </c>
      <c r="D6" s="31">
        <f>'RSA-1 CPA Eff. 7.1.19'!D6</f>
        <v>43495</v>
      </c>
      <c r="E6" s="31">
        <f>'RSA-1 CPA Eff. 7.1.19'!E6</f>
        <v>43524</v>
      </c>
      <c r="F6" s="31">
        <f>'RSA-1 CPA Eff. 7.1.19'!F6</f>
        <v>43542</v>
      </c>
      <c r="G6" s="31">
        <f>'RSA-1 CPA Eff. 7.1.19'!G6</f>
        <v>43585</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27" t="s">
        <v>3</v>
      </c>
      <c r="B9" s="119">
        <f>'[2]Joe''s Comm Credit'!B9</f>
        <v>74.368845019287505</v>
      </c>
      <c r="C9" s="119">
        <f>'[2]Joe''s Comm Credit'!C9</f>
        <v>50.59163085274826</v>
      </c>
      <c r="D9" s="119">
        <f>'[2]Joe''s Comm Credit'!D9</f>
        <v>58.924795335010288</v>
      </c>
      <c r="E9" s="119">
        <f>'[2]Joe''s Comm Credit'!E9</f>
        <v>58.925752171925005</v>
      </c>
      <c r="F9" s="119">
        <f>'[2]Joe''s Comm Credit'!F9</f>
        <v>47.103936775073912</v>
      </c>
      <c r="G9" s="119">
        <f>'[2]Joe''s Comm Credit'!G9</f>
        <v>62.714810298102961</v>
      </c>
      <c r="H9" s="29">
        <f>SUM(B9:G9)</f>
        <v>352.62977045214797</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27" t="s">
        <v>11</v>
      </c>
      <c r="B10" s="119">
        <f>'[2]Joe''s Comm Credit'!B10</f>
        <v>11.68</v>
      </c>
      <c r="C10" s="119">
        <f>'[2]Joe''s Comm Credit'!C10</f>
        <v>7.77</v>
      </c>
      <c r="D10" s="119">
        <f>'[2]Joe''s Comm Credit'!D10</f>
        <v>11.79</v>
      </c>
      <c r="E10" s="119">
        <f>'[2]Joe''s Comm Credit'!E10</f>
        <v>8.1300000000000008</v>
      </c>
      <c r="F10" s="119">
        <f>'[2]Joe''s Comm Credit'!F10</f>
        <v>10.08</v>
      </c>
      <c r="G10" s="119">
        <f>'[2]Joe''s Comm Credit'!G10</f>
        <v>9.84</v>
      </c>
      <c r="H10" s="29">
        <f>SUM(B10:G10)</f>
        <v>59.289999999999992</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86.048845019287512</v>
      </c>
      <c r="C11" s="33">
        <f>SUM(C9:C10)</f>
        <v>58.361630852748263</v>
      </c>
      <c r="D11" s="33">
        <f t="shared" ref="D11" si="0">SUM(D9:D10)</f>
        <v>70.71479533501028</v>
      </c>
      <c r="E11" s="33">
        <f>SUM(E9:E10)</f>
        <v>67.055752171925008</v>
      </c>
      <c r="F11" s="33">
        <f>SUM(F9:F10)</f>
        <v>57.18393677507391</v>
      </c>
      <c r="G11" s="33">
        <f>SUM(G9:G10)</f>
        <v>72.554810298102964</v>
      </c>
      <c r="H11" s="34">
        <f>SUM(B11:G11)</f>
        <v>411.91977045214793</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27"/>
      <c r="B12" s="2"/>
      <c r="C12" s="2"/>
      <c r="D12" s="2"/>
      <c r="E12" s="2"/>
      <c r="F12" s="2"/>
      <c r="G12" s="2"/>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f>'[2]Joe''s Comm Credit'!B15</f>
        <v>-75.002049999999983</v>
      </c>
      <c r="C14" s="118">
        <f>'[2]Joe''s Comm Credit'!C15</f>
        <v>-79.117449999999977</v>
      </c>
      <c r="D14" s="118">
        <f>'[2]Joe''s Comm Credit'!D15</f>
        <v>-87.291550000000001</v>
      </c>
      <c r="E14" s="118">
        <f>'[2]Joe''s Comm Credit'!E15</f>
        <v>-98.354200000000034</v>
      </c>
      <c r="F14" s="118">
        <f>'[2]Joe''s Comm Credit'!F15</f>
        <v>-100.63679999999999</v>
      </c>
      <c r="G14" s="118">
        <f>'[2]Joe''s Comm Credit'!G15</f>
        <v>-106.56739999999998</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27" t="s">
        <v>11</v>
      </c>
      <c r="B15" s="118">
        <f>'[2]Joe''s Comm Credit'!B16</f>
        <v>-30</v>
      </c>
      <c r="C15" s="118">
        <f>'[2]Joe''s Comm Credit'!C16</f>
        <v>-30</v>
      </c>
      <c r="D15" s="118">
        <f>'[2]Joe''s Comm Credit'!D16</f>
        <v>-30</v>
      </c>
      <c r="E15" s="118">
        <f>'[2]Joe''s Comm Credit'!E16</f>
        <v>-30</v>
      </c>
      <c r="F15" s="118">
        <f>'[2]Joe''s Comm Credit'!F16</f>
        <v>-30</v>
      </c>
      <c r="G15" s="118">
        <f>'[2]Joe''s Comm Credit'!G16</f>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s="88" customFormat="1" x14ac:dyDescent="0.2">
      <c r="A17" s="3" t="s">
        <v>5</v>
      </c>
      <c r="H17" s="36"/>
    </row>
    <row r="18" spans="1:11" x14ac:dyDescent="0.2">
      <c r="A18" s="84" t="s">
        <v>3</v>
      </c>
      <c r="B18" s="39">
        <f t="shared" ref="B18:G18" si="1">B9*B14</f>
        <v>-5577.8158325788509</v>
      </c>
      <c r="C18" s="39">
        <f t="shared" si="1"/>
        <v>-4002.6808244107665</v>
      </c>
      <c r="D18" s="39">
        <f t="shared" si="1"/>
        <v>-5143.6367182258173</v>
      </c>
      <c r="E18" s="39">
        <f t="shared" si="1"/>
        <v>-5795.595214267948</v>
      </c>
      <c r="F18" s="39">
        <f t="shared" si="1"/>
        <v>-4740.3894644457578</v>
      </c>
      <c r="G18" s="39">
        <f t="shared" si="1"/>
        <v>-6683.3542749620565</v>
      </c>
      <c r="H18" s="12">
        <f>SUM(B18:G18)</f>
        <v>-31943.472328891199</v>
      </c>
      <c r="I18" s="15"/>
    </row>
    <row r="19" spans="1:11" x14ac:dyDescent="0.2">
      <c r="A19" s="27" t="s">
        <v>11</v>
      </c>
      <c r="B19" s="39">
        <f>+B15*B10</f>
        <v>-350.4</v>
      </c>
      <c r="C19" s="39">
        <f>+C15*C10</f>
        <v>-233.1</v>
      </c>
      <c r="D19" s="39">
        <f t="shared" ref="D19:G19" si="2">+D15*D10</f>
        <v>-353.7</v>
      </c>
      <c r="E19" s="39">
        <f t="shared" si="2"/>
        <v>-243.90000000000003</v>
      </c>
      <c r="F19" s="39">
        <f>+F15*F10</f>
        <v>-302.39999999999998</v>
      </c>
      <c r="G19" s="39">
        <f t="shared" si="2"/>
        <v>-295.2</v>
      </c>
      <c r="H19" s="12">
        <f>SUM(B19:G19)</f>
        <v>-1778.7</v>
      </c>
      <c r="I19" s="44"/>
    </row>
    <row r="20" spans="1:11" s="3" customFormat="1" x14ac:dyDescent="0.2">
      <c r="A20" s="3" t="s">
        <v>14</v>
      </c>
      <c r="B20" s="40">
        <f t="shared" ref="B20:C20" si="3">+B18+B19</f>
        <v>-5928.2158325788505</v>
      </c>
      <c r="C20" s="40">
        <f t="shared" si="3"/>
        <v>-4235.7808244107664</v>
      </c>
      <c r="D20" s="40">
        <f>+D18+D19</f>
        <v>-5497.3367182258171</v>
      </c>
      <c r="E20" s="40">
        <f>+E18+E19</f>
        <v>-6039.4952142679476</v>
      </c>
      <c r="F20" s="40">
        <f>+F18+F19</f>
        <v>-5042.7894644457574</v>
      </c>
      <c r="G20" s="40">
        <f>+G18+G19</f>
        <v>-6978.5542749620563</v>
      </c>
      <c r="H20" s="41">
        <f>SUM(H18:H19)</f>
        <v>-33722.172328891196</v>
      </c>
      <c r="I20" s="78"/>
      <c r="J20" s="79"/>
    </row>
    <row r="21" spans="1:11" x14ac:dyDescent="0.2">
      <c r="B21" s="13"/>
      <c r="C21" s="13"/>
      <c r="D21" s="13"/>
      <c r="E21" s="13"/>
      <c r="F21" s="13"/>
      <c r="G21" s="13"/>
      <c r="H21" s="42"/>
    </row>
    <row r="22" spans="1:11" s="5" customFormat="1" x14ac:dyDescent="0.2">
      <c r="A22" s="3" t="s">
        <v>6</v>
      </c>
      <c r="B22" s="123">
        <f>'[2]Joe''s Comm Credit'!B23</f>
        <v>4060</v>
      </c>
      <c r="C22" s="123">
        <f>'[2]Joe''s Comm Credit'!C23</f>
        <v>4080</v>
      </c>
      <c r="D22" s="123">
        <f>'[2]Joe''s Comm Credit'!D23</f>
        <v>4083</v>
      </c>
      <c r="E22" s="123">
        <f>'[2]Joe''s Comm Credit'!E23</f>
        <v>4084</v>
      </c>
      <c r="F22" s="123">
        <f>'[2]Joe''s Comm Credit'!F23</f>
        <v>4107</v>
      </c>
      <c r="G22" s="123">
        <f>'[2]Joe''s Comm Credit'!G23</f>
        <v>4138</v>
      </c>
      <c r="H22" s="8">
        <f>SUM(B22:G22)</f>
        <v>24552</v>
      </c>
      <c r="K22" s="15"/>
    </row>
    <row r="23" spans="1:11" s="5" customFormat="1" x14ac:dyDescent="0.2">
      <c r="H23" s="8"/>
      <c r="K23" s="15"/>
    </row>
    <row r="24" spans="1:11" x14ac:dyDescent="0.2">
      <c r="A24" s="1" t="s">
        <v>7</v>
      </c>
      <c r="B24" s="17">
        <f>+IFERROR(B20/B22,0)</f>
        <v>-1.4601516829011947</v>
      </c>
      <c r="C24" s="17">
        <f t="shared" ref="C24:G24" si="4">+IFERROR(C20/C22,0)</f>
        <v>-1.0381815746104819</v>
      </c>
      <c r="D24" s="17">
        <f t="shared" si="4"/>
        <v>-1.3463964531535189</v>
      </c>
      <c r="E24" s="17">
        <f t="shared" si="4"/>
        <v>-1.4788186127002809</v>
      </c>
      <c r="F24" s="17">
        <f t="shared" si="4"/>
        <v>-1.2278523166412849</v>
      </c>
      <c r="G24" s="17">
        <f t="shared" si="4"/>
        <v>-1.6864558421851272</v>
      </c>
      <c r="H24" s="18"/>
      <c r="I24" s="43"/>
    </row>
    <row r="25" spans="1:11" x14ac:dyDescent="0.2">
      <c r="A25" s="1" t="s">
        <v>8</v>
      </c>
      <c r="B25" s="103">
        <f>'[2]Joe''s Comm Credit'!B26</f>
        <v>-0.99</v>
      </c>
      <c r="C25" s="103">
        <f>'[2]Joe''s Comm Credit'!C26</f>
        <v>-0.99</v>
      </c>
      <c r="D25" s="103">
        <f>'[2]Joe''s Comm Credit'!D26</f>
        <v>-1.26</v>
      </c>
      <c r="E25" s="103">
        <f>'[2]Joe''s Comm Credit'!E26</f>
        <v>-1.26</v>
      </c>
      <c r="F25" s="103">
        <f>'[2]Joe''s Comm Credit'!F26</f>
        <v>-1.26</v>
      </c>
      <c r="G25" s="103">
        <f>'[2]Joe''s Comm Credit'!G26</f>
        <v>-1.26</v>
      </c>
      <c r="H25" s="18"/>
      <c r="I25" s="20"/>
    </row>
    <row r="26" spans="1:11" x14ac:dyDescent="0.2">
      <c r="A26" s="21" t="s">
        <v>17</v>
      </c>
      <c r="B26" s="21">
        <f t="shared" ref="B26:C26" si="5">+(B24-B25)*B22</f>
        <v>-1908.8158325788504</v>
      </c>
      <c r="C26" s="21">
        <f t="shared" si="5"/>
        <v>-196.58082441076613</v>
      </c>
      <c r="D26" s="21">
        <f>+(D24-D25)*D22</f>
        <v>-352.75671822581745</v>
      </c>
      <c r="E26" s="21">
        <f>+(E24-E25)*E22</f>
        <v>-893.65521426794726</v>
      </c>
      <c r="F26" s="21">
        <f>+(F24-F25)*F22</f>
        <v>132.0305355542429</v>
      </c>
      <c r="G26" s="21">
        <f>+(G24-G25)*G22</f>
        <v>-1764.6742749620564</v>
      </c>
      <c r="H26" s="55">
        <f>SUM(B26:G26)</f>
        <v>-4984.4523288911951</v>
      </c>
      <c r="I26" s="5"/>
      <c r="J26" s="35"/>
    </row>
    <row r="27" spans="1:11" x14ac:dyDescent="0.2">
      <c r="B27" s="5"/>
      <c r="C27" s="5"/>
      <c r="D27" s="5"/>
      <c r="E27" s="5"/>
      <c r="F27" s="5"/>
      <c r="G27" s="5"/>
      <c r="H27" s="22"/>
    </row>
    <row r="28" spans="1:11" x14ac:dyDescent="0.2">
      <c r="A28" s="7"/>
      <c r="B28" s="56"/>
      <c r="C28" s="56"/>
      <c r="D28" s="56"/>
      <c r="E28" s="56"/>
      <c r="F28" s="56"/>
      <c r="G28" s="92" t="s">
        <v>19</v>
      </c>
      <c r="H28" s="18">
        <f>ROUND(H26/H22,2)</f>
        <v>-0.2</v>
      </c>
      <c r="J28" s="35"/>
    </row>
    <row r="29" spans="1:11" x14ac:dyDescent="0.2">
      <c r="A29" s="111"/>
      <c r="B29" s="23"/>
      <c r="C29" s="23"/>
      <c r="D29" s="23"/>
      <c r="E29" s="23"/>
      <c r="F29" s="23"/>
      <c r="G29" s="92" t="s">
        <v>20</v>
      </c>
      <c r="H29" s="18">
        <f>SUM(B20:G20)/SUM(B22:G22)</f>
        <v>-1.3735000133956987</v>
      </c>
      <c r="J29" s="35"/>
    </row>
    <row r="30" spans="1:11" x14ac:dyDescent="0.2">
      <c r="A30" s="112"/>
      <c r="B30" s="23"/>
      <c r="C30" s="23"/>
      <c r="D30" s="23"/>
      <c r="E30" s="23"/>
      <c r="F30" s="23"/>
      <c r="G30" s="124" t="s">
        <v>37</v>
      </c>
      <c r="H30" s="142">
        <f>-(('Joe''s CPA Eff 7.1.18'!N28*'Joe''s CPA Eff 7.1.19'!H22)-'Joe''s CPA Eff 7.1.18'!N26)/'Joe''s CPA Eff 7.1.19'!H22</f>
        <v>-0.61894324996387184</v>
      </c>
      <c r="J30" s="35"/>
    </row>
    <row r="31" spans="1:11" x14ac:dyDescent="0.2">
      <c r="A31" s="112"/>
      <c r="B31" s="23"/>
      <c r="C31" s="23"/>
      <c r="D31" s="23"/>
      <c r="E31" s="23"/>
      <c r="F31" s="23"/>
      <c r="G31" s="93" t="s">
        <v>21</v>
      </c>
      <c r="H31" s="55">
        <f>SUM(H28:H30)</f>
        <v>-2.1924432633595705</v>
      </c>
    </row>
    <row r="32" spans="1:11" x14ac:dyDescent="0.2">
      <c r="A32" s="112"/>
      <c r="B32" s="23"/>
      <c r="C32" s="23"/>
      <c r="G32" s="92"/>
      <c r="H32" s="55"/>
      <c r="J32" s="80"/>
    </row>
    <row r="33" spans="1:10" x14ac:dyDescent="0.2">
      <c r="A33" s="113"/>
      <c r="B33" s="27"/>
      <c r="C33" s="27"/>
      <c r="D33" s="27"/>
      <c r="E33" s="27"/>
      <c r="F33" s="27"/>
      <c r="G33" s="92" t="s">
        <v>22</v>
      </c>
      <c r="H33" s="120">
        <f>'[3]Joe''s Comm Credit'!$H$31</f>
        <v>-2.3817294607580517</v>
      </c>
      <c r="I33" s="14"/>
    </row>
    <row r="34" spans="1:10" x14ac:dyDescent="0.2">
      <c r="A34" s="36"/>
      <c r="B34" s="27"/>
      <c r="C34" s="27"/>
      <c r="D34" s="27"/>
      <c r="E34" s="27"/>
      <c r="F34" s="27"/>
      <c r="G34" s="92" t="s">
        <v>9</v>
      </c>
      <c r="H34" s="18">
        <f>H33-H31</f>
        <v>-0.18928619739848118</v>
      </c>
      <c r="I34" s="87">
        <f>H34/H33</f>
        <v>7.9474264611999884E-2</v>
      </c>
      <c r="J34" s="80"/>
    </row>
    <row r="35" spans="1:10" x14ac:dyDescent="0.2">
      <c r="A35" s="81"/>
      <c r="B35" s="27"/>
      <c r="C35" s="27"/>
      <c r="D35" s="27"/>
      <c r="E35" s="27"/>
      <c r="F35" s="27"/>
      <c r="G35" s="92" t="s">
        <v>23</v>
      </c>
      <c r="H35" s="18">
        <f>H34*H22</f>
        <v>-4647.3547185275102</v>
      </c>
      <c r="I35" s="14"/>
    </row>
    <row r="36" spans="1:10" s="88" customFormat="1" x14ac:dyDescent="0.2">
      <c r="A36" s="81"/>
      <c r="B36" s="89"/>
      <c r="C36" s="89"/>
      <c r="D36" s="89"/>
      <c r="E36" s="89"/>
      <c r="F36" s="89"/>
      <c r="G36" s="89"/>
      <c r="H36" s="24"/>
    </row>
    <row r="37" spans="1:10" x14ac:dyDescent="0.2">
      <c r="A37" s="81"/>
      <c r="B37" s="3"/>
      <c r="C37" s="3"/>
      <c r="D37" s="3"/>
      <c r="E37" s="3"/>
      <c r="F37" s="3"/>
      <c r="G37" s="3"/>
      <c r="H37" s="48" t="s">
        <v>24</v>
      </c>
      <c r="I37" s="38"/>
    </row>
    <row r="38" spans="1:10" ht="13.5" thickBot="1" x14ac:dyDescent="0.25">
      <c r="A38" s="73" t="s">
        <v>13</v>
      </c>
      <c r="B38" s="31">
        <f t="shared" ref="B38:G38" si="6">B6</f>
        <v>43434</v>
      </c>
      <c r="C38" s="31">
        <f t="shared" si="6"/>
        <v>43464</v>
      </c>
      <c r="D38" s="31">
        <f t="shared" si="6"/>
        <v>43495</v>
      </c>
      <c r="E38" s="31">
        <f t="shared" si="6"/>
        <v>43524</v>
      </c>
      <c r="F38" s="31">
        <f t="shared" si="6"/>
        <v>43542</v>
      </c>
      <c r="G38" s="31">
        <f t="shared" si="6"/>
        <v>43585</v>
      </c>
      <c r="H38" s="71" t="s">
        <v>1</v>
      </c>
      <c r="I38" s="44"/>
      <c r="J38" s="83"/>
    </row>
    <row r="39" spans="1:10" s="88" customFormat="1" x14ac:dyDescent="0.2">
      <c r="A39" s="73"/>
      <c r="B39" s="4"/>
      <c r="C39" s="4"/>
      <c r="D39" s="4"/>
      <c r="E39" s="4"/>
      <c r="F39" s="4"/>
      <c r="G39" s="4"/>
      <c r="H39" s="50"/>
      <c r="I39" s="44"/>
      <c r="J39" s="83"/>
    </row>
    <row r="40" spans="1:10" x14ac:dyDescent="0.2">
      <c r="A40" s="3" t="s">
        <v>2</v>
      </c>
      <c r="H40" s="24"/>
    </row>
    <row r="41" spans="1:10" x14ac:dyDescent="0.2">
      <c r="A41" s="84" t="s">
        <v>3</v>
      </c>
      <c r="B41" s="100">
        <f>'[2]Joe''s Comm Credit'!B39</f>
        <v>6.3561549807125033</v>
      </c>
      <c r="C41" s="100">
        <f>'[2]Joe''s Comm Credit'!C39</f>
        <v>4.2283691472517546</v>
      </c>
      <c r="D41" s="100">
        <f>'[2]Joe''s Comm Credit'!D39</f>
        <v>4.1852046649897128</v>
      </c>
      <c r="E41" s="100">
        <f>'[2]Joe''s Comm Credit'!E39</f>
        <v>4.1842478280749873</v>
      </c>
      <c r="F41" s="100">
        <f>'[2]Joe''s Comm Credit'!F39</f>
        <v>3.3260632249260884</v>
      </c>
      <c r="G41" s="100">
        <f>'[2]Joe''s Comm Credit'!G39</f>
        <v>4.3951897018970261</v>
      </c>
      <c r="H41" s="29">
        <f>SUM(B41:G41)</f>
        <v>26.675229547852069</v>
      </c>
      <c r="J41" s="35"/>
    </row>
    <row r="42" spans="1:10" x14ac:dyDescent="0.2">
      <c r="A42" s="84" t="s">
        <v>11</v>
      </c>
      <c r="B42" s="100">
        <f>'[2]Joe''s Comm Credit'!B40</f>
        <v>0.7</v>
      </c>
      <c r="C42" s="100">
        <f>'[2]Joe''s Comm Credit'!C40</f>
        <v>0.47</v>
      </c>
      <c r="D42" s="100">
        <f>'[2]Joe''s Comm Credit'!D40</f>
        <v>0.69</v>
      </c>
      <c r="E42" s="100">
        <f>'[2]Joe''s Comm Credit'!E40</f>
        <v>0.48</v>
      </c>
      <c r="F42" s="100">
        <f>'[2]Joe''s Comm Credit'!F40</f>
        <v>0.59</v>
      </c>
      <c r="G42" s="100">
        <f>'[2]Joe''s Comm Credit'!G40</f>
        <v>0.56999999999999995</v>
      </c>
      <c r="H42" s="29">
        <f>SUM(B42:G42)</f>
        <v>3.4999999999999996</v>
      </c>
      <c r="I42" s="85"/>
      <c r="J42" s="35"/>
    </row>
    <row r="43" spans="1:10" x14ac:dyDescent="0.2">
      <c r="A43" s="82" t="s">
        <v>12</v>
      </c>
      <c r="B43" s="33">
        <f t="shared" ref="B43:G43" si="7">SUM(B41:B42)</f>
        <v>7.0561549807125035</v>
      </c>
      <c r="C43" s="33">
        <f t="shared" si="7"/>
        <v>4.6983691472517544</v>
      </c>
      <c r="D43" s="33">
        <f t="shared" si="7"/>
        <v>4.8752046649897132</v>
      </c>
      <c r="E43" s="33">
        <f t="shared" si="7"/>
        <v>4.6642478280749877</v>
      </c>
      <c r="F43" s="33">
        <f>SUM(F41:F42)</f>
        <v>3.9160632249260883</v>
      </c>
      <c r="G43" s="33">
        <f t="shared" si="7"/>
        <v>4.9651897018970264</v>
      </c>
      <c r="H43" s="34">
        <f>SUM(H41:H42)</f>
        <v>30.175229547852069</v>
      </c>
    </row>
    <row r="44" spans="1:10" x14ac:dyDescent="0.2">
      <c r="A44" s="84"/>
      <c r="B44" s="2"/>
      <c r="C44" s="2"/>
      <c r="D44" s="2"/>
      <c r="E44" s="2"/>
      <c r="F44" s="2"/>
      <c r="G44" s="2"/>
      <c r="H44" s="45"/>
    </row>
    <row r="45" spans="1:10" x14ac:dyDescent="0.2">
      <c r="A45" s="82" t="s">
        <v>4</v>
      </c>
      <c r="H45" s="36"/>
    </row>
    <row r="46" spans="1:10" x14ac:dyDescent="0.2">
      <c r="A46" s="84" t="s">
        <v>3</v>
      </c>
      <c r="B46" s="121">
        <f t="shared" ref="B46:G47" si="8">+B14</f>
        <v>-75.002049999999983</v>
      </c>
      <c r="C46" s="121">
        <f t="shared" si="8"/>
        <v>-79.117449999999977</v>
      </c>
      <c r="D46" s="121">
        <f t="shared" si="8"/>
        <v>-87.291550000000001</v>
      </c>
      <c r="E46" s="121">
        <f t="shared" si="8"/>
        <v>-98.354200000000034</v>
      </c>
      <c r="F46" s="121">
        <f t="shared" si="8"/>
        <v>-100.63679999999999</v>
      </c>
      <c r="G46" s="121">
        <f t="shared" si="8"/>
        <v>-106.56739999999998</v>
      </c>
      <c r="H46" s="36"/>
    </row>
    <row r="47" spans="1:10" x14ac:dyDescent="0.2">
      <c r="A47" s="84" t="s">
        <v>11</v>
      </c>
      <c r="B47" s="121">
        <f t="shared" si="8"/>
        <v>-30</v>
      </c>
      <c r="C47" s="121">
        <f t="shared" si="8"/>
        <v>-30</v>
      </c>
      <c r="D47" s="121">
        <f t="shared" si="8"/>
        <v>-30</v>
      </c>
      <c r="E47" s="121">
        <f t="shared" si="8"/>
        <v>-30</v>
      </c>
      <c r="F47" s="121">
        <f t="shared" si="8"/>
        <v>-30</v>
      </c>
      <c r="G47" s="121">
        <f t="shared" si="8"/>
        <v>-30</v>
      </c>
      <c r="H47" s="36"/>
    </row>
    <row r="48" spans="1:10" x14ac:dyDescent="0.2">
      <c r="A48" s="84"/>
      <c r="B48" s="2"/>
      <c r="C48" s="2"/>
      <c r="D48" s="2"/>
      <c r="E48" s="2"/>
      <c r="F48" s="2"/>
      <c r="G48" s="2"/>
      <c r="H48" s="36"/>
    </row>
    <row r="49" spans="1:11" x14ac:dyDescent="0.2">
      <c r="A49" s="3" t="s">
        <v>5</v>
      </c>
      <c r="B49" s="2"/>
      <c r="C49" s="2"/>
      <c r="D49" s="2"/>
      <c r="E49" s="2"/>
      <c r="F49" s="2"/>
      <c r="G49" s="2"/>
      <c r="H49" s="36"/>
    </row>
    <row r="50" spans="1:11" x14ac:dyDescent="0.2">
      <c r="A50" s="84" t="s">
        <v>3</v>
      </c>
      <c r="B50" s="11">
        <f t="shared" ref="B50:G50" si="9">+B41*B46</f>
        <v>-476.72465367114808</v>
      </c>
      <c r="C50" s="11">
        <f t="shared" si="9"/>
        <v>-334.53778458923324</v>
      </c>
      <c r="D50" s="11">
        <f t="shared" si="9"/>
        <v>-365.33300227418277</v>
      </c>
      <c r="E50" s="11">
        <f t="shared" si="9"/>
        <v>-411.53834773205307</v>
      </c>
      <c r="F50" s="11">
        <f>+F41*F46</f>
        <v>-334.72435955424174</v>
      </c>
      <c r="G50" s="11">
        <f t="shared" si="9"/>
        <v>-468.38393903794105</v>
      </c>
      <c r="H50" s="12">
        <f>SUM(B50:G50)</f>
        <v>-2391.2420868588001</v>
      </c>
    </row>
    <row r="51" spans="1:11" x14ac:dyDescent="0.2">
      <c r="A51" s="84" t="s">
        <v>11</v>
      </c>
      <c r="B51" s="11">
        <f t="shared" ref="B51:G51" si="10">+B47*B42</f>
        <v>-21</v>
      </c>
      <c r="C51" s="11">
        <f t="shared" si="10"/>
        <v>-14.1</v>
      </c>
      <c r="D51" s="11">
        <f t="shared" si="10"/>
        <v>-20.7</v>
      </c>
      <c r="E51" s="11">
        <f t="shared" si="10"/>
        <v>-14.399999999999999</v>
      </c>
      <c r="F51" s="11">
        <f>+F47*F42</f>
        <v>-17.7</v>
      </c>
      <c r="G51" s="11">
        <f t="shared" si="10"/>
        <v>-17.099999999999998</v>
      </c>
      <c r="H51" s="12">
        <f>SUM(B51:G51)</f>
        <v>-104.99999999999999</v>
      </c>
    </row>
    <row r="52" spans="1:11" x14ac:dyDescent="0.2">
      <c r="A52" s="3" t="s">
        <v>14</v>
      </c>
      <c r="B52" s="40">
        <f t="shared" ref="B52:C52" si="11">+B50+B51</f>
        <v>-497.72465367114808</v>
      </c>
      <c r="C52" s="40">
        <f t="shared" si="11"/>
        <v>-348.63778458923326</v>
      </c>
      <c r="D52" s="40">
        <f>+D50+D51</f>
        <v>-386.03300227418276</v>
      </c>
      <c r="E52" s="40">
        <f>+E50+E51</f>
        <v>-425.93834773205305</v>
      </c>
      <c r="F52" s="40">
        <f>+F50+F51</f>
        <v>-352.42435955424173</v>
      </c>
      <c r="G52" s="40">
        <f>+G50+G51</f>
        <v>-485.48393903794107</v>
      </c>
      <c r="H52" s="41">
        <f>SUM(H50:H51)</f>
        <v>-2496.2420868588001</v>
      </c>
    </row>
    <row r="53" spans="1:11" x14ac:dyDescent="0.2">
      <c r="B53" s="5"/>
      <c r="C53" s="5"/>
      <c r="D53" s="5"/>
      <c r="E53" s="5"/>
      <c r="F53" s="5"/>
      <c r="G53" s="5"/>
      <c r="H53" s="9"/>
    </row>
    <row r="54" spans="1:11" x14ac:dyDescent="0.2">
      <c r="A54" s="82" t="s">
        <v>6</v>
      </c>
      <c r="B54" s="102">
        <f>'[2]Joe''s Comm Credit'!B53</f>
        <v>347</v>
      </c>
      <c r="C54" s="102">
        <f>'[2]Joe''s Comm Credit'!C53</f>
        <v>341</v>
      </c>
      <c r="D54" s="102">
        <f>'[2]Joe''s Comm Credit'!D53</f>
        <v>290</v>
      </c>
      <c r="E54" s="102">
        <f>'[2]Joe''s Comm Credit'!E53</f>
        <v>290</v>
      </c>
      <c r="F54" s="102">
        <f>'[2]Joe''s Comm Credit'!F53</f>
        <v>290</v>
      </c>
      <c r="G54" s="102">
        <f>'[2]Joe''s Comm Credit'!G53</f>
        <v>290</v>
      </c>
      <c r="H54" s="8">
        <f>SUM(B54:G54)</f>
        <v>1848</v>
      </c>
      <c r="K54" s="27"/>
    </row>
    <row r="55" spans="1:11" x14ac:dyDescent="0.2">
      <c r="A55" s="84"/>
      <c r="H55" s="9"/>
    </row>
    <row r="56" spans="1:11" x14ac:dyDescent="0.2">
      <c r="A56" s="27" t="s">
        <v>7</v>
      </c>
      <c r="B56" s="17">
        <f t="shared" ref="B56:G56" si="12">IFERROR(B52/B54,0)</f>
        <v>-1.4343649961704557</v>
      </c>
      <c r="C56" s="17">
        <f t="shared" si="12"/>
        <v>-1.0223981952763439</v>
      </c>
      <c r="D56" s="17">
        <f t="shared" si="12"/>
        <v>-1.3311482837040784</v>
      </c>
      <c r="E56" s="17">
        <f t="shared" si="12"/>
        <v>-1.468752923213976</v>
      </c>
      <c r="F56" s="17">
        <f t="shared" si="12"/>
        <v>-1.2152564122560059</v>
      </c>
      <c r="G56" s="17">
        <f t="shared" si="12"/>
        <v>-1.6740825484066932</v>
      </c>
      <c r="H56" s="18"/>
    </row>
    <row r="57" spans="1:11" x14ac:dyDescent="0.2">
      <c r="A57" s="27" t="s">
        <v>8</v>
      </c>
      <c r="B57" s="103">
        <f>'[2]Joe''s Comm Credit'!B56</f>
        <v>-0.99</v>
      </c>
      <c r="C57" s="103">
        <f>'[2]Joe''s Comm Credit'!C56</f>
        <v>-0.99</v>
      </c>
      <c r="D57" s="103">
        <f>'[2]Joe''s Comm Credit'!D56</f>
        <v>-1.24</v>
      </c>
      <c r="E57" s="103">
        <f>'[2]Joe''s Comm Credit'!E56</f>
        <v>-1.24</v>
      </c>
      <c r="F57" s="103">
        <f>'[2]Joe''s Comm Credit'!F56</f>
        <v>-1.24</v>
      </c>
      <c r="G57" s="103">
        <f>'[2]Joe''s Comm Credit'!G56</f>
        <v>-1.24</v>
      </c>
      <c r="H57" s="18"/>
    </row>
    <row r="58" spans="1:11" x14ac:dyDescent="0.2">
      <c r="A58" s="21" t="s">
        <v>17</v>
      </c>
      <c r="B58" s="21">
        <f t="shared" ref="B58:C58" si="13">(B56-B57)*B54</f>
        <v>-154.1946536711481</v>
      </c>
      <c r="C58" s="21">
        <f t="shared" si="13"/>
        <v>-11.047784589233274</v>
      </c>
      <c r="D58" s="21">
        <f>(D56-D57)*D54</f>
        <v>-26.433002274182755</v>
      </c>
      <c r="E58" s="21">
        <f>(E56-E57)*E54</f>
        <v>-66.338347732053037</v>
      </c>
      <c r="F58" s="21">
        <f>(F56-F57)*F54</f>
        <v>7.1756404457582885</v>
      </c>
      <c r="G58" s="21">
        <f>(G56-G57)*G54</f>
        <v>-125.88393903794105</v>
      </c>
      <c r="H58" s="55">
        <f>SUM(B58:G58)</f>
        <v>-376.72208685879991</v>
      </c>
    </row>
    <row r="59" spans="1:11" x14ac:dyDescent="0.2">
      <c r="H59" s="7"/>
    </row>
    <row r="60" spans="1:11" ht="15" x14ac:dyDescent="0.25">
      <c r="A60" s="66"/>
      <c r="B60" s="110"/>
      <c r="C60" s="56"/>
      <c r="D60" s="56"/>
      <c r="E60" s="56"/>
      <c r="F60" s="56"/>
      <c r="G60" s="92" t="s">
        <v>19</v>
      </c>
      <c r="H60" s="18">
        <f>ROUND(H58/H54,2)</f>
        <v>-0.2</v>
      </c>
    </row>
    <row r="61" spans="1:11" x14ac:dyDescent="0.2">
      <c r="A61" s="111"/>
      <c r="B61" s="114"/>
      <c r="C61" s="23"/>
      <c r="D61" s="23"/>
      <c r="E61" s="23"/>
      <c r="F61" s="23"/>
      <c r="G61" s="92" t="s">
        <v>20</v>
      </c>
      <c r="H61" s="18">
        <f>SUM(B52:G52)/SUM(B54:G54)</f>
        <v>-1.3507803500318183</v>
      </c>
    </row>
    <row r="62" spans="1:11" x14ac:dyDescent="0.2">
      <c r="A62" s="112"/>
      <c r="B62" s="115"/>
      <c r="C62" s="68"/>
      <c r="D62" s="68"/>
      <c r="E62" s="68"/>
      <c r="F62" s="68"/>
      <c r="G62" s="124" t="s">
        <v>37</v>
      </c>
      <c r="H62" s="142">
        <f>-(('Joe''s CPA Eff 7.1.18'!N59*'Joe''s CPA Eff 7.1.19'!H54)-'Joe''s CPA Eff 7.1.18'!N57)/'Joe''s CPA Eff 7.1.19'!H54</f>
        <v>-0.79590485170091874</v>
      </c>
    </row>
    <row r="63" spans="1:11" x14ac:dyDescent="0.2">
      <c r="A63" s="112"/>
      <c r="B63" s="114"/>
      <c r="C63" s="23"/>
      <c r="D63" s="23"/>
      <c r="E63" s="23"/>
      <c r="F63" s="23"/>
      <c r="G63" s="93" t="s">
        <v>21</v>
      </c>
      <c r="H63" s="55">
        <f>SUM(H60:H62)</f>
        <v>-2.3466852017327371</v>
      </c>
    </row>
    <row r="64" spans="1:11" x14ac:dyDescent="0.2">
      <c r="A64" s="113"/>
      <c r="B64" s="116"/>
      <c r="C64" s="86"/>
      <c r="D64" s="86"/>
      <c r="E64" s="86"/>
      <c r="F64" s="86"/>
      <c r="G64" s="92"/>
      <c r="H64" s="55"/>
    </row>
    <row r="65" spans="1:54" x14ac:dyDescent="0.2">
      <c r="A65" s="36"/>
      <c r="B65" s="117"/>
      <c r="C65" s="26"/>
      <c r="D65" s="26"/>
      <c r="E65" s="26"/>
      <c r="F65" s="26"/>
      <c r="G65" s="92" t="s">
        <v>22</v>
      </c>
      <c r="H65" s="120">
        <f>'[3]Joe''s Comm Credit'!$H$63</f>
        <v>-2.3297388564075976</v>
      </c>
    </row>
    <row r="66" spans="1:54" x14ac:dyDescent="0.2">
      <c r="A66" s="36"/>
      <c r="B66" s="117"/>
      <c r="C66" s="26"/>
      <c r="D66" s="26"/>
      <c r="E66" s="26"/>
      <c r="F66" s="26"/>
      <c r="G66" s="92" t="s">
        <v>9</v>
      </c>
      <c r="H66" s="18">
        <f>H65-H63</f>
        <v>1.69463453251395E-2</v>
      </c>
      <c r="I66" s="87">
        <f>H66/H65</f>
        <v>-7.2739248343354525E-3</v>
      </c>
    </row>
    <row r="67" spans="1:54" x14ac:dyDescent="0.2">
      <c r="A67" s="36"/>
      <c r="B67" s="36"/>
      <c r="G67" s="92" t="s">
        <v>23</v>
      </c>
      <c r="H67" s="18">
        <f>H66*H54</f>
        <v>31.316846160857796</v>
      </c>
    </row>
    <row r="68" spans="1:54" x14ac:dyDescent="0.2">
      <c r="B68" s="13"/>
      <c r="C68" s="13"/>
      <c r="D68" s="13"/>
      <c r="E68" s="13"/>
      <c r="F68" s="13"/>
    </row>
    <row r="69" spans="1:54" x14ac:dyDescent="0.2">
      <c r="B69" s="13"/>
      <c r="C69" s="13"/>
      <c r="D69" s="13"/>
      <c r="E69" s="13"/>
      <c r="F69" s="13"/>
      <c r="G69" s="13"/>
      <c r="H69" s="36"/>
    </row>
    <row r="70" spans="1:54" x14ac:dyDescent="0.2">
      <c r="B70" s="13"/>
      <c r="C70" s="13"/>
      <c r="D70" s="13"/>
      <c r="E70" s="13"/>
      <c r="F70" s="13"/>
      <c r="G70" s="13"/>
      <c r="H70" s="36"/>
    </row>
    <row r="71" spans="1:54" x14ac:dyDescent="0.2">
      <c r="H71" s="36"/>
    </row>
    <row r="72" spans="1:54" x14ac:dyDescent="0.2">
      <c r="B72" s="13"/>
      <c r="C72" s="13"/>
      <c r="D72" s="13"/>
      <c r="E72" s="13"/>
      <c r="F72" s="13"/>
      <c r="G72" s="13"/>
      <c r="H72" s="36"/>
    </row>
    <row r="73" spans="1:54" s="2" customFormat="1" x14ac:dyDescent="0.2">
      <c r="A73" s="1"/>
      <c r="B73" s="13"/>
      <c r="C73" s="13"/>
      <c r="D73" s="13"/>
      <c r="E73" s="13"/>
      <c r="F73" s="13"/>
      <c r="G73" s="13"/>
      <c r="H73" s="36"/>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3"/>
      <c r="C74" s="13"/>
      <c r="D74" s="13"/>
      <c r="E74" s="13"/>
      <c r="F74" s="13"/>
      <c r="G74" s="13"/>
      <c r="H74" s="36"/>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36"/>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36"/>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36"/>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36"/>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36"/>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36"/>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36"/>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36"/>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3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36"/>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36"/>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3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3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3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3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3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3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3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36"/>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36"/>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3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36"/>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36"/>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3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3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3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36"/>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36"/>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horizontalDpi="300" verticalDpi="300" r:id="rId1"/>
  <headerFooter alignWithMargins="0"/>
  <rowBreaks count="1" manualBreakCount="1">
    <brk id="36" max="16383" man="1"/>
  </rowBreaks>
  <colBreaks count="1" manualBreakCount="1">
    <brk id="7" max="6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F37" sqref="F37"/>
    </sheetView>
  </sheetViews>
  <sheetFormatPr defaultRowHeight="12.75" x14ac:dyDescent="0.2"/>
  <cols>
    <col min="1" max="1" width="24" style="88" customWidth="1"/>
    <col min="2" max="7" width="11.28515625" style="88" customWidth="1"/>
    <col min="8" max="8" width="12.425781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c r="D2" s="141" t="s">
        <v>36</v>
      </c>
    </row>
    <row r="3" spans="1:35" x14ac:dyDescent="0.2">
      <c r="A3" s="3" t="s">
        <v>16</v>
      </c>
    </row>
    <row r="4" spans="1:35" x14ac:dyDescent="0.2">
      <c r="A4" s="3" t="s">
        <v>26</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42886</v>
      </c>
      <c r="C6" s="31">
        <v>42916</v>
      </c>
      <c r="D6" s="31">
        <v>42947</v>
      </c>
      <c r="E6" s="31">
        <v>42978</v>
      </c>
      <c r="F6" s="31">
        <v>43008</v>
      </c>
      <c r="G6" s="31">
        <v>43039</v>
      </c>
      <c r="H6" s="31">
        <v>43069</v>
      </c>
      <c r="I6" s="31">
        <v>43100</v>
      </c>
      <c r="J6" s="31">
        <v>43131</v>
      </c>
      <c r="K6" s="31">
        <v>43159</v>
      </c>
      <c r="L6" s="31">
        <v>43190</v>
      </c>
      <c r="M6" s="31">
        <v>43220</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'[4]Designated RSA-1 Comm Credi'!B9</f>
        <v>149.89499999999998</v>
      </c>
      <c r="C9" s="90">
        <f>'[4]Designated RSA-1 Comm Credi'!C9</f>
        <v>162.245</v>
      </c>
      <c r="D9" s="90">
        <f>'[4]Designated RSA-1 Comm Credi'!D9</f>
        <v>141.29</v>
      </c>
      <c r="E9" s="90">
        <f>'[4]Designated RSA-1 Comm Credi'!E9</f>
        <v>168.65499999999997</v>
      </c>
      <c r="F9" s="90">
        <f>'[4]Designated RSA-1 Comm Credi'!F9</f>
        <v>168.39750000000001</v>
      </c>
      <c r="G9" s="90">
        <f>'[4]Designated RSA-1 Comm Credi'!G9</f>
        <v>160.35999999999999</v>
      </c>
      <c r="H9" s="90">
        <f>'[4]Designated RSA-1 Comm Credi'!H9</f>
        <v>188.32499999999999</v>
      </c>
      <c r="I9" s="90">
        <f>'[4]Designated RSA-1 Comm Credi'!I9</f>
        <v>161.37000000000006</v>
      </c>
      <c r="J9" s="90">
        <f>'[4]Designated RSA-1 Comm Credi'!J9</f>
        <v>192.49696800000001</v>
      </c>
      <c r="K9" s="90">
        <f>'[4]Designated RSA-1 Comm Credi'!K9</f>
        <v>147.66904399999993</v>
      </c>
      <c r="L9" s="90">
        <f>'[4]Designated RSA-1 Comm Credi'!L9</f>
        <v>178.84150799999992</v>
      </c>
      <c r="M9" s="90">
        <f>'[4]Designated RSA-1 Comm Credi'!M9</f>
        <v>158.48244099999997</v>
      </c>
      <c r="N9" s="29">
        <f>SUM(B9:M9)</f>
        <v>1978.0274609999999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25">
        <f>'[5]Pacific Comm Credit'!B17</f>
        <v>62.714999999999996</v>
      </c>
      <c r="C12" s="125">
        <f>'[5]Pacific Comm Credit'!C17</f>
        <v>85.117999999999995</v>
      </c>
      <c r="D12" s="125">
        <f>'[5]Pacific Comm Credit'!D17</f>
        <v>94.094999999999999</v>
      </c>
      <c r="E12" s="125">
        <f>'[5]Pacific Comm Credit'!E17</f>
        <v>80.64</v>
      </c>
      <c r="F12" s="125">
        <f>'[5]Pacific Comm Credit'!F17</f>
        <v>61.322000000000017</v>
      </c>
      <c r="G12" s="125">
        <f>'[5]Pacific Comm Credit'!G17</f>
        <v>22.388999999999996</v>
      </c>
      <c r="H12" s="125">
        <f>'[5]Pacific Comm Credit'!H17</f>
        <v>35.187000000000005</v>
      </c>
      <c r="I12" s="125">
        <f>'[5]Pacific Comm Credit'!I17</f>
        <v>32.935000000000024</v>
      </c>
      <c r="J12" s="125">
        <f>'[5]Pacific Comm Credit'!J17</f>
        <v>-18.190220000000004</v>
      </c>
      <c r="K12" s="125">
        <f>'[5]Pacific Comm Credit'!K17</f>
        <v>-33.529720000000005</v>
      </c>
      <c r="L12" s="125">
        <f>'[5]Pacific Comm Credit'!L17</f>
        <v>-38.297619999999981</v>
      </c>
      <c r="M12" s="125">
        <f>'[5]Pacific Comm Credit'!M17</f>
        <v>-50.726408000000006</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0">+B9*B12</f>
        <v>9400.6649249999991</v>
      </c>
      <c r="C14" s="91">
        <f t="shared" si="0"/>
        <v>13809.96991</v>
      </c>
      <c r="D14" s="91">
        <f t="shared" si="0"/>
        <v>13294.68255</v>
      </c>
      <c r="E14" s="91">
        <f t="shared" si="0"/>
        <v>13600.339199999999</v>
      </c>
      <c r="F14" s="91">
        <f t="shared" si="0"/>
        <v>10326.471495000003</v>
      </c>
      <c r="G14" s="91">
        <f t="shared" si="0"/>
        <v>3590.3000399999992</v>
      </c>
      <c r="H14" s="91">
        <f t="shared" si="0"/>
        <v>6626.5917750000008</v>
      </c>
      <c r="I14" s="91">
        <f t="shared" si="0"/>
        <v>5314.7209500000063</v>
      </c>
      <c r="J14" s="91">
        <f t="shared" si="0"/>
        <v>-3501.5621972529607</v>
      </c>
      <c r="K14" s="91">
        <f>+K9*K12</f>
        <v>-4951.3016979876784</v>
      </c>
      <c r="L14" s="91">
        <f>+L9*L12</f>
        <v>-6849.2041136109538</v>
      </c>
      <c r="M14" s="91">
        <f>+M9*M12</f>
        <v>-8039.2449630019273</v>
      </c>
      <c r="N14" s="12">
        <f>SUM(B14:M14)</f>
        <v>52622.42787314648</v>
      </c>
      <c r="P14" s="54"/>
      <c r="Q14" s="13"/>
    </row>
    <row r="15" spans="1:35" x14ac:dyDescent="0.2">
      <c r="E15" s="89"/>
      <c r="N15" s="9"/>
    </row>
    <row r="16" spans="1:35" s="5" customFormat="1" x14ac:dyDescent="0.2">
      <c r="A16" s="3" t="s">
        <v>6</v>
      </c>
      <c r="B16" s="5">
        <f>'[4]Designated RSA-1 Comm Credi'!B18</f>
        <v>9631</v>
      </c>
      <c r="C16" s="5">
        <f>'[4]Designated RSA-1 Comm Credi'!C18</f>
        <v>9656</v>
      </c>
      <c r="D16" s="5">
        <f>'[4]Designated RSA-1 Comm Credi'!D18</f>
        <v>9656</v>
      </c>
      <c r="E16" s="5">
        <f>'[4]Designated RSA-1 Comm Credi'!E18</f>
        <v>9734</v>
      </c>
      <c r="F16" s="5">
        <f>'[4]Designated RSA-1 Comm Credi'!F18</f>
        <v>9747</v>
      </c>
      <c r="G16" s="5">
        <f>'[4]Designated RSA-1 Comm Credi'!G18</f>
        <v>9732</v>
      </c>
      <c r="H16" s="5">
        <f>'[4]Designated RSA-1 Comm Credi'!H18</f>
        <v>9707</v>
      </c>
      <c r="I16" s="5">
        <f>'[4]Designated RSA-1 Comm Credi'!I18</f>
        <v>9718</v>
      </c>
      <c r="J16" s="5">
        <f>'[4]Designated RSA-1 Comm Credi'!J18</f>
        <v>9707</v>
      </c>
      <c r="K16" s="5">
        <f>'[4]Designated RSA-1 Comm Credi'!K18</f>
        <v>9743</v>
      </c>
      <c r="L16" s="5">
        <f>'[4]Designated RSA-1 Comm Credi'!L18</f>
        <v>9798</v>
      </c>
      <c r="M16" s="5">
        <f>'[4]Designated RSA-1 Comm Credi'!M18</f>
        <v>9873</v>
      </c>
      <c r="N16" s="22">
        <f>SUM(B16:M16)</f>
        <v>116702</v>
      </c>
      <c r="O16" s="90"/>
      <c r="P16" s="14"/>
      <c r="Q16" s="13"/>
      <c r="R16" s="15"/>
    </row>
    <row r="17" spans="1:18" s="5" customFormat="1" x14ac:dyDescent="0.2">
      <c r="A17" s="16"/>
      <c r="N17" s="8"/>
      <c r="O17" s="90"/>
      <c r="P17" s="14"/>
      <c r="Q17" s="13"/>
      <c r="R17" s="15"/>
    </row>
    <row r="18" spans="1:18" x14ac:dyDescent="0.2">
      <c r="A18" s="88" t="s">
        <v>7</v>
      </c>
      <c r="B18" s="17">
        <f t="shared" ref="B18:M18" si="1">+IFERROR(B14/B16,0)</f>
        <v>0.97608399179732108</v>
      </c>
      <c r="C18" s="17">
        <f t="shared" si="1"/>
        <v>1.4301957239022369</v>
      </c>
      <c r="D18" s="17">
        <f t="shared" si="1"/>
        <v>1.37683125</v>
      </c>
      <c r="E18" s="17">
        <f t="shared" si="1"/>
        <v>1.3971994246969384</v>
      </c>
      <c r="F18" s="17">
        <f t="shared" si="1"/>
        <v>1.0594512665435523</v>
      </c>
      <c r="G18" s="17">
        <f t="shared" si="1"/>
        <v>0.36891697903822435</v>
      </c>
      <c r="H18" s="17">
        <f t="shared" si="1"/>
        <v>0.68266114917070164</v>
      </c>
      <c r="I18" s="17">
        <f t="shared" si="1"/>
        <v>0.54689452047746512</v>
      </c>
      <c r="J18" s="17">
        <f t="shared" si="1"/>
        <v>-0.36072547617729067</v>
      </c>
      <c r="K18" s="17">
        <f t="shared" si="1"/>
        <v>-0.50819067001823648</v>
      </c>
      <c r="L18" s="17">
        <f t="shared" si="1"/>
        <v>-0.69904104037670478</v>
      </c>
      <c r="M18" s="17">
        <f t="shared" si="1"/>
        <v>-0.81426567031316999</v>
      </c>
      <c r="N18" s="18"/>
      <c r="P18" s="19"/>
    </row>
    <row r="19" spans="1:18" x14ac:dyDescent="0.2">
      <c r="A19" s="88" t="s">
        <v>8</v>
      </c>
      <c r="B19" s="17">
        <f>'[6]Designated RSA-1 Comm Credit'!$D$19</f>
        <v>0.71</v>
      </c>
      <c r="C19" s="17">
        <f>'[6]Designated RSA-1 Comm Credit'!$D$19</f>
        <v>0.71</v>
      </c>
      <c r="D19" s="17">
        <f>'[6]Designated RSA-1 Comm Credit'!$N$23</f>
        <v>1.18</v>
      </c>
      <c r="E19" s="17">
        <f>'[6]Designated RSA-1 Comm Credit'!$N$23</f>
        <v>1.18</v>
      </c>
      <c r="F19" s="17">
        <f>'[6]Designated RSA-1 Comm Credit'!$N$23</f>
        <v>1.18</v>
      </c>
      <c r="G19" s="17">
        <f>'[6]Designated RSA-1 Comm Credit'!$N$23</f>
        <v>1.18</v>
      </c>
      <c r="H19" s="17">
        <f>'[6]Designated RSA-1 Comm Credit'!$N$23</f>
        <v>1.18</v>
      </c>
      <c r="I19" s="17">
        <f>'[6]Designated RSA-1 Comm Credit'!$N$23</f>
        <v>1.18</v>
      </c>
      <c r="J19" s="17">
        <f>'[6]Designated RSA-1 Comm Credit'!$N$23</f>
        <v>1.18</v>
      </c>
      <c r="K19" s="17">
        <f>'[6]Designated RSA-1 Comm Credit'!$N$23</f>
        <v>1.18</v>
      </c>
      <c r="L19" s="17">
        <f>'[6]Designated RSA-1 Comm Credit'!$N$23</f>
        <v>1.18</v>
      </c>
      <c r="M19" s="17">
        <f>'[6]Designated RSA-1 Comm Credit'!$N$23</f>
        <v>1.18</v>
      </c>
      <c r="N19" s="18"/>
      <c r="P19" s="20"/>
    </row>
    <row r="20" spans="1:18" x14ac:dyDescent="0.2">
      <c r="A20" s="21" t="s">
        <v>17</v>
      </c>
      <c r="B20" s="21">
        <f>+(B18-B19)*B16</f>
        <v>2562.6549249999998</v>
      </c>
      <c r="C20" s="21">
        <f>+(C18-C19)*C16</f>
        <v>6954.2099100000005</v>
      </c>
      <c r="D20" s="21">
        <f t="shared" ref="D20:M20" si="2">+(D18-D19)*D16</f>
        <v>1900.6025500000001</v>
      </c>
      <c r="E20" s="21">
        <f t="shared" si="2"/>
        <v>2114.2191999999986</v>
      </c>
      <c r="F20" s="21">
        <f t="shared" si="2"/>
        <v>-1174.9885049999955</v>
      </c>
      <c r="G20" s="21">
        <f t="shared" si="2"/>
        <v>-7893.459960000001</v>
      </c>
      <c r="H20" s="21">
        <f t="shared" si="2"/>
        <v>-4827.6682249999985</v>
      </c>
      <c r="I20" s="21">
        <f t="shared" si="2"/>
        <v>-6152.5190499999935</v>
      </c>
      <c r="J20" s="21">
        <f t="shared" si="2"/>
        <v>-14955.822197252959</v>
      </c>
      <c r="K20" s="21">
        <f t="shared" si="2"/>
        <v>-16448.041697987679</v>
      </c>
      <c r="L20" s="21">
        <f t="shared" si="2"/>
        <v>-18410.84411361095</v>
      </c>
      <c r="M20" s="21">
        <f t="shared" si="2"/>
        <v>-19689.384963001925</v>
      </c>
      <c r="N20" s="55">
        <f>SUM(B20:M20)</f>
        <v>-76021.042126853499</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-0.65</v>
      </c>
      <c r="O22" s="23"/>
      <c r="Q22" s="57"/>
    </row>
    <row r="23" spans="1:18" x14ac:dyDescent="0.2">
      <c r="A23" s="127" t="s">
        <v>28</v>
      </c>
      <c r="B23" s="128">
        <v>43069</v>
      </c>
      <c r="C23" s="128">
        <v>43100</v>
      </c>
      <c r="D23" s="128">
        <v>43131</v>
      </c>
      <c r="E23" s="128">
        <v>43159</v>
      </c>
      <c r="F23" s="128">
        <v>43190</v>
      </c>
      <c r="G23" s="128">
        <v>43220</v>
      </c>
      <c r="H23" s="23"/>
      <c r="I23" s="23"/>
      <c r="J23" s="23"/>
      <c r="K23" s="23"/>
      <c r="L23" s="23"/>
      <c r="M23" s="92" t="s">
        <v>20</v>
      </c>
      <c r="N23" s="63">
        <f>SUM(B27:G27)/SUM(H16:M16)</f>
        <v>-0.98424014436261242</v>
      </c>
      <c r="O23" s="23"/>
      <c r="Q23" s="19"/>
    </row>
    <row r="24" spans="1:18" ht="25.5" x14ac:dyDescent="0.2">
      <c r="A24" s="129" t="s">
        <v>29</v>
      </c>
      <c r="B24" s="130">
        <f>H12-45</f>
        <v>-9.8129999999999953</v>
      </c>
      <c r="C24" s="130">
        <f t="shared" ref="C24:G24" si="3">I12-45</f>
        <v>-12.064999999999976</v>
      </c>
      <c r="D24" s="130">
        <f t="shared" si="3"/>
        <v>-63.190220000000004</v>
      </c>
      <c r="E24" s="130">
        <f t="shared" si="3"/>
        <v>-78.529719999999998</v>
      </c>
      <c r="F24" s="130">
        <f t="shared" si="3"/>
        <v>-83.297619999999981</v>
      </c>
      <c r="G24" s="130">
        <f t="shared" si="3"/>
        <v>-95.726408000000006</v>
      </c>
      <c r="H24" s="23"/>
      <c r="I24" s="23"/>
      <c r="J24" s="23"/>
      <c r="K24" s="23"/>
      <c r="L24" s="23"/>
      <c r="M24" s="93" t="s">
        <v>30</v>
      </c>
      <c r="N24" s="64">
        <f>SUM(N22:N23)</f>
        <v>-1.6342401443626124</v>
      </c>
      <c r="O24" s="23"/>
      <c r="Q24" s="57"/>
    </row>
    <row r="25" spans="1:18" ht="25.5" x14ac:dyDescent="0.2">
      <c r="A25" s="129" t="s">
        <v>31</v>
      </c>
      <c r="B25" s="131">
        <f>H9*B24</f>
        <v>-1848.033224999999</v>
      </c>
      <c r="C25" s="131">
        <f t="shared" ref="C25:G25" si="4">I9*C24</f>
        <v>-1946.929049999997</v>
      </c>
      <c r="D25" s="131">
        <f t="shared" si="4"/>
        <v>-12163.92575725296</v>
      </c>
      <c r="E25" s="131">
        <f t="shared" si="4"/>
        <v>-11596.408677987674</v>
      </c>
      <c r="F25" s="131">
        <f t="shared" si="4"/>
        <v>-14897.071973610949</v>
      </c>
      <c r="G25" s="131">
        <f t="shared" si="4"/>
        <v>-15170.954808001925</v>
      </c>
      <c r="H25" s="23"/>
      <c r="I25" s="23"/>
      <c r="J25" s="23"/>
      <c r="K25" s="23"/>
      <c r="L25" s="23"/>
      <c r="M25" s="92"/>
      <c r="N25" s="63"/>
      <c r="O25" s="23"/>
    </row>
    <row r="26" spans="1:18" x14ac:dyDescent="0.2">
      <c r="A26" s="129"/>
      <c r="B26" s="132"/>
      <c r="C26" s="132"/>
      <c r="D26" s="132"/>
      <c r="E26" s="132"/>
      <c r="F26" s="132"/>
      <c r="G26" s="132"/>
      <c r="H26" s="23"/>
      <c r="I26" s="23"/>
      <c r="J26" s="23"/>
      <c r="K26" s="23"/>
      <c r="L26" s="23"/>
      <c r="M26" s="92" t="s">
        <v>32</v>
      </c>
      <c r="N26" s="17">
        <v>1.59</v>
      </c>
      <c r="O26" s="88"/>
      <c r="P26" s="58"/>
      <c r="Q26" s="59"/>
    </row>
    <row r="27" spans="1:18" x14ac:dyDescent="0.2">
      <c r="A27" s="133" t="s">
        <v>33</v>
      </c>
      <c r="B27" s="134">
        <f>SUM(B25:B26)</f>
        <v>-1848.033224999999</v>
      </c>
      <c r="C27" s="134">
        <f t="shared" ref="C27:G27" si="5">SUM(C25:C26)</f>
        <v>-1946.929049999997</v>
      </c>
      <c r="D27" s="134">
        <f t="shared" si="5"/>
        <v>-12163.92575725296</v>
      </c>
      <c r="E27" s="134">
        <f t="shared" si="5"/>
        <v>-11596.408677987674</v>
      </c>
      <c r="F27" s="134">
        <f t="shared" si="5"/>
        <v>-14897.071973610949</v>
      </c>
      <c r="G27" s="134">
        <f t="shared" si="5"/>
        <v>-15170.954808001925</v>
      </c>
      <c r="H27" s="23"/>
      <c r="I27" s="23"/>
      <c r="J27" s="23"/>
      <c r="K27" s="23"/>
      <c r="L27" s="23"/>
      <c r="M27" s="92" t="s">
        <v>9</v>
      </c>
      <c r="N27" s="10">
        <f>N26-N24</f>
        <v>3.2242401443626125</v>
      </c>
      <c r="O27" s="89"/>
      <c r="P27" s="87">
        <f>N27/N26</f>
        <v>2.0278239901651651</v>
      </c>
    </row>
    <row r="28" spans="1:18" x14ac:dyDescent="0.2">
      <c r="B28" s="60"/>
      <c r="C28" s="60"/>
      <c r="D28" s="60"/>
      <c r="E28" s="60"/>
      <c r="F28" s="60"/>
      <c r="G28" s="60"/>
      <c r="H28" s="60"/>
      <c r="I28" s="60"/>
      <c r="J28" s="60"/>
      <c r="K28" s="60"/>
      <c r="L28" s="23"/>
      <c r="M28" s="92" t="s">
        <v>34</v>
      </c>
      <c r="N28" s="10">
        <f>N27*N16</f>
        <v>376275.27332740562</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17" x14ac:dyDescent="0.2">
      <c r="L33" s="36"/>
      <c r="M33" s="65"/>
      <c r="N33" s="62"/>
      <c r="Q33" s="19"/>
    </row>
    <row r="34" spans="1:17" ht="15" x14ac:dyDescent="0.25">
      <c r="L34" s="36"/>
      <c r="M34" s="66"/>
      <c r="N34" s="29"/>
      <c r="Q34" s="57"/>
    </row>
    <row r="35" spans="1:17" ht="15" x14ac:dyDescent="0.25">
      <c r="A35" s="94"/>
      <c r="B35" s="95"/>
      <c r="C35" s="96"/>
      <c r="D35" s="96"/>
      <c r="E35" s="97"/>
      <c r="F35" s="94"/>
      <c r="G35" s="98"/>
      <c r="H35" s="94"/>
      <c r="I35" s="94"/>
      <c r="J35" s="94"/>
      <c r="K35" s="99"/>
      <c r="L35" s="99"/>
      <c r="M35" s="99"/>
      <c r="N35" s="67"/>
    </row>
    <row r="36" spans="1:17" ht="15" x14ac:dyDescent="0.25">
      <c r="A36" s="94"/>
      <c r="B36" s="95"/>
      <c r="C36" s="96"/>
      <c r="D36" s="96"/>
      <c r="E36" s="97"/>
      <c r="F36" s="94"/>
      <c r="G36" s="98"/>
      <c r="H36" s="94"/>
      <c r="I36" s="94"/>
      <c r="J36" s="94"/>
      <c r="K36" s="99"/>
      <c r="L36" s="99"/>
      <c r="M36" s="99"/>
      <c r="N36" s="36"/>
    </row>
    <row r="37" spans="1:17" ht="15" x14ac:dyDescent="0.25">
      <c r="A37" s="94"/>
      <c r="B37" s="95"/>
      <c r="C37" s="96"/>
      <c r="D37" s="96"/>
      <c r="E37" s="97"/>
      <c r="F37" s="94"/>
      <c r="G37" s="98"/>
      <c r="H37" s="94"/>
      <c r="I37" s="94"/>
      <c r="J37" s="94"/>
      <c r="K37" s="99"/>
      <c r="L37" s="99"/>
      <c r="M37" s="99"/>
    </row>
    <row r="38" spans="1:17" ht="15" x14ac:dyDescent="0.25">
      <c r="A38" s="94"/>
      <c r="B38" s="95"/>
      <c r="C38" s="96"/>
      <c r="D38" s="96"/>
      <c r="E38" s="97"/>
      <c r="F38" s="94"/>
      <c r="G38" s="98"/>
      <c r="H38" s="94"/>
      <c r="I38" s="94"/>
      <c r="J38" s="94"/>
      <c r="K38" s="99"/>
      <c r="L38" s="99"/>
      <c r="M38" s="99"/>
    </row>
    <row r="39" spans="1:17" ht="15" x14ac:dyDescent="0.25">
      <c r="A39" s="94"/>
      <c r="B39" s="95"/>
      <c r="C39" s="96"/>
      <c r="D39" s="96"/>
      <c r="E39" s="97"/>
      <c r="F39" s="94"/>
      <c r="G39" s="98"/>
      <c r="H39" s="94"/>
      <c r="I39" s="94"/>
      <c r="J39" s="94"/>
      <c r="K39" s="99"/>
      <c r="L39" s="99"/>
      <c r="M39" s="99"/>
    </row>
    <row r="40" spans="1:17" ht="15" x14ac:dyDescent="0.25">
      <c r="A40" s="94"/>
      <c r="B40" s="95"/>
      <c r="C40" s="96"/>
      <c r="D40" s="96"/>
      <c r="E40" s="97"/>
      <c r="F40" s="94"/>
      <c r="G40" s="98"/>
      <c r="H40" s="94"/>
      <c r="I40" s="94"/>
      <c r="J40" s="94"/>
      <c r="K40" s="99"/>
      <c r="L40" s="99"/>
      <c r="M40" s="99"/>
    </row>
    <row r="41" spans="1:17" ht="15" x14ac:dyDescent="0.25">
      <c r="A41" s="94"/>
      <c r="B41" s="95"/>
      <c r="C41" s="96"/>
      <c r="D41" s="96"/>
      <c r="E41" s="97"/>
      <c r="F41" s="94"/>
      <c r="G41" s="98"/>
      <c r="H41" s="94"/>
      <c r="I41" s="94"/>
      <c r="J41" s="94"/>
      <c r="K41" s="99"/>
      <c r="L41" s="99"/>
      <c r="M41" s="99"/>
    </row>
    <row r="42" spans="1:17" ht="15" x14ac:dyDescent="0.25">
      <c r="A42" s="94"/>
      <c r="B42" s="95"/>
      <c r="C42" s="96"/>
      <c r="D42" s="96"/>
      <c r="E42" s="97"/>
      <c r="F42" s="94"/>
      <c r="G42" s="98"/>
      <c r="H42" s="94"/>
      <c r="I42" s="94"/>
      <c r="J42" s="94"/>
      <c r="K42" s="99"/>
      <c r="L42" s="99"/>
      <c r="M42" s="99"/>
    </row>
    <row r="43" spans="1:17" ht="15" x14ac:dyDescent="0.25">
      <c r="A43" s="94"/>
      <c r="B43" s="95"/>
      <c r="C43" s="96"/>
      <c r="D43" s="96"/>
      <c r="E43" s="97"/>
      <c r="F43" s="94"/>
      <c r="G43" s="98"/>
      <c r="H43" s="94"/>
      <c r="I43" s="94"/>
      <c r="J43" s="94"/>
      <c r="K43" s="99"/>
      <c r="L43" s="99"/>
      <c r="M43" s="99"/>
    </row>
    <row r="44" spans="1:17" ht="15" x14ac:dyDescent="0.25">
      <c r="A44" s="94"/>
      <c r="B44" s="95"/>
      <c r="C44" s="96"/>
      <c r="D44" s="96"/>
      <c r="E44" s="97"/>
      <c r="F44" s="94"/>
      <c r="G44" s="98"/>
      <c r="H44" s="94"/>
      <c r="I44" s="94"/>
      <c r="J44" s="94"/>
      <c r="K44" s="99"/>
      <c r="L44" s="99"/>
      <c r="M44" s="99"/>
    </row>
    <row r="45" spans="1:17" ht="15" x14ac:dyDescent="0.25">
      <c r="A45" s="94"/>
      <c r="B45" s="95"/>
      <c r="C45" s="96"/>
      <c r="D45" s="96"/>
      <c r="E45" s="97"/>
      <c r="F45" s="94"/>
      <c r="G45" s="98"/>
      <c r="H45" s="94"/>
      <c r="I45" s="94"/>
      <c r="J45" s="94"/>
      <c r="K45" s="99"/>
      <c r="L45" s="99"/>
      <c r="M45" s="99"/>
    </row>
    <row r="46" spans="1:17" ht="15" x14ac:dyDescent="0.25">
      <c r="A46" s="94"/>
      <c r="B46" s="95"/>
      <c r="C46" s="96"/>
      <c r="D46" s="96"/>
      <c r="E46" s="97"/>
      <c r="F46" s="94"/>
      <c r="G46" s="98"/>
      <c r="H46" s="94"/>
      <c r="I46" s="94"/>
      <c r="J46" s="94"/>
      <c r="K46" s="99"/>
      <c r="L46" s="99"/>
      <c r="M46" s="99"/>
    </row>
    <row r="47" spans="1:17" ht="15" x14ac:dyDescent="0.25">
      <c r="A47" s="94"/>
      <c r="B47" s="95"/>
      <c r="C47" s="96"/>
      <c r="D47" s="96"/>
      <c r="E47" s="97"/>
      <c r="F47" s="94"/>
      <c r="G47" s="98"/>
      <c r="H47" s="94"/>
      <c r="I47" s="94"/>
      <c r="J47" s="94"/>
      <c r="K47" s="99"/>
      <c r="L47" s="99"/>
      <c r="M47" s="99"/>
    </row>
    <row r="48" spans="1:17" ht="15" x14ac:dyDescent="0.25">
      <c r="A48" s="94"/>
      <c r="B48" s="95"/>
      <c r="C48" s="96"/>
      <c r="D48" s="96"/>
      <c r="E48" s="97"/>
      <c r="F48" s="94"/>
      <c r="G48" s="98"/>
      <c r="H48" s="94"/>
      <c r="I48" s="94"/>
      <c r="J48" s="94"/>
      <c r="K48" s="99"/>
      <c r="L48" s="99"/>
      <c r="M48" s="99"/>
    </row>
    <row r="49" spans="1:13" ht="15" x14ac:dyDescent="0.25">
      <c r="A49" s="94"/>
      <c r="B49" s="95"/>
      <c r="C49" s="96"/>
      <c r="D49" s="96"/>
      <c r="E49" s="97"/>
      <c r="F49" s="94"/>
      <c r="G49" s="98"/>
      <c r="H49" s="94"/>
      <c r="I49" s="94"/>
      <c r="J49" s="94"/>
      <c r="K49" s="99"/>
      <c r="L49" s="99"/>
      <c r="M49" s="99"/>
    </row>
  </sheetData>
  <pageMargins left="0.7" right="0.7" top="0.75" bottom="0.75" header="0.3" footer="0.3"/>
  <pageSetup scale="57" fitToHeight="0"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88" customWidth="1"/>
    <col min="2" max="13" width="11.28515625" style="88" customWidth="1"/>
    <col min="14" max="14" width="13.28515625" style="88"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141" t="s">
        <v>36</v>
      </c>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7.1.18'!A4</f>
        <v>Effective July 1, 2018</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7.1.18'!B6</f>
        <v>42886</v>
      </c>
      <c r="C6" s="31">
        <f>'RSA-1 CPA Eff 7.1.18'!C6</f>
        <v>42916</v>
      </c>
      <c r="D6" s="31">
        <f>'RSA-1 CPA Eff 7.1.18'!D6</f>
        <v>42947</v>
      </c>
      <c r="E6" s="31">
        <f>'RSA-1 CPA Eff 7.1.18'!E6</f>
        <v>42978</v>
      </c>
      <c r="F6" s="31">
        <f>'RSA-1 CPA Eff 7.1.18'!F6</f>
        <v>43008</v>
      </c>
      <c r="G6" s="31">
        <f>'RSA-1 CPA Eff 7.1.18'!G6</f>
        <v>43039</v>
      </c>
      <c r="H6" s="31">
        <f>'RSA-1 CPA Eff 7.1.18'!H6</f>
        <v>43069</v>
      </c>
      <c r="I6" s="31">
        <f>'RSA-1 CPA Eff 7.1.18'!I6</f>
        <v>43100</v>
      </c>
      <c r="J6" s="31">
        <f>'RSA-1 CPA Eff 7.1.18'!J6</f>
        <v>43131</v>
      </c>
      <c r="K6" s="31">
        <f>'RSA-1 CPA Eff 7.1.18'!K6</f>
        <v>43159</v>
      </c>
      <c r="L6" s="31">
        <f>'RSA-1 CPA Eff 7.1.18'!L6</f>
        <v>43190</v>
      </c>
      <c r="M6" s="31">
        <f>'RSA-1 CPA Eff 7.1.18'!M6</f>
        <v>43220</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'[4]Joe''s Comm Credit'!B9</f>
        <v>83.405583491461101</v>
      </c>
      <c r="C9" s="137">
        <f>'[4]Joe''s Comm Credit'!C9</f>
        <v>69.039794242567226</v>
      </c>
      <c r="D9" s="137">
        <f>'[4]Joe''s Comm Credit'!D9</f>
        <v>65.666514393581906</v>
      </c>
      <c r="E9" s="137">
        <f>'[4]Joe''s Comm Credit'!E9</f>
        <v>69.978814710705095</v>
      </c>
      <c r="F9" s="137">
        <f>'[4]Joe''s Comm Credit'!F9</f>
        <v>68.779129251700667</v>
      </c>
      <c r="G9" s="137">
        <f>'[4]Joe''s Comm Credit'!G9</f>
        <v>79.94561960326719</v>
      </c>
      <c r="H9" s="137">
        <f>'[4]Joe''s Comm Credit'!H9</f>
        <v>88.871662011173186</v>
      </c>
      <c r="I9" s="137">
        <f>'[4]Joe''s Comm Credit'!I9</f>
        <v>74.715202278539891</v>
      </c>
      <c r="J9" s="137">
        <f>'[4]Joe''s Comm Credit'!J9</f>
        <v>72.483155501742957</v>
      </c>
      <c r="K9" s="137">
        <f>'[4]Joe''s Comm Credit'!K9</f>
        <v>59.258543407132947</v>
      </c>
      <c r="L9" s="137">
        <f>'[4]Joe''s Comm Credit'!L9</f>
        <v>65.473923267605642</v>
      </c>
      <c r="M9" s="137">
        <f>'[4]Joe''s Comm Credit'!M9</f>
        <v>69.768464418444594</v>
      </c>
      <c r="N9" s="29">
        <f>SUM(B9:M9)</f>
        <v>867.38640657792246</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'[4]Joe''s Comm Credit'!B10</f>
        <v>11.67</v>
      </c>
      <c r="C10" s="137">
        <f>'[4]Joe''s Comm Credit'!C10</f>
        <v>10.32</v>
      </c>
      <c r="D10" s="137">
        <f>'[4]Joe''s Comm Credit'!D10</f>
        <v>11.77</v>
      </c>
      <c r="E10" s="137">
        <f>'[4]Joe''s Comm Credit'!E10</f>
        <v>12.16</v>
      </c>
      <c r="F10" s="137">
        <f>'[4]Joe''s Comm Credit'!F10</f>
        <v>10.77</v>
      </c>
      <c r="G10" s="137">
        <f>'[4]Joe''s Comm Credit'!G10</f>
        <v>10.58</v>
      </c>
      <c r="H10" s="137">
        <f>'[4]Joe''s Comm Credit'!H10</f>
        <v>9.16</v>
      </c>
      <c r="I10" s="137">
        <f>'[4]Joe''s Comm Credit'!I10</f>
        <v>10.3</v>
      </c>
      <c r="J10" s="137">
        <f>'[4]Joe''s Comm Credit'!J10</f>
        <v>11.81</v>
      </c>
      <c r="K10" s="137">
        <f>'[4]Joe''s Comm Credit'!K10</f>
        <v>7.84</v>
      </c>
      <c r="L10" s="137">
        <f>'[4]Joe''s Comm Credit'!L10</f>
        <v>9.5399999999999991</v>
      </c>
      <c r="M10" s="137">
        <f>'[4]Joe''s Comm Credit'!M10</f>
        <v>9.07</v>
      </c>
      <c r="N10" s="29">
        <f>SUM(B10:M10)</f>
        <v>124.98999999999998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95.075583491461103</v>
      </c>
      <c r="C11" s="33">
        <f t="shared" ref="C11:J11" si="0">SUM(C9:C10)</f>
        <v>79.359794242567233</v>
      </c>
      <c r="D11" s="33">
        <f t="shared" si="0"/>
        <v>77.436514393581902</v>
      </c>
      <c r="E11" s="33">
        <f>SUM(E9:E10)</f>
        <v>82.138814710705091</v>
      </c>
      <c r="F11" s="33">
        <f>SUM(F9:F10)</f>
        <v>79.549129251700663</v>
      </c>
      <c r="G11" s="33">
        <f t="shared" si="0"/>
        <v>90.525619603267188</v>
      </c>
      <c r="H11" s="33">
        <f>SUM(H9:H10)</f>
        <v>98.031662011173182</v>
      </c>
      <c r="I11" s="33">
        <f>SUM(I9:I10)</f>
        <v>85.015202278539888</v>
      </c>
      <c r="J11" s="33">
        <f t="shared" si="0"/>
        <v>84.293155501742959</v>
      </c>
      <c r="K11" s="33">
        <f>SUM(K9:K10)</f>
        <v>67.098543407132951</v>
      </c>
      <c r="L11" s="33">
        <f>SUM(L9:L10)</f>
        <v>75.013923267605634</v>
      </c>
      <c r="M11" s="33">
        <f>SUM(M9:M10)</f>
        <v>78.838464418444602</v>
      </c>
      <c r="N11" s="34">
        <f>SUM(B11:M11)</f>
        <v>992.37640657792235</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0">
        <f>'RSA-1 CPA Eff 7.1.18'!B12</f>
        <v>62.714999999999996</v>
      </c>
      <c r="C14" s="10">
        <f>'RSA-1 CPA Eff 7.1.18'!C12</f>
        <v>85.117999999999995</v>
      </c>
      <c r="D14" s="10">
        <f>'RSA-1 CPA Eff 7.1.18'!D12</f>
        <v>94.094999999999999</v>
      </c>
      <c r="E14" s="10">
        <f>'RSA-1 CPA Eff 7.1.18'!E12</f>
        <v>80.64</v>
      </c>
      <c r="F14" s="10">
        <f>'RSA-1 CPA Eff 7.1.18'!F12</f>
        <v>61.322000000000017</v>
      </c>
      <c r="G14" s="10">
        <f>'RSA-1 CPA Eff 7.1.18'!G12</f>
        <v>22.388999999999996</v>
      </c>
      <c r="H14" s="10">
        <f>'RSA-1 CPA Eff 7.1.18'!H12</f>
        <v>35.187000000000005</v>
      </c>
      <c r="I14" s="10">
        <f>'RSA-1 CPA Eff 7.1.18'!I12</f>
        <v>32.935000000000024</v>
      </c>
      <c r="J14" s="10">
        <f>'RSA-1 CPA Eff 7.1.18'!J12</f>
        <v>-18.190220000000004</v>
      </c>
      <c r="K14" s="10">
        <f>'RSA-1 CPA Eff 7.1.18'!K12</f>
        <v>-33.529720000000005</v>
      </c>
      <c r="L14" s="10">
        <f>'RSA-1 CPA Eff 7.1.18'!L12</f>
        <v>-38.297619999999981</v>
      </c>
      <c r="M14" s="10">
        <f>'RSA-1 CPA Eff 7.1.18'!M12</f>
        <v>-50.726408000000006</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0">
        <f>'[5]Pacific Comm Credit'!B18</f>
        <v>30</v>
      </c>
      <c r="C15" s="10">
        <f>'[5]Pacific Comm Credit'!C18</f>
        <v>30</v>
      </c>
      <c r="D15" s="10">
        <f>'[5]Pacific Comm Credit'!D18</f>
        <v>30</v>
      </c>
      <c r="E15" s="10">
        <f>'[5]Pacific Comm Credit'!E18</f>
        <v>30</v>
      </c>
      <c r="F15" s="10">
        <f>'[5]Pacific Comm Credit'!F18</f>
        <v>30</v>
      </c>
      <c r="G15" s="10">
        <f>'[5]Pacific Comm Credit'!G18</f>
        <v>30</v>
      </c>
      <c r="H15" s="10">
        <f>'[5]Pacific Comm Credit'!H18</f>
        <v>30</v>
      </c>
      <c r="I15" s="10">
        <f>'[5]Pacific Comm Credit'!I18</f>
        <v>30</v>
      </c>
      <c r="J15" s="10">
        <f>'[5]Pacific Comm Credit'!J18</f>
        <v>-30</v>
      </c>
      <c r="K15" s="10">
        <f>'[5]Pacific Comm Credit'!K18</f>
        <v>-30</v>
      </c>
      <c r="L15" s="10">
        <f>'[5]Pacific Comm Credit'!L18</f>
        <v>-30</v>
      </c>
      <c r="M15" s="10">
        <f>'[5]Pacific Comm Credit'!M18</f>
        <v>-30</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5230.7811686669829</v>
      </c>
      <c r="C18" s="39">
        <f>C9*C14</f>
        <v>5876.529206338837</v>
      </c>
      <c r="D18" s="39">
        <f t="shared" ref="D18:M18" si="1">D9*D14</f>
        <v>6178.8906718640892</v>
      </c>
      <c r="E18" s="39">
        <f>E9*E14</f>
        <v>5643.091618271259</v>
      </c>
      <c r="F18" s="39">
        <f>F9*F14</f>
        <v>4217.6737639727899</v>
      </c>
      <c r="G18" s="39">
        <f t="shared" si="1"/>
        <v>1789.9024772975488</v>
      </c>
      <c r="H18" s="39">
        <f t="shared" si="1"/>
        <v>3127.1271711871514</v>
      </c>
      <c r="I18" s="39">
        <f t="shared" si="1"/>
        <v>2460.745187043713</v>
      </c>
      <c r="J18" s="39">
        <f t="shared" si="1"/>
        <v>-1318.484544870915</v>
      </c>
      <c r="K18" s="39">
        <f t="shared" si="1"/>
        <v>-1986.922368049014</v>
      </c>
      <c r="L18" s="39">
        <f t="shared" si="1"/>
        <v>-2507.4954332119178</v>
      </c>
      <c r="M18" s="39">
        <f t="shared" si="1"/>
        <v>-3539.1035916235037</v>
      </c>
      <c r="N18" s="12">
        <f>SUM(B18:M18)</f>
        <v>25172.735326887021</v>
      </c>
      <c r="O18" s="15"/>
    </row>
    <row r="19" spans="1:17" x14ac:dyDescent="0.2">
      <c r="A19" s="89" t="s">
        <v>11</v>
      </c>
      <c r="B19" s="39">
        <f>+B15*B10</f>
        <v>350.1</v>
      </c>
      <c r="C19" s="39">
        <f>+C15*C10</f>
        <v>309.60000000000002</v>
      </c>
      <c r="D19" s="39">
        <f t="shared" ref="D19:M19" si="2">+D15*D10</f>
        <v>353.09999999999997</v>
      </c>
      <c r="E19" s="39">
        <f>+E15*E10</f>
        <v>364.8</v>
      </c>
      <c r="F19" s="39">
        <f>+F15*F10</f>
        <v>323.09999999999997</v>
      </c>
      <c r="G19" s="39">
        <f t="shared" si="2"/>
        <v>317.39999999999998</v>
      </c>
      <c r="H19" s="39">
        <f>+H15*H10</f>
        <v>274.8</v>
      </c>
      <c r="I19" s="39">
        <f>+I15*I10</f>
        <v>309</v>
      </c>
      <c r="J19" s="39">
        <f t="shared" si="2"/>
        <v>-354.3</v>
      </c>
      <c r="K19" s="39">
        <f t="shared" si="2"/>
        <v>-235.2</v>
      </c>
      <c r="L19" s="39">
        <f>+L15*L10</f>
        <v>-286.2</v>
      </c>
      <c r="M19" s="39">
        <f t="shared" si="2"/>
        <v>-272.10000000000002</v>
      </c>
      <c r="N19" s="12">
        <f>SUM(B19:M19)</f>
        <v>1454.1</v>
      </c>
      <c r="O19" s="44"/>
    </row>
    <row r="20" spans="1:17" s="3" customFormat="1" x14ac:dyDescent="0.2">
      <c r="A20" s="3" t="s">
        <v>14</v>
      </c>
      <c r="B20" s="40">
        <f>+B18+B19</f>
        <v>5580.8811686669833</v>
      </c>
      <c r="C20" s="40">
        <f>+C18+C19</f>
        <v>6186.1292063388373</v>
      </c>
      <c r="D20" s="40">
        <f t="shared" ref="D20:I20" si="3">+D18+D19</f>
        <v>6531.9906718640896</v>
      </c>
      <c r="E20" s="40">
        <f t="shared" si="3"/>
        <v>6007.8916182712592</v>
      </c>
      <c r="F20" s="40">
        <f t="shared" si="3"/>
        <v>4540.7737639727902</v>
      </c>
      <c r="G20" s="40">
        <f t="shared" si="3"/>
        <v>2107.3024772975486</v>
      </c>
      <c r="H20" s="40">
        <f t="shared" si="3"/>
        <v>3401.9271711871515</v>
      </c>
      <c r="I20" s="40">
        <f t="shared" si="3"/>
        <v>2769.745187043713</v>
      </c>
      <c r="J20" s="40">
        <f>+J18+J19</f>
        <v>-1672.7845448709149</v>
      </c>
      <c r="K20" s="40">
        <f>+K18+K19</f>
        <v>-2222.1223680490139</v>
      </c>
      <c r="L20" s="40">
        <f>+L18+L19</f>
        <v>-2793.6954332119176</v>
      </c>
      <c r="M20" s="40">
        <f>+M18+M19</f>
        <v>-3811.2035916235036</v>
      </c>
      <c r="N20" s="41">
        <f>SUM(N18:N19)</f>
        <v>26626.83532688702</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'[4]Joe''s Comm Credit'!B23</f>
        <v>3884</v>
      </c>
      <c r="C22" s="5">
        <f>'[4]Joe''s Comm Credit'!C23</f>
        <v>3906</v>
      </c>
      <c r="D22" s="5">
        <f>'[4]Joe''s Comm Credit'!D23</f>
        <v>3906</v>
      </c>
      <c r="E22" s="5">
        <f>'[4]Joe''s Comm Credit'!E23</f>
        <v>3937</v>
      </c>
      <c r="F22" s="5">
        <f>'[4]Joe''s Comm Credit'!F23</f>
        <v>3931</v>
      </c>
      <c r="G22" s="5">
        <f>'[4]Joe''s Comm Credit'!G23</f>
        <v>3953</v>
      </c>
      <c r="H22" s="5">
        <f>'[4]Joe''s Comm Credit'!H23</f>
        <v>3964</v>
      </c>
      <c r="I22" s="5">
        <f>'[4]Joe''s Comm Credit'!I23</f>
        <v>3969</v>
      </c>
      <c r="J22" s="5">
        <f>'[4]Joe''s Comm Credit'!J23</f>
        <v>3961</v>
      </c>
      <c r="K22" s="5">
        <f>'[4]Joe''s Comm Credit'!K23</f>
        <v>3976</v>
      </c>
      <c r="L22" s="5">
        <f>'[4]Joe''s Comm Credit'!L23</f>
        <v>3994</v>
      </c>
      <c r="M22" s="5">
        <f>'[4]Joe''s Comm Credit'!M23</f>
        <v>4016</v>
      </c>
      <c r="N22" s="8">
        <f>SUM(B22:M22)</f>
        <v>47397</v>
      </c>
      <c r="Q22" s="15"/>
    </row>
    <row r="23" spans="1:17" s="5" customFormat="1" x14ac:dyDescent="0.2">
      <c r="N23" s="8"/>
      <c r="Q23" s="15"/>
    </row>
    <row r="24" spans="1:17" x14ac:dyDescent="0.2">
      <c r="A24" s="88" t="s">
        <v>7</v>
      </c>
      <c r="B24" s="17">
        <f t="shared" ref="B24:M24" si="4">+IFERROR(B20/B22,0)</f>
        <v>1.4368901052180698</v>
      </c>
      <c r="C24" s="17">
        <f t="shared" si="4"/>
        <v>1.5837504368507007</v>
      </c>
      <c r="D24" s="17">
        <f t="shared" si="4"/>
        <v>1.6722966389821017</v>
      </c>
      <c r="E24" s="17">
        <f t="shared" si="4"/>
        <v>1.526007523055946</v>
      </c>
      <c r="F24" s="17">
        <f t="shared" si="4"/>
        <v>1.1551192480215697</v>
      </c>
      <c r="G24" s="17">
        <f t="shared" si="4"/>
        <v>0.53308942000949877</v>
      </c>
      <c r="H24" s="17">
        <f t="shared" si="4"/>
        <v>0.85820564358908968</v>
      </c>
      <c r="I24" s="17">
        <f t="shared" si="4"/>
        <v>0.69784459235165353</v>
      </c>
      <c r="J24" s="17">
        <f t="shared" si="4"/>
        <v>-0.42231369474145797</v>
      </c>
      <c r="K24" s="17">
        <f t="shared" si="4"/>
        <v>-0.55888389538456085</v>
      </c>
      <c r="L24" s="17">
        <f t="shared" si="4"/>
        <v>-0.69947306790483665</v>
      </c>
      <c r="M24" s="17">
        <f t="shared" si="4"/>
        <v>-0.94900487839230663</v>
      </c>
      <c r="N24" s="18"/>
      <c r="O24" s="43"/>
    </row>
    <row r="25" spans="1:17" x14ac:dyDescent="0.2">
      <c r="A25" s="88" t="s">
        <v>8</v>
      </c>
      <c r="B25" s="17">
        <f>'[6]Joe''s Comm Credit'!$D$25</f>
        <v>0.82</v>
      </c>
      <c r="C25" s="17">
        <f>'[6]Joe''s Comm Credit'!$D$25</f>
        <v>0.82</v>
      </c>
      <c r="D25" s="17">
        <f>'[6]Joe''s Comm Credit'!$N$29</f>
        <v>1.31</v>
      </c>
      <c r="E25" s="17">
        <f>'[6]Joe''s Comm Credit'!$N$29</f>
        <v>1.31</v>
      </c>
      <c r="F25" s="17">
        <f>'[6]Joe''s Comm Credit'!$N$29</f>
        <v>1.31</v>
      </c>
      <c r="G25" s="17">
        <f>'[6]Joe''s Comm Credit'!$N$29</f>
        <v>1.31</v>
      </c>
      <c r="H25" s="17">
        <f>'[6]Joe''s Comm Credit'!$N$29</f>
        <v>1.31</v>
      </c>
      <c r="I25" s="17">
        <f>'[6]Joe''s Comm Credit'!$N$29</f>
        <v>1.31</v>
      </c>
      <c r="J25" s="17">
        <f>'[6]Joe''s Comm Credit'!$N$29</f>
        <v>1.31</v>
      </c>
      <c r="K25" s="17">
        <f>'[6]Joe''s Comm Credit'!$N$29</f>
        <v>1.31</v>
      </c>
      <c r="L25" s="17">
        <f>'[6]Joe''s Comm Credit'!$N$29</f>
        <v>1.31</v>
      </c>
      <c r="M25" s="17">
        <f>'[6]Joe''s Comm Credit'!$N$29</f>
        <v>1.31</v>
      </c>
      <c r="N25" s="18"/>
      <c r="O25" s="20"/>
    </row>
    <row r="26" spans="1:17" x14ac:dyDescent="0.2">
      <c r="A26" s="21" t="s">
        <v>17</v>
      </c>
      <c r="B26" s="21">
        <f>+(B24-B25)*B22</f>
        <v>2396.0011686669832</v>
      </c>
      <c r="C26" s="21">
        <f t="shared" ref="C26:I26" si="5">+(C24-C25)*C22</f>
        <v>2983.2092063388372</v>
      </c>
      <c r="D26" s="21">
        <f t="shared" si="5"/>
        <v>1415.130671864089</v>
      </c>
      <c r="E26" s="21">
        <f t="shared" si="5"/>
        <v>850.42161827125915</v>
      </c>
      <c r="F26" s="21">
        <f t="shared" si="5"/>
        <v>-608.83623602720957</v>
      </c>
      <c r="G26" s="21">
        <f t="shared" si="5"/>
        <v>-3071.1275227024516</v>
      </c>
      <c r="H26" s="21">
        <f t="shared" si="5"/>
        <v>-1790.9128288128486</v>
      </c>
      <c r="I26" s="21">
        <f t="shared" si="5"/>
        <v>-2429.6448129562873</v>
      </c>
      <c r="J26" s="21">
        <f>+(J24-J25)*J22</f>
        <v>-6861.6945448709157</v>
      </c>
      <c r="K26" s="21">
        <f>+(K24-K25)*K22</f>
        <v>-7430.6823680490143</v>
      </c>
      <c r="L26" s="21">
        <f>+(L24-L25)*L22</f>
        <v>-8025.8354332119179</v>
      </c>
      <c r="M26" s="21">
        <f>+(M24-M25)*M22</f>
        <v>-9072.1635916235027</v>
      </c>
      <c r="N26" s="55">
        <f>SUM(B26:M26)</f>
        <v>-31646.134673112982</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-0.67</v>
      </c>
      <c r="P28" s="35"/>
    </row>
    <row r="29" spans="1:17" x14ac:dyDescent="0.2">
      <c r="A29" s="127" t="s">
        <v>28</v>
      </c>
      <c r="B29" s="128">
        <v>43069</v>
      </c>
      <c r="C29" s="128">
        <v>43100</v>
      </c>
      <c r="D29" s="128">
        <v>43131</v>
      </c>
      <c r="E29" s="128">
        <v>43159</v>
      </c>
      <c r="F29" s="128">
        <v>43190</v>
      </c>
      <c r="G29" s="128">
        <v>43220</v>
      </c>
      <c r="H29" s="23"/>
      <c r="I29" s="23"/>
      <c r="J29" s="23"/>
      <c r="K29" s="23"/>
      <c r="L29" s="23"/>
      <c r="M29" s="92" t="s">
        <v>20</v>
      </c>
      <c r="N29" s="18">
        <f>SUM(B33:G33)/SUM(H22:M22)</f>
        <v>-0.99262254477944922</v>
      </c>
      <c r="P29" s="35"/>
    </row>
    <row r="30" spans="1:17" x14ac:dyDescent="0.2">
      <c r="A30" s="129" t="s">
        <v>29</v>
      </c>
      <c r="B30" s="130">
        <f>H14-45</f>
        <v>-9.8129999999999953</v>
      </c>
      <c r="C30" s="130">
        <f t="shared" ref="C30:G30" si="6">I14-45</f>
        <v>-12.064999999999976</v>
      </c>
      <c r="D30" s="130">
        <f t="shared" si="6"/>
        <v>-63.190220000000004</v>
      </c>
      <c r="E30" s="130">
        <f t="shared" si="6"/>
        <v>-78.529719999999998</v>
      </c>
      <c r="F30" s="130">
        <f t="shared" si="6"/>
        <v>-83.297619999999981</v>
      </c>
      <c r="G30" s="130">
        <f t="shared" si="6"/>
        <v>-95.726408000000006</v>
      </c>
      <c r="H30" s="23"/>
      <c r="I30" s="23"/>
      <c r="J30" s="23"/>
      <c r="K30" s="23"/>
      <c r="L30" s="23"/>
      <c r="M30" s="93" t="s">
        <v>30</v>
      </c>
      <c r="N30" s="55">
        <f>SUM(N28:N29)</f>
        <v>-1.6626225447794494</v>
      </c>
      <c r="P30" s="35"/>
    </row>
    <row r="31" spans="1:17" ht="25.5" x14ac:dyDescent="0.2">
      <c r="A31" s="129" t="s">
        <v>31</v>
      </c>
      <c r="B31" s="131">
        <f>B30*H9</f>
        <v>-872.09761931564208</v>
      </c>
      <c r="C31" s="131">
        <f t="shared" ref="C31:G31" si="7">C30*I9</f>
        <v>-901.43891549058208</v>
      </c>
      <c r="D31" s="131">
        <f t="shared" si="7"/>
        <v>-4580.226542449348</v>
      </c>
      <c r="E31" s="131">
        <f t="shared" si="7"/>
        <v>-4653.5568213699962</v>
      </c>
      <c r="F31" s="131">
        <f t="shared" si="7"/>
        <v>-5453.8219802541716</v>
      </c>
      <c r="G31" s="131">
        <f t="shared" si="7"/>
        <v>-6678.6844904535101</v>
      </c>
      <c r="H31" s="23"/>
      <c r="I31" s="23"/>
      <c r="J31" s="23"/>
      <c r="K31" s="23"/>
      <c r="L31" s="23"/>
      <c r="M31" s="92"/>
      <c r="N31" s="55"/>
    </row>
    <row r="32" spans="1:17" x14ac:dyDescent="0.2">
      <c r="A32" s="129" t="s">
        <v>35</v>
      </c>
      <c r="B32" s="132">
        <f>H10*H15</f>
        <v>274.8</v>
      </c>
      <c r="C32" s="132">
        <f t="shared" ref="C32:G32" si="8">I10*I15</f>
        <v>309</v>
      </c>
      <c r="D32" s="132">
        <f t="shared" si="8"/>
        <v>-354.3</v>
      </c>
      <c r="E32" s="132">
        <f t="shared" si="8"/>
        <v>-235.2</v>
      </c>
      <c r="F32" s="132">
        <f t="shared" si="8"/>
        <v>-286.2</v>
      </c>
      <c r="G32" s="132">
        <f t="shared" si="8"/>
        <v>-272.10000000000002</v>
      </c>
      <c r="H32" s="23"/>
      <c r="I32" s="23"/>
      <c r="M32" s="92" t="s">
        <v>32</v>
      </c>
      <c r="N32" s="37">
        <v>1.7</v>
      </c>
      <c r="O32" s="14"/>
      <c r="P32" s="80"/>
    </row>
    <row r="33" spans="1:16" x14ac:dyDescent="0.2">
      <c r="A33" s="133" t="s">
        <v>33</v>
      </c>
      <c r="B33" s="134">
        <f>SUM(B31:B32)</f>
        <v>-597.29761931564212</v>
      </c>
      <c r="C33" s="134">
        <f t="shared" ref="C33:G33" si="9">SUM(C31:C32)</f>
        <v>-592.43891549058208</v>
      </c>
      <c r="D33" s="134">
        <f t="shared" si="9"/>
        <v>-4934.5265424493482</v>
      </c>
      <c r="E33" s="134">
        <f t="shared" si="9"/>
        <v>-4888.756821369996</v>
      </c>
      <c r="F33" s="134">
        <f t="shared" si="9"/>
        <v>-5740.0219802541715</v>
      </c>
      <c r="G33" s="134">
        <f t="shared" si="9"/>
        <v>-6950.7844904535104</v>
      </c>
      <c r="H33" s="89"/>
      <c r="I33" s="89"/>
      <c r="J33" s="89"/>
      <c r="K33" s="89"/>
      <c r="L33" s="89"/>
      <c r="M33" s="92" t="s">
        <v>9</v>
      </c>
      <c r="N33" s="18">
        <f>N32-N30</f>
        <v>3.3626225447794491</v>
      </c>
      <c r="O33" s="87">
        <f>N33/N32</f>
        <v>1.9780132616349702</v>
      </c>
    </row>
    <row r="34" spans="1:16" x14ac:dyDescent="0.2">
      <c r="B34" s="89"/>
      <c r="C34" s="89"/>
      <c r="D34" s="89"/>
      <c r="E34" s="89"/>
      <c r="F34" s="89"/>
      <c r="G34" s="89"/>
      <c r="H34" s="89"/>
      <c r="I34" s="89"/>
      <c r="J34" s="89"/>
      <c r="K34" s="89"/>
      <c r="L34" s="89"/>
      <c r="M34" s="92" t="s">
        <v>34</v>
      </c>
      <c r="N34" s="18">
        <f>N33*N22</f>
        <v>159378.22075491154</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10">B6</f>
        <v>42886</v>
      </c>
      <c r="C37" s="31">
        <f t="shared" si="10"/>
        <v>42916</v>
      </c>
      <c r="D37" s="31">
        <f t="shared" si="10"/>
        <v>42947</v>
      </c>
      <c r="E37" s="31">
        <f t="shared" si="10"/>
        <v>42978</v>
      </c>
      <c r="F37" s="31">
        <f t="shared" si="10"/>
        <v>43008</v>
      </c>
      <c r="G37" s="31">
        <f t="shared" si="10"/>
        <v>43039</v>
      </c>
      <c r="H37" s="31">
        <f t="shared" si="10"/>
        <v>43069</v>
      </c>
      <c r="I37" s="31">
        <f t="shared" si="10"/>
        <v>43100</v>
      </c>
      <c r="J37" s="31">
        <f t="shared" si="10"/>
        <v>43131</v>
      </c>
      <c r="K37" s="31">
        <f t="shared" si="10"/>
        <v>43159</v>
      </c>
      <c r="L37" s="31">
        <f t="shared" si="10"/>
        <v>43190</v>
      </c>
      <c r="M37" s="31">
        <f t="shared" si="10"/>
        <v>43220</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'[4]Joe''s Comm Credit'!B39</f>
        <v>7.1294165085388954</v>
      </c>
      <c r="C40" s="90">
        <f>'[4]Joe''s Comm Credit'!C39</f>
        <v>5.8682057574327464</v>
      </c>
      <c r="D40" s="90">
        <f>'[4]Joe''s Comm Credit'!D39</f>
        <v>5.5814856064181129</v>
      </c>
      <c r="E40" s="90">
        <f>'[4]Joe''s Comm Credit'!E39</f>
        <v>5.901185289294915</v>
      </c>
      <c r="F40" s="90">
        <f>'[4]Joe''s Comm Credit'!F39</f>
        <v>5.8088707482993129</v>
      </c>
      <c r="G40" s="90">
        <f>'[4]Joe''s Comm Credit'!G39</f>
        <v>6.7143803967327935</v>
      </c>
      <c r="H40" s="90">
        <f>'[4]Joe''s Comm Credit'!H39</f>
        <v>7.4433379888268121</v>
      </c>
      <c r="I40" s="90">
        <f>'[4]Joe''s Comm Credit'!I39</f>
        <v>6.2497977214601272</v>
      </c>
      <c r="J40" s="90">
        <f>'[4]Joe''s Comm Credit'!J39</f>
        <v>6.258328498257022</v>
      </c>
      <c r="K40" s="90">
        <f>'[4]Joe''s Comm Credit'!K39</f>
        <v>5.0971885928670648</v>
      </c>
      <c r="L40" s="90">
        <f>'[4]Joe''s Comm Credit'!L39</f>
        <v>5.5244647323943594</v>
      </c>
      <c r="M40" s="90">
        <f>'[4]Joe''s Comm Credit'!M39</f>
        <v>5.9588105815554053</v>
      </c>
      <c r="N40" s="29">
        <f>SUM(B40:M40)</f>
        <v>73.535472422077575</v>
      </c>
      <c r="P40" s="35"/>
    </row>
    <row r="41" spans="1:16" x14ac:dyDescent="0.2">
      <c r="A41" s="84" t="s">
        <v>11</v>
      </c>
      <c r="B41" s="90">
        <f>'[4]Joe''s Comm Credit'!B40</f>
        <v>0.71000000000003638</v>
      </c>
      <c r="C41" s="90">
        <f>'[4]Joe''s Comm Credit'!C40</f>
        <v>0.62999999999996703</v>
      </c>
      <c r="D41" s="90">
        <f>'[4]Joe''s Comm Credit'!D40</f>
        <v>0.71999999999997044</v>
      </c>
      <c r="E41" s="90">
        <f>'[4]Joe''s Comm Credit'!E40</f>
        <v>0.75</v>
      </c>
      <c r="F41" s="90">
        <f>'[4]Joe''s Comm Credit'!F40</f>
        <v>0.65000000000000568</v>
      </c>
      <c r="G41" s="90">
        <f>'[4]Joe''s Comm Credit'!G40</f>
        <v>0.63999999999998636</v>
      </c>
      <c r="H41" s="90">
        <f>'[4]Joe''s Comm Credit'!H40</f>
        <v>0.55000000000003979</v>
      </c>
      <c r="I41" s="90">
        <f>'[4]Joe''s Comm Credit'!I40</f>
        <v>0.63</v>
      </c>
      <c r="J41" s="90">
        <f>'[4]Joe''s Comm Credit'!J40</f>
        <v>0.71</v>
      </c>
      <c r="K41" s="90">
        <f>'[4]Joe''s Comm Credit'!K40</f>
        <v>0.46</v>
      </c>
      <c r="L41" s="90">
        <f>'[4]Joe''s Comm Credit'!L40</f>
        <v>0.56999999999999995</v>
      </c>
      <c r="M41" s="90">
        <f>'[4]Joe''s Comm Credit'!M40</f>
        <v>0.54</v>
      </c>
      <c r="N41" s="29">
        <f>SUM(B41:M41)</f>
        <v>7.5600000000000058</v>
      </c>
      <c r="O41" s="85"/>
      <c r="P41" s="35"/>
    </row>
    <row r="42" spans="1:16" x14ac:dyDescent="0.2">
      <c r="A42" s="82" t="s">
        <v>12</v>
      </c>
      <c r="B42" s="33">
        <f t="shared" ref="B42:M42" si="11">SUM(B40:B41)</f>
        <v>7.8394165085389318</v>
      </c>
      <c r="C42" s="33">
        <f t="shared" si="11"/>
        <v>6.4982057574327134</v>
      </c>
      <c r="D42" s="33">
        <f t="shared" si="11"/>
        <v>6.3014856064180833</v>
      </c>
      <c r="E42" s="33">
        <f t="shared" si="11"/>
        <v>6.651185289294915</v>
      </c>
      <c r="F42" s="33">
        <f t="shared" si="11"/>
        <v>6.4588707482993186</v>
      </c>
      <c r="G42" s="33">
        <f t="shared" si="11"/>
        <v>7.3543803967327799</v>
      </c>
      <c r="H42" s="33">
        <f t="shared" si="11"/>
        <v>7.9933379888268519</v>
      </c>
      <c r="I42" s="33">
        <f t="shared" si="11"/>
        <v>6.8797977214601271</v>
      </c>
      <c r="J42" s="33">
        <f t="shared" si="11"/>
        <v>6.9683284982570219</v>
      </c>
      <c r="K42" s="33">
        <f t="shared" si="11"/>
        <v>5.5571885928670648</v>
      </c>
      <c r="L42" s="33">
        <f>SUM(L40:L41)</f>
        <v>6.0944647323943597</v>
      </c>
      <c r="M42" s="33">
        <f t="shared" si="11"/>
        <v>6.4988105815554054</v>
      </c>
      <c r="N42" s="34">
        <f>SUM(N40:N41)</f>
        <v>81.095472422077577</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7">
        <f t="shared" ref="B45:M46" si="12">+B14</f>
        <v>62.714999999999996</v>
      </c>
      <c r="C45" s="17">
        <f t="shared" si="12"/>
        <v>85.117999999999995</v>
      </c>
      <c r="D45" s="17">
        <f t="shared" si="12"/>
        <v>94.094999999999999</v>
      </c>
      <c r="E45" s="17">
        <f t="shared" si="12"/>
        <v>80.64</v>
      </c>
      <c r="F45" s="17">
        <f t="shared" si="12"/>
        <v>61.322000000000017</v>
      </c>
      <c r="G45" s="17">
        <f t="shared" si="12"/>
        <v>22.388999999999996</v>
      </c>
      <c r="H45" s="17">
        <f t="shared" si="12"/>
        <v>35.187000000000005</v>
      </c>
      <c r="I45" s="17">
        <f t="shared" si="12"/>
        <v>32.935000000000024</v>
      </c>
      <c r="J45" s="17">
        <f t="shared" si="12"/>
        <v>-18.190220000000004</v>
      </c>
      <c r="K45" s="17">
        <f t="shared" si="12"/>
        <v>-33.529720000000005</v>
      </c>
      <c r="L45" s="17">
        <f t="shared" si="12"/>
        <v>-38.297619999999981</v>
      </c>
      <c r="M45" s="17">
        <f t="shared" si="12"/>
        <v>-50.726408000000006</v>
      </c>
      <c r="N45" s="36"/>
    </row>
    <row r="46" spans="1:16" x14ac:dyDescent="0.2">
      <c r="A46" s="84" t="s">
        <v>11</v>
      </c>
      <c r="B46" s="17">
        <f t="shared" si="12"/>
        <v>30</v>
      </c>
      <c r="C46" s="17">
        <f t="shared" si="12"/>
        <v>30</v>
      </c>
      <c r="D46" s="17">
        <f t="shared" si="12"/>
        <v>30</v>
      </c>
      <c r="E46" s="17">
        <f t="shared" si="12"/>
        <v>30</v>
      </c>
      <c r="F46" s="17">
        <f t="shared" si="12"/>
        <v>30</v>
      </c>
      <c r="G46" s="17">
        <f t="shared" si="12"/>
        <v>30</v>
      </c>
      <c r="H46" s="17">
        <f t="shared" si="12"/>
        <v>30</v>
      </c>
      <c r="I46" s="17">
        <f t="shared" si="12"/>
        <v>30</v>
      </c>
      <c r="J46" s="17">
        <f t="shared" si="12"/>
        <v>-30</v>
      </c>
      <c r="K46" s="17">
        <f t="shared" si="12"/>
        <v>-30</v>
      </c>
      <c r="L46" s="17">
        <f t="shared" si="12"/>
        <v>-30</v>
      </c>
      <c r="M46" s="17">
        <f t="shared" si="12"/>
        <v>-30</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M49" si="13">+B40*B45</f>
        <v>447.12135633301682</v>
      </c>
      <c r="C49" s="91">
        <f t="shared" si="13"/>
        <v>499.48993766116047</v>
      </c>
      <c r="D49" s="91">
        <f t="shared" si="13"/>
        <v>525.18988813591227</v>
      </c>
      <c r="E49" s="91">
        <f t="shared" si="13"/>
        <v>475.87158172874194</v>
      </c>
      <c r="F49" s="91">
        <f t="shared" si="13"/>
        <v>356.21157202721059</v>
      </c>
      <c r="G49" s="91">
        <f t="shared" si="13"/>
        <v>150.32826270245047</v>
      </c>
      <c r="H49" s="91">
        <f t="shared" si="13"/>
        <v>261.90873381284905</v>
      </c>
      <c r="I49" s="91">
        <f t="shared" si="13"/>
        <v>205.83708795628945</v>
      </c>
      <c r="J49" s="91">
        <f t="shared" si="13"/>
        <v>-113.84037221556487</v>
      </c>
      <c r="K49" s="91">
        <f t="shared" si="13"/>
        <v>-170.9073063060267</v>
      </c>
      <c r="L49" s="91">
        <f>+L40*L45</f>
        <v>-211.57385102464076</v>
      </c>
      <c r="M49" s="91">
        <f t="shared" si="13"/>
        <v>-302.26905675469681</v>
      </c>
      <c r="N49" s="12">
        <f>SUM(B49:M49)</f>
        <v>2123.3678340567017</v>
      </c>
    </row>
    <row r="50" spans="1:17" x14ac:dyDescent="0.2">
      <c r="A50" s="84" t="s">
        <v>11</v>
      </c>
      <c r="B50" s="91">
        <f t="shared" ref="B50:M50" si="14">+B46*B41</f>
        <v>21.300000000001091</v>
      </c>
      <c r="C50" s="91">
        <f t="shared" si="14"/>
        <v>18.899999999999011</v>
      </c>
      <c r="D50" s="91">
        <f t="shared" si="14"/>
        <v>21.599999999999113</v>
      </c>
      <c r="E50" s="91">
        <f t="shared" si="14"/>
        <v>22.5</v>
      </c>
      <c r="F50" s="91">
        <f t="shared" si="14"/>
        <v>19.500000000000171</v>
      </c>
      <c r="G50" s="91">
        <f t="shared" si="14"/>
        <v>19.199999999999591</v>
      </c>
      <c r="H50" s="91">
        <f t="shared" si="14"/>
        <v>16.500000000001194</v>
      </c>
      <c r="I50" s="91">
        <f t="shared" si="14"/>
        <v>18.899999999999999</v>
      </c>
      <c r="J50" s="91">
        <f t="shared" si="14"/>
        <v>-21.299999999999997</v>
      </c>
      <c r="K50" s="91">
        <f t="shared" si="14"/>
        <v>-13.8</v>
      </c>
      <c r="L50" s="91">
        <f>+L46*L41</f>
        <v>-17.099999999999998</v>
      </c>
      <c r="M50" s="91">
        <f t="shared" si="14"/>
        <v>-16.200000000000003</v>
      </c>
      <c r="N50" s="12">
        <f>SUM(B50:M50)</f>
        <v>90.000000000000199</v>
      </c>
    </row>
    <row r="51" spans="1:17" x14ac:dyDescent="0.2">
      <c r="A51" s="3" t="s">
        <v>14</v>
      </c>
      <c r="B51" s="40">
        <f t="shared" ref="B51:I51" si="15">+B49+B50</f>
        <v>468.42135633301791</v>
      </c>
      <c r="C51" s="40">
        <f t="shared" si="15"/>
        <v>518.38993766115948</v>
      </c>
      <c r="D51" s="40">
        <f t="shared" si="15"/>
        <v>546.78988813591138</v>
      </c>
      <c r="E51" s="40">
        <f t="shared" si="15"/>
        <v>498.37158172874194</v>
      </c>
      <c r="F51" s="40">
        <f t="shared" si="15"/>
        <v>375.71157202721076</v>
      </c>
      <c r="G51" s="40">
        <f t="shared" si="15"/>
        <v>169.52826270245006</v>
      </c>
      <c r="H51" s="40">
        <f t="shared" si="15"/>
        <v>278.40873381285024</v>
      </c>
      <c r="I51" s="40">
        <f t="shared" si="15"/>
        <v>224.73708795628946</v>
      </c>
      <c r="J51" s="40">
        <f>+J49+J50</f>
        <v>-135.14037221556487</v>
      </c>
      <c r="K51" s="40">
        <f>+K49+K50</f>
        <v>-184.70730630602671</v>
      </c>
      <c r="L51" s="40">
        <f>+L49+L50</f>
        <v>-228.67385102464075</v>
      </c>
      <c r="M51" s="40">
        <f>+M49+M50</f>
        <v>-318.46905675469679</v>
      </c>
      <c r="N51" s="41">
        <f>SUM(N49:N50)</f>
        <v>2213.3678340567017</v>
      </c>
    </row>
    <row r="52" spans="1:17" x14ac:dyDescent="0.2">
      <c r="B52" s="5"/>
      <c r="C52" s="5"/>
      <c r="D52" s="5"/>
      <c r="E52" s="5"/>
      <c r="F52" s="5"/>
      <c r="G52" s="5"/>
      <c r="H52" s="5"/>
      <c r="I52" s="5"/>
      <c r="J52" s="5"/>
      <c r="K52" s="5"/>
      <c r="L52" s="5"/>
      <c r="M52" s="5"/>
      <c r="N52" s="9"/>
    </row>
    <row r="53" spans="1:17" x14ac:dyDescent="0.2">
      <c r="A53" s="82" t="s">
        <v>6</v>
      </c>
      <c r="B53" s="5">
        <f>'[4]Joe''s Comm Credit'!B53</f>
        <v>332</v>
      </c>
      <c r="C53" s="5">
        <f>'[4]Joe''s Comm Credit'!C53</f>
        <v>332</v>
      </c>
      <c r="D53" s="5">
        <f>'[4]Joe''s Comm Credit'!D53</f>
        <v>332</v>
      </c>
      <c r="E53" s="5">
        <f>'[4]Joe''s Comm Credit'!E53</f>
        <v>332</v>
      </c>
      <c r="F53" s="5">
        <f>'[4]Joe''s Comm Credit'!F53</f>
        <v>332</v>
      </c>
      <c r="G53" s="5">
        <f>'[4]Joe''s Comm Credit'!G53</f>
        <v>332</v>
      </c>
      <c r="H53" s="5">
        <f>'[4]Joe''s Comm Credit'!H53</f>
        <v>332</v>
      </c>
      <c r="I53" s="5">
        <f>'[4]Joe''s Comm Credit'!I53</f>
        <v>332</v>
      </c>
      <c r="J53" s="5">
        <f>'[4]Joe''s Comm Credit'!J53</f>
        <v>342</v>
      </c>
      <c r="K53" s="5">
        <f>'[4]Joe''s Comm Credit'!K53</f>
        <v>342</v>
      </c>
      <c r="L53" s="5">
        <f>'[4]Joe''s Comm Credit'!L53</f>
        <v>337</v>
      </c>
      <c r="M53" s="5">
        <f>'[4]Joe''s Comm Credit'!M53</f>
        <v>343</v>
      </c>
      <c r="N53" s="8">
        <f>SUM(B53:M53)</f>
        <v>4020</v>
      </c>
      <c r="Q53" s="89"/>
    </row>
    <row r="54" spans="1:17" x14ac:dyDescent="0.2">
      <c r="A54" s="84"/>
      <c r="N54" s="9"/>
    </row>
    <row r="55" spans="1:17" x14ac:dyDescent="0.2">
      <c r="A55" s="89" t="s">
        <v>7</v>
      </c>
      <c r="B55" s="17">
        <f t="shared" ref="B55:M55" si="16">IFERROR(B51/B53,0)</f>
        <v>1.4109076997982468</v>
      </c>
      <c r="C55" s="17">
        <f t="shared" si="16"/>
        <v>1.5614154748830105</v>
      </c>
      <c r="D55" s="17">
        <f t="shared" si="16"/>
        <v>1.6469574943852752</v>
      </c>
      <c r="E55" s="17">
        <f t="shared" si="16"/>
        <v>1.501119222074524</v>
      </c>
      <c r="F55" s="17">
        <f t="shared" si="16"/>
        <v>1.1316613615277433</v>
      </c>
      <c r="G55" s="17">
        <f t="shared" si="16"/>
        <v>0.51062729729653633</v>
      </c>
      <c r="H55" s="17">
        <f t="shared" si="16"/>
        <v>0.83858052353268142</v>
      </c>
      <c r="I55" s="17">
        <f t="shared" si="16"/>
        <v>0.67691893962737792</v>
      </c>
      <c r="J55" s="17">
        <f t="shared" si="16"/>
        <v>-0.39514728718001424</v>
      </c>
      <c r="K55" s="17">
        <f t="shared" si="16"/>
        <v>-0.54007984300007805</v>
      </c>
      <c r="L55" s="17">
        <f t="shared" si="16"/>
        <v>-0.67855742143810316</v>
      </c>
      <c r="M55" s="17">
        <f t="shared" si="16"/>
        <v>-0.92848121502827052</v>
      </c>
      <c r="N55" s="18"/>
    </row>
    <row r="56" spans="1:17" x14ac:dyDescent="0.2">
      <c r="A56" s="89" t="s">
        <v>8</v>
      </c>
      <c r="B56" s="17">
        <f>'[6]Joe''s Comm Credit'!$D$56</f>
        <v>0.82</v>
      </c>
      <c r="C56" s="17">
        <f>'[6]Joe''s Comm Credit'!$D$56</f>
        <v>0.82</v>
      </c>
      <c r="D56" s="17">
        <f>'[6]Joe''s Comm Credit'!$N$60</f>
        <v>1.31</v>
      </c>
      <c r="E56" s="17">
        <f>'[6]Joe''s Comm Credit'!$N$60</f>
        <v>1.31</v>
      </c>
      <c r="F56" s="17">
        <f>'[6]Joe''s Comm Credit'!$N$60</f>
        <v>1.31</v>
      </c>
      <c r="G56" s="17">
        <f>'[6]Joe''s Comm Credit'!$N$60</f>
        <v>1.31</v>
      </c>
      <c r="H56" s="17">
        <f>'[6]Joe''s Comm Credit'!$N$60</f>
        <v>1.31</v>
      </c>
      <c r="I56" s="17">
        <f>'[6]Joe''s Comm Credit'!$N$60</f>
        <v>1.31</v>
      </c>
      <c r="J56" s="17">
        <f>'[6]Joe''s Comm Credit'!$N$60</f>
        <v>1.31</v>
      </c>
      <c r="K56" s="17">
        <f>'[6]Joe''s Comm Credit'!$N$60</f>
        <v>1.31</v>
      </c>
      <c r="L56" s="17">
        <f>'[6]Joe''s Comm Credit'!$N$60</f>
        <v>1.31</v>
      </c>
      <c r="M56" s="17">
        <f>'[6]Joe''s Comm Credit'!$N$60</f>
        <v>1.31</v>
      </c>
      <c r="N56" s="18"/>
    </row>
    <row r="57" spans="1:17" x14ac:dyDescent="0.2">
      <c r="A57" s="21" t="s">
        <v>17</v>
      </c>
      <c r="B57" s="21">
        <f>(B55-B56)*B53</f>
        <v>196.18135633301796</v>
      </c>
      <c r="C57" s="21">
        <f t="shared" ref="C57:I57" si="17">(C55-C56)*C53</f>
        <v>246.1499376611595</v>
      </c>
      <c r="D57" s="21">
        <f t="shared" si="17"/>
        <v>111.86988813591134</v>
      </c>
      <c r="E57" s="21">
        <f t="shared" si="17"/>
        <v>63.451581728741942</v>
      </c>
      <c r="F57" s="21">
        <f t="shared" si="17"/>
        <v>-59.208427972789231</v>
      </c>
      <c r="G57" s="21">
        <f t="shared" si="17"/>
        <v>-265.39173729754998</v>
      </c>
      <c r="H57" s="21">
        <f t="shared" si="17"/>
        <v>-156.51126618714977</v>
      </c>
      <c r="I57" s="21">
        <f t="shared" si="17"/>
        <v>-210.18291204371056</v>
      </c>
      <c r="J57" s="21">
        <f>(J55-J56)*J53</f>
        <v>-583.16037221556485</v>
      </c>
      <c r="K57" s="21">
        <f>(K55-K56)*K53</f>
        <v>-632.72730630602678</v>
      </c>
      <c r="L57" s="21">
        <f>(L55-L56)*L53</f>
        <v>-670.14385102464075</v>
      </c>
      <c r="M57" s="21">
        <f>(M55-M56)*M53</f>
        <v>-767.79905675469672</v>
      </c>
      <c r="N57" s="55">
        <f>SUM(B57:M57)</f>
        <v>-2727.472165943298</v>
      </c>
    </row>
    <row r="58" spans="1:17" x14ac:dyDescent="0.2">
      <c r="N58" s="7"/>
    </row>
    <row r="59" spans="1:17" ht="15" x14ac:dyDescent="0.25">
      <c r="A59" s="126"/>
      <c r="B59" s="56"/>
      <c r="C59" s="56"/>
      <c r="D59" s="56"/>
      <c r="E59" s="56"/>
      <c r="F59" s="56"/>
      <c r="G59" s="56"/>
      <c r="H59" s="56"/>
      <c r="I59" s="56"/>
      <c r="J59" s="56"/>
      <c r="K59" s="56"/>
      <c r="L59" s="56"/>
      <c r="M59" s="92" t="s">
        <v>19</v>
      </c>
      <c r="N59" s="18">
        <f>ROUND(N57/N53,2)</f>
        <v>-0.68</v>
      </c>
    </row>
    <row r="60" spans="1:17" x14ac:dyDescent="0.2">
      <c r="A60" s="127" t="s">
        <v>28</v>
      </c>
      <c r="B60" s="128">
        <v>43069</v>
      </c>
      <c r="C60" s="128">
        <v>43100</v>
      </c>
      <c r="D60" s="128">
        <v>43131</v>
      </c>
      <c r="E60" s="128">
        <v>43159</v>
      </c>
      <c r="F60" s="128">
        <v>43190</v>
      </c>
      <c r="G60" s="128">
        <v>43220</v>
      </c>
      <c r="H60" s="23"/>
      <c r="I60" s="23"/>
      <c r="J60" s="23"/>
      <c r="K60" s="23"/>
      <c r="L60" s="23"/>
      <c r="M60" s="92" t="s">
        <v>20</v>
      </c>
      <c r="N60" s="18">
        <f>SUM(B63:G63)/SUM(H53:M53)</f>
        <v>-0.99003034010011104</v>
      </c>
    </row>
    <row r="61" spans="1:17" ht="25.5" x14ac:dyDescent="0.2">
      <c r="A61" s="129" t="s">
        <v>31</v>
      </c>
      <c r="B61" s="138">
        <f>H40*B30</f>
        <v>-73.041475684357465</v>
      </c>
      <c r="C61" s="138">
        <f t="shared" ref="C61:F61" si="18">I40*C30</f>
        <v>-75.403809509416291</v>
      </c>
      <c r="D61" s="138">
        <f t="shared" si="18"/>
        <v>-395.46515463713087</v>
      </c>
      <c r="E61" s="138">
        <f t="shared" si="18"/>
        <v>-400.28079298504457</v>
      </c>
      <c r="F61" s="138">
        <f t="shared" si="18"/>
        <v>-460.17476398238693</v>
      </c>
      <c r="G61" s="138">
        <f>M40*G30</f>
        <v>-570.41553292469007</v>
      </c>
      <c r="H61" s="68"/>
      <c r="I61" s="68"/>
      <c r="J61" s="68"/>
      <c r="K61" s="68"/>
      <c r="L61" s="68"/>
      <c r="M61" s="93" t="s">
        <v>30</v>
      </c>
      <c r="N61" s="55">
        <f>SUM(N59:N60)</f>
        <v>-1.6700303401001111</v>
      </c>
    </row>
    <row r="62" spans="1:17" x14ac:dyDescent="0.2">
      <c r="A62" s="129" t="s">
        <v>35</v>
      </c>
      <c r="B62" s="139">
        <f>H41*H46</f>
        <v>16.500000000001194</v>
      </c>
      <c r="C62" s="139">
        <f t="shared" ref="C62:G62" si="19">I41*I46</f>
        <v>18.899999999999999</v>
      </c>
      <c r="D62" s="139">
        <f t="shared" si="19"/>
        <v>-21.299999999999997</v>
      </c>
      <c r="E62" s="139">
        <f t="shared" si="19"/>
        <v>-13.8</v>
      </c>
      <c r="F62" s="139">
        <f t="shared" si="19"/>
        <v>-17.099999999999998</v>
      </c>
      <c r="G62" s="139">
        <f t="shared" si="19"/>
        <v>-16.200000000000003</v>
      </c>
      <c r="H62" s="23"/>
      <c r="I62" s="23"/>
      <c r="J62" s="23"/>
      <c r="K62" s="23"/>
      <c r="L62" s="23"/>
      <c r="M62" s="92"/>
      <c r="N62" s="55"/>
    </row>
    <row r="63" spans="1:17" x14ac:dyDescent="0.2">
      <c r="A63" s="133" t="s">
        <v>33</v>
      </c>
      <c r="B63" s="140">
        <f>SUM(B61:B62)</f>
        <v>-56.541475684356271</v>
      </c>
      <c r="C63" s="140">
        <f t="shared" ref="C63:G63" si="20">SUM(C61:C62)</f>
        <v>-56.503809509416293</v>
      </c>
      <c r="D63" s="140">
        <f t="shared" si="20"/>
        <v>-416.76515463713088</v>
      </c>
      <c r="E63" s="140">
        <f t="shared" si="20"/>
        <v>-414.08079298504458</v>
      </c>
      <c r="F63" s="140">
        <f t="shared" si="20"/>
        <v>-477.27476398238696</v>
      </c>
      <c r="G63" s="140">
        <f t="shared" si="20"/>
        <v>-586.61553292469011</v>
      </c>
      <c r="H63" s="86"/>
      <c r="I63" s="86"/>
      <c r="J63" s="86"/>
      <c r="K63" s="86"/>
      <c r="L63" s="86"/>
      <c r="M63" s="92" t="s">
        <v>32</v>
      </c>
      <c r="N63" s="37">
        <v>1.72</v>
      </c>
    </row>
    <row r="64" spans="1:17" x14ac:dyDescent="0.2">
      <c r="B64" s="26"/>
      <c r="C64" s="26"/>
      <c r="D64" s="26"/>
      <c r="E64" s="26"/>
      <c r="F64" s="26"/>
      <c r="G64" s="26"/>
      <c r="H64" s="26"/>
      <c r="I64" s="26"/>
      <c r="J64" s="26"/>
      <c r="K64" s="26"/>
      <c r="L64" s="26"/>
      <c r="M64" s="92" t="s">
        <v>9</v>
      </c>
      <c r="N64" s="18">
        <f>N63-N61</f>
        <v>3.3900303401001111</v>
      </c>
      <c r="O64" s="87">
        <f>N64/N63</f>
        <v>1.9709478721512275</v>
      </c>
    </row>
    <row r="65" spans="1:60" x14ac:dyDescent="0.2">
      <c r="B65" s="26"/>
      <c r="C65" s="26"/>
      <c r="D65" s="26"/>
      <c r="E65" s="26"/>
      <c r="F65" s="26"/>
      <c r="G65" s="26"/>
      <c r="H65" s="26"/>
      <c r="I65" s="26"/>
      <c r="J65" s="26"/>
      <c r="K65" s="26"/>
      <c r="L65" s="26"/>
      <c r="M65" s="92" t="s">
        <v>34</v>
      </c>
      <c r="N65" s="18">
        <f>N64*N53</f>
        <v>13627.921967202446</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FDB023D9407154E8D19C51FBEA338CA" ma:contentTypeVersion="52" ma:contentTypeDescription="" ma:contentTypeScope="" ma:versionID="24ed6bda274bd22da1d1baa8a3f844e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2020-11-13T08:00:00+00:00</OpenedDate>
    <SignificantOrder xmlns="dc463f71-b30c-4ab2-9473-d307f9d35888">false</SignificantOrder>
    <Date1 xmlns="dc463f71-b30c-4ab2-9473-d307f9d35888">2020-11-13T08:00:00+00:00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200924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AFC7C8A-BEFE-413D-B8E9-E626D2F6E0D1}"/>
</file>

<file path=customXml/itemProps2.xml><?xml version="1.0" encoding="utf-8"?>
<ds:datastoreItem xmlns:ds="http://schemas.openxmlformats.org/officeDocument/2006/customXml" ds:itemID="{79A51828-3A38-4828-84BA-1041E3EF05FE}"/>
</file>

<file path=customXml/itemProps3.xml><?xml version="1.0" encoding="utf-8"?>
<ds:datastoreItem xmlns:ds="http://schemas.openxmlformats.org/officeDocument/2006/customXml" ds:itemID="{C758C6E8-71F6-41E9-B013-B24C303584C9}"/>
</file>

<file path=customXml/itemProps4.xml><?xml version="1.0" encoding="utf-8"?>
<ds:datastoreItem xmlns:ds="http://schemas.openxmlformats.org/officeDocument/2006/customXml" ds:itemID="{8C2A4630-F289-42F2-8DE8-39CCBF45BF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RSA-1 CPA Eff. 1.1.2021</vt:lpstr>
      <vt:lpstr>Joe's CPA Eff. 1.1.2021</vt:lpstr>
      <vt:lpstr>RSA-1 CPA Eff. 1.1.2020</vt:lpstr>
      <vt:lpstr>Joe's CPA Eff 1.1.2020</vt:lpstr>
      <vt:lpstr>RSA-1 CPA Eff. 7.1.19</vt:lpstr>
      <vt:lpstr>Joe's CPA Eff 7.1.19</vt:lpstr>
      <vt:lpstr>RSA-1 CPA Eff 7.1.18</vt:lpstr>
      <vt:lpstr>Joe's CPA Eff 7.1.18</vt:lpstr>
      <vt:lpstr>'Joe''s CPA Eff 1.1.2020'!Print_Area</vt:lpstr>
      <vt:lpstr>'Joe''s CPA Eff 7.1.18'!Print_Area</vt:lpstr>
      <vt:lpstr>'Joe''s CPA Eff 7.1.19'!Print_Area</vt:lpstr>
      <vt:lpstr>'Joe''s CPA Eff. 1.1.2021'!Print_Area</vt:lpstr>
      <vt:lpstr>'RSA-1 CPA Eff 7.1.18'!Print_Area</vt:lpstr>
      <vt:lpstr>'RSA-1 CPA Eff. 1.1.2020'!Print_Area</vt:lpstr>
      <vt:lpstr>'RSA-1 CPA Eff. 1.1.2021'!Print_Area</vt:lpstr>
      <vt:lpstr>'RSA-1 CPA Eff. 7.1.19'!Print_Area</vt:lpstr>
      <vt:lpstr>'Joe''s CPA Eff 1.1.2020'!Print_Titles</vt:lpstr>
      <vt:lpstr>'Joe''s CPA Eff 7.1.18'!Print_Titles</vt:lpstr>
      <vt:lpstr>'Joe''s CPA Eff 7.1.19'!Print_Titles</vt:lpstr>
      <vt:lpstr>'Joe''s CPA Eff. 1.1.2021'!Print_Titles</vt:lpstr>
      <vt:lpstr>'RSA-1 CPA Eff 7.1.18'!Print_Titles</vt:lpstr>
      <vt:lpstr>'RSA-1 CPA Eff. 1.1.2020'!Print_Titles</vt:lpstr>
      <vt:lpstr>'RSA-1 CPA Eff. 1.1.2021'!Print_Titles</vt:lpstr>
      <vt:lpstr>'RSA-1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2020-11-13T21:11:18Z</cp:lastPrinted>
  <dcterms:created xsi:type="dcterms:W3CDTF">2014-05-15T16:04:05Z</dcterms:created>
  <dcterms:modified xsi:type="dcterms:W3CDTF">2020-11-13T21:11:27Z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0x0101006E56B4D1795A2E4DB2F0B01679ED314A008FDB023D9407154E8D19C51FBEA338CA</vt:lpwstr>
  </property>
  <property fmtid="{D5CDD505-2E9C-101B-9397-08002B2CF9AE}" pid="3" name="_docset_NoMedatataSyncRequired">
    <vt:lpwstr>False</vt:lpwstr>
  </property>
  <property fmtid="{D5CDD505-2E9C-101B-9397-08002B2CF9AE}" pid="4" name="IsEFSEC">
    <vt:bool>false</vt:bool>
  </property>
</Properties>
</file>