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 Low Income\2020\Filed 8-31-20\"/>
    </mc:Choice>
  </mc:AlternateContent>
  <bookViews>
    <workbookView xWindow="-60" yWindow="15" windowWidth="14970" windowHeight="14430" tabRatio="837"/>
  </bookViews>
  <sheets>
    <sheet name="Rates" sheetId="7" r:id="rId1"/>
    <sheet name="Rate Impacts--&gt;" sheetId="16" r:id="rId2"/>
    <sheet name="Rate Impacts Sch129" sheetId="34" r:id="rId3"/>
    <sheet name="Typical Res Bill" sheetId="35" r:id="rId4"/>
    <sheet name="Avg Per Therm " sheetId="36" r:id="rId5"/>
    <sheet name="Schedule 129" sheetId="37" r:id="rId6"/>
    <sheet name="Work Papers--&gt;" sheetId="25" r:id="rId7"/>
    <sheet name="Sch 85 87 Rate Calc" sheetId="9" r:id="rId8"/>
    <sheet name="Margin Revenue" sheetId="8" r:id="rId9"/>
    <sheet name="Revenue Req 2020-2021" sheetId="33" r:id="rId10"/>
    <sheet name="Exh. JAP-6 Pages 2-6" sheetId="24" r:id="rId11"/>
  </sheets>
  <definedNames>
    <definedName name="_xlnm.Print_Area" localSheetId="4">'Avg Per Therm '!$B$1:$L$46</definedName>
    <definedName name="_xlnm.Print_Area" localSheetId="10">'Exh. JAP-6 Pages 2-6'!$B$1:$Q$234</definedName>
    <definedName name="_xlnm.Print_Area" localSheetId="8">'Margin Revenue'!$B$1:$L$35</definedName>
    <definedName name="_xlnm.Print_Area" localSheetId="2">'Rate Impacts Sch129'!$B$1:$U$45</definedName>
    <definedName name="_xlnm.Print_Area" localSheetId="0">Rates!$B$1:$K$52</definedName>
    <definedName name="_xlnm.Print_Area" localSheetId="7">'Sch 85 87 Rate Calc'!$B$1:$N$53</definedName>
    <definedName name="_xlnm.Print_Area" localSheetId="5">'Schedule 129'!$A$1:$J$50</definedName>
    <definedName name="_xlnm.Print_Area" localSheetId="3">'Typical Res Bill'!$B$1:$H$42</definedName>
    <definedName name="_xlnm.Print_Titles" localSheetId="10">'Exh. JAP-6 Pages 2-6'!$1:$7</definedName>
  </definedNames>
  <calcPr calcId="162913"/>
</workbook>
</file>

<file path=xl/calcChain.xml><?xml version="1.0" encoding="utf-8"?>
<calcChain xmlns="http://schemas.openxmlformats.org/spreadsheetml/2006/main">
  <c r="D50" i="37" l="1"/>
  <c r="F47" i="37" l="1"/>
  <c r="H46" i="37"/>
  <c r="G46" i="37"/>
  <c r="I46" i="37" s="1"/>
  <c r="J46" i="37" s="1"/>
  <c r="F46" i="37"/>
  <c r="F45" i="37"/>
  <c r="H44" i="37"/>
  <c r="G44" i="37"/>
  <c r="I44" i="37" s="1"/>
  <c r="J44" i="37" s="1"/>
  <c r="F44" i="37"/>
  <c r="F43" i="37"/>
  <c r="H42" i="37"/>
  <c r="G42" i="37"/>
  <c r="F42" i="37"/>
  <c r="D39" i="37"/>
  <c r="G38" i="37"/>
  <c r="F38" i="37"/>
  <c r="H38" i="37" s="1"/>
  <c r="I38" i="37" s="1"/>
  <c r="J38" i="37" s="1"/>
  <c r="H37" i="37"/>
  <c r="I37" i="37" s="1"/>
  <c r="J37" i="37" s="1"/>
  <c r="G37" i="37"/>
  <c r="G39" i="37" s="1"/>
  <c r="F37" i="37"/>
  <c r="G36" i="37"/>
  <c r="F36" i="37"/>
  <c r="H36" i="37" s="1"/>
  <c r="F32" i="37"/>
  <c r="H31" i="37"/>
  <c r="G31" i="37"/>
  <c r="I31" i="37" s="1"/>
  <c r="J31" i="37" s="1"/>
  <c r="F31" i="37"/>
  <c r="F30" i="37"/>
  <c r="H29" i="37"/>
  <c r="G29" i="37"/>
  <c r="I29" i="37" s="1"/>
  <c r="J29" i="37" s="1"/>
  <c r="F29" i="37"/>
  <c r="F28" i="37"/>
  <c r="H27" i="37"/>
  <c r="G27" i="37"/>
  <c r="F27" i="37"/>
  <c r="F24" i="37"/>
  <c r="H23" i="37"/>
  <c r="G23" i="37"/>
  <c r="I23" i="37" s="1"/>
  <c r="J23" i="37" s="1"/>
  <c r="F23" i="37"/>
  <c r="D21" i="37"/>
  <c r="G20" i="37"/>
  <c r="F20" i="37"/>
  <c r="H20" i="37" s="1"/>
  <c r="I20" i="37" s="1"/>
  <c r="J20" i="37" s="1"/>
  <c r="H19" i="37"/>
  <c r="I19" i="37" s="1"/>
  <c r="J19" i="37" s="1"/>
  <c r="G19" i="37"/>
  <c r="G21" i="37" s="1"/>
  <c r="F19" i="37"/>
  <c r="G18" i="37"/>
  <c r="F18" i="37"/>
  <c r="H18" i="37" s="1"/>
  <c r="H15" i="37"/>
  <c r="I15" i="37" s="1"/>
  <c r="J15" i="37" s="1"/>
  <c r="G15" i="37"/>
  <c r="F15" i="37"/>
  <c r="G14" i="37"/>
  <c r="F14" i="37"/>
  <c r="H14" i="37" s="1"/>
  <c r="I14" i="37" s="1"/>
  <c r="J14" i="37" s="1"/>
  <c r="H12" i="37"/>
  <c r="I12" i="37" s="1"/>
  <c r="J12" i="37" s="1"/>
  <c r="G12" i="37"/>
  <c r="F12" i="37"/>
  <c r="G11" i="37"/>
  <c r="F11" i="37"/>
  <c r="H11" i="37" s="1"/>
  <c r="I11" i="37" s="1"/>
  <c r="J11" i="37" s="1"/>
  <c r="H9" i="37"/>
  <c r="G9" i="37"/>
  <c r="F9" i="37"/>
  <c r="D8" i="37"/>
  <c r="I28" i="36"/>
  <c r="H28" i="36"/>
  <c r="E28" i="36"/>
  <c r="D28" i="36"/>
  <c r="I9" i="36"/>
  <c r="H9" i="36"/>
  <c r="E9" i="36"/>
  <c r="D33" i="35"/>
  <c r="E33" i="35" s="1"/>
  <c r="G31" i="35"/>
  <c r="G29" i="35"/>
  <c r="H29" i="35" s="1"/>
  <c r="E29" i="35"/>
  <c r="G27" i="35"/>
  <c r="H27" i="35" s="1"/>
  <c r="E27" i="35"/>
  <c r="E25" i="35"/>
  <c r="E34" i="35" s="1"/>
  <c r="G24" i="35"/>
  <c r="G23" i="35"/>
  <c r="G22" i="35"/>
  <c r="G21" i="35"/>
  <c r="G20" i="35"/>
  <c r="G19" i="35"/>
  <c r="G18" i="35"/>
  <c r="D18" i="35"/>
  <c r="D25" i="35" s="1"/>
  <c r="G17" i="35"/>
  <c r="G25" i="35" s="1"/>
  <c r="G40" i="35" s="1"/>
  <c r="G13" i="35"/>
  <c r="H13" i="35" s="1"/>
  <c r="E12" i="35"/>
  <c r="G12" i="35"/>
  <c r="H12" i="35" s="1"/>
  <c r="H11" i="35"/>
  <c r="G11" i="35"/>
  <c r="E11" i="35"/>
  <c r="T37" i="34"/>
  <c r="D34" i="34"/>
  <c r="E32" i="34"/>
  <c r="H29" i="36"/>
  <c r="H43" i="36" s="1"/>
  <c r="E40" i="34"/>
  <c r="H23" i="36"/>
  <c r="H40" i="36" s="1"/>
  <c r="F23" i="34"/>
  <c r="H23" i="34" s="1"/>
  <c r="E37" i="34"/>
  <c r="D37" i="34"/>
  <c r="H22" i="36"/>
  <c r="F22" i="34"/>
  <c r="H22" i="34" s="1"/>
  <c r="H21" i="36"/>
  <c r="F21" i="34"/>
  <c r="H21" i="34" s="1"/>
  <c r="L20" i="34"/>
  <c r="H20" i="36"/>
  <c r="F20" i="34"/>
  <c r="H20" i="34" s="1"/>
  <c r="S20" i="34" s="1"/>
  <c r="T19" i="34"/>
  <c r="L19" i="34"/>
  <c r="H19" i="36"/>
  <c r="F19" i="34"/>
  <c r="H19" i="34" s="1"/>
  <c r="S19" i="34" s="1"/>
  <c r="T18" i="34"/>
  <c r="L18" i="34"/>
  <c r="H18" i="36"/>
  <c r="F18" i="34"/>
  <c r="H18" i="34" s="1"/>
  <c r="S18" i="34" s="1"/>
  <c r="H17" i="36"/>
  <c r="H39" i="36" s="1"/>
  <c r="E36" i="34"/>
  <c r="D36" i="34"/>
  <c r="R24" i="34"/>
  <c r="R27" i="34" s="1"/>
  <c r="N24" i="34"/>
  <c r="N27" i="34" s="1"/>
  <c r="H16" i="36"/>
  <c r="F16" i="34"/>
  <c r="H16" i="34" s="1"/>
  <c r="E35" i="34"/>
  <c r="D35" i="34"/>
  <c r="L15" i="34"/>
  <c r="H15" i="36"/>
  <c r="H37" i="36" s="1"/>
  <c r="F15" i="34"/>
  <c r="H15" i="34" s="1"/>
  <c r="E34" i="34"/>
  <c r="T14" i="34"/>
  <c r="T33" i="34" s="1"/>
  <c r="L14" i="34"/>
  <c r="H14" i="36"/>
  <c r="H36" i="36" s="1"/>
  <c r="F14" i="34"/>
  <c r="H14" i="34" s="1"/>
  <c r="T13" i="34"/>
  <c r="T32" i="34" s="1"/>
  <c r="L13" i="34"/>
  <c r="H13" i="36"/>
  <c r="H35" i="36" s="1"/>
  <c r="F13" i="34"/>
  <c r="H13" i="34" s="1"/>
  <c r="D32" i="34"/>
  <c r="J24" i="34"/>
  <c r="J27" i="34" s="1"/>
  <c r="H12" i="36"/>
  <c r="F12" i="34"/>
  <c r="H12" i="34" s="1"/>
  <c r="S12" i="34" s="1"/>
  <c r="Q24" i="34"/>
  <c r="Q27" i="34" s="1"/>
  <c r="P24" i="34"/>
  <c r="P27" i="34" s="1"/>
  <c r="O24" i="34"/>
  <c r="O27" i="34" s="1"/>
  <c r="M24" i="34"/>
  <c r="M27" i="34" s="1"/>
  <c r="L11" i="34"/>
  <c r="K24" i="34"/>
  <c r="K27" i="34" s="1"/>
  <c r="I24" i="34"/>
  <c r="I27" i="34" s="1"/>
  <c r="H11" i="36"/>
  <c r="E31" i="34"/>
  <c r="D31" i="34"/>
  <c r="H32" i="34" l="1"/>
  <c r="S13" i="34"/>
  <c r="H34" i="34"/>
  <c r="S15" i="34"/>
  <c r="E19" i="36"/>
  <c r="I19" i="36"/>
  <c r="U19" i="34"/>
  <c r="S14" i="34"/>
  <c r="H33" i="34"/>
  <c r="H35" i="34"/>
  <c r="E18" i="36"/>
  <c r="F18" i="36" s="1"/>
  <c r="U18" i="34"/>
  <c r="I18" i="36"/>
  <c r="E14" i="35"/>
  <c r="E36" i="35" s="1"/>
  <c r="E12" i="36"/>
  <c r="U12" i="34"/>
  <c r="I12" i="36"/>
  <c r="E20" i="36"/>
  <c r="H37" i="34"/>
  <c r="S23" i="34"/>
  <c r="E38" i="34"/>
  <c r="E41" i="34" s="1"/>
  <c r="E33" i="34"/>
  <c r="G14" i="35"/>
  <c r="H30" i="37"/>
  <c r="G30" i="37"/>
  <c r="H39" i="37"/>
  <c r="I36" i="37"/>
  <c r="H45" i="37"/>
  <c r="G45" i="37"/>
  <c r="H38" i="36"/>
  <c r="G24" i="34"/>
  <c r="H14" i="35"/>
  <c r="E13" i="35"/>
  <c r="D40" i="35"/>
  <c r="D34" i="35"/>
  <c r="D11" i="36"/>
  <c r="D13" i="36"/>
  <c r="D15" i="36"/>
  <c r="D17" i="36"/>
  <c r="D39" i="36" s="1"/>
  <c r="D19" i="36"/>
  <c r="D21" i="36"/>
  <c r="D23" i="36"/>
  <c r="D40" i="36" s="1"/>
  <c r="D29" i="36"/>
  <c r="D43" i="36" s="1"/>
  <c r="H21" i="37"/>
  <c r="I18" i="37"/>
  <c r="H28" i="37"/>
  <c r="D33" i="37"/>
  <c r="G28" i="37"/>
  <c r="H43" i="37"/>
  <c r="D48" i="37"/>
  <c r="G43" i="37"/>
  <c r="H25" i="35"/>
  <c r="F11" i="34"/>
  <c r="H11" i="34" s="1"/>
  <c r="L16" i="34"/>
  <c r="L24" i="34" s="1"/>
  <c r="L27" i="34" s="1"/>
  <c r="T16" i="34"/>
  <c r="F17" i="34"/>
  <c r="H17" i="34" s="1"/>
  <c r="D24" i="34"/>
  <c r="F26" i="34"/>
  <c r="H26" i="34" s="1"/>
  <c r="T40" i="34"/>
  <c r="D14" i="35"/>
  <c r="H24" i="37"/>
  <c r="I24" i="37" s="1"/>
  <c r="G24" i="37"/>
  <c r="L21" i="34" s="1"/>
  <c r="S21" i="34" s="1"/>
  <c r="H34" i="36"/>
  <c r="H41" i="36" s="1"/>
  <c r="H24" i="36"/>
  <c r="D33" i="34"/>
  <c r="D38" i="34" s="1"/>
  <c r="D41" i="34" s="1"/>
  <c r="E24" i="34"/>
  <c r="D12" i="36"/>
  <c r="D14" i="36"/>
  <c r="D36" i="36" s="1"/>
  <c r="D16" i="36"/>
  <c r="D38" i="36" s="1"/>
  <c r="D18" i="36"/>
  <c r="D20" i="36"/>
  <c r="D22" i="36"/>
  <c r="I9" i="37"/>
  <c r="G33" i="37"/>
  <c r="L17" i="34" s="1"/>
  <c r="I27" i="37"/>
  <c r="H32" i="37"/>
  <c r="I32" i="37" s="1"/>
  <c r="J32" i="37" s="1"/>
  <c r="G32" i="37"/>
  <c r="G48" i="37"/>
  <c r="L22" i="34" s="1"/>
  <c r="S22" i="34" s="1"/>
  <c r="I42" i="37"/>
  <c r="H47" i="37"/>
  <c r="I47" i="37" s="1"/>
  <c r="J47" i="37" s="1"/>
  <c r="G47" i="37"/>
  <c r="G32" i="35"/>
  <c r="G33" i="35" s="1"/>
  <c r="U15" i="9"/>
  <c r="U14" i="9"/>
  <c r="U13" i="9"/>
  <c r="U12" i="9"/>
  <c r="U11" i="9"/>
  <c r="R15" i="9"/>
  <c r="R14" i="9"/>
  <c r="R13" i="9"/>
  <c r="R12" i="9"/>
  <c r="R11" i="9"/>
  <c r="E36" i="9"/>
  <c r="E17" i="9"/>
  <c r="I49" i="7"/>
  <c r="H47" i="33"/>
  <c r="H46" i="33"/>
  <c r="H45" i="33"/>
  <c r="H44" i="33"/>
  <c r="H43" i="33"/>
  <c r="G49" i="33"/>
  <c r="F49" i="33"/>
  <c r="H31" i="33"/>
  <c r="G27" i="33"/>
  <c r="F27" i="33"/>
  <c r="H18" i="33"/>
  <c r="H17" i="33"/>
  <c r="G16" i="33"/>
  <c r="H15" i="33"/>
  <c r="H14" i="33"/>
  <c r="H11" i="33"/>
  <c r="G10" i="33"/>
  <c r="G12" i="33" s="1"/>
  <c r="G20" i="33" s="1"/>
  <c r="F10" i="33"/>
  <c r="H10" i="33" s="1"/>
  <c r="A10" i="33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9" i="33"/>
  <c r="H33" i="35" l="1"/>
  <c r="G34" i="35"/>
  <c r="E22" i="36"/>
  <c r="F22" i="36" s="1"/>
  <c r="E21" i="36"/>
  <c r="F21" i="36" s="1"/>
  <c r="J36" i="37"/>
  <c r="I39" i="37"/>
  <c r="F20" i="36"/>
  <c r="J9" i="37"/>
  <c r="T11" i="34"/>
  <c r="E27" i="34"/>
  <c r="F24" i="34"/>
  <c r="U16" i="34"/>
  <c r="I28" i="37"/>
  <c r="J28" i="37" s="1"/>
  <c r="H33" i="37"/>
  <c r="D37" i="36"/>
  <c r="E23" i="36"/>
  <c r="I23" i="36"/>
  <c r="U23" i="34"/>
  <c r="S37" i="34"/>
  <c r="U37" i="34" s="1"/>
  <c r="L12" i="36"/>
  <c r="N12" i="36" s="1"/>
  <c r="J12" i="36"/>
  <c r="S16" i="34"/>
  <c r="E14" i="36"/>
  <c r="S33" i="34"/>
  <c r="U33" i="34" s="1"/>
  <c r="U14" i="34"/>
  <c r="I14" i="36"/>
  <c r="L19" i="36"/>
  <c r="N19" i="36" s="1"/>
  <c r="J19" i="36"/>
  <c r="H36" i="34"/>
  <c r="S17" i="34"/>
  <c r="J24" i="37"/>
  <c r="T21" i="34"/>
  <c r="U21" i="34" s="1"/>
  <c r="S26" i="34"/>
  <c r="H40" i="34"/>
  <c r="I43" i="37"/>
  <c r="J43" i="37" s="1"/>
  <c r="H48" i="37"/>
  <c r="J18" i="37"/>
  <c r="I21" i="37"/>
  <c r="D35" i="36"/>
  <c r="L18" i="36"/>
  <c r="N18" i="36" s="1"/>
  <c r="J18" i="36"/>
  <c r="F19" i="36"/>
  <c r="E13" i="36"/>
  <c r="I13" i="36"/>
  <c r="U13" i="34"/>
  <c r="S32" i="34"/>
  <c r="U32" i="34" s="1"/>
  <c r="J42" i="37"/>
  <c r="J27" i="37"/>
  <c r="I33" i="37"/>
  <c r="S11" i="34"/>
  <c r="H24" i="34"/>
  <c r="H27" i="34" s="1"/>
  <c r="H31" i="34"/>
  <c r="H38" i="34" s="1"/>
  <c r="H34" i="35"/>
  <c r="H36" i="35" s="1"/>
  <c r="H37" i="35" s="1"/>
  <c r="H38" i="35" s="1"/>
  <c r="D24" i="36"/>
  <c r="D34" i="36"/>
  <c r="D41" i="36" s="1"/>
  <c r="I45" i="37"/>
  <c r="J45" i="37" s="1"/>
  <c r="I30" i="37"/>
  <c r="J30" i="37" s="1"/>
  <c r="F12" i="36"/>
  <c r="G50" i="37"/>
  <c r="E15" i="36"/>
  <c r="S34" i="34"/>
  <c r="G29" i="33"/>
  <c r="G33" i="33" s="1"/>
  <c r="F12" i="33"/>
  <c r="H9" i="33"/>
  <c r="H12" i="33" s="1"/>
  <c r="H20" i="33" s="1"/>
  <c r="H42" i="33"/>
  <c r="H49" i="33" s="1"/>
  <c r="F16" i="33"/>
  <c r="L13" i="36" l="1"/>
  <c r="N13" i="36" s="1"/>
  <c r="J13" i="36"/>
  <c r="I35" i="36"/>
  <c r="T31" i="34"/>
  <c r="U11" i="34"/>
  <c r="F13" i="36"/>
  <c r="E35" i="36"/>
  <c r="F35" i="36" s="1"/>
  <c r="F14" i="36"/>
  <c r="E36" i="36"/>
  <c r="F36" i="36" s="1"/>
  <c r="T35" i="34"/>
  <c r="U35" i="34" s="1"/>
  <c r="F15" i="36"/>
  <c r="E37" i="36"/>
  <c r="F37" i="36" s="1"/>
  <c r="J33" i="37"/>
  <c r="T17" i="34"/>
  <c r="F23" i="36"/>
  <c r="E40" i="36"/>
  <c r="F40" i="36" s="1"/>
  <c r="I48" i="37"/>
  <c r="J21" i="37"/>
  <c r="T15" i="34"/>
  <c r="H41" i="34"/>
  <c r="E17" i="36"/>
  <c r="S36" i="34"/>
  <c r="I17" i="36"/>
  <c r="L14" i="36"/>
  <c r="N14" i="36" s="1"/>
  <c r="J14" i="36"/>
  <c r="I36" i="36"/>
  <c r="E16" i="36"/>
  <c r="S35" i="34"/>
  <c r="I16" i="36"/>
  <c r="H50" i="37"/>
  <c r="I50" i="37"/>
  <c r="J50" i="37" s="1"/>
  <c r="I21" i="36"/>
  <c r="J39" i="37"/>
  <c r="T20" i="34"/>
  <c r="E11" i="36"/>
  <c r="I11" i="36"/>
  <c r="S31" i="34"/>
  <c r="S24" i="34"/>
  <c r="S27" i="34" s="1"/>
  <c r="E29" i="36"/>
  <c r="I29" i="36"/>
  <c r="S40" i="34"/>
  <c r="U26" i="34"/>
  <c r="L23" i="36"/>
  <c r="N23" i="36" s="1"/>
  <c r="J23" i="36"/>
  <c r="I40" i="36"/>
  <c r="F20" i="33"/>
  <c r="F29" i="33" s="1"/>
  <c r="L35" i="36" l="1"/>
  <c r="N35" i="36" s="1"/>
  <c r="J35" i="36"/>
  <c r="F16" i="36"/>
  <c r="E38" i="36"/>
  <c r="F38" i="36" s="1"/>
  <c r="T34" i="34"/>
  <c r="U34" i="34" s="1"/>
  <c r="U15" i="34"/>
  <c r="I15" i="36"/>
  <c r="U20" i="34"/>
  <c r="I20" i="36"/>
  <c r="L36" i="36"/>
  <c r="N36" i="36" s="1"/>
  <c r="J36" i="36"/>
  <c r="S38" i="34"/>
  <c r="S41" i="34" s="1"/>
  <c r="L16" i="36"/>
  <c r="N16" i="36" s="1"/>
  <c r="J16" i="36"/>
  <c r="I38" i="36"/>
  <c r="F17" i="36"/>
  <c r="E39" i="36"/>
  <c r="F39" i="36" s="1"/>
  <c r="J48" i="37"/>
  <c r="T22" i="34"/>
  <c r="F29" i="36"/>
  <c r="E43" i="36"/>
  <c r="F43" i="36" s="1"/>
  <c r="F11" i="36"/>
  <c r="E34" i="36"/>
  <c r="E24" i="36"/>
  <c r="L17" i="36"/>
  <c r="J17" i="36"/>
  <c r="T38" i="34"/>
  <c r="U31" i="34"/>
  <c r="U17" i="34"/>
  <c r="T36" i="34"/>
  <c r="U36" i="34" s="1"/>
  <c r="L40" i="36"/>
  <c r="N40" i="36" s="1"/>
  <c r="J40" i="36"/>
  <c r="U40" i="34"/>
  <c r="J29" i="36"/>
  <c r="L29" i="36" s="1"/>
  <c r="N29" i="36" s="1"/>
  <c r="I43" i="36"/>
  <c r="J43" i="36" s="1"/>
  <c r="L43" i="36" s="1"/>
  <c r="N43" i="36" s="1"/>
  <c r="L11" i="36"/>
  <c r="N11" i="36" s="1"/>
  <c r="J11" i="36"/>
  <c r="I34" i="36"/>
  <c r="L21" i="36"/>
  <c r="N21" i="36" s="1"/>
  <c r="J21" i="36"/>
  <c r="T24" i="34"/>
  <c r="F33" i="33"/>
  <c r="H29" i="33"/>
  <c r="H33" i="33" s="1"/>
  <c r="U24" i="34" l="1"/>
  <c r="T27" i="34"/>
  <c r="U27" i="34" s="1"/>
  <c r="L34" i="36"/>
  <c r="N34" i="36" s="1"/>
  <c r="J34" i="36"/>
  <c r="U38" i="34"/>
  <c r="T41" i="34"/>
  <c r="U41" i="34" s="1"/>
  <c r="F34" i="36"/>
  <c r="E41" i="36"/>
  <c r="U22" i="34"/>
  <c r="I22" i="36"/>
  <c r="L38" i="36"/>
  <c r="N38" i="36" s="1"/>
  <c r="J38" i="36"/>
  <c r="L15" i="36"/>
  <c r="N15" i="36" s="1"/>
  <c r="J15" i="36"/>
  <c r="I37" i="36"/>
  <c r="F24" i="36"/>
  <c r="E30" i="36"/>
  <c r="N17" i="36"/>
  <c r="L20" i="36"/>
  <c r="N20" i="36" s="1"/>
  <c r="J20" i="36"/>
  <c r="K16" i="8"/>
  <c r="K14" i="8"/>
  <c r="K12" i="8"/>
  <c r="L37" i="36" l="1"/>
  <c r="N37" i="36" s="1"/>
  <c r="J37" i="36"/>
  <c r="L22" i="36"/>
  <c r="N22" i="36" s="1"/>
  <c r="J22" i="36"/>
  <c r="I24" i="36"/>
  <c r="I39" i="36"/>
  <c r="F41" i="36"/>
  <c r="E44" i="36"/>
  <c r="Q7" i="9"/>
  <c r="Q11" i="9"/>
  <c r="Q12" i="9"/>
  <c r="Q13" i="9"/>
  <c r="Q14" i="9"/>
  <c r="Q15" i="9"/>
  <c r="Q10" i="9"/>
  <c r="U10" i="9"/>
  <c r="R10" i="9"/>
  <c r="G45" i="9"/>
  <c r="G36" i="9"/>
  <c r="G26" i="9"/>
  <c r="G17" i="9"/>
  <c r="L39" i="36" l="1"/>
  <c r="N39" i="36" s="1"/>
  <c r="J39" i="36"/>
  <c r="I41" i="36"/>
  <c r="L24" i="36"/>
  <c r="N24" i="36" s="1"/>
  <c r="I30" i="36"/>
  <c r="L30" i="36" s="1"/>
  <c r="N30" i="36" s="1"/>
  <c r="J24" i="36"/>
  <c r="E20" i="8"/>
  <c r="E19" i="8"/>
  <c r="E12" i="8"/>
  <c r="E9" i="8"/>
  <c r="E231" i="24"/>
  <c r="E230" i="24"/>
  <c r="E229" i="24"/>
  <c r="E228" i="24"/>
  <c r="E227" i="24"/>
  <c r="E226" i="24"/>
  <c r="E225" i="24"/>
  <c r="E224" i="24"/>
  <c r="E223" i="24"/>
  <c r="E214" i="24"/>
  <c r="E209" i="24"/>
  <c r="E208" i="24"/>
  <c r="E207" i="24"/>
  <c r="E202" i="24"/>
  <c r="E201" i="24"/>
  <c r="E200" i="24"/>
  <c r="E199" i="24"/>
  <c r="E198" i="24"/>
  <c r="E197" i="24"/>
  <c r="E196" i="24"/>
  <c r="E195" i="24"/>
  <c r="E194" i="24"/>
  <c r="E193" i="24"/>
  <c r="E192" i="24"/>
  <c r="E191" i="24"/>
  <c r="M186" i="24"/>
  <c r="J186" i="24"/>
  <c r="L186" i="24" s="1"/>
  <c r="J185" i="24"/>
  <c r="E182" i="24"/>
  <c r="E175" i="24"/>
  <c r="E174" i="24"/>
  <c r="E173" i="24"/>
  <c r="L170" i="24"/>
  <c r="M170" i="24" s="1"/>
  <c r="G185" i="24"/>
  <c r="E185" i="24"/>
  <c r="J167" i="24"/>
  <c r="L167" i="24" s="1"/>
  <c r="M167" i="24" s="1"/>
  <c r="I167" i="24"/>
  <c r="O167" i="24" s="1"/>
  <c r="G167" i="24"/>
  <c r="I166" i="24"/>
  <c r="O166" i="24" s="1"/>
  <c r="G166" i="24"/>
  <c r="I165" i="24"/>
  <c r="O165" i="24" s="1"/>
  <c r="G165" i="24"/>
  <c r="I164" i="24"/>
  <c r="O164" i="24" s="1"/>
  <c r="G164" i="24"/>
  <c r="I160" i="24"/>
  <c r="O160" i="24" s="1"/>
  <c r="G160" i="24"/>
  <c r="I159" i="24"/>
  <c r="O159" i="24" s="1"/>
  <c r="G159" i="24"/>
  <c r="J158" i="24"/>
  <c r="I158" i="24"/>
  <c r="O158" i="24" s="1"/>
  <c r="G158" i="24"/>
  <c r="J157" i="24"/>
  <c r="I157" i="24"/>
  <c r="O157" i="24" s="1"/>
  <c r="G157" i="24"/>
  <c r="J156" i="24"/>
  <c r="I156" i="24"/>
  <c r="O156" i="24" s="1"/>
  <c r="G156" i="24"/>
  <c r="I155" i="24"/>
  <c r="O155" i="24" s="1"/>
  <c r="G155" i="24"/>
  <c r="I154" i="24"/>
  <c r="O154" i="24" s="1"/>
  <c r="G154" i="24"/>
  <c r="J150" i="24"/>
  <c r="L150" i="24" s="1"/>
  <c r="M150" i="24" s="1"/>
  <c r="I150" i="24"/>
  <c r="O150" i="24" s="1"/>
  <c r="G150" i="24"/>
  <c r="I149" i="24"/>
  <c r="O149" i="24" s="1"/>
  <c r="G149" i="24"/>
  <c r="O148" i="24"/>
  <c r="L148" i="24"/>
  <c r="I148" i="24"/>
  <c r="J148" i="24" s="1"/>
  <c r="G148" i="24"/>
  <c r="O147" i="24"/>
  <c r="I147" i="24"/>
  <c r="J147" i="24" s="1"/>
  <c r="L147" i="24" s="1"/>
  <c r="G147" i="24"/>
  <c r="I146" i="24"/>
  <c r="O146" i="24" s="1"/>
  <c r="G146" i="24"/>
  <c r="I145" i="24"/>
  <c r="O145" i="24" s="1"/>
  <c r="G145" i="24"/>
  <c r="E141" i="24"/>
  <c r="E218" i="24" s="1"/>
  <c r="F140" i="24"/>
  <c r="G140" i="24" s="1"/>
  <c r="G139" i="24"/>
  <c r="F139" i="24"/>
  <c r="I139" i="24" s="1"/>
  <c r="O139" i="24" s="1"/>
  <c r="F138" i="24"/>
  <c r="G138" i="24" s="1"/>
  <c r="F137" i="24"/>
  <c r="I137" i="24" s="1"/>
  <c r="F136" i="24"/>
  <c r="G135" i="24"/>
  <c r="F135" i="24"/>
  <c r="I135" i="24" s="1"/>
  <c r="M132" i="24"/>
  <c r="L132" i="24"/>
  <c r="I131" i="24"/>
  <c r="J131" i="24" s="1"/>
  <c r="G131" i="24"/>
  <c r="I130" i="24"/>
  <c r="J130" i="24" s="1"/>
  <c r="L130" i="24" s="1"/>
  <c r="G130" i="24"/>
  <c r="E126" i="24"/>
  <c r="E213" i="24" s="1"/>
  <c r="J125" i="24"/>
  <c r="L125" i="24" s="1"/>
  <c r="M125" i="24" s="1"/>
  <c r="I125" i="24"/>
  <c r="O125" i="24" s="1"/>
  <c r="G125" i="24"/>
  <c r="J124" i="24"/>
  <c r="I124" i="24"/>
  <c r="O124" i="24" s="1"/>
  <c r="G124" i="24"/>
  <c r="J123" i="24"/>
  <c r="I123" i="24"/>
  <c r="O123" i="24" s="1"/>
  <c r="G123" i="24"/>
  <c r="I122" i="24"/>
  <c r="O122" i="24" s="1"/>
  <c r="G122" i="24"/>
  <c r="I121" i="24"/>
  <c r="O121" i="24" s="1"/>
  <c r="G121" i="24"/>
  <c r="I120" i="24"/>
  <c r="O120" i="24" s="1"/>
  <c r="G120" i="24"/>
  <c r="L117" i="24"/>
  <c r="M117" i="24" s="1"/>
  <c r="I116" i="24"/>
  <c r="O116" i="24" s="1"/>
  <c r="E116" i="24"/>
  <c r="I115" i="24"/>
  <c r="G115" i="24"/>
  <c r="M115" i="24" s="1"/>
  <c r="I114" i="24"/>
  <c r="G114" i="24"/>
  <c r="E110" i="24"/>
  <c r="G109" i="24"/>
  <c r="F109" i="24"/>
  <c r="I109" i="24" s="1"/>
  <c r="F108" i="24"/>
  <c r="G108" i="24" s="1"/>
  <c r="M105" i="24"/>
  <c r="L105" i="24"/>
  <c r="J104" i="24"/>
  <c r="I104" i="24"/>
  <c r="O104" i="24" s="1"/>
  <c r="G104" i="24"/>
  <c r="J103" i="24"/>
  <c r="I103" i="24"/>
  <c r="O103" i="24" s="1"/>
  <c r="G103" i="24"/>
  <c r="E99" i="24"/>
  <c r="E212" i="24" s="1"/>
  <c r="L98" i="24"/>
  <c r="I98" i="24"/>
  <c r="J98" i="24" s="1"/>
  <c r="G98" i="24"/>
  <c r="I97" i="24"/>
  <c r="J97" i="24" s="1"/>
  <c r="L97" i="24" s="1"/>
  <c r="G97" i="24"/>
  <c r="L94" i="24"/>
  <c r="M94" i="24" s="1"/>
  <c r="I93" i="24"/>
  <c r="O93" i="24" s="1"/>
  <c r="E93" i="24"/>
  <c r="J93" i="24" s="1"/>
  <c r="I92" i="24"/>
  <c r="O92" i="24" s="1"/>
  <c r="G92" i="24"/>
  <c r="I91" i="24"/>
  <c r="O91" i="24" s="1"/>
  <c r="G91" i="24"/>
  <c r="E87" i="24"/>
  <c r="E24" i="8" s="1"/>
  <c r="F86" i="24"/>
  <c r="G86" i="24" s="1"/>
  <c r="F85" i="24"/>
  <c r="G85" i="24" s="1"/>
  <c r="F84" i="24"/>
  <c r="I84" i="24" s="1"/>
  <c r="L81" i="24"/>
  <c r="M81" i="24" s="1"/>
  <c r="O80" i="24"/>
  <c r="I80" i="24"/>
  <c r="J80" i="24" s="1"/>
  <c r="G80" i="24"/>
  <c r="O79" i="24"/>
  <c r="I79" i="24"/>
  <c r="J79" i="24" s="1"/>
  <c r="G79" i="24"/>
  <c r="E75" i="24"/>
  <c r="E68" i="24" s="1"/>
  <c r="I74" i="24"/>
  <c r="J74" i="24" s="1"/>
  <c r="L74" i="24" s="1"/>
  <c r="G74" i="24"/>
  <c r="J73" i="24"/>
  <c r="L73" i="24" s="1"/>
  <c r="I73" i="24"/>
  <c r="O73" i="24" s="1"/>
  <c r="G73" i="24"/>
  <c r="O72" i="24"/>
  <c r="I72" i="24"/>
  <c r="J72" i="24" s="1"/>
  <c r="L72" i="24" s="1"/>
  <c r="M72" i="24" s="1"/>
  <c r="G72" i="24"/>
  <c r="M69" i="24"/>
  <c r="L69" i="24"/>
  <c r="I68" i="24"/>
  <c r="O68" i="24" s="1"/>
  <c r="I67" i="24"/>
  <c r="J67" i="24" s="1"/>
  <c r="L67" i="24" s="1"/>
  <c r="G67" i="24"/>
  <c r="I66" i="24"/>
  <c r="J66" i="24" s="1"/>
  <c r="L66" i="24" s="1"/>
  <c r="G66" i="24"/>
  <c r="O62" i="24"/>
  <c r="I62" i="24"/>
  <c r="E61" i="24"/>
  <c r="E62" i="24" s="1"/>
  <c r="G62" i="24" s="1"/>
  <c r="M62" i="24" s="1"/>
  <c r="F60" i="24"/>
  <c r="G60" i="24" s="1"/>
  <c r="F59" i="24"/>
  <c r="I59" i="24" s="1"/>
  <c r="F58" i="24"/>
  <c r="I55" i="24"/>
  <c r="J55" i="24" s="1"/>
  <c r="L55" i="24" s="1"/>
  <c r="G55" i="24"/>
  <c r="F54" i="24"/>
  <c r="E54" i="24"/>
  <c r="J53" i="24"/>
  <c r="I53" i="24"/>
  <c r="O53" i="24" s="1"/>
  <c r="G53" i="24"/>
  <c r="O49" i="24"/>
  <c r="I49" i="24"/>
  <c r="E47" i="24"/>
  <c r="E14" i="8" s="1"/>
  <c r="I46" i="24"/>
  <c r="O46" i="24" s="1"/>
  <c r="G46" i="24"/>
  <c r="J45" i="24"/>
  <c r="L45" i="24" s="1"/>
  <c r="I45" i="24"/>
  <c r="O45" i="24" s="1"/>
  <c r="G45" i="24"/>
  <c r="O41" i="24"/>
  <c r="I41" i="24"/>
  <c r="J41" i="24" s="1"/>
  <c r="G41" i="24"/>
  <c r="L41" i="24" s="1"/>
  <c r="M41" i="24" s="1"/>
  <c r="I40" i="24"/>
  <c r="O40" i="24" s="1"/>
  <c r="G40" i="24"/>
  <c r="E40" i="24"/>
  <c r="O39" i="24"/>
  <c r="I39" i="24"/>
  <c r="J39" i="24" s="1"/>
  <c r="L39" i="24" s="1"/>
  <c r="G39" i="24"/>
  <c r="M35" i="24"/>
  <c r="I35" i="24"/>
  <c r="J35" i="24" s="1"/>
  <c r="J36" i="24" s="1"/>
  <c r="L36" i="24" s="1"/>
  <c r="G35" i="24"/>
  <c r="G36" i="24" s="1"/>
  <c r="M36" i="24" s="1"/>
  <c r="J31" i="24"/>
  <c r="L31" i="24" s="1"/>
  <c r="I31" i="24"/>
  <c r="O31" i="24" s="1"/>
  <c r="G31" i="24"/>
  <c r="M31" i="24" s="1"/>
  <c r="I30" i="24"/>
  <c r="J30" i="24" s="1"/>
  <c r="L30" i="24" s="1"/>
  <c r="G30" i="24"/>
  <c r="O29" i="24"/>
  <c r="I29" i="24"/>
  <c r="J29" i="24" s="1"/>
  <c r="G29" i="24"/>
  <c r="G32" i="24" s="1"/>
  <c r="I25" i="24"/>
  <c r="O25" i="24" s="1"/>
  <c r="G25" i="24"/>
  <c r="O24" i="24"/>
  <c r="I24" i="24"/>
  <c r="J24" i="24" s="1"/>
  <c r="G24" i="24"/>
  <c r="J23" i="24"/>
  <c r="L23" i="24" s="1"/>
  <c r="I23" i="24"/>
  <c r="O23" i="24" s="1"/>
  <c r="G23" i="24"/>
  <c r="G26" i="24" s="1"/>
  <c r="E20" i="24"/>
  <c r="E206" i="24" s="1"/>
  <c r="I19" i="24"/>
  <c r="O19" i="24" s="1"/>
  <c r="G19" i="24"/>
  <c r="F15" i="24"/>
  <c r="G15" i="24" s="1"/>
  <c r="F14" i="24"/>
  <c r="G14" i="24" s="1"/>
  <c r="I10" i="24"/>
  <c r="I15" i="24" s="1"/>
  <c r="G10" i="24"/>
  <c r="I9" i="24"/>
  <c r="O9" i="24" s="1"/>
  <c r="G9" i="24"/>
  <c r="G11" i="24" s="1"/>
  <c r="L41" i="36" l="1"/>
  <c r="N41" i="36" s="1"/>
  <c r="I44" i="36"/>
  <c r="L44" i="36" s="1"/>
  <c r="N44" i="36" s="1"/>
  <c r="J41" i="36"/>
  <c r="O137" i="24"/>
  <c r="J137" i="24"/>
  <c r="J84" i="24"/>
  <c r="L84" i="24" s="1"/>
  <c r="O84" i="24"/>
  <c r="I54" i="24"/>
  <c r="O59" i="24"/>
  <c r="J19" i="24"/>
  <c r="L19" i="24" s="1"/>
  <c r="L35" i="24"/>
  <c r="I44" i="24"/>
  <c r="O44" i="24" s="1"/>
  <c r="J46" i="24"/>
  <c r="L46" i="24" s="1"/>
  <c r="M46" i="24" s="1"/>
  <c r="G54" i="24"/>
  <c r="G59" i="24"/>
  <c r="M66" i="24"/>
  <c r="M74" i="24"/>
  <c r="J92" i="24"/>
  <c r="J121" i="24"/>
  <c r="L121" i="24" s="1"/>
  <c r="M121" i="24" s="1"/>
  <c r="O130" i="24"/>
  <c r="J139" i="24"/>
  <c r="L139" i="24" s="1"/>
  <c r="M139" i="24" s="1"/>
  <c r="J146" i="24"/>
  <c r="J164" i="24"/>
  <c r="E180" i="24"/>
  <c r="J25" i="24"/>
  <c r="L25" i="24" s="1"/>
  <c r="M25" i="24" s="1"/>
  <c r="M45" i="24"/>
  <c r="O66" i="24"/>
  <c r="O74" i="24"/>
  <c r="G93" i="24"/>
  <c r="G100" i="24" s="1"/>
  <c r="G180" i="24" s="1"/>
  <c r="L131" i="24"/>
  <c r="G137" i="24"/>
  <c r="J159" i="24"/>
  <c r="O35" i="24"/>
  <c r="J40" i="24"/>
  <c r="L40" i="24" s="1"/>
  <c r="J122" i="24"/>
  <c r="L122" i="24" s="1"/>
  <c r="M122" i="24" s="1"/>
  <c r="O131" i="24"/>
  <c r="G151" i="24"/>
  <c r="J149" i="24"/>
  <c r="L149" i="24" s="1"/>
  <c r="M149" i="24" s="1"/>
  <c r="J154" i="24"/>
  <c r="J165" i="24"/>
  <c r="L165" i="24" s="1"/>
  <c r="M165" i="24" s="1"/>
  <c r="L124" i="24"/>
  <c r="M124" i="24" s="1"/>
  <c r="O97" i="24"/>
  <c r="I14" i="24"/>
  <c r="O14" i="24" s="1"/>
  <c r="J32" i="24"/>
  <c r="L32" i="24" s="1"/>
  <c r="Q33" i="24" s="1"/>
  <c r="G63" i="24"/>
  <c r="O55" i="24"/>
  <c r="O67" i="24"/>
  <c r="G84" i="24"/>
  <c r="G88" i="24" s="1"/>
  <c r="G179" i="24" s="1"/>
  <c r="J91" i="24"/>
  <c r="O98" i="24"/>
  <c r="J120" i="24"/>
  <c r="L120" i="24" s="1"/>
  <c r="M120" i="24" s="1"/>
  <c r="J145" i="24"/>
  <c r="J160" i="24"/>
  <c r="E203" i="24"/>
  <c r="E16" i="8"/>
  <c r="E25" i="8"/>
  <c r="L80" i="24"/>
  <c r="M80" i="24" s="1"/>
  <c r="L29" i="24"/>
  <c r="M29" i="24" s="1"/>
  <c r="L123" i="24"/>
  <c r="M123" i="24" s="1"/>
  <c r="M130" i="24"/>
  <c r="J155" i="24"/>
  <c r="G168" i="24"/>
  <c r="J166" i="24"/>
  <c r="L166" i="24" s="1"/>
  <c r="M166" i="24" s="1"/>
  <c r="E232" i="24"/>
  <c r="O15" i="24"/>
  <c r="J15" i="24"/>
  <c r="L15" i="24" s="1"/>
  <c r="M15" i="24" s="1"/>
  <c r="G177" i="24"/>
  <c r="G175" i="24"/>
  <c r="M19" i="24"/>
  <c r="J175" i="24"/>
  <c r="L175" i="24" s="1"/>
  <c r="M73" i="24"/>
  <c r="L79" i="24"/>
  <c r="M79" i="24" s="1"/>
  <c r="M10" i="24"/>
  <c r="G16" i="24"/>
  <c r="G173" i="24" s="1"/>
  <c r="G174" i="24"/>
  <c r="L24" i="24"/>
  <c r="M24" i="24" s="1"/>
  <c r="J26" i="24"/>
  <c r="F12" i="8" s="1"/>
  <c r="M40" i="24"/>
  <c r="M55" i="24"/>
  <c r="M84" i="24"/>
  <c r="G68" i="24"/>
  <c r="J68" i="24"/>
  <c r="O10" i="24"/>
  <c r="M109" i="24"/>
  <c r="J10" i="24"/>
  <c r="L10" i="24" s="1"/>
  <c r="E179" i="24"/>
  <c r="E216" i="24"/>
  <c r="E181" i="24"/>
  <c r="E217" i="24"/>
  <c r="G136" i="24"/>
  <c r="G142" i="24" s="1"/>
  <c r="I136" i="24"/>
  <c r="M39" i="24"/>
  <c r="I58" i="24"/>
  <c r="O58" i="24" s="1"/>
  <c r="J62" i="24"/>
  <c r="L62" i="24" s="1"/>
  <c r="J76" i="24"/>
  <c r="F19" i="8" s="1"/>
  <c r="I85" i="24"/>
  <c r="G111" i="24"/>
  <c r="I108" i="24"/>
  <c r="J9" i="24"/>
  <c r="M23" i="24"/>
  <c r="M30" i="24"/>
  <c r="O30" i="24"/>
  <c r="E210" i="24"/>
  <c r="E49" i="24"/>
  <c r="L53" i="24"/>
  <c r="J59" i="24"/>
  <c r="L59" i="24" s="1"/>
  <c r="M59" i="24" s="1"/>
  <c r="I60" i="24"/>
  <c r="E177" i="24"/>
  <c r="E215" i="24"/>
  <c r="L91" i="24"/>
  <c r="M91" i="24" s="1"/>
  <c r="L92" i="24"/>
  <c r="M92" i="24" s="1"/>
  <c r="O109" i="24"/>
  <c r="J109" i="24"/>
  <c r="L109" i="24" s="1"/>
  <c r="J115" i="24"/>
  <c r="L115" i="24" s="1"/>
  <c r="O115" i="24"/>
  <c r="M131" i="24"/>
  <c r="M145" i="24"/>
  <c r="M156" i="24"/>
  <c r="M53" i="24"/>
  <c r="J114" i="24"/>
  <c r="O114" i="24"/>
  <c r="M67" i="24"/>
  <c r="E178" i="24"/>
  <c r="E211" i="24"/>
  <c r="E219" i="24"/>
  <c r="I86" i="24"/>
  <c r="G116" i="24"/>
  <c r="J116" i="24"/>
  <c r="L116" i="24" s="1"/>
  <c r="O135" i="24"/>
  <c r="J135" i="24"/>
  <c r="L135" i="24" s="1"/>
  <c r="M135" i="24" s="1"/>
  <c r="G161" i="24"/>
  <c r="L164" i="24"/>
  <c r="J168" i="24"/>
  <c r="E176" i="24"/>
  <c r="L185" i="24"/>
  <c r="M185" i="24" s="1"/>
  <c r="J100" i="24"/>
  <c r="L103" i="24"/>
  <c r="M103" i="24" s="1"/>
  <c r="L104" i="24"/>
  <c r="M104" i="24" s="1"/>
  <c r="G127" i="24"/>
  <c r="I138" i="24"/>
  <c r="I140" i="24"/>
  <c r="J151" i="24"/>
  <c r="L145" i="24"/>
  <c r="L146" i="24"/>
  <c r="M146" i="24" s="1"/>
  <c r="M97" i="24"/>
  <c r="M98" i="24"/>
  <c r="M147" i="24"/>
  <c r="M148" i="24"/>
  <c r="J161" i="24"/>
  <c r="L154" i="24"/>
  <c r="L155" i="24"/>
  <c r="M155" i="24" s="1"/>
  <c r="L156" i="24"/>
  <c r="L157" i="24"/>
  <c r="M157" i="24" s="1"/>
  <c r="L158" i="24"/>
  <c r="M158" i="24" s="1"/>
  <c r="L159" i="24"/>
  <c r="M159" i="24" s="1"/>
  <c r="L160" i="24"/>
  <c r="M160" i="24" s="1"/>
  <c r="E183" i="24"/>
  <c r="O54" i="24" l="1"/>
  <c r="J54" i="24"/>
  <c r="L54" i="24" s="1"/>
  <c r="M54" i="24" s="1"/>
  <c r="E220" i="24"/>
  <c r="L93" i="24"/>
  <c r="M93" i="24" s="1"/>
  <c r="E187" i="24"/>
  <c r="L137" i="24"/>
  <c r="M137" i="24" s="1"/>
  <c r="J14" i="24"/>
  <c r="J16" i="24" s="1"/>
  <c r="L16" i="24" s="1"/>
  <c r="M16" i="24" s="1"/>
  <c r="L161" i="24"/>
  <c r="O85" i="24"/>
  <c r="J85" i="24"/>
  <c r="M154" i="24"/>
  <c r="J138" i="24"/>
  <c r="L138" i="24" s="1"/>
  <c r="M138" i="24" s="1"/>
  <c r="O138" i="24"/>
  <c r="L168" i="24"/>
  <c r="M168" i="24" s="1"/>
  <c r="M164" i="24"/>
  <c r="O60" i="24"/>
  <c r="J60" i="24"/>
  <c r="L60" i="24" s="1"/>
  <c r="M60" i="24" s="1"/>
  <c r="J11" i="24"/>
  <c r="L9" i="24"/>
  <c r="J178" i="24"/>
  <c r="L26" i="24"/>
  <c r="J174" i="24"/>
  <c r="L174" i="24" s="1"/>
  <c r="M174" i="24" s="1"/>
  <c r="L151" i="24"/>
  <c r="G182" i="24"/>
  <c r="M161" i="24"/>
  <c r="J127" i="24"/>
  <c r="F20" i="8" s="1"/>
  <c r="L114" i="24"/>
  <c r="M114" i="24" s="1"/>
  <c r="J108" i="24"/>
  <c r="O108" i="24"/>
  <c r="J184" i="24"/>
  <c r="M116" i="24"/>
  <c r="G181" i="24"/>
  <c r="L68" i="24"/>
  <c r="J63" i="24"/>
  <c r="J140" i="24"/>
  <c r="L140" i="24" s="1"/>
  <c r="M140" i="24" s="1"/>
  <c r="O140" i="24"/>
  <c r="J86" i="24"/>
  <c r="L86" i="24" s="1"/>
  <c r="M86" i="24" s="1"/>
  <c r="O86" i="24"/>
  <c r="G49" i="24"/>
  <c r="J49" i="24"/>
  <c r="M68" i="24"/>
  <c r="M32" i="24"/>
  <c r="L100" i="24"/>
  <c r="J180" i="24"/>
  <c r="L180" i="24" s="1"/>
  <c r="M180" i="24" s="1"/>
  <c r="J136" i="24"/>
  <c r="L136" i="24" s="1"/>
  <c r="O136" i="24"/>
  <c r="M175" i="24"/>
  <c r="G184" i="24"/>
  <c r="G76" i="24"/>
  <c r="G183" i="24"/>
  <c r="M136" i="24"/>
  <c r="J142" i="24" l="1"/>
  <c r="F25" i="8" s="1"/>
  <c r="L14" i="24"/>
  <c r="M14" i="24" s="1"/>
  <c r="J173" i="24"/>
  <c r="L173" i="24" s="1"/>
  <c r="M173" i="24" s="1"/>
  <c r="F9" i="8"/>
  <c r="L11" i="24"/>
  <c r="M9" i="24"/>
  <c r="G178" i="24"/>
  <c r="L178" i="24" s="1"/>
  <c r="L108" i="24"/>
  <c r="M108" i="24" s="1"/>
  <c r="J111" i="24"/>
  <c r="F16" i="8" s="1"/>
  <c r="Q24" i="24"/>
  <c r="M26" i="24"/>
  <c r="L49" i="24"/>
  <c r="M49" i="24" s="1"/>
  <c r="J50" i="24"/>
  <c r="F14" i="8" s="1"/>
  <c r="J183" i="24"/>
  <c r="L183" i="24" s="1"/>
  <c r="M183" i="24" s="1"/>
  <c r="L142" i="24"/>
  <c r="G50" i="24"/>
  <c r="L184" i="24"/>
  <c r="M184" i="24" s="1"/>
  <c r="L127" i="24"/>
  <c r="J182" i="24"/>
  <c r="L182" i="24" s="1"/>
  <c r="M182" i="24" s="1"/>
  <c r="Q148" i="24"/>
  <c r="M151" i="24"/>
  <c r="J177" i="24"/>
  <c r="L177" i="24" s="1"/>
  <c r="M177" i="24" s="1"/>
  <c r="L63" i="24"/>
  <c r="Q94" i="24"/>
  <c r="M100" i="24"/>
  <c r="L76" i="24"/>
  <c r="Q69" i="24" s="1"/>
  <c r="L85" i="24"/>
  <c r="M85" i="24" s="1"/>
  <c r="J88" i="24"/>
  <c r="F24" i="8" s="1"/>
  <c r="Q117" i="24" l="1"/>
  <c r="M127" i="24"/>
  <c r="J176" i="24"/>
  <c r="L50" i="24"/>
  <c r="Q42" i="24" s="1"/>
  <c r="M178" i="24"/>
  <c r="J181" i="24"/>
  <c r="L181" i="24" s="1"/>
  <c r="M181" i="24" s="1"/>
  <c r="L111" i="24"/>
  <c r="J179" i="24"/>
  <c r="L179" i="24" s="1"/>
  <c r="M179" i="24" s="1"/>
  <c r="L88" i="24"/>
  <c r="Q56" i="24"/>
  <c r="M63" i="24"/>
  <c r="G176" i="24"/>
  <c r="M50" i="24"/>
  <c r="Q12" i="24"/>
  <c r="M11" i="24"/>
  <c r="M76" i="24"/>
  <c r="Q133" i="24"/>
  <c r="M142" i="24"/>
  <c r="Q106" i="24" l="1"/>
  <c r="M111" i="24"/>
  <c r="G187" i="24"/>
  <c r="L176" i="24"/>
  <c r="M176" i="24" s="1"/>
  <c r="J187" i="24"/>
  <c r="Q82" i="24"/>
  <c r="M88" i="24"/>
  <c r="L187" i="24" l="1"/>
  <c r="M187" i="24" l="1"/>
  <c r="V11" i="9" l="1"/>
  <c r="H40" i="9" s="1"/>
  <c r="V12" i="9"/>
  <c r="H41" i="9" s="1"/>
  <c r="V13" i="9"/>
  <c r="H42" i="9" s="1"/>
  <c r="V14" i="9"/>
  <c r="H43" i="9" s="1"/>
  <c r="V15" i="9"/>
  <c r="H44" i="9" s="1"/>
  <c r="V10" i="9"/>
  <c r="H39" i="9" s="1"/>
  <c r="B11" i="8" l="1"/>
  <c r="B12" i="8"/>
  <c r="B14" i="8" l="1"/>
  <c r="B16" i="8" s="1"/>
  <c r="B18" i="8" s="1"/>
  <c r="B19" i="8" s="1"/>
  <c r="B20" i="8" s="1"/>
  <c r="B21" i="8" s="1"/>
  <c r="G6" i="8"/>
  <c r="G25" i="8"/>
  <c r="J25" i="8" s="1"/>
  <c r="G24" i="8"/>
  <c r="J24" i="8" s="1"/>
  <c r="G20" i="8"/>
  <c r="J20" i="8" s="1"/>
  <c r="G19" i="8"/>
  <c r="J19" i="8" s="1"/>
  <c r="G16" i="8"/>
  <c r="J16" i="8" s="1"/>
  <c r="G14" i="8"/>
  <c r="J14" i="8" s="1"/>
  <c r="G12" i="8"/>
  <c r="J12" i="8" s="1"/>
  <c r="G9" i="8"/>
  <c r="J9" i="8" s="1"/>
  <c r="B24" i="8" l="1"/>
  <c r="B25" i="8" s="1"/>
  <c r="B26" i="8" s="1"/>
  <c r="B27" i="8" s="1"/>
  <c r="B23" i="8"/>
  <c r="F21" i="7"/>
  <c r="F13" i="7"/>
  <c r="F11" i="7"/>
  <c r="F9" i="7"/>
  <c r="H10" i="9" l="1"/>
  <c r="H12" i="9"/>
  <c r="H14" i="9"/>
  <c r="E16" i="9"/>
  <c r="F11" i="9" s="1"/>
  <c r="G11" i="9" s="1"/>
  <c r="H20" i="9"/>
  <c r="H22" i="9"/>
  <c r="H24" i="9"/>
  <c r="E26" i="9"/>
  <c r="F22" i="9" s="1"/>
  <c r="G22" i="9" s="1"/>
  <c r="B28" i="9"/>
  <c r="B29" i="9" s="1"/>
  <c r="B30" i="9" s="1"/>
  <c r="B31" i="9" s="1"/>
  <c r="B32" i="9" s="1"/>
  <c r="B33" i="9" s="1"/>
  <c r="B34" i="9" s="1"/>
  <c r="B35" i="9" s="1"/>
  <c r="B36" i="9" s="1"/>
  <c r="B38" i="9" s="1"/>
  <c r="B39" i="9" s="1"/>
  <c r="B40" i="9" s="1"/>
  <c r="B41" i="9" s="1"/>
  <c r="B42" i="9" s="1"/>
  <c r="B43" i="9" s="1"/>
  <c r="B44" i="9" s="1"/>
  <c r="B45" i="9" s="1"/>
  <c r="H29" i="9"/>
  <c r="H30" i="9"/>
  <c r="H31" i="9"/>
  <c r="H32" i="9"/>
  <c r="H33" i="9"/>
  <c r="H34" i="9"/>
  <c r="E35" i="9"/>
  <c r="F29" i="9" s="1"/>
  <c r="H21" i="9"/>
  <c r="H13" i="9"/>
  <c r="H15" i="9"/>
  <c r="E45" i="9"/>
  <c r="F39" i="9" s="1"/>
  <c r="G47" i="9"/>
  <c r="F6" i="8"/>
  <c r="L6" i="8"/>
  <c r="E21" i="8"/>
  <c r="F21" i="8"/>
  <c r="E26" i="8"/>
  <c r="F26" i="8"/>
  <c r="G6" i="7"/>
  <c r="B32" i="7"/>
  <c r="B33" i="7" s="1"/>
  <c r="B34" i="7" s="1"/>
  <c r="B35" i="7" s="1"/>
  <c r="B36" i="7" s="1"/>
  <c r="B38" i="7" s="1"/>
  <c r="B39" i="7" s="1"/>
  <c r="B40" i="7" s="1"/>
  <c r="B41" i="7" s="1"/>
  <c r="B42" i="7" s="1"/>
  <c r="B43" i="7" s="1"/>
  <c r="B44" i="7" s="1"/>
  <c r="B45" i="7" s="1"/>
  <c r="B47" i="7" s="1"/>
  <c r="B49" i="7" s="1"/>
  <c r="G39" i="9" l="1"/>
  <c r="F39" i="7" s="1"/>
  <c r="G29" i="9"/>
  <c r="I29" i="9" s="1"/>
  <c r="F27" i="8"/>
  <c r="F30" i="9"/>
  <c r="G30" i="9" s="1"/>
  <c r="F34" i="7" s="1"/>
  <c r="E27" i="8"/>
  <c r="F23" i="9"/>
  <c r="G23" i="9" s="1"/>
  <c r="F21" i="9"/>
  <c r="G21" i="9" s="1"/>
  <c r="F25" i="9"/>
  <c r="G25" i="9" s="1"/>
  <c r="F20" i="9"/>
  <c r="F24" i="9"/>
  <c r="G24" i="9" s="1"/>
  <c r="F17" i="7"/>
  <c r="F32" i="9"/>
  <c r="G32" i="9" s="1"/>
  <c r="I32" i="9" s="1"/>
  <c r="F34" i="9"/>
  <c r="G34" i="9" s="1"/>
  <c r="I34" i="9" s="1"/>
  <c r="F33" i="9"/>
  <c r="G33" i="9" s="1"/>
  <c r="I33" i="9" s="1"/>
  <c r="F31" i="9"/>
  <c r="G31" i="9" s="1"/>
  <c r="I22" i="9"/>
  <c r="F26" i="7"/>
  <c r="F12" i="9"/>
  <c r="G12" i="9" s="1"/>
  <c r="E47" i="9"/>
  <c r="H23" i="9"/>
  <c r="F15" i="9"/>
  <c r="G15" i="9" s="1"/>
  <c r="I15" i="9" s="1"/>
  <c r="H11" i="9"/>
  <c r="I11" i="9" s="1"/>
  <c r="F14" i="9"/>
  <c r="G14" i="9" s="1"/>
  <c r="I14" i="9" s="1"/>
  <c r="F10" i="9"/>
  <c r="F44" i="9"/>
  <c r="G44" i="9" s="1"/>
  <c r="F43" i="9"/>
  <c r="G43" i="9" s="1"/>
  <c r="F42" i="9"/>
  <c r="G42" i="9" s="1"/>
  <c r="F41" i="9"/>
  <c r="G41" i="9" s="1"/>
  <c r="F40" i="9"/>
  <c r="G40" i="9" s="1"/>
  <c r="H25" i="9"/>
  <c r="F13" i="9"/>
  <c r="G13" i="9" s="1"/>
  <c r="I13" i="9" s="1"/>
  <c r="F36" i="9" l="1"/>
  <c r="I39" i="9"/>
  <c r="F33" i="7"/>
  <c r="F45" i="9"/>
  <c r="G20" i="9"/>
  <c r="I20" i="9" s="1"/>
  <c r="F26" i="9"/>
  <c r="G10" i="9"/>
  <c r="I10" i="9" s="1"/>
  <c r="F17" i="9"/>
  <c r="I30" i="9"/>
  <c r="I41" i="9"/>
  <c r="F41" i="7"/>
  <c r="G16" i="9"/>
  <c r="I12" i="9"/>
  <c r="G59" i="9"/>
  <c r="I23" i="9"/>
  <c r="F27" i="7"/>
  <c r="F42" i="7"/>
  <c r="I42" i="9"/>
  <c r="I43" i="9"/>
  <c r="F43" i="7"/>
  <c r="I25" i="9"/>
  <c r="F29" i="7"/>
  <c r="F40" i="7"/>
  <c r="I40" i="9"/>
  <c r="F44" i="7"/>
  <c r="I44" i="9"/>
  <c r="I21" i="9"/>
  <c r="F25" i="7"/>
  <c r="I24" i="9"/>
  <c r="F28" i="7"/>
  <c r="I31" i="9"/>
  <c r="G35" i="9"/>
  <c r="G58" i="9"/>
  <c r="G56" i="9" l="1"/>
  <c r="G57" i="9"/>
  <c r="F24" i="7"/>
  <c r="F30" i="7" s="1"/>
  <c r="F16" i="7"/>
  <c r="F45" i="7"/>
  <c r="I35" i="9"/>
  <c r="I45" i="9"/>
  <c r="I17" i="9"/>
  <c r="I16" i="9"/>
  <c r="I26" i="9"/>
  <c r="F18" i="7"/>
  <c r="F35" i="7"/>
  <c r="F36" i="7" s="1"/>
  <c r="K26" i="8" s="1"/>
  <c r="I36" i="9"/>
  <c r="F19" i="7" l="1"/>
  <c r="I47" i="9"/>
  <c r="F47" i="7"/>
  <c r="K21" i="8" l="1"/>
  <c r="K27" i="8" s="1"/>
  <c r="L25" i="8"/>
  <c r="G45" i="7" s="1"/>
  <c r="L20" i="8"/>
  <c r="G30" i="7" s="1"/>
  <c r="L14" i="8"/>
  <c r="G13" i="7" s="1"/>
  <c r="L16" i="8"/>
  <c r="G21" i="7" s="1"/>
  <c r="L12" i="8"/>
  <c r="G11" i="7" s="1"/>
  <c r="L24" i="8"/>
  <c r="L19" i="8" l="1"/>
  <c r="G19" i="7" s="1"/>
  <c r="L9" i="8"/>
  <c r="L26" i="8"/>
  <c r="G36" i="7"/>
  <c r="L21" i="8" l="1"/>
  <c r="L27" i="8" s="1"/>
  <c r="G9" i="7"/>
  <c r="G47" i="7" l="1"/>
  <c r="H9" i="7" s="1"/>
  <c r="H21" i="7" l="1"/>
  <c r="I21" i="7" s="1"/>
  <c r="J21" i="7" s="1"/>
  <c r="H11" i="7"/>
  <c r="I11" i="7" s="1"/>
  <c r="J11" i="7" s="1"/>
  <c r="H30" i="7"/>
  <c r="I30" i="7" s="1"/>
  <c r="J26" i="9" s="1"/>
  <c r="H13" i="7"/>
  <c r="I13" i="7" s="1"/>
  <c r="J13" i="7" s="1"/>
  <c r="H19" i="7"/>
  <c r="I19" i="7" s="1"/>
  <c r="J17" i="9" s="1"/>
  <c r="H45" i="7"/>
  <c r="I45" i="7" s="1"/>
  <c r="J45" i="9" s="1"/>
  <c r="H36" i="7"/>
  <c r="I36" i="7" s="1"/>
  <c r="J36" i="9" s="1"/>
  <c r="I9" i="7"/>
  <c r="J9" i="7" s="1"/>
  <c r="K13" i="7" l="1"/>
  <c r="K11" i="7"/>
  <c r="K21" i="7"/>
  <c r="H47" i="7"/>
  <c r="J47" i="9"/>
  <c r="J48" i="9" s="1"/>
  <c r="K11" i="9" s="1"/>
  <c r="I47" i="7"/>
  <c r="K9" i="7" l="1"/>
  <c r="K44" i="9"/>
  <c r="L44" i="9" s="1"/>
  <c r="L25" i="9" s="1"/>
  <c r="K14" i="9"/>
  <c r="K12" i="9"/>
  <c r="K24" i="9"/>
  <c r="K42" i="9"/>
  <c r="L42" i="9" s="1"/>
  <c r="L23" i="9" s="1"/>
  <c r="K32" i="9"/>
  <c r="K41" i="9"/>
  <c r="L41" i="9" s="1"/>
  <c r="M41" i="9" s="1"/>
  <c r="K34" i="9"/>
  <c r="K31" i="9"/>
  <c r="K23" i="9"/>
  <c r="K39" i="9"/>
  <c r="L39" i="9" s="1"/>
  <c r="K30" i="9"/>
  <c r="K43" i="9"/>
  <c r="L43" i="9" s="1"/>
  <c r="M43" i="9" s="1"/>
  <c r="K15" i="9"/>
  <c r="K10" i="9"/>
  <c r="K29" i="9"/>
  <c r="K20" i="9"/>
  <c r="K13" i="9"/>
  <c r="K21" i="9"/>
  <c r="K25" i="9"/>
  <c r="K22" i="9"/>
  <c r="K33" i="9"/>
  <c r="K40" i="9"/>
  <c r="L40" i="9" s="1"/>
  <c r="L30" i="9" s="1"/>
  <c r="J41" i="7" l="1"/>
  <c r="J44" i="7"/>
  <c r="K45" i="9"/>
  <c r="M44" i="9"/>
  <c r="J42" i="7"/>
  <c r="L24" i="9"/>
  <c r="J28" i="7" s="1"/>
  <c r="M42" i="9"/>
  <c r="K35" i="9"/>
  <c r="M40" i="9"/>
  <c r="J40" i="7"/>
  <c r="K16" i="9"/>
  <c r="L21" i="9"/>
  <c r="J25" i="7" s="1"/>
  <c r="L22" i="9"/>
  <c r="M22" i="9" s="1"/>
  <c r="K26" i="9"/>
  <c r="K36" i="9"/>
  <c r="K17" i="9"/>
  <c r="J43" i="7"/>
  <c r="M23" i="9"/>
  <c r="J27" i="7"/>
  <c r="M30" i="9"/>
  <c r="L11" i="9"/>
  <c r="J34" i="7"/>
  <c r="L29" i="9"/>
  <c r="J39" i="7"/>
  <c r="M39" i="9"/>
  <c r="L20" i="9"/>
  <c r="M25" i="9"/>
  <c r="J29" i="7"/>
  <c r="L35" i="9" l="1"/>
  <c r="L16" i="9" s="1"/>
  <c r="M24" i="9"/>
  <c r="M45" i="9"/>
  <c r="N45" i="9" s="1"/>
  <c r="J26" i="7"/>
  <c r="M21" i="9"/>
  <c r="K47" i="9"/>
  <c r="J33" i="7"/>
  <c r="M29" i="9"/>
  <c r="L10" i="9"/>
  <c r="J24" i="7"/>
  <c r="M20" i="9"/>
  <c r="M11" i="9"/>
  <c r="J17" i="7"/>
  <c r="K45" i="7" l="1"/>
  <c r="M26" i="9"/>
  <c r="N26" i="9" s="1"/>
  <c r="M35" i="9"/>
  <c r="M36" i="9" s="1"/>
  <c r="K36" i="7" s="1"/>
  <c r="J35" i="7"/>
  <c r="M10" i="9"/>
  <c r="J16" i="7"/>
  <c r="J18" i="7"/>
  <c r="M16" i="9"/>
  <c r="K30" i="7" l="1"/>
  <c r="N36" i="9"/>
  <c r="M17" i="9"/>
  <c r="N17" i="9" l="1"/>
  <c r="M47" i="9"/>
  <c r="N47" i="9" s="1"/>
  <c r="N48" i="9" s="1"/>
  <c r="K19" i="7"/>
  <c r="K47" i="7" s="1"/>
  <c r="J47" i="7" l="1"/>
  <c r="L47" i="7"/>
  <c r="L48" i="7" s="1"/>
</calcChain>
</file>

<file path=xl/sharedStrings.xml><?xml version="1.0" encoding="utf-8"?>
<sst xmlns="http://schemas.openxmlformats.org/spreadsheetml/2006/main" count="902" uniqueCount="407">
  <si>
    <t>Total</t>
  </si>
  <si>
    <t>Subtotal</t>
  </si>
  <si>
    <t>87T</t>
  </si>
  <si>
    <t>85T</t>
  </si>
  <si>
    <t>Interruptible</t>
  </si>
  <si>
    <t>Residential</t>
  </si>
  <si>
    <t>Revenue</t>
  </si>
  <si>
    <t>Schedule</t>
  </si>
  <si>
    <t>Rate Class</t>
  </si>
  <si>
    <t>Sched 149</t>
  </si>
  <si>
    <t>Margin</t>
  </si>
  <si>
    <t>Volume</t>
  </si>
  <si>
    <t>Rate</t>
  </si>
  <si>
    <t>Puget Sound Energy</t>
  </si>
  <si>
    <t>Check</t>
  </si>
  <si>
    <t>Next 300,000 therms</t>
  </si>
  <si>
    <t>Next 100,000 therms</t>
  </si>
  <si>
    <t>Next 50,000 therms</t>
  </si>
  <si>
    <t>Next 25,000 therms</t>
  </si>
  <si>
    <t>First 25,000 therms</t>
  </si>
  <si>
    <t>Total revenue requirement for low income program</t>
  </si>
  <si>
    <t>Over 500,000 therms</t>
  </si>
  <si>
    <t>Transportation</t>
  </si>
  <si>
    <t>Over 50,000 therms</t>
  </si>
  <si>
    <t>Large volume</t>
  </si>
  <si>
    <t>Commercial &amp; industrial</t>
  </si>
  <si>
    <t>23/53</t>
  </si>
  <si>
    <t>Customer Class</t>
  </si>
  <si>
    <t>Proposed</t>
  </si>
  <si>
    <t>Estimated</t>
  </si>
  <si>
    <t>(3)</t>
  </si>
  <si>
    <t>(2)</t>
  </si>
  <si>
    <t>(1)</t>
  </si>
  <si>
    <t>86/86T</t>
  </si>
  <si>
    <t>41/41T</t>
  </si>
  <si>
    <t>31/31T</t>
  </si>
  <si>
    <t>Requirement</t>
  </si>
  <si>
    <t>Spread</t>
  </si>
  <si>
    <t>Line</t>
  </si>
  <si>
    <t>Margin at</t>
  </si>
  <si>
    <t>Low Income</t>
  </si>
  <si>
    <t xml:space="preserve">   Subtotal</t>
  </si>
  <si>
    <t>Non exclusive interruptible</t>
  </si>
  <si>
    <t>Limited interruptible</t>
  </si>
  <si>
    <t>General service</t>
  </si>
  <si>
    <t>Margin/Therm</t>
  </si>
  <si>
    <t>Revenue at</t>
  </si>
  <si>
    <t>Average</t>
  </si>
  <si>
    <t>CRM</t>
  </si>
  <si>
    <t>Percent of revenue at Schedule 87T base rates</t>
  </si>
  <si>
    <t>Transportation Schedule 87T</t>
  </si>
  <si>
    <t>Subtotal over 50,000 therms</t>
  </si>
  <si>
    <t>Transportation Schedule 85T</t>
  </si>
  <si>
    <t>Interruptible Schedule 87</t>
  </si>
  <si>
    <t>Interruptible Schedule 85</t>
  </si>
  <si>
    <t>Therm</t>
  </si>
  <si>
    <t>Base Rates</t>
  </si>
  <si>
    <t>(Therms)</t>
  </si>
  <si>
    <t>% to Total</t>
  </si>
  <si>
    <t>Rate Schedule</t>
  </si>
  <si>
    <t>Rate per</t>
  </si>
  <si>
    <t>Allocated</t>
  </si>
  <si>
    <t>Normalized</t>
  </si>
  <si>
    <t>Calculation of Low Income Gas Rates by Block for Schedules 85, 85T, 87 and 87T</t>
  </si>
  <si>
    <t xml:space="preserve">Total Whole Dollar Increase/(Decrease) </t>
  </si>
  <si>
    <t>TOTAL</t>
  </si>
  <si>
    <t>GAS</t>
  </si>
  <si>
    <t>ELECTRIC</t>
  </si>
  <si>
    <t>Components of Whole Dollar Increase/(Decrease) in Low Income Requirement</t>
  </si>
  <si>
    <t xml:space="preserve">Current State Utility Tax </t>
  </si>
  <si>
    <t>Current Annual Filing Fee</t>
  </si>
  <si>
    <t>Revenue Sensitive Items:</t>
  </si>
  <si>
    <t>(i)</t>
  </si>
  <si>
    <t>(h)</t>
  </si>
  <si>
    <t>(g)</t>
  </si>
  <si>
    <t>(f)</t>
  </si>
  <si>
    <t>(e)</t>
  </si>
  <si>
    <t>(d)</t>
  </si>
  <si>
    <t xml:space="preserve">(c) </t>
  </si>
  <si>
    <t>(b)</t>
  </si>
  <si>
    <t>(a)</t>
  </si>
  <si>
    <t>Notes</t>
  </si>
  <si>
    <t>Gas</t>
  </si>
  <si>
    <t>Electric</t>
  </si>
  <si>
    <t>LINE 
NO.</t>
  </si>
  <si>
    <t xml:space="preserve">REVENUE REQUIREMENTS </t>
  </si>
  <si>
    <t>LOW INCOME PROGRAM</t>
  </si>
  <si>
    <t>PUGET SOUND ENERGY</t>
  </si>
  <si>
    <r>
      <t>Volume</t>
    </r>
    <r>
      <rPr>
        <vertAlign val="superscript"/>
        <sz val="10"/>
        <rFont val="Arial"/>
        <family val="2"/>
      </rPr>
      <t xml:space="preserve"> (1)</t>
    </r>
  </si>
  <si>
    <r>
      <t>Volume</t>
    </r>
    <r>
      <rPr>
        <vertAlign val="superscript"/>
        <sz val="10"/>
        <rFont val="Arial"/>
        <family val="2"/>
      </rPr>
      <t xml:space="preserve"> (2)</t>
    </r>
  </si>
  <si>
    <r>
      <t>(Therms)</t>
    </r>
    <r>
      <rPr>
        <vertAlign val="superscript"/>
        <sz val="10"/>
        <rFont val="Arial"/>
        <family val="2"/>
      </rPr>
      <t xml:space="preserve"> (1)</t>
    </r>
  </si>
  <si>
    <r>
      <t>Current Rates</t>
    </r>
    <r>
      <rPr>
        <vertAlign val="superscript"/>
        <sz val="10"/>
        <rFont val="Arial"/>
        <family val="2"/>
      </rPr>
      <t xml:space="preserve"> (2)</t>
    </r>
  </si>
  <si>
    <r>
      <t xml:space="preserve">(Therms) </t>
    </r>
    <r>
      <rPr>
        <vertAlign val="superscript"/>
        <sz val="10"/>
        <rFont val="Arial"/>
        <family val="2"/>
      </rPr>
      <t>(1)</t>
    </r>
  </si>
  <si>
    <t>Current Year Low Income Cap</t>
  </si>
  <si>
    <t>Public Utility Tax Credits Received from Department of Revenue under RCW 82.16.0497</t>
  </si>
  <si>
    <t xml:space="preserve">Increase due to LIHEAP Credits </t>
  </si>
  <si>
    <t>Calculation of Schedule 129 Rates</t>
  </si>
  <si>
    <r>
      <t xml:space="preserve">Base Rates </t>
    </r>
    <r>
      <rPr>
        <vertAlign val="superscript"/>
        <sz val="10"/>
        <rFont val="Arial"/>
        <family val="2"/>
      </rPr>
      <t>(3)</t>
    </r>
  </si>
  <si>
    <t>UG-180283</t>
  </si>
  <si>
    <t>Base</t>
  </si>
  <si>
    <t>Sched 140</t>
  </si>
  <si>
    <t>Property Tax</t>
  </si>
  <si>
    <r>
      <t>Revenue</t>
    </r>
    <r>
      <rPr>
        <vertAlign val="superscript"/>
        <sz val="10"/>
        <rFont val="Arial"/>
        <family val="2"/>
      </rPr>
      <t xml:space="preserve"> (2)</t>
    </r>
  </si>
  <si>
    <r>
      <t xml:space="preserve">Rates </t>
    </r>
    <r>
      <rPr>
        <vertAlign val="superscript"/>
        <sz val="10"/>
        <rFont val="Arial"/>
        <family val="2"/>
      </rPr>
      <t>(3)</t>
    </r>
  </si>
  <si>
    <r>
      <t>Rates</t>
    </r>
    <r>
      <rPr>
        <vertAlign val="superscript"/>
        <sz val="10"/>
        <rFont val="Arial"/>
        <family val="2"/>
      </rPr>
      <t xml:space="preserve"> (4)</t>
    </r>
  </si>
  <si>
    <r>
      <t>(Therms)</t>
    </r>
    <r>
      <rPr>
        <vertAlign val="superscript"/>
        <sz val="10"/>
        <rFont val="Arial"/>
        <family val="2"/>
      </rPr>
      <t xml:space="preserve"> (5)</t>
    </r>
  </si>
  <si>
    <r>
      <t>Current Rates</t>
    </r>
    <r>
      <rPr>
        <vertAlign val="superscript"/>
        <sz val="10"/>
        <rFont val="Arial"/>
        <family val="2"/>
      </rPr>
      <t xml:space="preserve"> (6)</t>
    </r>
  </si>
  <si>
    <t>Rate Change Impacts by Rate Schedule</t>
  </si>
  <si>
    <t>Forecasted</t>
  </si>
  <si>
    <t>Sched 142</t>
  </si>
  <si>
    <t>Sched 129</t>
  </si>
  <si>
    <t>Margin Rate</t>
  </si>
  <si>
    <t>Volume (Therms)</t>
  </si>
  <si>
    <t>Sched 101</t>
  </si>
  <si>
    <t>Sched 106</t>
  </si>
  <si>
    <t>Sched 120</t>
  </si>
  <si>
    <t>Total Forecasted</t>
  </si>
  <si>
    <t>Percent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</si>
  <si>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</si>
  <si>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</si>
  <si>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</si>
  <si>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t>Margin Revenue</t>
  </si>
  <si>
    <t>Change</t>
  </si>
  <si>
    <t>A</t>
  </si>
  <si>
    <t>B</t>
  </si>
  <si>
    <t>C</t>
  </si>
  <si>
    <t>D</t>
  </si>
  <si>
    <t>E=D/C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</si>
  <si>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</si>
  <si>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</si>
  <si>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</si>
  <si>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</si>
  <si>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</si>
  <si>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</si>
  <si>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</si>
  <si>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</si>
  <si>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</si>
  <si>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</si>
  <si>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</si>
  <si>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S </t>
  </si>
  <si>
    <t>T= S/R</t>
  </si>
  <si>
    <t>23,53</t>
  </si>
  <si>
    <t>Residential Gas Lights</t>
  </si>
  <si>
    <t>Commercial &amp; Industrial</t>
  </si>
  <si>
    <t>Large Volume</t>
  </si>
  <si>
    <t>Limited Interruptible</t>
  </si>
  <si>
    <t>Non-exclusive Interruptible</t>
  </si>
  <si>
    <t>Commercial &amp; Industrial Transportation</t>
  </si>
  <si>
    <t>31T</t>
  </si>
  <si>
    <t>Large Volume Transportation</t>
  </si>
  <si>
    <t>41T</t>
  </si>
  <si>
    <t>Interruptible Transportation</t>
  </si>
  <si>
    <t>Limited Interruptible Transportation</t>
  </si>
  <si>
    <t>86T</t>
  </si>
  <si>
    <t>Non-exclusive Interruptible Transportation</t>
  </si>
  <si>
    <t>Contracts</t>
  </si>
  <si>
    <r>
      <t>Rentals</t>
    </r>
    <r>
      <rPr>
        <vertAlign val="superscript"/>
        <sz val="11"/>
        <rFont val="Calibri"/>
        <family val="2"/>
      </rPr>
      <t>(2)</t>
    </r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</si>
  <si>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</si>
  <si>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</si>
  <si>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</si>
  <si>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</si>
  <si>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</si>
  <si>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</si>
  <si>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t>Rentals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</si>
  <si>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margin for 12 months ending September 2016, at approved rates from UG-180283 Tax Reform compliance filing. The rates do not include schedules 140, 141 and 142.</t>
    </r>
  </si>
  <si>
    <t>Typical Residential Bill Impacts</t>
  </si>
  <si>
    <t>Current Rates</t>
  </si>
  <si>
    <t>Schedule 129 Rate Change</t>
  </si>
  <si>
    <t>Charges</t>
  </si>
  <si>
    <t>Rates</t>
  </si>
  <si>
    <t>Volume (therms)</t>
  </si>
  <si>
    <t>Customer charge ($/month)</t>
  </si>
  <si>
    <t>Basic charge</t>
  </si>
  <si>
    <t>Volumetric charges ($/therm)</t>
  </si>
  <si>
    <t>Delivery charge (Schedule 23)</t>
  </si>
  <si>
    <t>Property tax charge (Schedule 140)</t>
  </si>
  <si>
    <t>Decoupling charge (Schedule 142)</t>
  </si>
  <si>
    <t>Low income charge (Schedule 129)</t>
  </si>
  <si>
    <t>CRM Charge (Schedule 149)</t>
  </si>
  <si>
    <t>Conservation charge (Schedule 120)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</si>
  <si>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</si>
  <si>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</si>
  <si>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</si>
  <si>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</si>
  <si>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</si>
  <si>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</si>
  <si>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</si>
  <si>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</si>
  <si>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t xml:space="preserve">Rate </t>
  </si>
  <si>
    <t>Change in Revenue Requirement</t>
  </si>
  <si>
    <t>ERF</t>
  </si>
  <si>
    <t>EDIT</t>
  </si>
  <si>
    <t>Sch. 87T</t>
  </si>
  <si>
    <t>Sch. 140</t>
  </si>
  <si>
    <t>Sch. 141</t>
  </si>
  <si>
    <t>Sch. 141X</t>
  </si>
  <si>
    <t>Sch. 149</t>
  </si>
  <si>
    <t>Conversion Factor = 1 - Line 12 - Line 13 - Line 14</t>
  </si>
  <si>
    <t>Low income revenue requirement to be recovered in rates = Line 9 ÷ Line 16</t>
  </si>
  <si>
    <t>2018 Gas Expedited Rate Filing (ERF)</t>
  </si>
  <si>
    <t>Development of Net Schedule 141 &amp; Schedule 141X Rates</t>
  </si>
  <si>
    <t>Test Year Ended June 30, 2018</t>
  </si>
  <si>
    <t>Proposed Net</t>
  </si>
  <si>
    <t xml:space="preserve">Billing </t>
  </si>
  <si>
    <t>Current</t>
  </si>
  <si>
    <t>Schedule 141 &amp; 141X</t>
  </si>
  <si>
    <t>Target</t>
  </si>
  <si>
    <t>Description</t>
  </si>
  <si>
    <t>Units</t>
  </si>
  <si>
    <t>Determinants</t>
  </si>
  <si>
    <t>Revenues</t>
  </si>
  <si>
    <t>Adjusting Rates</t>
  </si>
  <si>
    <t>Schedule 23 Residential</t>
  </si>
  <si>
    <t>Basic Charge</t>
  </si>
  <si>
    <t>Bills</t>
  </si>
  <si>
    <t>target 23/53/16</t>
  </si>
  <si>
    <t>Delivery Charge</t>
  </si>
  <si>
    <t>Therms</t>
  </si>
  <si>
    <t>Total Margin Revenue</t>
  </si>
  <si>
    <t>over(under)</t>
  </si>
  <si>
    <t>Schedule 53 Residential Propane</t>
  </si>
  <si>
    <t>change</t>
  </si>
  <si>
    <t>Schedule 16 Gas Lights</t>
  </si>
  <si>
    <t>Mantles</t>
  </si>
  <si>
    <t>target 31</t>
  </si>
  <si>
    <t>Schedule 31 Commercial &amp; Industrial - Sales</t>
  </si>
  <si>
    <t>Procurement Charge</t>
  </si>
  <si>
    <t>Schedule 31 Commercial &amp; Industrial - Transportation</t>
  </si>
  <si>
    <t>target 31T</t>
  </si>
  <si>
    <t>Schedule 61 Standby &amp; Auxiliary Heating</t>
  </si>
  <si>
    <t>Demand</t>
  </si>
  <si>
    <t>Schedule 41 Large Volume High Load Factor - Sales</t>
  </si>
  <si>
    <t>target 41</t>
  </si>
  <si>
    <t>Minimum Bill</t>
  </si>
  <si>
    <t>Demand Charge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</si>
  <si>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</si>
  <si>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</si>
  <si>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</si>
  <si>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</si>
  <si>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</si>
  <si>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</si>
  <si>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Schedule 41 Large Volume High Load Factor - Transportation</t>
  </si>
  <si>
    <t>target 41T</t>
  </si>
  <si>
    <t>Schedule 85 Interruptible - Sales</t>
  </si>
  <si>
    <t>target 85</t>
  </si>
  <si>
    <t>Minimum Bills</t>
  </si>
  <si>
    <t>First 25,000 Therms</t>
  </si>
  <si>
    <t>Next 25,000 Therms</t>
  </si>
  <si>
    <t>All over 50,000 Therms</t>
  </si>
  <si>
    <t>Schedule 85 Interruptible - Transportation</t>
  </si>
  <si>
    <t>target 85T</t>
  </si>
  <si>
    <t>Next 50,000 Therms</t>
  </si>
  <si>
    <t>Schedule 86 Limited Interruptible - Sales</t>
  </si>
  <si>
    <t>target 86</t>
  </si>
  <si>
    <t>First 1,000 therms</t>
  </si>
  <si>
    <t>All over 1,000 therms</t>
  </si>
  <si>
    <t>Schedule 86 Limited Interruptible - Transportation</t>
  </si>
  <si>
    <t>target 86T</t>
  </si>
  <si>
    <t>Schedule 87 Non-exclusive Interruptible - Sales</t>
  </si>
  <si>
    <t>target 87</t>
  </si>
  <si>
    <t xml:space="preserve"> </t>
  </si>
  <si>
    <t>All over 500,000 therms</t>
  </si>
  <si>
    <t>Schedule 87 Non-exclusive Interruptible - Transportation</t>
  </si>
  <si>
    <t>target 87T</t>
  </si>
  <si>
    <t>Schedule 71 - Residential Water Heater Rental Service</t>
  </si>
  <si>
    <t>71G-A</t>
  </si>
  <si>
    <t xml:space="preserve">Standard Models </t>
  </si>
  <si>
    <t>target 71/72/74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</si>
  <si>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</si>
  <si>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</si>
  <si>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</si>
  <si>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</si>
  <si>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</si>
  <si>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</si>
  <si>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</si>
  <si>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</si>
  <si>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</si>
  <si>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</si>
  <si>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Schedule 72 - Large Volume Water Heater Rental Service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</si>
  <si>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</si>
  <si>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</si>
  <si>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</si>
  <si>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</si>
  <si>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</si>
  <si>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</si>
  <si>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</si>
  <si>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</si>
  <si>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</si>
  <si>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</si>
  <si>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</si>
  <si>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</si>
  <si>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</si>
  <si>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</si>
  <si>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Schedule 74 - Gas Conversion Burner Rental Service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</si>
  <si>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</si>
  <si>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</si>
  <si>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</si>
  <si>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</si>
  <si>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</si>
  <si>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</si>
  <si>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</si>
  <si>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</si>
  <si>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Total Therms and Margin Revenue By Rate Class</t>
  </si>
  <si>
    <t>Commercial &amp; Industrial (31,61)</t>
  </si>
  <si>
    <t>Commercial &amp; Industrial Transportation (31T)</t>
  </si>
  <si>
    <t>Large Volume (41)</t>
  </si>
  <si>
    <t>Large Volume Transportation (41T)</t>
  </si>
  <si>
    <t>Interruptible (85)</t>
  </si>
  <si>
    <t>Interruptible Transporatation (85T)</t>
  </si>
  <si>
    <t>Limited Interruptible (86)</t>
  </si>
  <si>
    <t>Limited Interruptible Transportation (86T)</t>
  </si>
  <si>
    <t>Non-exclusive Interruptible (87)</t>
  </si>
  <si>
    <t>Non-exclusive Interruptible Transportation (87T)</t>
  </si>
  <si>
    <t>Other Revenue</t>
  </si>
  <si>
    <t xml:space="preserve">Total  </t>
  </si>
  <si>
    <t>Summary of Billing Determinants</t>
  </si>
  <si>
    <t>Bills (basic charges) by rate schedule (1)</t>
  </si>
  <si>
    <t xml:space="preserve">Residential </t>
  </si>
  <si>
    <t>Residential propane</t>
  </si>
  <si>
    <t xml:space="preserve">Interruptible </t>
  </si>
  <si>
    <t>Transportation - Commercial &amp; Industrial</t>
  </si>
  <si>
    <t xml:space="preserve">Transportation - large volume </t>
  </si>
  <si>
    <t>Transportation - interrupt with firm option</t>
  </si>
  <si>
    <t>Transportation - limited interrupt with firm option</t>
  </si>
  <si>
    <t xml:space="preserve">Transportation - non-exclus inter/firm option </t>
  </si>
  <si>
    <t>Total bills (Basic charges)</t>
  </si>
  <si>
    <t>Volume (therms) by rate schedule</t>
  </si>
  <si>
    <t xml:space="preserve">Residential gas lights </t>
  </si>
  <si>
    <t>Total volume (sales and transportation)</t>
  </si>
  <si>
    <t>Billed demand by rate schedule (1)</t>
  </si>
  <si>
    <t>Standby &amp; auxiliary heating</t>
  </si>
  <si>
    <t xml:space="preserve">Transportation - limited interrupt with firm option </t>
  </si>
  <si>
    <t>(1) Total bills and billed demand from contracts are not included in the amounts above.</t>
  </si>
  <si>
    <t>UG-180900</t>
  </si>
  <si>
    <t>(1) Weather normalized volume for the 12 months ended June 2018 from 2018 Expedited Rate Filing (UG-180900) compliance filing.</t>
  </si>
  <si>
    <t>(2) Margin for the 12 months ended June 2018 from 2018 Expedited Rate Filing (UG-180900) compliance filing (Base, Sch. 141 &amp; Sch. 141X).</t>
  </si>
  <si>
    <t>Sch. 129</t>
  </si>
  <si>
    <t>Sched 141</t>
  </si>
  <si>
    <t>Sched 141X</t>
  </si>
  <si>
    <t>Sched 141Y</t>
  </si>
  <si>
    <t>EDIT adjusting charge (Schedule 141X)</t>
  </si>
  <si>
    <t>Tax Reform Credit (Schedule 141Y)</t>
  </si>
  <si>
    <t>Proposed Rates</t>
  </si>
  <si>
    <t>Average Rate</t>
  </si>
  <si>
    <t>Per Therm</t>
  </si>
  <si>
    <t>% Change</t>
  </si>
  <si>
    <t>check</t>
  </si>
  <si>
    <t>E = D/C</t>
  </si>
  <si>
    <t>F</t>
  </si>
  <si>
    <t>G</t>
  </si>
  <si>
    <t>H = G/F</t>
  </si>
  <si>
    <t>I = (G-D)/D</t>
  </si>
  <si>
    <t>Forcasted</t>
  </si>
  <si>
    <t>Per Unit</t>
  </si>
  <si>
    <t>Total Including Rentals</t>
  </si>
  <si>
    <t>2020 Gas Schedule 129 Low Income Program Filing</t>
  </si>
  <si>
    <t>Proposed Effective October 1, 2020</t>
  </si>
  <si>
    <t>Weather normalized volume for year ending December 31, 2019 from 2019 Commission Basis Report.</t>
  </si>
  <si>
    <t>(Eff. Nov 1, 2019)</t>
  </si>
  <si>
    <t>(Eff. May 1, 2020)</t>
  </si>
  <si>
    <t>Estimated 2019 Margin at Current Rates</t>
  </si>
  <si>
    <t>Calendar volume for year ending December 31, 2019 from Customer Information System (CIS).</t>
  </si>
  <si>
    <t>OCTOBER 2020 THROUGH SEPTEMBER 2021</t>
  </si>
  <si>
    <t>Prior Low Income Cap UE-190752 &amp; UG-190729</t>
  </si>
  <si>
    <t>Decoupling Residential Bill Impact UE-200298 and UG-200299</t>
  </si>
  <si>
    <t xml:space="preserve">Increase pursuant to Order 08 Paragraph 34 in 2019 GRC UE-190529 and UG-190530 </t>
  </si>
  <si>
    <t>(See Note A)</t>
  </si>
  <si>
    <t>(A)</t>
  </si>
  <si>
    <t>True-up Estimate in Prior Year Filing</t>
  </si>
  <si>
    <t>Under / (Over) Collection through September 2020 (Excludes Revenue Sensitive Items)</t>
  </si>
  <si>
    <t>CACAP True-Up</t>
  </si>
  <si>
    <t>Volume Variance from Schedule 95 Microsoft Transition Fees</t>
  </si>
  <si>
    <t>Amount to be recovered October 2020 through September 2021 = Line 4 + Line 6 + Line 9</t>
  </si>
  <si>
    <t>Bad Debts Conversion Factor used in 2019 GRC UE-190529, et al</t>
  </si>
  <si>
    <t>Low Income revenue requirement set in rates in October 2019</t>
  </si>
  <si>
    <t xml:space="preserve">(A) Twice the residential base rates increase under UE-190529 and UG-190530 - Order No. 07 is used as it is higher than twice the residential base rates increase under PSE's Motion </t>
  </si>
  <si>
    <t>to Stay No. 20-2-12279-3 SEA.</t>
  </si>
  <si>
    <t>Effects of 2019 GRC and Decoupling for including full residential class increase and allocation change</t>
  </si>
  <si>
    <t>Increase in CACAP True-Up</t>
  </si>
  <si>
    <t>Increase due to Schedule 95 Microsoft Transition Fees</t>
  </si>
  <si>
    <t>Decrease due to moving from a combined under-collection of $1.6M in the prior rate period to a combined under-collection of $0.7M in the current rate period</t>
  </si>
  <si>
    <t>Weather normalized margin for 12 months ending December 31, 2019 assuming current rates effective May 1, 2020.</t>
  </si>
  <si>
    <t>Schedule 87T rates from tariff effective May 1, 2020 including Delivery, Property Tax (Sch. 140), ERF (Sch. 141), EDIT (Sch. 141X), and CRM (Sch. 149).</t>
  </si>
  <si>
    <t>(3) Schedule 140 Property Tax rates effective May 1, 2020.</t>
  </si>
  <si>
    <t>(4) Schedule 149 Cost Recovery Mechanism (CRM) rates effective November 1, 2019.</t>
  </si>
  <si>
    <t>(5) Weather normalized volume for year ending December 31, 2019 from 2019 Commission Basis Report.</t>
  </si>
  <si>
    <t>(6) Weather normalized margin revenue given 2019 volume priced at current rates effective May 1, 2020.</t>
  </si>
  <si>
    <t>Schedule 87T Margin Rates:</t>
  </si>
  <si>
    <t>Proposed Rates Effective October 1, 2020</t>
  </si>
  <si>
    <t>12ME Sept. 2021</t>
  </si>
  <si>
    <t>Oct. 2020 -</t>
  </si>
  <si>
    <t>Sept. 2021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</si>
  <si>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(3)</t>
    </r>
  </si>
  <si>
    <t xml:space="preserve">F </t>
  </si>
  <si>
    <t>R = sum(G:Q)</t>
  </si>
  <si>
    <t>By Customer Class:</t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</si>
  <si>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annual rental counts calculated using actual July 2020 count.</t>
    </r>
  </si>
  <si>
    <r>
      <rPr>
        <vertAlign val="superscript"/>
        <sz val="11"/>
        <color theme="1"/>
        <rFont val="Calibri"/>
        <family val="2"/>
      </rPr>
      <t xml:space="preserve">(3) </t>
    </r>
    <r>
      <rPr>
        <sz val="11"/>
        <color theme="1"/>
        <rFont val="Calibri"/>
        <family val="2"/>
        <scheme val="minor"/>
      </rPr>
      <t>Forecasted revenues at current rates effective May 1, 2020.</t>
    </r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</si>
  <si>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</si>
  <si>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ERF adjusting charge (Schedule 141)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</si>
  <si>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May 1, 2020</t>
    </r>
  </si>
  <si>
    <t>Average Rate Per Therm Impacts by Rate Schedule</t>
  </si>
  <si>
    <t>Current Rates (1)</t>
  </si>
  <si>
    <t>Oct. 2020 - Sept. 2021</t>
  </si>
  <si>
    <t>(1) Rates effective May 1, 2020</t>
  </si>
  <si>
    <t>Gas Schedule 129</t>
  </si>
  <si>
    <t>Low Income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</si>
</sst>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_(&quot;$&quot;* #,##0.00000_);_(&quot;$&quot;* \(#,##0.00000\);_(&quot;$&quot;* &quot;-&quot;??_);_(@_)"/>
    <numFmt numFmtId="169" formatCode="_(* #,##0.00000_);_(* \(#,##0.00000\);_(* &quot;-&quot;??_);_(@_)"/>
    <numFmt numFmtId="170" formatCode="0.0000000"/>
    <numFmt numFmtId="171" formatCode="_(&quot;$&quot;* #,##0.0000_);_(&quot;$&quot;* \(#,##0.0000\);_(&quot;$&quot;* &quot;-&quot;??_);_(@_)"/>
    <numFmt numFmtId="172" formatCode="0.0000%"/>
    <numFmt numFmtId="173" formatCode="#,##0.000000_);\(#,##0.000000\)"/>
    <numFmt numFmtId="174" formatCode="_(* #,##0.0000000_);_(* \(#,##0.0000000\);_(* &quot;-&quot;??_);_(@_)"/>
    <numFmt numFmtId="175" formatCode="_(&quot;$&quot;* #,##0.00_);_(&quot;$&quot;* \(#,##0.00\);_(&quot;$&quot;* &quot;-&quot;?????_);_(@_)"/>
    <numFmt numFmtId="176" formatCode="_(&quot;$&quot;* #,##0_);_(&quot;$&quot;* \(#,##0\);_(&quot;$&quot;* &quot;-&quot;?????_);_(@_)"/>
    <numFmt numFmtId="177" formatCode="_(&quot;$&quot;* #,##0.00_);_(&quot;$&quot;* \(#,##0.00\);_(&quot;$&quot;* &quot;-&quot;_);_(@_)"/>
    <numFmt numFmtId="178" formatCode="_(&quot;$&quot;* #,##0.000_);_(&quot;$&quot;* \(#,##0.000\);_(&quot;$&quot;* &quot;-&quot;_);_(@_)"/>
    <numFmt numFmtId="179" formatCode="_(&quot;$&quot;* #,##0.000000_);_(&quot;$&quot;* \(#,##0.000000\);_(&quot;$&quot;* &quot;-&quot;??_);_(@_)"/>
    <numFmt numFmtId="180" formatCode="&quot;$&quot;#,##0\ ;\(&quot;$&quot;#,##0\)"/>
    <numFmt numFmtId="181" formatCode="0.000%"/>
    <numFmt numFmtId="182" formatCode="&quot;$&quot;#,##0.00000"/>
    <numFmt numFmtId="183" formatCode="&quot;$&quot;#,##0.00\ ;\(&quot;$&quot;#,##0.00\)"/>
    <numFmt numFmtId="184" formatCode="&quot;$&quot;#,##0.00000\ ;\(&quot;$&quot;#,##0.00000\)"/>
    <numFmt numFmtId="185" formatCode="&quot;$&quot;#,##0.00000_);\(&quot;$&quot;#,##0.00000\)"/>
    <numFmt numFmtId="186" formatCode="&quot;$&quot;#,##0.0000\ ;\(&quot;$&quot;#,##0.0000\)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rgb="FF0000FF"/>
      <name val="Arial"/>
      <family val="2"/>
    </font>
    <font>
      <sz val="10"/>
      <color indexed="21"/>
      <name val="Arial"/>
      <family val="2"/>
    </font>
    <font>
      <sz val="10"/>
      <color theme="1"/>
      <name val="Arial"/>
      <family val="2"/>
    </font>
    <font>
      <sz val="10"/>
      <color rgb="FF009999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color rgb="FF006666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1"/>
      <color rgb="FF008080"/>
      <name val="Calibri"/>
      <family val="2"/>
      <scheme val="minor"/>
    </font>
    <font>
      <sz val="11"/>
      <name val="Calibri"/>
      <family val="2"/>
    </font>
    <font>
      <sz val="11"/>
      <color indexed="21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  <scheme val="minor"/>
    </font>
    <font>
      <sz val="10"/>
      <color rgb="FF00808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color rgb="FF006699"/>
      <name val="Calibri"/>
      <family val="2"/>
      <scheme val="minor"/>
    </font>
    <font>
      <sz val="11"/>
      <color rgb="FF008080"/>
      <name val="Calibri"/>
      <family val="2"/>
    </font>
    <font>
      <sz val="11"/>
      <color theme="1"/>
      <name val="Calibri"/>
      <family val="2"/>
    </font>
    <font>
      <sz val="10"/>
      <name val="Arial"/>
    </font>
    <font>
      <vertAlign val="superscript"/>
      <sz val="11"/>
      <color theme="1"/>
      <name val="Calibri"/>
      <family val="2"/>
      <scheme val="minor"/>
    </font>
    <font>
      <u/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534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42" fontId="1" fillId="0" borderId="0" xfId="0" applyNumberFormat="1" applyFont="1" applyBorder="1"/>
    <xf numFmtId="10" fontId="6" fillId="0" borderId="10" xfId="0" applyNumberFormat="1" applyFont="1" applyBorder="1"/>
    <xf numFmtId="164" fontId="6" fillId="0" borderId="11" xfId="0" applyNumberFormat="1" applyFont="1" applyBorder="1"/>
    <xf numFmtId="0" fontId="1" fillId="0" borderId="2" xfId="0" applyFont="1" applyBorder="1"/>
    <xf numFmtId="168" fontId="9" fillId="0" borderId="0" xfId="0" applyNumberFormat="1" applyFont="1"/>
    <xf numFmtId="3" fontId="9" fillId="0" borderId="2" xfId="0" applyNumberFormat="1" applyFont="1" applyFill="1" applyBorder="1"/>
    <xf numFmtId="3" fontId="9" fillId="0" borderId="0" xfId="0" applyNumberFormat="1" applyFont="1" applyFill="1"/>
    <xf numFmtId="168" fontId="9" fillId="0" borderId="0" xfId="0" applyNumberFormat="1" applyFont="1" applyBorder="1"/>
    <xf numFmtId="3" fontId="9" fillId="0" borderId="2" xfId="0" applyNumberFormat="1" applyFont="1" applyBorder="1"/>
    <xf numFmtId="3" fontId="9" fillId="0" borderId="0" xfId="0" applyNumberFormat="1" applyFont="1"/>
    <xf numFmtId="3" fontId="4" fillId="0" borderId="0" xfId="0" applyNumberFormat="1" applyFont="1" applyFill="1"/>
    <xf numFmtId="164" fontId="4" fillId="0" borderId="0" xfId="0" applyNumberFormat="1" applyFont="1"/>
    <xf numFmtId="0" fontId="8" fillId="0" borderId="0" xfId="0" applyFont="1" applyAlignment="1">
      <alignment horizontal="center"/>
    </xf>
    <xf numFmtId="166" fontId="1" fillId="0" borderId="0" xfId="0" applyNumberFormat="1" applyFont="1"/>
    <xf numFmtId="166" fontId="1" fillId="0" borderId="0" xfId="0" applyNumberFormat="1" applyFont="1" applyFill="1"/>
    <xf numFmtId="166" fontId="1" fillId="0" borderId="0" xfId="0" applyNumberFormat="1" applyFont="1" applyFill="1" applyBorder="1"/>
    <xf numFmtId="171" fontId="1" fillId="0" borderId="0" xfId="0" applyNumberFormat="1" applyFont="1" applyBorder="1"/>
    <xf numFmtId="164" fontId="1" fillId="0" borderId="0" xfId="0" applyNumberFormat="1" applyFont="1" applyFill="1" applyBorder="1"/>
    <xf numFmtId="42" fontId="1" fillId="0" borderId="0" xfId="0" applyNumberFormat="1" applyFont="1" applyFill="1" applyBorder="1"/>
    <xf numFmtId="42" fontId="4" fillId="0" borderId="0" xfId="0" applyNumberFormat="1" applyFont="1" applyFill="1" applyBorder="1"/>
    <xf numFmtId="166" fontId="1" fillId="0" borderId="0" xfId="0" applyNumberFormat="1" applyFont="1" applyBorder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41" fontId="1" fillId="0" borderId="0" xfId="0" applyNumberFormat="1" applyFont="1" applyBorder="1"/>
    <xf numFmtId="3" fontId="1" fillId="0" borderId="0" xfId="0" applyNumberFormat="1" applyFont="1" applyBorder="1"/>
    <xf numFmtId="168" fontId="1" fillId="0" borderId="0" xfId="0" applyNumberFormat="1" applyFont="1"/>
    <xf numFmtId="42" fontId="1" fillId="0" borderId="1" xfId="0" applyNumberFormat="1" applyFont="1" applyFill="1" applyBorder="1"/>
    <xf numFmtId="0" fontId="1" fillId="0" borderId="0" xfId="0" applyFont="1" applyBorder="1" applyAlignment="1">
      <alignment horizontal="left"/>
    </xf>
    <xf numFmtId="164" fontId="5" fillId="0" borderId="0" xfId="0" applyNumberFormat="1" applyFont="1"/>
    <xf numFmtId="164" fontId="5" fillId="0" borderId="5" xfId="0" applyNumberFormat="1" applyFont="1" applyFill="1" applyBorder="1"/>
    <xf numFmtId="3" fontId="5" fillId="0" borderId="5" xfId="0" applyNumberFormat="1" applyFont="1" applyFill="1" applyBorder="1"/>
    <xf numFmtId="42" fontId="1" fillId="0" borderId="2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42" fontId="1" fillId="0" borderId="0" xfId="0" applyNumberFormat="1" applyFont="1"/>
    <xf numFmtId="0" fontId="1" fillId="0" borderId="0" xfId="0" applyFont="1" applyAlignment="1">
      <alignment horizontal="left" indent="1"/>
    </xf>
    <xf numFmtId="3" fontId="4" fillId="0" borderId="0" xfId="0" applyNumberFormat="1" applyFont="1" applyFill="1" applyBorder="1"/>
    <xf numFmtId="3" fontId="1" fillId="0" borderId="1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0" fontId="1" fillId="0" borderId="14" xfId="0" applyFont="1" applyFill="1" applyBorder="1" applyAlignment="1">
      <alignment horizontal="center"/>
    </xf>
    <xf numFmtId="42" fontId="6" fillId="0" borderId="6" xfId="0" applyNumberFormat="1" applyFont="1" applyFill="1" applyBorder="1"/>
    <xf numFmtId="164" fontId="1" fillId="0" borderId="1" xfId="0" applyNumberFormat="1" applyFont="1" applyBorder="1"/>
    <xf numFmtId="164" fontId="1" fillId="0" borderId="2" xfId="0" applyNumberFormat="1" applyFont="1" applyFill="1" applyBorder="1"/>
    <xf numFmtId="164" fontId="1" fillId="0" borderId="0" xfId="0" applyNumberFormat="1" applyFont="1" applyFill="1"/>
    <xf numFmtId="3" fontId="10" fillId="0" borderId="0" xfId="0" applyNumberFormat="1" applyFont="1" applyFill="1" applyAlignment="1">
      <alignment horizontal="right"/>
    </xf>
    <xf numFmtId="164" fontId="1" fillId="0" borderId="5" xfId="0" applyNumberFormat="1" applyFont="1" applyFill="1" applyBorder="1"/>
    <xf numFmtId="164" fontId="1" fillId="0" borderId="5" xfId="0" applyNumberFormat="1" applyFont="1" applyBorder="1"/>
    <xf numFmtId="167" fontId="1" fillId="0" borderId="0" xfId="0" applyNumberFormat="1" applyFont="1" applyFill="1"/>
    <xf numFmtId="164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1" fillId="0" borderId="0" xfId="0" applyNumberFormat="1" applyFont="1"/>
    <xf numFmtId="169" fontId="1" fillId="0" borderId="0" xfId="0" applyNumberFormat="1" applyFont="1"/>
    <xf numFmtId="10" fontId="1" fillId="0" borderId="0" xfId="0" applyNumberFormat="1" applyFont="1"/>
    <xf numFmtId="3" fontId="14" fillId="0" borderId="0" xfId="0" applyNumberFormat="1" applyFont="1" applyFill="1"/>
    <xf numFmtId="0" fontId="13" fillId="0" borderId="0" xfId="0" quotePrefix="1" applyFont="1" applyFill="1" applyAlignment="1">
      <alignment horizontal="center"/>
    </xf>
    <xf numFmtId="0" fontId="13" fillId="0" borderId="0" xfId="0" quotePrefix="1" applyFont="1" applyFill="1" applyAlignment="1">
      <alignment horizontal="center" vertical="top"/>
    </xf>
    <xf numFmtId="10" fontId="1" fillId="0" borderId="1" xfId="0" applyNumberFormat="1" applyFont="1" applyFill="1" applyBorder="1" applyAlignment="1">
      <alignment horizontal="right"/>
    </xf>
    <xf numFmtId="0" fontId="1" fillId="0" borderId="5" xfId="0" applyFont="1" applyBorder="1"/>
    <xf numFmtId="10" fontId="10" fillId="0" borderId="0" xfId="0" applyNumberFormat="1" applyFont="1" applyFill="1"/>
    <xf numFmtId="10" fontId="10" fillId="0" borderId="2" xfId="0" applyNumberFormat="1" applyFont="1" applyFill="1" applyBorder="1"/>
    <xf numFmtId="168" fontId="1" fillId="0" borderId="0" xfId="0" applyNumberFormat="1" applyFont="1" applyBorder="1"/>
    <xf numFmtId="164" fontId="5" fillId="0" borderId="0" xfId="0" applyNumberFormat="1" applyFont="1" applyBorder="1"/>
    <xf numFmtId="0" fontId="10" fillId="0" borderId="0" xfId="0" applyFont="1" applyAlignment="1"/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42" fontId="19" fillId="0" borderId="0" xfId="0" applyNumberFormat="1" applyFont="1"/>
    <xf numFmtId="168" fontId="0" fillId="0" borderId="0" xfId="0" applyNumberFormat="1"/>
    <xf numFmtId="42" fontId="0" fillId="0" borderId="0" xfId="0" applyNumberFormat="1"/>
    <xf numFmtId="42" fontId="16" fillId="0" borderId="0" xfId="0" applyNumberFormat="1" applyFont="1"/>
    <xf numFmtId="10" fontId="0" fillId="0" borderId="0" xfId="0" applyNumberFormat="1" applyFont="1"/>
    <xf numFmtId="42" fontId="17" fillId="0" borderId="0" xfId="0" applyNumberFormat="1" applyFont="1"/>
    <xf numFmtId="168" fontId="0" fillId="0" borderId="2" xfId="0" applyNumberFormat="1" applyBorder="1"/>
    <xf numFmtId="3" fontId="0" fillId="0" borderId="1" xfId="0" applyNumberFormat="1" applyBorder="1"/>
    <xf numFmtId="42" fontId="0" fillId="0" borderId="1" xfId="0" applyNumberFormat="1" applyBorder="1"/>
    <xf numFmtId="42" fontId="16" fillId="0" borderId="1" xfId="0" applyNumberFormat="1" applyFont="1" applyBorder="1"/>
    <xf numFmtId="10" fontId="0" fillId="0" borderId="1" xfId="0" applyNumberFormat="1" applyFont="1" applyBorder="1"/>
    <xf numFmtId="0" fontId="20" fillId="0" borderId="0" xfId="0" applyFont="1" applyBorder="1" applyAlignment="1">
      <alignment horizontal="left"/>
    </xf>
    <xf numFmtId="3" fontId="20" fillId="0" borderId="0" xfId="0" applyNumberFormat="1" applyFont="1" applyFill="1" applyBorder="1"/>
    <xf numFmtId="42" fontId="20" fillId="0" borderId="0" xfId="0" applyNumberFormat="1" applyFont="1" applyFill="1" applyBorder="1"/>
    <xf numFmtId="167" fontId="20" fillId="0" borderId="0" xfId="0" applyNumberFormat="1" applyFont="1" applyFill="1" applyBorder="1"/>
    <xf numFmtId="167" fontId="20" fillId="0" borderId="0" xfId="0" applyNumberFormat="1" applyFont="1" applyFill="1"/>
    <xf numFmtId="167" fontId="21" fillId="0" borderId="0" xfId="0" applyNumberFormat="1" applyFont="1"/>
    <xf numFmtId="165" fontId="20" fillId="0" borderId="0" xfId="0" applyNumberFormat="1" applyFont="1"/>
    <xf numFmtId="10" fontId="20" fillId="0" borderId="0" xfId="0" applyNumberFormat="1" applyFont="1"/>
    <xf numFmtId="0" fontId="20" fillId="0" borderId="0" xfId="0" applyFont="1"/>
    <xf numFmtId="175" fontId="20" fillId="0" borderId="0" xfId="0" applyNumberFormat="1" applyFont="1" applyFill="1" applyBorder="1"/>
    <xf numFmtId="37" fontId="20" fillId="0" borderId="0" xfId="0" applyNumberFormat="1" applyFont="1"/>
    <xf numFmtId="37" fontId="20" fillId="0" borderId="0" xfId="0" applyNumberFormat="1" applyFont="1" applyFill="1"/>
    <xf numFmtId="0" fontId="20" fillId="0" borderId="0" xfId="0" applyFont="1" applyAlignment="1">
      <alignment horizontal="left"/>
    </xf>
    <xf numFmtId="3" fontId="20" fillId="0" borderId="0" xfId="0" applyNumberFormat="1" applyFont="1" applyBorder="1"/>
    <xf numFmtId="42" fontId="20" fillId="0" borderId="1" xfId="0" applyNumberFormat="1" applyFont="1" applyFill="1" applyBorder="1"/>
    <xf numFmtId="0" fontId="20" fillId="0" borderId="0" xfId="0" applyFont="1" applyFill="1"/>
    <xf numFmtId="3" fontId="0" fillId="0" borderId="0" xfId="0" applyNumberFormat="1"/>
    <xf numFmtId="10" fontId="0" fillId="0" borderId="0" xfId="0" applyNumberFormat="1"/>
    <xf numFmtId="0" fontId="23" fillId="0" borderId="0" xfId="0" applyFont="1" applyAlignment="1">
      <alignment horizontal="left"/>
    </xf>
    <xf numFmtId="42" fontId="20" fillId="0" borderId="0" xfId="0" applyNumberFormat="1" applyFont="1" applyBorder="1"/>
    <xf numFmtId="42" fontId="20" fillId="0" borderId="0" xfId="0" applyNumberFormat="1" applyFont="1"/>
    <xf numFmtId="166" fontId="20" fillId="0" borderId="0" xfId="0" applyNumberFormat="1" applyFont="1" applyFill="1"/>
    <xf numFmtId="164" fontId="20" fillId="0" borderId="0" xfId="0" applyNumberFormat="1" applyFont="1" applyFill="1"/>
    <xf numFmtId="0" fontId="20" fillId="0" borderId="0" xfId="0" applyFont="1" applyFill="1" applyBorder="1" applyAlignment="1">
      <alignment horizontal="left" vertical="center" textRotation="180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0" fillId="0" borderId="0" xfId="0" applyFont="1" applyBorder="1"/>
    <xf numFmtId="164" fontId="20" fillId="0" borderId="0" xfId="0" applyNumberFormat="1" applyFont="1" applyFill="1" applyBorder="1"/>
    <xf numFmtId="0" fontId="20" fillId="0" borderId="1" xfId="0" applyFont="1" applyBorder="1" applyAlignment="1">
      <alignment horizontal="left"/>
    </xf>
    <xf numFmtId="166" fontId="20" fillId="0" borderId="1" xfId="0" applyNumberFormat="1" applyFont="1" applyFill="1" applyBorder="1"/>
    <xf numFmtId="164" fontId="20" fillId="0" borderId="1" xfId="0" applyNumberFormat="1" applyFont="1" applyFill="1" applyBorder="1"/>
    <xf numFmtId="44" fontId="20" fillId="0" borderId="0" xfId="0" applyNumberFormat="1" applyFont="1"/>
    <xf numFmtId="164" fontId="0" fillId="0" borderId="0" xfId="0" applyNumberFormat="1"/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Border="1"/>
    <xf numFmtId="0" fontId="16" fillId="0" borderId="2" xfId="0" applyFont="1" applyBorder="1" applyAlignment="1">
      <alignment horizontal="centerContinuous"/>
    </xf>
    <xf numFmtId="0" fontId="16" fillId="0" borderId="0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4" fillId="0" borderId="0" xfId="0" applyFont="1"/>
    <xf numFmtId="177" fontId="16" fillId="0" borderId="0" xfId="0" applyNumberFormat="1" applyFont="1"/>
    <xf numFmtId="0" fontId="24" fillId="0" borderId="0" xfId="0" applyFont="1" applyBorder="1"/>
    <xf numFmtId="44" fontId="24" fillId="0" borderId="0" xfId="0" applyNumberFormat="1" applyFont="1"/>
    <xf numFmtId="44" fontId="24" fillId="0" borderId="0" xfId="0" applyNumberFormat="1" applyFont="1" applyBorder="1"/>
    <xf numFmtId="44" fontId="16" fillId="0" borderId="0" xfId="0" applyNumberFormat="1" applyFont="1"/>
    <xf numFmtId="167" fontId="24" fillId="0" borderId="0" xfId="0" applyNumberFormat="1" applyFont="1" applyBorder="1"/>
    <xf numFmtId="167" fontId="16" fillId="0" borderId="0" xfId="0" applyNumberFormat="1" applyFont="1"/>
    <xf numFmtId="167" fontId="19" fillId="0" borderId="0" xfId="0" applyNumberFormat="1" applyFont="1"/>
    <xf numFmtId="167" fontId="0" fillId="0" borderId="0" xfId="0" applyNumberFormat="1" applyFont="1"/>
    <xf numFmtId="167" fontId="16" fillId="0" borderId="1" xfId="0" applyNumberFormat="1" applyFont="1" applyBorder="1"/>
    <xf numFmtId="167" fontId="0" fillId="0" borderId="0" xfId="0" applyNumberFormat="1" applyFont="1" applyFill="1"/>
    <xf numFmtId="167" fontId="1" fillId="0" borderId="0" xfId="0" applyNumberFormat="1" applyFont="1"/>
    <xf numFmtId="177" fontId="16" fillId="0" borderId="1" xfId="0" applyNumberFormat="1" applyFont="1" applyBorder="1"/>
    <xf numFmtId="167" fontId="16" fillId="0" borderId="0" xfId="0" applyNumberFormat="1" applyFont="1" applyBorder="1"/>
    <xf numFmtId="44" fontId="16" fillId="0" borderId="0" xfId="0" applyNumberFormat="1" applyFont="1" applyBorder="1"/>
    <xf numFmtId="165" fontId="16" fillId="0" borderId="0" xfId="0" applyNumberFormat="1" applyFont="1"/>
    <xf numFmtId="165" fontId="16" fillId="0" borderId="0" xfId="0" applyNumberFormat="1" applyFont="1" applyBorder="1"/>
    <xf numFmtId="10" fontId="16" fillId="0" borderId="0" xfId="0" applyNumberFormat="1" applyFont="1"/>
    <xf numFmtId="0" fontId="16" fillId="0" borderId="0" xfId="0" applyFont="1" applyFill="1" applyAlignment="1"/>
    <xf numFmtId="0" fontId="16" fillId="0" borderId="0" xfId="0" applyFont="1" applyAlignment="1"/>
    <xf numFmtId="0" fontId="1" fillId="0" borderId="0" xfId="0" applyFont="1" applyAlignment="1">
      <alignment horizontal="centerContinuous"/>
    </xf>
    <xf numFmtId="168" fontId="17" fillId="0" borderId="0" xfId="0" applyNumberFormat="1" applyFont="1"/>
    <xf numFmtId="164" fontId="0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Fill="1"/>
    <xf numFmtId="164" fontId="10" fillId="0" borderId="0" xfId="0" applyNumberFormat="1" applyFont="1"/>
    <xf numFmtId="164" fontId="9" fillId="0" borderId="0" xfId="0" applyNumberFormat="1" applyFont="1"/>
    <xf numFmtId="8" fontId="1" fillId="0" borderId="0" xfId="0" applyNumberFormat="1" applyFont="1"/>
    <xf numFmtId="3" fontId="1" fillId="0" borderId="2" xfId="0" applyNumberFormat="1" applyFont="1" applyBorder="1"/>
    <xf numFmtId="168" fontId="17" fillId="0" borderId="2" xfId="0" applyNumberFormat="1" applyFont="1" applyFill="1" applyBorder="1"/>
    <xf numFmtId="164" fontId="0" fillId="0" borderId="2" xfId="0" applyNumberFormat="1" applyFont="1" applyBorder="1"/>
    <xf numFmtId="164" fontId="0" fillId="0" borderId="0" xfId="0" applyNumberFormat="1" applyFont="1" applyBorder="1"/>
    <xf numFmtId="0" fontId="1" fillId="0" borderId="0" xfId="0" applyFont="1" applyBorder="1"/>
    <xf numFmtId="3" fontId="1" fillId="0" borderId="1" xfId="0" applyNumberFormat="1" applyFont="1" applyBorder="1"/>
    <xf numFmtId="42" fontId="1" fillId="0" borderId="1" xfId="0" applyNumberFormat="1" applyFont="1" applyBorder="1"/>
    <xf numFmtId="164" fontId="1" fillId="0" borderId="0" xfId="0" applyNumberFormat="1" applyFont="1" applyBorder="1"/>
    <xf numFmtId="0" fontId="1" fillId="0" borderId="0" xfId="0" quotePrefix="1" applyFont="1" applyAlignment="1">
      <alignment vertical="top"/>
    </xf>
    <xf numFmtId="0" fontId="6" fillId="0" borderId="0" xfId="0" applyFont="1"/>
    <xf numFmtId="41" fontId="1" fillId="0" borderId="0" xfId="0" quotePrefix="1" applyNumberFormat="1" applyFont="1" applyAlignment="1">
      <alignment horizontal="right"/>
    </xf>
    <xf numFmtId="3" fontId="1" fillId="0" borderId="0" xfId="0" applyNumberFormat="1" applyFont="1" applyFill="1" applyBorder="1"/>
    <xf numFmtId="3" fontId="17" fillId="0" borderId="0" xfId="0" applyNumberFormat="1" applyFont="1"/>
    <xf numFmtId="165" fontId="10" fillId="0" borderId="0" xfId="0" applyNumberFormat="1" applyFont="1"/>
    <xf numFmtId="168" fontId="10" fillId="0" borderId="0" xfId="0" applyNumberFormat="1" applyFont="1"/>
    <xf numFmtId="166" fontId="10" fillId="0" borderId="0" xfId="0" applyNumberFormat="1" applyFont="1"/>
    <xf numFmtId="164" fontId="10" fillId="0" borderId="0" xfId="0" applyNumberFormat="1" applyFont="1" applyBorder="1"/>
    <xf numFmtId="169" fontId="10" fillId="0" borderId="0" xfId="0" applyNumberFormat="1" applyFont="1"/>
    <xf numFmtId="165" fontId="10" fillId="0" borderId="2" xfId="0" applyNumberFormat="1" applyFont="1" applyBorder="1"/>
    <xf numFmtId="164" fontId="10" fillId="0" borderId="2" xfId="0" applyNumberFormat="1" applyFont="1" applyBorder="1"/>
    <xf numFmtId="168" fontId="10" fillId="0" borderId="2" xfId="0" applyNumberFormat="1" applyFont="1" applyFill="1" applyBorder="1"/>
    <xf numFmtId="0" fontId="16" fillId="0" borderId="0" xfId="0" applyFont="1" applyAlignment="1">
      <alignment horizontal="center"/>
    </xf>
    <xf numFmtId="168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41" fontId="1" fillId="0" borderId="0" xfId="0" applyNumberFormat="1" applyFont="1" applyFill="1" applyBorder="1"/>
    <xf numFmtId="44" fontId="1" fillId="0" borderId="0" xfId="0" applyNumberFormat="1" applyFont="1" applyFill="1"/>
    <xf numFmtId="164" fontId="1" fillId="0" borderId="0" xfId="0" applyNumberFormat="1" applyFont="1"/>
    <xf numFmtId="44" fontId="1" fillId="0" borderId="0" xfId="0" applyNumberFormat="1" applyFont="1"/>
    <xf numFmtId="0" fontId="16" fillId="0" borderId="0" xfId="0" applyFont="1" applyAlignment="1"/>
    <xf numFmtId="182" fontId="16" fillId="0" borderId="0" xfId="0" applyNumberFormat="1" applyFont="1" applyAlignment="1"/>
    <xf numFmtId="0" fontId="16" fillId="0" borderId="0" xfId="0" applyFont="1"/>
    <xf numFmtId="0" fontId="0" fillId="0" borderId="0" xfId="0" applyFont="1"/>
    <xf numFmtId="0" fontId="16" fillId="0" borderId="0" xfId="0" applyFont="1" applyBorder="1" applyAlignment="1"/>
    <xf numFmtId="0" fontId="30" fillId="0" borderId="0" xfId="0" applyFont="1" applyAlignment="1"/>
    <xf numFmtId="182" fontId="30" fillId="0" borderId="0" xfId="0" applyNumberFormat="1" applyFont="1" applyAlignment="1"/>
    <xf numFmtId="0" fontId="30" fillId="0" borderId="0" xfId="0" applyFont="1"/>
    <xf numFmtId="0" fontId="30" fillId="0" borderId="0" xfId="0" applyFont="1" applyBorder="1" applyAlignment="1">
      <alignment horizontal="centerContinuous"/>
    </xf>
    <xf numFmtId="0" fontId="30" fillId="0" borderId="0" xfId="0" applyFont="1" applyAlignment="1">
      <alignment horizontal="centerContinuous"/>
    </xf>
    <xf numFmtId="180" fontId="30" fillId="0" borderId="0" xfId="0" applyNumberFormat="1" applyFont="1" applyAlignment="1">
      <alignment horizontal="centerContinuous"/>
    </xf>
    <xf numFmtId="0" fontId="16" fillId="0" borderId="0" xfId="0" applyFont="1" applyFill="1" applyBorder="1" applyAlignment="1">
      <alignment horizontal="center"/>
    </xf>
    <xf numFmtId="183" fontId="16" fillId="0" borderId="2" xfId="0" applyNumberFormat="1" applyFont="1" applyBorder="1" applyAlignment="1">
      <alignment horizontal="centerContinuous"/>
    </xf>
    <xf numFmtId="183" fontId="16" fillId="0" borderId="0" xfId="0" applyNumberFormat="1" applyFont="1" applyBorder="1" applyAlignment="1"/>
    <xf numFmtId="0" fontId="16" fillId="0" borderId="2" xfId="0" applyFont="1" applyBorder="1"/>
    <xf numFmtId="0" fontId="16" fillId="0" borderId="2" xfId="0" applyFont="1" applyFill="1" applyBorder="1" applyAlignment="1">
      <alignment horizontal="center"/>
    </xf>
    <xf numFmtId="183" fontId="16" fillId="0" borderId="2" xfId="0" applyNumberFormat="1" applyFont="1" applyBorder="1" applyAlignment="1">
      <alignment horizontal="center"/>
    </xf>
    <xf numFmtId="181" fontId="16" fillId="0" borderId="0" xfId="0" applyNumberFormat="1" applyFont="1" applyBorder="1" applyAlignment="1"/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/>
    <xf numFmtId="0" fontId="16" fillId="0" borderId="0" xfId="0" applyFont="1" applyBorder="1" applyAlignment="1"/>
    <xf numFmtId="0" fontId="30" fillId="0" borderId="0" xfId="0" applyFont="1" applyBorder="1" applyProtection="1">
      <protection locked="0"/>
    </xf>
    <xf numFmtId="0" fontId="16" fillId="0" borderId="0" xfId="0" applyFont="1" applyFill="1" applyBorder="1"/>
    <xf numFmtId="180" fontId="16" fillId="0" borderId="0" xfId="0" applyNumberFormat="1" applyFont="1" applyBorder="1"/>
    <xf numFmtId="180" fontId="16" fillId="0" borderId="0" xfId="0" applyNumberFormat="1" applyFont="1" applyBorder="1" applyAlignment="1"/>
    <xf numFmtId="0" fontId="16" fillId="0" borderId="0" xfId="0" applyFont="1" applyFill="1" applyBorder="1" applyProtection="1">
      <protection locked="0"/>
    </xf>
    <xf numFmtId="3" fontId="19" fillId="0" borderId="0" xfId="0" applyNumberFormat="1" applyFont="1" applyFill="1" applyBorder="1"/>
    <xf numFmtId="183" fontId="17" fillId="0" borderId="0" xfId="0" applyNumberFormat="1" applyFont="1" applyFill="1" applyBorder="1"/>
    <xf numFmtId="183" fontId="16" fillId="0" borderId="0" xfId="0" applyNumberFormat="1" applyFont="1" applyFill="1" applyBorder="1"/>
    <xf numFmtId="180" fontId="16" fillId="0" borderId="0" xfId="0" applyNumberFormat="1" applyFont="1" applyAlignment="1"/>
    <xf numFmtId="165" fontId="16" fillId="0" borderId="0" xfId="0" applyNumberFormat="1" applyFont="1" applyAlignment="1"/>
    <xf numFmtId="7" fontId="16" fillId="0" borderId="0" xfId="0" applyNumberFormat="1" applyFont="1" applyAlignment="1"/>
    <xf numFmtId="0" fontId="16" fillId="0" borderId="6" xfId="0" applyFont="1" applyBorder="1" applyAlignment="1">
      <alignment horizontal="center"/>
    </xf>
    <xf numFmtId="184" fontId="17" fillId="0" borderId="0" xfId="0" applyNumberFormat="1" applyFont="1" applyFill="1" applyBorder="1"/>
    <xf numFmtId="184" fontId="16" fillId="0" borderId="0" xfId="0" applyNumberFormat="1" applyFont="1" applyFill="1" applyBorder="1"/>
    <xf numFmtId="185" fontId="16" fillId="0" borderId="0" xfId="0" applyNumberFormat="1" applyFont="1" applyAlignment="1"/>
    <xf numFmtId="42" fontId="19" fillId="0" borderId="29" xfId="0" applyNumberFormat="1" applyFont="1" applyBorder="1" applyAlignment="1"/>
    <xf numFmtId="0" fontId="16" fillId="0" borderId="0" xfId="0" applyFont="1" applyBorder="1" applyProtection="1">
      <protection locked="0"/>
    </xf>
    <xf numFmtId="3" fontId="16" fillId="0" borderId="0" xfId="0" applyNumberFormat="1" applyFont="1" applyFill="1" applyBorder="1"/>
    <xf numFmtId="180" fontId="16" fillId="0" borderId="1" xfId="0" applyNumberFormat="1" applyFont="1" applyBorder="1"/>
    <xf numFmtId="0" fontId="16" fillId="0" borderId="10" xfId="0" applyFont="1" applyBorder="1" applyAlignment="1">
      <alignment horizontal="center"/>
    </xf>
    <xf numFmtId="3" fontId="24" fillId="0" borderId="0" xfId="0" applyNumberFormat="1" applyFont="1" applyFill="1" applyBorder="1"/>
    <xf numFmtId="181" fontId="16" fillId="0" borderId="0" xfId="0" applyNumberFormat="1" applyFont="1" applyBorder="1"/>
    <xf numFmtId="180" fontId="16" fillId="0" borderId="29" xfId="0" applyNumberFormat="1" applyFont="1" applyBorder="1"/>
    <xf numFmtId="0" fontId="30" fillId="0" borderId="0" xfId="0" applyFont="1" applyFill="1" applyBorder="1" applyProtection="1">
      <protection locked="0"/>
    </xf>
    <xf numFmtId="0" fontId="16" fillId="0" borderId="0" xfId="0" applyFont="1" applyFill="1"/>
    <xf numFmtId="180" fontId="16" fillId="0" borderId="0" xfId="0" applyNumberFormat="1" applyFont="1" applyFill="1" applyBorder="1"/>
    <xf numFmtId="180" fontId="16" fillId="0" borderId="0" xfId="0" applyNumberFormat="1" applyFont="1" applyFill="1" applyBorder="1" applyAlignment="1">
      <alignment horizontal="right"/>
    </xf>
    <xf numFmtId="181" fontId="17" fillId="0" borderId="10" xfId="0" applyNumberFormat="1" applyFont="1" applyBorder="1"/>
    <xf numFmtId="180" fontId="16" fillId="0" borderId="2" xfId="0" applyNumberFormat="1" applyFont="1" applyBorder="1" applyAlignment="1"/>
    <xf numFmtId="0" fontId="30" fillId="0" borderId="0" xfId="0" applyFont="1" applyFill="1" applyBorder="1"/>
    <xf numFmtId="3" fontId="16" fillId="0" borderId="0" xfId="0" applyNumberFormat="1" applyFont="1" applyFill="1" applyBorder="1" applyAlignment="1" applyProtection="1">
      <alignment horizontal="left"/>
      <protection locked="0"/>
    </xf>
    <xf numFmtId="186" fontId="16" fillId="0" borderId="0" xfId="0" applyNumberFormat="1" applyFont="1" applyBorder="1" applyAlignment="1">
      <alignment horizontal="right"/>
    </xf>
    <xf numFmtId="0" fontId="31" fillId="0" borderId="0" xfId="0" applyFont="1" applyBorder="1"/>
    <xf numFmtId="0" fontId="30" fillId="0" borderId="0" xfId="0" applyFont="1" applyBorder="1" applyProtection="1">
      <protection locked="0"/>
    </xf>
    <xf numFmtId="0" fontId="16" fillId="0" borderId="0" xfId="0" applyFont="1"/>
    <xf numFmtId="0" fontId="16" fillId="0" borderId="0" xfId="0" applyFont="1" applyBorder="1" applyProtection="1">
      <protection locked="0"/>
    </xf>
    <xf numFmtId="0" fontId="16" fillId="0" borderId="0" xfId="0" applyFont="1" applyFill="1" applyBorder="1"/>
    <xf numFmtId="0" fontId="31" fillId="0" borderId="0" xfId="0" applyFont="1" applyFill="1" applyBorder="1"/>
    <xf numFmtId="180" fontId="16" fillId="0" borderId="0" xfId="0" applyNumberFormat="1" applyFont="1" applyBorder="1"/>
    <xf numFmtId="165" fontId="16" fillId="0" borderId="0" xfId="0" applyNumberFormat="1" applyFont="1" applyBorder="1" applyAlignment="1">
      <alignment horizontal="left"/>
    </xf>
    <xf numFmtId="0" fontId="16" fillId="0" borderId="0" xfId="0" applyFont="1" applyFill="1" applyBorder="1" applyProtection="1">
      <protection locked="0"/>
    </xf>
    <xf numFmtId="3" fontId="19" fillId="0" borderId="0" xfId="0" applyNumberFormat="1" applyFont="1" applyFill="1" applyBorder="1"/>
    <xf numFmtId="180" fontId="16" fillId="0" borderId="0" xfId="0" applyNumberFormat="1" applyFont="1" applyFill="1" applyBorder="1"/>
    <xf numFmtId="0" fontId="16" fillId="0" borderId="0" xfId="0" applyFont="1" applyBorder="1"/>
    <xf numFmtId="184" fontId="17" fillId="0" borderId="0" xfId="0" applyNumberFormat="1" applyFont="1" applyFill="1" applyBorder="1"/>
    <xf numFmtId="3" fontId="16" fillId="0" borderId="0" xfId="0" applyNumberFormat="1" applyFont="1" applyFill="1" applyBorder="1"/>
    <xf numFmtId="3" fontId="31" fillId="0" borderId="0" xfId="0" applyNumberFormat="1" applyFont="1" applyFill="1" applyBorder="1"/>
    <xf numFmtId="180" fontId="16" fillId="0" borderId="1" xfId="0" applyNumberFormat="1" applyFont="1" applyFill="1" applyBorder="1"/>
    <xf numFmtId="0" fontId="30" fillId="0" borderId="0" xfId="0" applyFont="1" applyFill="1" applyBorder="1" applyProtection="1">
      <protection locked="0"/>
    </xf>
    <xf numFmtId="9" fontId="16" fillId="0" borderId="0" xfId="0" applyNumberFormat="1" applyFont="1" applyFill="1" applyBorder="1"/>
    <xf numFmtId="180" fontId="16" fillId="0" borderId="0" xfId="0" applyNumberFormat="1" applyFont="1" applyBorder="1" applyAlignment="1">
      <alignment horizontal="right"/>
    </xf>
    <xf numFmtId="3" fontId="24" fillId="0" borderId="0" xfId="0" applyNumberFormat="1" applyFont="1" applyFill="1" applyBorder="1"/>
    <xf numFmtId="183" fontId="17" fillId="0" borderId="0" xfId="0" applyNumberFormat="1" applyFont="1" applyFill="1" applyBorder="1"/>
    <xf numFmtId="183" fontId="16" fillId="0" borderId="0" xfId="0" applyNumberFormat="1" applyFont="1" applyFill="1" applyBorder="1"/>
    <xf numFmtId="180" fontId="16" fillId="0" borderId="1" xfId="0" applyNumberFormat="1" applyFont="1" applyBorder="1"/>
    <xf numFmtId="183" fontId="26" fillId="0" borderId="0" xfId="0" applyNumberFormat="1" applyFont="1" applyFill="1" applyBorder="1"/>
    <xf numFmtId="184" fontId="16" fillId="0" borderId="0" xfId="0" applyNumberFormat="1" applyFont="1" applyFill="1" applyBorder="1"/>
    <xf numFmtId="184" fontId="26" fillId="0" borderId="0" xfId="0" applyNumberFormat="1" applyFont="1" applyFill="1" applyBorder="1"/>
    <xf numFmtId="3" fontId="26" fillId="0" borderId="1" xfId="0" applyNumberFormat="1" applyFont="1" applyFill="1" applyBorder="1"/>
    <xf numFmtId="3" fontId="17" fillId="0" borderId="0" xfId="0" applyNumberFormat="1" applyFont="1" applyFill="1" applyBorder="1"/>
    <xf numFmtId="3" fontId="0" fillId="0" borderId="0" xfId="0" applyNumberFormat="1" applyFont="1" applyFill="1" applyBorder="1"/>
    <xf numFmtId="168" fontId="17" fillId="0" borderId="0" xfId="0" applyNumberFormat="1" applyFont="1" applyFill="1" applyBorder="1"/>
    <xf numFmtId="180" fontId="16" fillId="0" borderId="1" xfId="0" applyNumberFormat="1" applyFont="1" applyBorder="1" applyAlignment="1">
      <alignment horizontal="right"/>
    </xf>
    <xf numFmtId="0" fontId="16" fillId="0" borderId="0" xfId="0" applyFont="1" applyFill="1"/>
    <xf numFmtId="165" fontId="16" fillId="0" borderId="0" xfId="0" applyNumberFormat="1" applyFont="1" applyFill="1" applyBorder="1" applyAlignment="1">
      <alignment horizontal="left"/>
    </xf>
    <xf numFmtId="184" fontId="27" fillId="0" borderId="0" xfId="0" applyNumberFormat="1" applyFont="1" applyFill="1" applyBorder="1"/>
    <xf numFmtId="3" fontId="16" fillId="0" borderId="1" xfId="0" applyNumberFormat="1" applyFont="1" applyFill="1" applyBorder="1"/>
    <xf numFmtId="183" fontId="16" fillId="0" borderId="0" xfId="0" applyNumberFormat="1" applyFont="1" applyBorder="1" applyAlignment="1">
      <alignment horizontal="right"/>
    </xf>
    <xf numFmtId="181" fontId="16" fillId="0" borderId="0" xfId="0" applyNumberFormat="1" applyFont="1" applyBorder="1" applyAlignment="1">
      <alignment horizontal="left"/>
    </xf>
    <xf numFmtId="180" fontId="19" fillId="0" borderId="0" xfId="0" applyNumberFormat="1" applyFont="1" applyBorder="1"/>
    <xf numFmtId="0" fontId="16" fillId="0" borderId="2" xfId="0" applyFont="1" applyBorder="1"/>
    <xf numFmtId="180" fontId="19" fillId="0" borderId="0" xfId="0" applyNumberFormat="1" applyFont="1" applyBorder="1" applyAlignment="1">
      <alignment horizontal="right"/>
    </xf>
    <xf numFmtId="184" fontId="24" fillId="0" borderId="0" xfId="0" applyNumberFormat="1" applyFont="1" applyFill="1" applyBorder="1"/>
    <xf numFmtId="180" fontId="16" fillId="0" borderId="0" xfId="0" applyNumberFormat="1" applyFont="1" applyFill="1" applyBorder="1" applyAlignment="1">
      <alignment horizontal="right"/>
    </xf>
    <xf numFmtId="166" fontId="16" fillId="0" borderId="0" xfId="0" applyNumberFormat="1" applyFont="1"/>
    <xf numFmtId="180" fontId="16" fillId="0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ont="1" applyFill="1" applyBorder="1"/>
    <xf numFmtId="166" fontId="19" fillId="0" borderId="0" xfId="0" applyNumberFormat="1" applyFont="1" applyFill="1" applyBorder="1"/>
    <xf numFmtId="183" fontId="17" fillId="0" borderId="0" xfId="0" applyNumberFormat="1" applyFont="1" applyBorder="1" applyAlignment="1">
      <alignment horizontal="right"/>
    </xf>
    <xf numFmtId="183" fontId="16" fillId="0" borderId="0" xfId="0" applyNumberFormat="1" applyFont="1" applyFill="1" applyBorder="1" applyAlignment="1">
      <alignment horizontal="right"/>
    </xf>
    <xf numFmtId="166" fontId="24" fillId="0" borderId="0" xfId="0" applyNumberFormat="1" applyFont="1" applyFill="1" applyBorder="1"/>
    <xf numFmtId="166" fontId="0" fillId="0" borderId="0" xfId="0" applyNumberFormat="1" applyFont="1"/>
    <xf numFmtId="180" fontId="0" fillId="0" borderId="1" xfId="0" applyNumberFormat="1" applyFont="1" applyBorder="1"/>
    <xf numFmtId="0" fontId="30" fillId="0" borderId="0" xfId="0" applyFont="1" applyFill="1"/>
    <xf numFmtId="180" fontId="19" fillId="0" borderId="0" xfId="0" applyNumberFormat="1" applyFont="1" applyBorder="1"/>
    <xf numFmtId="180" fontId="0" fillId="0" borderId="0" xfId="0" applyNumberFormat="1" applyFont="1"/>
    <xf numFmtId="3" fontId="0" fillId="0" borderId="0" xfId="0" applyNumberFormat="1" applyFont="1" applyBorder="1"/>
    <xf numFmtId="180" fontId="0" fillId="0" borderId="0" xfId="0" applyNumberFormat="1" applyFont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165" fontId="16" fillId="0" borderId="2" xfId="0" applyNumberFormat="1" applyFont="1" applyBorder="1" applyAlignment="1"/>
    <xf numFmtId="0" fontId="0" fillId="0" borderId="1" xfId="0" applyFont="1" applyBorder="1"/>
    <xf numFmtId="3" fontId="0" fillId="0" borderId="1" xfId="0" applyNumberFormat="1" applyFont="1" applyBorder="1"/>
    <xf numFmtId="0" fontId="16" fillId="0" borderId="1" xfId="0" applyFont="1" applyBorder="1"/>
    <xf numFmtId="0" fontId="28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30" xfId="0" applyBorder="1"/>
    <xf numFmtId="0" fontId="0" fillId="0" borderId="31" xfId="0" applyFont="1" applyBorder="1"/>
    <xf numFmtId="3" fontId="0" fillId="0" borderId="31" xfId="0" applyNumberFormat="1" applyFont="1" applyBorder="1"/>
    <xf numFmtId="37" fontId="0" fillId="0" borderId="31" xfId="0" applyNumberFormat="1" applyFont="1" applyBorder="1"/>
    <xf numFmtId="37" fontId="0" fillId="0" borderId="32" xfId="0" applyNumberFormat="1" applyFont="1" applyBorder="1"/>
    <xf numFmtId="37" fontId="0" fillId="0" borderId="0" xfId="0" applyNumberFormat="1" applyFont="1" applyBorder="1"/>
    <xf numFmtId="3" fontId="25" fillId="0" borderId="0" xfId="0" applyNumberFormat="1" applyFont="1"/>
    <xf numFmtId="42" fontId="25" fillId="0" borderId="0" xfId="0" applyNumberFormat="1" applyFont="1" applyFill="1"/>
    <xf numFmtId="3" fontId="25" fillId="0" borderId="0" xfId="0" applyNumberFormat="1" applyFont="1" applyFill="1"/>
    <xf numFmtId="0" fontId="25" fillId="0" borderId="0" xfId="0" applyFont="1" applyFill="1"/>
    <xf numFmtId="42" fontId="25" fillId="0" borderId="0" xfId="0" applyNumberFormat="1" applyFont="1" applyFill="1" applyBorder="1"/>
    <xf numFmtId="177" fontId="16" fillId="0" borderId="0" xfId="0" applyNumberFormat="1" applyFont="1" applyBorder="1"/>
    <xf numFmtId="44" fontId="16" fillId="0" borderId="1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2" fontId="19" fillId="0" borderId="0" xfId="0" applyNumberFormat="1" applyFont="1" applyAlignment="1">
      <alignment horizontal="left"/>
    </xf>
    <xf numFmtId="168" fontId="0" fillId="0" borderId="0" xfId="0" applyNumberFormat="1" applyBorder="1"/>
    <xf numFmtId="0" fontId="0" fillId="0" borderId="0" xfId="0" applyBorder="1"/>
    <xf numFmtId="42" fontId="0" fillId="0" borderId="0" xfId="0" applyNumberFormat="1" applyBorder="1"/>
    <xf numFmtId="167" fontId="33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42" fontId="32" fillId="0" borderId="1" xfId="0" applyNumberFormat="1" applyFont="1" applyBorder="1" applyAlignment="1">
      <alignment horizontal="left"/>
    </xf>
    <xf numFmtId="10" fontId="20" fillId="0" borderId="0" xfId="0" applyNumberFormat="1" applyFont="1" applyBorder="1"/>
    <xf numFmtId="42" fontId="20" fillId="0" borderId="1" xfId="0" applyNumberFormat="1" applyFont="1" applyBorder="1" applyAlignment="1">
      <alignment horizontal="left"/>
    </xf>
    <xf numFmtId="42" fontId="0" fillId="0" borderId="0" xfId="0" applyNumberFormat="1" applyFont="1"/>
    <xf numFmtId="42" fontId="33" fillId="0" borderId="0" xfId="0" applyNumberFormat="1" applyFont="1" applyBorder="1"/>
    <xf numFmtId="168" fontId="20" fillId="0" borderId="0" xfId="0" applyNumberFormat="1" applyFont="1" applyFill="1"/>
    <xf numFmtId="164" fontId="20" fillId="0" borderId="1" xfId="0" applyNumberFormat="1" applyFont="1" applyBorder="1" applyAlignment="1">
      <alignment horizontal="left"/>
    </xf>
    <xf numFmtId="164" fontId="33" fillId="0" borderId="0" xfId="0" applyNumberFormat="1" applyFont="1" applyFill="1"/>
    <xf numFmtId="42" fontId="20" fillId="0" borderId="0" xfId="0" applyNumberFormat="1" applyFont="1" applyBorder="1" applyAlignment="1">
      <alignment horizontal="left"/>
    </xf>
    <xf numFmtId="0" fontId="0" fillId="0" borderId="0" xfId="0" quotePrefix="1"/>
    <xf numFmtId="165" fontId="10" fillId="0" borderId="0" xfId="0" applyNumberFormat="1" applyFont="1" applyFill="1"/>
    <xf numFmtId="164" fontId="9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4" fillId="0" borderId="0" xfId="0" applyFont="1" applyFill="1"/>
    <xf numFmtId="0" fontId="34" fillId="0" borderId="0" xfId="0" applyFont="1"/>
    <xf numFmtId="0" fontId="1" fillId="0" borderId="0" xfId="0" applyFont="1" applyFill="1" applyBorder="1" applyAlignment="1">
      <alignment horizontal="centerContinuous"/>
    </xf>
    <xf numFmtId="0" fontId="15" fillId="0" borderId="0" xfId="0" applyFont="1" applyBorder="1"/>
    <xf numFmtId="0" fontId="15" fillId="0" borderId="0" xfId="0" applyFont="1"/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centerContinuous"/>
    </xf>
    <xf numFmtId="0" fontId="15" fillId="0" borderId="3" xfId="0" applyFont="1" applyFill="1" applyBorder="1"/>
    <xf numFmtId="0" fontId="15" fillId="0" borderId="0" xfId="0" applyFont="1" applyFill="1"/>
    <xf numFmtId="0" fontId="3" fillId="0" borderId="27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4" fillId="0" borderId="25" xfId="0" applyFont="1" applyFill="1" applyBorder="1"/>
    <xf numFmtId="0" fontId="34" fillId="0" borderId="25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9" fontId="3" fillId="0" borderId="23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0" xfId="0" applyFont="1" applyFill="1" applyBorder="1"/>
    <xf numFmtId="0" fontId="34" fillId="0" borderId="19" xfId="0" applyFont="1" applyFill="1" applyBorder="1" applyAlignment="1">
      <alignment horizontal="center"/>
    </xf>
    <xf numFmtId="0" fontId="29" fillId="0" borderId="0" xfId="0" applyFont="1" applyFill="1" applyBorder="1"/>
    <xf numFmtId="0" fontId="1" fillId="0" borderId="21" xfId="0" applyFont="1" applyFill="1" applyBorder="1" applyAlignment="1">
      <alignment horizontal="left"/>
    </xf>
    <xf numFmtId="42" fontId="34" fillId="0" borderId="19" xfId="0" applyNumberFormat="1" applyFont="1" applyFill="1" applyBorder="1" applyAlignment="1">
      <alignment horizontal="center"/>
    </xf>
    <xf numFmtId="42" fontId="29" fillId="0" borderId="0" xfId="0" applyNumberFormat="1" applyFont="1" applyFill="1" applyBorder="1"/>
    <xf numFmtId="10" fontId="0" fillId="0" borderId="0" xfId="0" applyNumberFormat="1" applyFont="1" applyFill="1" applyBorder="1" applyAlignment="1">
      <alignment horizontal="center"/>
    </xf>
    <xf numFmtId="10" fontId="0" fillId="0" borderId="8" xfId="0" applyNumberFormat="1" applyFont="1" applyFill="1" applyBorder="1" applyAlignment="1">
      <alignment horizontal="center"/>
    </xf>
    <xf numFmtId="41" fontId="34" fillId="0" borderId="19" xfId="0" applyNumberFormat="1" applyFont="1" applyFill="1" applyBorder="1" applyAlignment="1">
      <alignment horizontal="center"/>
    </xf>
    <xf numFmtId="41" fontId="29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centerContinuous"/>
    </xf>
    <xf numFmtId="9" fontId="8" fillId="0" borderId="8" xfId="0" applyNumberFormat="1" applyFont="1" applyFill="1" applyBorder="1" applyAlignment="1">
      <alignment horizontal="centerContinuous"/>
    </xf>
    <xf numFmtId="41" fontId="34" fillId="0" borderId="2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72" fontId="34" fillId="0" borderId="0" xfId="0" applyNumberFormat="1" applyFont="1" applyFill="1" applyBorder="1"/>
    <xf numFmtId="172" fontId="34" fillId="0" borderId="8" xfId="0" applyNumberFormat="1" applyFont="1" applyFill="1" applyBorder="1"/>
    <xf numFmtId="42" fontId="1" fillId="0" borderId="19" xfId="0" applyNumberFormat="1" applyFont="1" applyFill="1" applyBorder="1" applyAlignment="1"/>
    <xf numFmtId="0" fontId="34" fillId="0" borderId="19" xfId="0" applyFont="1" applyFill="1" applyBorder="1"/>
    <xf numFmtId="178" fontId="29" fillId="0" borderId="0" xfId="0" applyNumberFormat="1" applyFont="1" applyFill="1" applyBorder="1"/>
    <xf numFmtId="164" fontId="1" fillId="0" borderId="19" xfId="0" applyNumberFormat="1" applyFont="1" applyFill="1" applyBorder="1" applyAlignment="1"/>
    <xf numFmtId="164" fontId="34" fillId="0" borderId="19" xfId="0" applyNumberFormat="1" applyFont="1" applyFill="1" applyBorder="1" applyAlignment="1">
      <alignment horizontal="center"/>
    </xf>
    <xf numFmtId="41" fontId="1" fillId="0" borderId="19" xfId="0" applyNumberFormat="1" applyFont="1" applyFill="1" applyBorder="1" applyAlignment="1"/>
    <xf numFmtId="0" fontId="1" fillId="0" borderId="21" xfId="0" applyFont="1" applyFill="1" applyBorder="1"/>
    <xf numFmtId="0" fontId="34" fillId="0" borderId="8" xfId="0" applyFont="1" applyFill="1" applyBorder="1" applyAlignment="1">
      <alignment horizontal="left"/>
    </xf>
    <xf numFmtId="0" fontId="34" fillId="0" borderId="21" xfId="0" applyFont="1" applyFill="1" applyBorder="1"/>
    <xf numFmtId="9" fontId="34" fillId="0" borderId="0" xfId="0" applyNumberFormat="1" applyFont="1" applyFill="1" applyBorder="1"/>
    <xf numFmtId="0" fontId="29" fillId="0" borderId="0" xfId="0" applyFont="1" applyFill="1"/>
    <xf numFmtId="9" fontId="34" fillId="0" borderId="8" xfId="0" applyNumberFormat="1" applyFont="1" applyFill="1" applyBorder="1"/>
    <xf numFmtId="0" fontId="34" fillId="0" borderId="0" xfId="0" applyFont="1" applyBorder="1"/>
    <xf numFmtId="166" fontId="1" fillId="0" borderId="20" xfId="0" applyNumberFormat="1" applyFont="1" applyFill="1" applyBorder="1" applyAlignment="1"/>
    <xf numFmtId="41" fontId="1" fillId="0" borderId="20" xfId="0" applyNumberFormat="1" applyFont="1" applyFill="1" applyBorder="1" applyAlignment="1"/>
    <xf numFmtId="0" fontId="34" fillId="0" borderId="8" xfId="0" applyFont="1" applyFill="1" applyBorder="1"/>
    <xf numFmtId="37" fontId="1" fillId="0" borderId="19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 indent="1"/>
    </xf>
    <xf numFmtId="42" fontId="1" fillId="0" borderId="19" xfId="0" applyNumberFormat="1" applyFont="1" applyFill="1" applyBorder="1"/>
    <xf numFmtId="164" fontId="1" fillId="0" borderId="19" xfId="0" applyNumberFormat="1" applyFont="1" applyFill="1" applyBorder="1"/>
    <xf numFmtId="0" fontId="12" fillId="0" borderId="21" xfId="0" applyFont="1" applyFill="1" applyBorder="1"/>
    <xf numFmtId="173" fontId="1" fillId="0" borderId="19" xfId="0" applyNumberFormat="1" applyFont="1" applyFill="1" applyBorder="1"/>
    <xf numFmtId="170" fontId="1" fillId="0" borderId="19" xfId="0" applyNumberFormat="1" applyFont="1" applyFill="1" applyBorder="1"/>
    <xf numFmtId="173" fontId="1" fillId="0" borderId="20" xfId="0" applyNumberFormat="1" applyFont="1" applyFill="1" applyBorder="1"/>
    <xf numFmtId="174" fontId="1" fillId="0" borderId="20" xfId="0" applyNumberFormat="1" applyFont="1" applyFill="1" applyBorder="1"/>
    <xf numFmtId="9" fontId="1" fillId="0" borderId="19" xfId="0" applyNumberFormat="1" applyFont="1" applyFill="1" applyBorder="1" applyAlignment="1">
      <alignment horizontal="center"/>
    </xf>
    <xf numFmtId="37" fontId="1" fillId="0" borderId="20" xfId="0" applyNumberFormat="1" applyFont="1" applyFill="1" applyBorder="1"/>
    <xf numFmtId="42" fontId="1" fillId="0" borderId="2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4" fillId="0" borderId="18" xfId="0" applyFont="1" applyFill="1" applyBorder="1"/>
    <xf numFmtId="0" fontId="1" fillId="0" borderId="28" xfId="0" applyFont="1" applyFill="1" applyBorder="1"/>
    <xf numFmtId="0" fontId="3" fillId="0" borderId="3" xfId="0" applyFont="1" applyFill="1" applyBorder="1"/>
    <xf numFmtId="0" fontId="3" fillId="0" borderId="17" xfId="0" applyFont="1" applyFill="1" applyBorder="1"/>
    <xf numFmtId="42" fontId="3" fillId="0" borderId="16" xfId="0" applyNumberFormat="1" applyFont="1" applyFill="1" applyBorder="1"/>
    <xf numFmtId="0" fontId="34" fillId="0" borderId="15" xfId="0" applyFont="1" applyFill="1" applyBorder="1"/>
    <xf numFmtId="43" fontId="1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0" fontId="8" fillId="0" borderId="0" xfId="0" quotePrefix="1" applyFont="1"/>
    <xf numFmtId="0" fontId="8" fillId="0" borderId="0" xfId="0" applyFont="1" applyAlignment="1">
      <alignment horizontal="left" indent="2"/>
    </xf>
    <xf numFmtId="0" fontId="3" fillId="0" borderId="0" xfId="0" applyFont="1" applyFill="1" applyBorder="1" applyAlignment="1"/>
    <xf numFmtId="0" fontId="3" fillId="0" borderId="4" xfId="0" applyFont="1" applyFill="1" applyBorder="1" applyAlignment="1">
      <alignment horizontal="center"/>
    </xf>
    <xf numFmtId="43" fontId="3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73" fontId="1" fillId="0" borderId="0" xfId="0" applyNumberFormat="1" applyFont="1" applyFill="1" applyBorder="1"/>
    <xf numFmtId="41" fontId="1" fillId="0" borderId="0" xfId="0" applyNumberFormat="1" applyFont="1" applyFill="1" applyBorder="1"/>
    <xf numFmtId="41" fontId="34" fillId="0" borderId="0" xfId="0" applyNumberFormat="1" applyFont="1" applyFill="1"/>
    <xf numFmtId="41" fontId="1" fillId="0" borderId="0" xfId="0" applyNumberFormat="1" applyFont="1" applyFill="1" applyBorder="1" applyAlignment="1">
      <alignment vertical="top"/>
    </xf>
    <xf numFmtId="41" fontId="1" fillId="0" borderId="0" xfId="0" applyNumberFormat="1" applyFont="1" applyFill="1"/>
    <xf numFmtId="0" fontId="3" fillId="0" borderId="0" xfId="0" applyFont="1" applyAlignment="1"/>
    <xf numFmtId="42" fontId="3" fillId="0" borderId="9" xfId="0" applyNumberFormat="1" applyFont="1" applyFill="1" applyBorder="1"/>
    <xf numFmtId="44" fontId="34" fillId="0" borderId="0" xfId="0" applyNumberFormat="1" applyFont="1" applyFill="1"/>
    <xf numFmtId="179" fontId="29" fillId="0" borderId="0" xfId="0" applyNumberFormat="1" applyFont="1" applyFill="1" applyBorder="1"/>
    <xf numFmtId="164" fontId="34" fillId="0" borderId="0" xfId="0" applyNumberFormat="1" applyFont="1" applyFill="1"/>
    <xf numFmtId="164" fontId="34" fillId="0" borderId="0" xfId="0" applyNumberFormat="1" applyFont="1"/>
    <xf numFmtId="44" fontId="34" fillId="0" borderId="0" xfId="0" applyNumberFormat="1" applyFont="1"/>
    <xf numFmtId="0" fontId="1" fillId="0" borderId="0" xfId="0" applyFont="1" applyFill="1" applyAlignment="1">
      <alignment vertical="top" wrapText="1"/>
    </xf>
    <xf numFmtId="0" fontId="10" fillId="0" borderId="0" xfId="0" quotePrefix="1" applyFont="1" applyFill="1" applyAlignment="1">
      <alignment horizontal="left" vertical="top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25" fillId="0" borderId="0" xfId="0" applyNumberFormat="1" applyFont="1" applyFill="1"/>
    <xf numFmtId="3" fontId="9" fillId="0" borderId="0" xfId="0" applyNumberFormat="1" applyFont="1" applyFill="1" applyBorder="1"/>
    <xf numFmtId="10" fontId="1" fillId="0" borderId="0" xfId="0" applyNumberFormat="1" applyFont="1" applyFill="1"/>
    <xf numFmtId="8" fontId="1" fillId="0" borderId="0" xfId="0" applyNumberFormat="1" applyFont="1" applyFill="1"/>
    <xf numFmtId="3" fontId="4" fillId="0" borderId="2" xfId="0" applyNumberFormat="1" applyFont="1" applyFill="1" applyBorder="1"/>
    <xf numFmtId="3" fontId="10" fillId="0" borderId="1" xfId="0" applyNumberFormat="1" applyFont="1" applyFill="1" applyBorder="1"/>
    <xf numFmtId="3" fontId="25" fillId="0" borderId="1" xfId="0" applyNumberFormat="1" applyFont="1" applyFill="1" applyBorder="1"/>
    <xf numFmtId="3" fontId="10" fillId="0" borderId="0" xfId="0" applyNumberFormat="1" applyFont="1" applyFill="1"/>
    <xf numFmtId="3" fontId="10" fillId="0" borderId="5" xfId="0" applyNumberFormat="1" applyFont="1" applyFill="1" applyBorder="1"/>
    <xf numFmtId="3" fontId="10" fillId="0" borderId="0" xfId="0" applyNumberFormat="1" applyFont="1"/>
    <xf numFmtId="0" fontId="1" fillId="0" borderId="0" xfId="0" quotePrefix="1" applyFont="1" applyFill="1" applyAlignment="1">
      <alignment horizontal="left"/>
    </xf>
    <xf numFmtId="168" fontId="8" fillId="0" borderId="0" xfId="0" applyNumberFormat="1" applyFont="1" applyFill="1"/>
    <xf numFmtId="168" fontId="25" fillId="0" borderId="0" xfId="0" applyNumberFormat="1" applyFont="1" applyFill="1"/>
    <xf numFmtId="0" fontId="10" fillId="0" borderId="0" xfId="0" applyFont="1" applyFill="1" applyAlignment="1"/>
    <xf numFmtId="0" fontId="1" fillId="0" borderId="0" xfId="0" applyFont="1" applyFill="1" applyAlignment="1">
      <alignment horizontal="centerContinuous"/>
    </xf>
    <xf numFmtId="168" fontId="8" fillId="0" borderId="0" xfId="0" applyNumberFormat="1" applyFont="1" applyFill="1" applyBorder="1"/>
    <xf numFmtId="168" fontId="5" fillId="0" borderId="0" xfId="0" applyNumberFormat="1" applyFont="1" applyFill="1" applyBorder="1"/>
    <xf numFmtId="168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0" fontId="10" fillId="0" borderId="5" xfId="0" applyNumberFormat="1" applyFont="1" applyFill="1" applyBorder="1"/>
    <xf numFmtId="9" fontId="10" fillId="0" borderId="0" xfId="0" applyNumberFormat="1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0" fillId="0" borderId="0" xfId="0" applyFill="1"/>
    <xf numFmtId="3" fontId="0" fillId="0" borderId="0" xfId="0" applyNumberFormat="1" applyFill="1"/>
    <xf numFmtId="167" fontId="17" fillId="0" borderId="0" xfId="0" applyNumberFormat="1" applyFont="1"/>
    <xf numFmtId="167" fontId="19" fillId="0" borderId="0" xfId="0" applyNumberFormat="1" applyFont="1" applyFill="1"/>
    <xf numFmtId="166" fontId="19" fillId="0" borderId="0" xfId="0" applyNumberFormat="1" applyFont="1" applyAlignment="1">
      <alignment horizontal="left"/>
    </xf>
    <xf numFmtId="168" fontId="26" fillId="0" borderId="0" xfId="0" applyNumberFormat="1" applyFont="1"/>
    <xf numFmtId="164" fontId="19" fillId="0" borderId="0" xfId="0" applyNumberFormat="1" applyFont="1" applyBorder="1"/>
    <xf numFmtId="10" fontId="27" fillId="0" borderId="0" xfId="0" applyNumberFormat="1" applyFont="1"/>
    <xf numFmtId="166" fontId="0" fillId="0" borderId="1" xfId="0" applyNumberFormat="1" applyBorder="1"/>
    <xf numFmtId="168" fontId="0" fillId="0" borderId="1" xfId="0" applyNumberFormat="1" applyFont="1" applyBorder="1"/>
    <xf numFmtId="43" fontId="27" fillId="0" borderId="0" xfId="0" applyNumberFormat="1" applyFont="1"/>
    <xf numFmtId="164" fontId="20" fillId="0" borderId="0" xfId="0" applyNumberFormat="1" applyFont="1" applyFill="1" applyBorder="1" applyAlignment="1">
      <alignment horizontal="center"/>
    </xf>
    <xf numFmtId="166" fontId="32" fillId="0" borderId="5" xfId="0" applyNumberFormat="1" applyFont="1" applyBorder="1" applyAlignment="1">
      <alignment horizontal="left"/>
    </xf>
    <xf numFmtId="44" fontId="26" fillId="0" borderId="1" xfId="0" applyNumberFormat="1" applyFont="1" applyFill="1" applyBorder="1"/>
    <xf numFmtId="166" fontId="32" fillId="0" borderId="1" xfId="0" applyNumberFormat="1" applyFont="1" applyBorder="1" applyAlignment="1">
      <alignment horizontal="left"/>
    </xf>
    <xf numFmtId="164" fontId="20" fillId="0" borderId="1" xfId="0" applyNumberFormat="1" applyFont="1" applyBorder="1"/>
    <xf numFmtId="164" fontId="20" fillId="0" borderId="0" xfId="0" applyNumberFormat="1" applyFont="1" applyBorder="1"/>
    <xf numFmtId="166" fontId="20" fillId="0" borderId="1" xfId="0" applyNumberFormat="1" applyFont="1" applyBorder="1" applyAlignment="1">
      <alignment horizontal="left"/>
    </xf>
    <xf numFmtId="168" fontId="20" fillId="0" borderId="1" xfId="0" applyNumberFormat="1" applyFont="1" applyFill="1" applyBorder="1"/>
    <xf numFmtId="166" fontId="20" fillId="0" borderId="0" xfId="0" applyNumberFormat="1" applyFont="1" applyBorder="1" applyAlignment="1">
      <alignment horizontal="left"/>
    </xf>
    <xf numFmtId="44" fontId="20" fillId="0" borderId="0" xfId="0" applyNumberFormat="1" applyFont="1" applyFill="1"/>
    <xf numFmtId="0" fontId="19" fillId="0" borderId="2" xfId="0" applyFont="1" applyFill="1" applyBorder="1" applyAlignment="1">
      <alignment horizontal="center"/>
    </xf>
    <xf numFmtId="168" fontId="19" fillId="0" borderId="0" xfId="0" applyNumberFormat="1" applyFont="1" applyFill="1"/>
    <xf numFmtId="164" fontId="16" fillId="0" borderId="0" xfId="0" applyNumberFormat="1" applyFont="1"/>
    <xf numFmtId="3" fontId="16" fillId="0" borderId="0" xfId="0" applyNumberFormat="1" applyFont="1"/>
    <xf numFmtId="168" fontId="17" fillId="0" borderId="0" xfId="0" applyNumberFormat="1" applyFont="1" applyBorder="1"/>
    <xf numFmtId="164" fontId="0" fillId="0" borderId="1" xfId="0" applyNumberFormat="1" applyFont="1" applyBorder="1"/>
    <xf numFmtId="165" fontId="16" fillId="0" borderId="1" xfId="0" applyNumberFormat="1" applyFont="1" applyBorder="1"/>
    <xf numFmtId="3" fontId="16" fillId="0" borderId="0" xfId="0" applyNumberFormat="1" applyFont="1" applyFill="1"/>
    <xf numFmtId="8" fontId="16" fillId="0" borderId="0" xfId="0" applyNumberFormat="1" applyFont="1"/>
    <xf numFmtId="168" fontId="17" fillId="0" borderId="0" xfId="0" applyNumberFormat="1" applyFont="1" applyFill="1"/>
    <xf numFmtId="3" fontId="16" fillId="0" borderId="2" xfId="0" applyNumberFormat="1" applyFont="1" applyBorder="1"/>
    <xf numFmtId="3" fontId="16" fillId="0" borderId="1" xfId="0" applyNumberFormat="1" applyFont="1" applyBorder="1"/>
    <xf numFmtId="164" fontId="16" fillId="0" borderId="0" xfId="0" applyNumberFormat="1" applyFont="1" applyBorder="1"/>
    <xf numFmtId="0" fontId="16" fillId="0" borderId="0" xfId="0" quotePrefix="1" applyFont="1" applyAlignment="1">
      <alignment vertical="top"/>
    </xf>
    <xf numFmtId="0" fontId="38" fillId="0" borderId="0" xfId="0" applyFont="1"/>
    <xf numFmtId="0" fontId="38" fillId="0" borderId="0" xfId="0" applyFont="1" applyFill="1"/>
    <xf numFmtId="41" fontId="16" fillId="0" borderId="0" xfId="0" quotePrefix="1" applyNumberFormat="1" applyFont="1" applyAlignment="1">
      <alignment horizontal="right"/>
    </xf>
    <xf numFmtId="176" fontId="2" fillId="0" borderId="0" xfId="0" applyNumberFormat="1" applyFont="1" applyFill="1" applyBorder="1"/>
    <xf numFmtId="3" fontId="2" fillId="0" borderId="0" xfId="0" applyNumberFormat="1" applyFont="1" applyFill="1"/>
    <xf numFmtId="44" fontId="17" fillId="0" borderId="0" xfId="0" applyNumberFormat="1" applyFont="1" applyBorder="1"/>
    <xf numFmtId="167" fontId="17" fillId="0" borderId="0" xfId="0" applyNumberFormat="1" applyFont="1" applyFill="1"/>
    <xf numFmtId="3" fontId="17" fillId="0" borderId="0" xfId="0" applyNumberFormat="1" applyFont="1" applyFill="1"/>
    <xf numFmtId="3" fontId="17" fillId="0" borderId="0" xfId="0" quotePrefix="1" applyNumberFormat="1" applyFont="1" applyFill="1"/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8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8080"/>
      <color rgb="FF0099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2"/>
  <sheetViews>
    <sheetView tabSelected="1" zoomScale="90" zoomScaleNormal="90" workbookViewId="0">
      <pane ySplit="8" topLeftCell="A9" activePane="bottomLeft" state="frozen"/>
      <selection pane="bottomLeft" activeCell="M31" sqref="M31"/>
    </sheetView>
  </sheetViews>
  <sheetFormatPr defaultColWidth="8.85546875" defaultRowHeight="12.75" x14ac:dyDescent="0.2"/>
  <cols>
    <col min="1" max="1" width="2.5703125" style="186" customWidth="1"/>
    <col min="2" max="2" width="4.5703125" style="186" customWidth="1"/>
    <col min="3" max="3" width="2.85546875" style="186" customWidth="1"/>
    <col min="4" max="4" width="26.7109375" style="186" customWidth="1"/>
    <col min="5" max="5" width="8.85546875" style="186" customWidth="1"/>
    <col min="6" max="6" width="13.5703125" style="186" bestFit="1" customWidth="1"/>
    <col min="7" max="7" width="15.42578125" style="186" bestFit="1" customWidth="1"/>
    <col min="8" max="8" width="8" style="186" bestFit="1" customWidth="1"/>
    <col min="9" max="9" width="13.28515625" style="186" customWidth="1"/>
    <col min="10" max="10" width="12.5703125" style="186" customWidth="1"/>
    <col min="11" max="11" width="13.42578125" style="186" customWidth="1"/>
    <col min="12" max="12" width="15.28515625" style="186" bestFit="1" customWidth="1"/>
    <col min="13" max="13" width="10" style="186" customWidth="1"/>
    <col min="14" max="14" width="14.5703125" style="186" customWidth="1"/>
    <col min="15" max="15" width="10.5703125" style="186" customWidth="1"/>
    <col min="16" max="16384" width="8.85546875" style="186"/>
  </cols>
  <sheetData>
    <row r="1" spans="2:15" ht="15" customHeight="1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154"/>
    </row>
    <row r="2" spans="2:15" ht="15" customHeight="1" x14ac:dyDescent="0.2">
      <c r="B2" s="5" t="s">
        <v>355</v>
      </c>
      <c r="C2" s="5"/>
      <c r="D2" s="5"/>
      <c r="E2" s="5"/>
      <c r="F2" s="5"/>
      <c r="G2" s="5"/>
      <c r="H2" s="5"/>
      <c r="I2" s="5"/>
      <c r="J2" s="5"/>
      <c r="K2" s="5"/>
      <c r="L2" s="154"/>
    </row>
    <row r="3" spans="2:15" ht="15" customHeight="1" x14ac:dyDescent="0.2">
      <c r="B3" s="4" t="s">
        <v>96</v>
      </c>
      <c r="C3" s="4"/>
      <c r="D3" s="4"/>
      <c r="E3" s="4"/>
      <c r="F3" s="4"/>
      <c r="G3" s="4"/>
      <c r="H3" s="4"/>
      <c r="I3" s="4"/>
      <c r="J3" s="4"/>
      <c r="K3" s="4"/>
      <c r="L3" s="154"/>
    </row>
    <row r="4" spans="2:15" ht="15" customHeight="1" x14ac:dyDescent="0.2">
      <c r="B4" s="4" t="s">
        <v>356</v>
      </c>
      <c r="C4" s="4"/>
      <c r="D4" s="4"/>
      <c r="E4" s="4"/>
      <c r="F4" s="4"/>
      <c r="G4" s="4"/>
      <c r="H4" s="4"/>
      <c r="I4" s="4"/>
      <c r="J4" s="4"/>
      <c r="K4" s="4"/>
      <c r="L4" s="154"/>
    </row>
    <row r="5" spans="2:15" x14ac:dyDescent="0.2"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2:15" x14ac:dyDescent="0.2">
      <c r="B6" s="185"/>
      <c r="C6" s="185"/>
      <c r="D6" s="185"/>
      <c r="E6" s="185"/>
      <c r="F6" s="451">
        <v>2019</v>
      </c>
      <c r="G6" s="187">
        <f>+F6</f>
        <v>2019</v>
      </c>
      <c r="H6" s="450"/>
      <c r="I6" s="450" t="s">
        <v>40</v>
      </c>
      <c r="J6" s="450" t="s">
        <v>28</v>
      </c>
      <c r="K6" s="450"/>
    </row>
    <row r="7" spans="2:15" x14ac:dyDescent="0.2">
      <c r="E7" s="348" t="s">
        <v>12</v>
      </c>
      <c r="F7" s="348" t="s">
        <v>11</v>
      </c>
      <c r="G7" s="187" t="s">
        <v>39</v>
      </c>
      <c r="H7" s="348" t="s">
        <v>10</v>
      </c>
      <c r="I7" s="348" t="s">
        <v>6</v>
      </c>
      <c r="J7" s="348" t="s">
        <v>336</v>
      </c>
      <c r="K7" s="348" t="s">
        <v>29</v>
      </c>
    </row>
    <row r="8" spans="2:15" ht="14.25" x14ac:dyDescent="0.2">
      <c r="B8" s="11" t="s">
        <v>38</v>
      </c>
      <c r="C8" s="7" t="s">
        <v>27</v>
      </c>
      <c r="D8" s="7"/>
      <c r="E8" s="349" t="s">
        <v>7</v>
      </c>
      <c r="F8" s="349" t="s">
        <v>90</v>
      </c>
      <c r="G8" s="49" t="s">
        <v>91</v>
      </c>
      <c r="H8" s="349" t="s">
        <v>37</v>
      </c>
      <c r="I8" s="349" t="s">
        <v>36</v>
      </c>
      <c r="J8" s="349" t="s">
        <v>169</v>
      </c>
      <c r="K8" s="349" t="s">
        <v>6</v>
      </c>
    </row>
    <row r="9" spans="2:15" x14ac:dyDescent="0.2">
      <c r="B9" s="348">
        <v>1</v>
      </c>
      <c r="C9" s="186" t="s">
        <v>5</v>
      </c>
      <c r="E9" s="348" t="s">
        <v>26</v>
      </c>
      <c r="F9" s="17">
        <f>'Margin Revenue'!K9</f>
        <v>625129422.53001368</v>
      </c>
      <c r="G9" s="160">
        <f>+'Margin Revenue'!L9</f>
        <v>362067115.2847864</v>
      </c>
      <c r="H9" s="346">
        <f>G9/$G$47</f>
        <v>0.70825775827143822</v>
      </c>
      <c r="I9" s="159">
        <f>$I$49*H9</f>
        <v>4380847.7402101364</v>
      </c>
      <c r="J9" s="176">
        <f>ROUND(I9/F9,5)</f>
        <v>7.0099999999999997E-3</v>
      </c>
      <c r="K9" s="159">
        <f>F9*(J9)</f>
        <v>4382157.2519353954</v>
      </c>
      <c r="L9" s="177"/>
      <c r="M9" s="65"/>
      <c r="N9" s="35"/>
      <c r="O9" s="66"/>
    </row>
    <row r="10" spans="2:15" x14ac:dyDescent="0.2">
      <c r="B10" s="348"/>
      <c r="E10" s="348"/>
      <c r="F10" s="64"/>
      <c r="G10" s="19"/>
      <c r="H10" s="175"/>
      <c r="I10" s="159"/>
      <c r="J10" s="176"/>
      <c r="K10" s="159"/>
      <c r="M10" s="65"/>
      <c r="N10" s="35"/>
      <c r="O10" s="66"/>
    </row>
    <row r="11" spans="2:15" x14ac:dyDescent="0.2">
      <c r="B11" s="348">
        <v>2</v>
      </c>
      <c r="C11" s="186" t="s">
        <v>25</v>
      </c>
      <c r="E11" s="348" t="s">
        <v>35</v>
      </c>
      <c r="F11" s="17">
        <f>'Margin Revenue'!K12</f>
        <v>239284498.79617599</v>
      </c>
      <c r="G11" s="160">
        <f>+'Margin Revenue'!L12</f>
        <v>110037735.04848185</v>
      </c>
      <c r="H11" s="175">
        <f>G11/$G$47</f>
        <v>0.21525036729558783</v>
      </c>
      <c r="I11" s="159">
        <f>$I$49*H11</f>
        <v>1331406.6441682142</v>
      </c>
      <c r="J11" s="176">
        <f>ROUND(I11/F11,5)</f>
        <v>5.5599999999999998E-3</v>
      </c>
      <c r="K11" s="159">
        <f>F11*(J11)</f>
        <v>1330421.8133067384</v>
      </c>
      <c r="L11" s="177"/>
      <c r="M11" s="65"/>
      <c r="N11" s="35"/>
      <c r="O11" s="66"/>
    </row>
    <row r="12" spans="2:15" x14ac:dyDescent="0.2">
      <c r="B12" s="348"/>
      <c r="E12" s="348"/>
      <c r="F12" s="64"/>
      <c r="G12" s="192"/>
      <c r="H12" s="175"/>
      <c r="I12" s="159"/>
      <c r="J12" s="176"/>
      <c r="K12" s="159"/>
      <c r="M12" s="65"/>
      <c r="N12" s="35"/>
      <c r="O12" s="66"/>
    </row>
    <row r="13" spans="2:15" x14ac:dyDescent="0.2">
      <c r="B13" s="348">
        <v>3</v>
      </c>
      <c r="C13" s="186" t="s">
        <v>24</v>
      </c>
      <c r="E13" s="348" t="s">
        <v>34</v>
      </c>
      <c r="F13" s="17">
        <f>'Margin Revenue'!K14</f>
        <v>89150952.177851498</v>
      </c>
      <c r="G13" s="160">
        <f>+'Margin Revenue'!L14</f>
        <v>22505959.051493753</v>
      </c>
      <c r="H13" s="175">
        <f>G13/G$47</f>
        <v>4.4025042409670416E-2</v>
      </c>
      <c r="I13" s="178">
        <f>$I$49*H13</f>
        <v>272311.88829299656</v>
      </c>
      <c r="J13" s="176">
        <f>ROUND(I13/F13,5)</f>
        <v>3.0500000000000002E-3</v>
      </c>
      <c r="K13" s="159">
        <f>F13*(J13)</f>
        <v>271910.40414244711</v>
      </c>
      <c r="L13" s="145"/>
      <c r="M13" s="65"/>
      <c r="N13" s="35"/>
      <c r="O13" s="66"/>
    </row>
    <row r="14" spans="2:15" x14ac:dyDescent="0.2">
      <c r="B14" s="348"/>
      <c r="E14" s="348"/>
      <c r="F14" s="157"/>
      <c r="G14" s="160"/>
      <c r="H14" s="175"/>
      <c r="I14" s="178"/>
      <c r="J14" s="176"/>
      <c r="K14" s="159"/>
      <c r="M14" s="65"/>
      <c r="N14" s="35"/>
      <c r="O14" s="66"/>
    </row>
    <row r="15" spans="2:15" x14ac:dyDescent="0.2">
      <c r="B15" s="348">
        <v>4</v>
      </c>
      <c r="C15" s="186" t="s">
        <v>4</v>
      </c>
      <c r="E15" s="348">
        <v>85</v>
      </c>
      <c r="F15" s="17"/>
      <c r="G15" s="160"/>
      <c r="H15" s="175"/>
      <c r="I15" s="178"/>
      <c r="J15" s="176"/>
      <c r="K15" s="159"/>
      <c r="M15" s="65"/>
      <c r="N15" s="35"/>
      <c r="O15" s="66"/>
    </row>
    <row r="16" spans="2:15" x14ac:dyDescent="0.2">
      <c r="B16" s="348">
        <v>5</v>
      </c>
      <c r="D16" s="186" t="s">
        <v>19</v>
      </c>
      <c r="E16" s="348"/>
      <c r="F16" s="17">
        <f>'Sch 85 87 Rate Calc'!G10</f>
        <v>6860110.9912909651</v>
      </c>
      <c r="G16" s="160"/>
      <c r="H16" s="175"/>
      <c r="I16" s="192"/>
      <c r="J16" s="15">
        <f>'Sch 85 87 Rate Calc'!L10</f>
        <v>1.9599999999999999E-3</v>
      </c>
      <c r="K16" s="159"/>
      <c r="L16" s="157"/>
      <c r="M16" s="65"/>
      <c r="N16" s="35"/>
      <c r="O16" s="66"/>
    </row>
    <row r="17" spans="2:15" x14ac:dyDescent="0.2">
      <c r="B17" s="348">
        <v>6</v>
      </c>
      <c r="D17" s="186" t="s">
        <v>18</v>
      </c>
      <c r="E17" s="348"/>
      <c r="F17" s="17">
        <f>'Sch 85 87 Rate Calc'!G11</f>
        <v>3610615.6216699425</v>
      </c>
      <c r="G17" s="160"/>
      <c r="H17" s="175"/>
      <c r="I17" s="192"/>
      <c r="J17" s="15">
        <f>'Sch 85 87 Rate Calc'!L11</f>
        <v>1.2099999999999999E-3</v>
      </c>
      <c r="K17" s="159"/>
      <c r="M17" s="65"/>
      <c r="N17" s="35"/>
      <c r="O17" s="66"/>
    </row>
    <row r="18" spans="2:15" x14ac:dyDescent="0.2">
      <c r="B18" s="348">
        <v>7</v>
      </c>
      <c r="D18" s="186" t="s">
        <v>23</v>
      </c>
      <c r="E18" s="348"/>
      <c r="F18" s="16">
        <f>'Sch 85 87 Rate Calc'!G16</f>
        <v>4010459.9273328087</v>
      </c>
      <c r="G18" s="160"/>
      <c r="H18" s="175"/>
      <c r="I18" s="192"/>
      <c r="J18" s="15">
        <f>'Sch 85 87 Rate Calc'!L16</f>
        <v>6.9999999999999999E-4</v>
      </c>
      <c r="K18" s="159"/>
      <c r="M18" s="65"/>
      <c r="N18" s="35"/>
      <c r="O18" s="66"/>
    </row>
    <row r="19" spans="2:15" x14ac:dyDescent="0.2">
      <c r="B19" s="348">
        <v>8</v>
      </c>
      <c r="D19" s="186" t="s">
        <v>0</v>
      </c>
      <c r="E19" s="348"/>
      <c r="F19" s="158">
        <f>SUM(F16:F18)</f>
        <v>14481186.540293718</v>
      </c>
      <c r="G19" s="160">
        <f>+'Margin Revenue'!L19</f>
        <v>1675179.8123778773</v>
      </c>
      <c r="H19" s="175">
        <f>G19/G$47</f>
        <v>3.2769037797953735E-3</v>
      </c>
      <c r="I19" s="178">
        <f>$I$49*H19</f>
        <v>20268.915307950439</v>
      </c>
      <c r="J19" s="176"/>
      <c r="K19" s="347">
        <f>'Sch 85 87 Rate Calc'!M17</f>
        <v>20621.984394283889</v>
      </c>
      <c r="M19" s="65"/>
      <c r="N19" s="35"/>
      <c r="O19" s="66"/>
    </row>
    <row r="20" spans="2:15" x14ac:dyDescent="0.2">
      <c r="B20" s="348"/>
      <c r="E20" s="348"/>
      <c r="F20" s="157"/>
      <c r="G20" s="19"/>
      <c r="H20" s="175"/>
      <c r="I20" s="178"/>
      <c r="J20" s="176"/>
      <c r="K20" s="159"/>
      <c r="M20" s="65"/>
      <c r="N20" s="35"/>
      <c r="O20" s="66"/>
    </row>
    <row r="21" spans="2:15" x14ac:dyDescent="0.2">
      <c r="B21" s="348">
        <v>9</v>
      </c>
      <c r="C21" s="186" t="s">
        <v>4</v>
      </c>
      <c r="E21" s="348" t="s">
        <v>33</v>
      </c>
      <c r="F21" s="67">
        <f>'Margin Revenue'!K16</f>
        <v>8542016.3725943305</v>
      </c>
      <c r="G21" s="160">
        <f>'Margin Revenue'!L16</f>
        <v>2087952.7010695618</v>
      </c>
      <c r="H21" s="175">
        <f>G21/G$47</f>
        <v>4.0843496606234311E-3</v>
      </c>
      <c r="I21" s="178">
        <f>$I$49*H21</f>
        <v>25263.279889286827</v>
      </c>
      <c r="J21" s="176">
        <f>ROUND(I21/F21,5)</f>
        <v>2.96E-3</v>
      </c>
      <c r="K21" s="159">
        <f>F21*(J21)</f>
        <v>25284.368462879218</v>
      </c>
      <c r="M21" s="65"/>
      <c r="N21" s="35"/>
      <c r="O21" s="66"/>
    </row>
    <row r="22" spans="2:15" x14ac:dyDescent="0.2">
      <c r="B22" s="348"/>
      <c r="E22" s="348"/>
      <c r="F22" s="157"/>
      <c r="G22" s="160"/>
      <c r="H22" s="175"/>
      <c r="I22" s="178"/>
      <c r="J22" s="176"/>
      <c r="K22" s="159"/>
      <c r="M22" s="65"/>
      <c r="N22" s="35"/>
      <c r="O22" s="66"/>
    </row>
    <row r="23" spans="2:15" x14ac:dyDescent="0.2">
      <c r="B23" s="348">
        <v>10</v>
      </c>
      <c r="C23" s="186" t="s">
        <v>4</v>
      </c>
      <c r="E23" s="348">
        <v>87</v>
      </c>
      <c r="F23" s="157"/>
      <c r="G23" s="160"/>
      <c r="H23" s="175"/>
      <c r="I23" s="178"/>
      <c r="J23" s="176"/>
      <c r="K23" s="159"/>
      <c r="M23" s="65"/>
      <c r="N23" s="35"/>
      <c r="O23" s="66"/>
    </row>
    <row r="24" spans="2:15" x14ac:dyDescent="0.2">
      <c r="B24" s="348">
        <v>11</v>
      </c>
      <c r="D24" s="186" t="s">
        <v>19</v>
      </c>
      <c r="E24" s="348"/>
      <c r="F24" s="17">
        <f>'Sch 85 87 Rate Calc'!G20</f>
        <v>1492708.3996198305</v>
      </c>
      <c r="G24" s="160"/>
      <c r="H24" s="175"/>
      <c r="I24" s="178"/>
      <c r="J24" s="15">
        <f>'Sch 85 87 Rate Calc'!L20</f>
        <v>1.9599999999999999E-3</v>
      </c>
      <c r="K24" s="159"/>
      <c r="M24" s="65"/>
      <c r="N24" s="35"/>
      <c r="O24" s="66"/>
    </row>
    <row r="25" spans="2:15" x14ac:dyDescent="0.2">
      <c r="B25" s="348">
        <v>12</v>
      </c>
      <c r="D25" s="186" t="s">
        <v>18</v>
      </c>
      <c r="E25" s="348"/>
      <c r="F25" s="17">
        <f>'Sch 85 87 Rate Calc'!G21</f>
        <v>1471257.1847783604</v>
      </c>
      <c r="G25" s="160"/>
      <c r="H25" s="175"/>
      <c r="I25" s="178"/>
      <c r="J25" s="15">
        <f>'Sch 85 87 Rate Calc'!L21</f>
        <v>1.2099999999999999E-3</v>
      </c>
      <c r="K25" s="159"/>
      <c r="M25" s="65"/>
      <c r="N25" s="35"/>
      <c r="O25" s="66"/>
    </row>
    <row r="26" spans="2:15" x14ac:dyDescent="0.2">
      <c r="B26" s="348">
        <v>13</v>
      </c>
      <c r="D26" s="186" t="s">
        <v>17</v>
      </c>
      <c r="E26" s="348"/>
      <c r="F26" s="17">
        <f>'Sch 85 87 Rate Calc'!G22</f>
        <v>2623075.7671770104</v>
      </c>
      <c r="G26" s="160"/>
      <c r="H26" s="175"/>
      <c r="I26" s="178"/>
      <c r="J26" s="15">
        <f>'Sch 85 87 Rate Calc'!L22</f>
        <v>8.0000000000000004E-4</v>
      </c>
      <c r="K26" s="159"/>
      <c r="M26" s="65"/>
      <c r="N26" s="35"/>
      <c r="O26" s="66"/>
    </row>
    <row r="27" spans="2:15" x14ac:dyDescent="0.2">
      <c r="B27" s="348">
        <v>14</v>
      </c>
      <c r="D27" s="186" t="s">
        <v>16</v>
      </c>
      <c r="E27" s="348"/>
      <c r="F27" s="17">
        <f>'Sch 85 87 Rate Calc'!G23</f>
        <v>2945202.2398149697</v>
      </c>
      <c r="G27" s="160"/>
      <c r="H27" s="175"/>
      <c r="I27" s="178"/>
      <c r="J27" s="15">
        <f>'Sch 85 87 Rate Calc'!L23</f>
        <v>5.4000000000000001E-4</v>
      </c>
      <c r="K27" s="159"/>
      <c r="M27" s="65"/>
      <c r="N27" s="35"/>
      <c r="O27" s="66"/>
    </row>
    <row r="28" spans="2:15" x14ac:dyDescent="0.2">
      <c r="B28" s="348">
        <v>15</v>
      </c>
      <c r="D28" s="186" t="s">
        <v>15</v>
      </c>
      <c r="E28" s="348"/>
      <c r="F28" s="17">
        <f>'Sch 85 87 Rate Calc'!G24</f>
        <v>3759905.5669656107</v>
      </c>
      <c r="G28" s="160"/>
      <c r="H28" s="175"/>
      <c r="I28" s="178"/>
      <c r="J28" s="15">
        <f>'Sch 85 87 Rate Calc'!L24</f>
        <v>4.0999999999999999E-4</v>
      </c>
      <c r="K28" s="159"/>
      <c r="M28" s="65"/>
      <c r="N28" s="35"/>
      <c r="O28" s="66"/>
    </row>
    <row r="29" spans="2:15" x14ac:dyDescent="0.2">
      <c r="B29" s="348">
        <v>16</v>
      </c>
      <c r="D29" s="186" t="s">
        <v>21</v>
      </c>
      <c r="E29" s="348"/>
      <c r="F29" s="16">
        <f>'Sch 85 87 Rate Calc'!G25</f>
        <v>10225641.659644222</v>
      </c>
      <c r="G29" s="160"/>
      <c r="H29" s="175"/>
      <c r="I29" s="178"/>
      <c r="J29" s="15">
        <f>'Sch 85 87 Rate Calc'!L25</f>
        <v>3.3E-4</v>
      </c>
      <c r="K29" s="159"/>
      <c r="M29" s="65"/>
      <c r="N29" s="35"/>
      <c r="O29" s="66"/>
    </row>
    <row r="30" spans="2:15" x14ac:dyDescent="0.2">
      <c r="B30" s="348">
        <v>17</v>
      </c>
      <c r="D30" s="186" t="s">
        <v>0</v>
      </c>
      <c r="E30" s="348"/>
      <c r="F30" s="158">
        <f>SUM(F24:F29)</f>
        <v>22517790.818000004</v>
      </c>
      <c r="G30" s="160">
        <f>+'Margin Revenue'!L20</f>
        <v>1274777.4737269359</v>
      </c>
      <c r="H30" s="175">
        <f>G30/G$47</f>
        <v>2.4936565562619717E-3</v>
      </c>
      <c r="I30" s="178">
        <f>$I$49*H30</f>
        <v>15424.228766688249</v>
      </c>
      <c r="J30" s="176"/>
      <c r="K30" s="160">
        <f>'Sch 85 87 Rate Calc'!M26</f>
        <v>13310.822510216871</v>
      </c>
      <c r="M30" s="65"/>
      <c r="N30" s="35"/>
      <c r="O30" s="66"/>
    </row>
    <row r="31" spans="2:15" x14ac:dyDescent="0.2">
      <c r="B31" s="348"/>
      <c r="E31" s="348"/>
      <c r="F31" s="158"/>
      <c r="G31" s="19"/>
      <c r="H31" s="175"/>
      <c r="I31" s="178"/>
      <c r="J31" s="176"/>
      <c r="K31" s="160"/>
      <c r="M31" s="179"/>
      <c r="N31" s="35"/>
      <c r="O31" s="66"/>
    </row>
    <row r="32" spans="2:15" x14ac:dyDescent="0.2">
      <c r="B32" s="348">
        <f>B30+1</f>
        <v>18</v>
      </c>
      <c r="C32" s="186" t="s">
        <v>22</v>
      </c>
      <c r="E32" s="348" t="s">
        <v>3</v>
      </c>
      <c r="F32" s="158"/>
      <c r="G32" s="19"/>
      <c r="H32" s="175"/>
      <c r="I32" s="178"/>
      <c r="J32" s="176"/>
      <c r="K32" s="160"/>
      <c r="M32" s="179"/>
      <c r="N32" s="35"/>
      <c r="O32" s="66"/>
    </row>
    <row r="33" spans="2:15" x14ac:dyDescent="0.2">
      <c r="B33" s="348">
        <f>B32+1</f>
        <v>19</v>
      </c>
      <c r="D33" s="186" t="s">
        <v>19</v>
      </c>
      <c r="E33" s="348"/>
      <c r="F33" s="14">
        <f>'Sch 85 87 Rate Calc'!G29</f>
        <v>27404305.284045253</v>
      </c>
      <c r="G33" s="19"/>
      <c r="H33" s="175"/>
      <c r="I33" s="178"/>
      <c r="J33" s="12">
        <f>'Sch 85 87 Rate Calc'!L29</f>
        <v>1.9599999999999999E-3</v>
      </c>
      <c r="K33" s="160"/>
      <c r="M33" s="179"/>
      <c r="N33" s="35"/>
      <c r="O33" s="66"/>
    </row>
    <row r="34" spans="2:15" x14ac:dyDescent="0.2">
      <c r="B34" s="348">
        <f>B33+1</f>
        <v>20</v>
      </c>
      <c r="D34" s="186" t="s">
        <v>18</v>
      </c>
      <c r="E34" s="348"/>
      <c r="F34" s="14">
        <f>'Sch 85 87 Rate Calc'!G30</f>
        <v>18588212.851565599</v>
      </c>
      <c r="G34" s="19"/>
      <c r="H34" s="175"/>
      <c r="I34" s="178"/>
      <c r="J34" s="12">
        <f>'Sch 85 87 Rate Calc'!L30</f>
        <v>1.2099999999999999E-3</v>
      </c>
      <c r="K34" s="160"/>
      <c r="M34" s="179"/>
      <c r="N34" s="35"/>
      <c r="O34" s="66"/>
    </row>
    <row r="35" spans="2:15" x14ac:dyDescent="0.2">
      <c r="B35" s="348">
        <f>B34+1</f>
        <v>21</v>
      </c>
      <c r="D35" s="186" t="s">
        <v>23</v>
      </c>
      <c r="E35" s="348"/>
      <c r="F35" s="13">
        <f>'Sch 85 87 Rate Calc'!G35</f>
        <v>27089258.759389158</v>
      </c>
      <c r="G35" s="19"/>
      <c r="H35" s="175"/>
      <c r="I35" s="178"/>
      <c r="J35" s="12">
        <f>'Sch 85 87 Rate Calc'!L35</f>
        <v>6.9999999999999999E-4</v>
      </c>
      <c r="K35" s="160"/>
      <c r="M35" s="179"/>
      <c r="N35" s="35"/>
      <c r="O35" s="66"/>
    </row>
    <row r="36" spans="2:15" x14ac:dyDescent="0.2">
      <c r="B36" s="348">
        <f>B35+1</f>
        <v>22</v>
      </c>
      <c r="D36" s="186" t="s">
        <v>0</v>
      </c>
      <c r="E36" s="348"/>
      <c r="F36" s="158">
        <f>SUM(F33:F35)</f>
        <v>73081776.895000011</v>
      </c>
      <c r="G36" s="160">
        <f>+'Margin Revenue'!L24</f>
        <v>7637776.5130210174</v>
      </c>
      <c r="H36" s="175">
        <f>G36/G$47</f>
        <v>1.4940640126998599E-2</v>
      </c>
      <c r="I36" s="178">
        <f>$I$49*H36</f>
        <v>92413.628757696017</v>
      </c>
      <c r="J36" s="176"/>
      <c r="K36" s="160">
        <f>'Sch 85 87 Rate Calc'!M36</f>
        <v>95166.65703869547</v>
      </c>
      <c r="M36" s="65"/>
      <c r="N36" s="35"/>
      <c r="O36" s="66"/>
    </row>
    <row r="37" spans="2:15" x14ac:dyDescent="0.2">
      <c r="B37" s="348"/>
      <c r="E37" s="348"/>
      <c r="F37" s="158"/>
      <c r="G37" s="19"/>
      <c r="H37" s="175"/>
      <c r="I37" s="178"/>
      <c r="J37" s="176"/>
      <c r="K37" s="160"/>
      <c r="M37" s="179"/>
      <c r="N37" s="35"/>
      <c r="O37" s="66"/>
    </row>
    <row r="38" spans="2:15" x14ac:dyDescent="0.2">
      <c r="B38" s="348">
        <f>B36+1</f>
        <v>23</v>
      </c>
      <c r="C38" s="186" t="s">
        <v>22</v>
      </c>
      <c r="E38" s="348" t="s">
        <v>2</v>
      </c>
      <c r="F38" s="158"/>
      <c r="G38" s="19"/>
      <c r="H38" s="175"/>
      <c r="I38" s="178"/>
      <c r="J38" s="176"/>
      <c r="K38" s="160"/>
      <c r="M38" s="179"/>
      <c r="N38" s="35"/>
      <c r="O38" s="66"/>
    </row>
    <row r="39" spans="2:15" x14ac:dyDescent="0.2">
      <c r="B39" s="348">
        <f t="shared" ref="B39:B45" si="0">B38+1</f>
        <v>24</v>
      </c>
      <c r="D39" s="186" t="s">
        <v>19</v>
      </c>
      <c r="E39" s="348"/>
      <c r="F39" s="14">
        <f>'Sch 85 87 Rate Calc'!G39</f>
        <v>3022992.9784649899</v>
      </c>
      <c r="G39" s="19"/>
      <c r="H39" s="175"/>
      <c r="I39" s="178"/>
      <c r="J39" s="12">
        <f>'Sch 85 87 Rate Calc'!L39</f>
        <v>1.9599999999999999E-3</v>
      </c>
      <c r="K39" s="160"/>
      <c r="M39" s="179"/>
      <c r="N39" s="35"/>
      <c r="O39" s="66"/>
    </row>
    <row r="40" spans="2:15" x14ac:dyDescent="0.2">
      <c r="B40" s="348">
        <f t="shared" si="0"/>
        <v>25</v>
      </c>
      <c r="D40" s="186" t="s">
        <v>18</v>
      </c>
      <c r="E40" s="348"/>
      <c r="F40" s="14">
        <f>'Sch 85 87 Rate Calc'!G40</f>
        <v>3022992.9784649899</v>
      </c>
      <c r="G40" s="19"/>
      <c r="H40" s="175"/>
      <c r="I40" s="178"/>
      <c r="J40" s="12">
        <f>'Sch 85 87 Rate Calc'!L40</f>
        <v>1.2099999999999999E-3</v>
      </c>
      <c r="K40" s="160"/>
      <c r="M40" s="179"/>
      <c r="N40" s="35"/>
      <c r="O40" s="66"/>
    </row>
    <row r="41" spans="2:15" x14ac:dyDescent="0.2">
      <c r="B41" s="348">
        <f t="shared" si="0"/>
        <v>26</v>
      </c>
      <c r="D41" s="186" t="s">
        <v>17</v>
      </c>
      <c r="E41" s="348"/>
      <c r="F41" s="14">
        <f>'Sch 85 87 Rate Calc'!G41</f>
        <v>6045985.9569299798</v>
      </c>
      <c r="G41" s="19"/>
      <c r="H41" s="175"/>
      <c r="I41" s="178"/>
      <c r="J41" s="12">
        <f>'Sch 85 87 Rate Calc'!L41</f>
        <v>8.0000000000000004E-4</v>
      </c>
      <c r="K41" s="160"/>
      <c r="M41" s="179"/>
      <c r="N41" s="35"/>
      <c r="O41" s="66"/>
    </row>
    <row r="42" spans="2:15" x14ac:dyDescent="0.2">
      <c r="B42" s="348">
        <f t="shared" si="0"/>
        <v>27</v>
      </c>
      <c r="D42" s="186" t="s">
        <v>16</v>
      </c>
      <c r="E42" s="348"/>
      <c r="F42" s="14">
        <f>'Sch 85 87 Rate Calc'!G42</f>
        <v>11784532.520285744</v>
      </c>
      <c r="G42" s="19"/>
      <c r="H42" s="175"/>
      <c r="I42" s="178"/>
      <c r="J42" s="12">
        <f>'Sch 85 87 Rate Calc'!L42</f>
        <v>5.4000000000000001E-4</v>
      </c>
      <c r="K42" s="160"/>
      <c r="M42" s="179"/>
      <c r="N42" s="35"/>
      <c r="O42" s="66"/>
    </row>
    <row r="43" spans="2:15" x14ac:dyDescent="0.2">
      <c r="B43" s="348">
        <f t="shared" si="0"/>
        <v>28</v>
      </c>
      <c r="D43" s="186" t="s">
        <v>15</v>
      </c>
      <c r="E43" s="348"/>
      <c r="F43" s="14">
        <f>'Sch 85 87 Rate Calc'!G43</f>
        <v>25863829.087167524</v>
      </c>
      <c r="G43" s="19"/>
      <c r="H43" s="175"/>
      <c r="I43" s="178"/>
      <c r="J43" s="12">
        <f>'Sch 85 87 Rate Calc'!L43</f>
        <v>4.0999999999999999E-4</v>
      </c>
      <c r="K43" s="160"/>
      <c r="M43" s="179"/>
      <c r="N43" s="35"/>
      <c r="O43" s="66"/>
    </row>
    <row r="44" spans="2:15" x14ac:dyDescent="0.2">
      <c r="B44" s="348">
        <f t="shared" si="0"/>
        <v>29</v>
      </c>
      <c r="D44" s="186" t="s">
        <v>21</v>
      </c>
      <c r="E44" s="348"/>
      <c r="F44" s="13">
        <f>'Sch 85 87 Rate Calc'!G44</f>
        <v>45969720.118686758</v>
      </c>
      <c r="G44" s="19"/>
      <c r="H44" s="175"/>
      <c r="I44" s="178"/>
      <c r="J44" s="12">
        <f>'Sch 85 87 Rate Calc'!L44</f>
        <v>3.3E-4</v>
      </c>
      <c r="K44" s="160"/>
      <c r="M44" s="179"/>
      <c r="N44" s="35"/>
      <c r="O44" s="66"/>
    </row>
    <row r="45" spans="2:15" x14ac:dyDescent="0.2">
      <c r="B45" s="348">
        <f t="shared" si="0"/>
        <v>30</v>
      </c>
      <c r="D45" s="186" t="s">
        <v>0</v>
      </c>
      <c r="E45" s="348"/>
      <c r="F45" s="158">
        <f>SUM(F39:F44)</f>
        <v>95710053.639999986</v>
      </c>
      <c r="G45" s="160">
        <f>+'Margin Revenue'!L25</f>
        <v>3921621.5784379444</v>
      </c>
      <c r="H45" s="175">
        <f>G45/G$47</f>
        <v>7.6712818996242747E-3</v>
      </c>
      <c r="I45" s="178">
        <f>$I$49*H45</f>
        <v>47449.840939976297</v>
      </c>
      <c r="J45" s="176"/>
      <c r="K45" s="160">
        <f>'Sch 85 87 Rate Calc'!M45</f>
        <v>46557.501633137617</v>
      </c>
      <c r="M45" s="65"/>
      <c r="N45" s="35"/>
      <c r="O45" s="66"/>
    </row>
    <row r="46" spans="2:15" x14ac:dyDescent="0.2">
      <c r="B46" s="348"/>
      <c r="F46" s="162"/>
      <c r="G46" s="11"/>
      <c r="H46" s="180"/>
      <c r="I46" s="181"/>
      <c r="J46" s="182"/>
      <c r="K46" s="181"/>
      <c r="L46" s="11"/>
      <c r="M46" s="65"/>
      <c r="N46" s="74"/>
      <c r="O46" s="66"/>
    </row>
    <row r="47" spans="2:15" x14ac:dyDescent="0.2">
      <c r="B47" s="348">
        <f>B45+1</f>
        <v>31</v>
      </c>
      <c r="D47" s="186" t="s">
        <v>0</v>
      </c>
      <c r="F47" s="167">
        <f>F9+F11+F13+F19+F21+F30+F36+F45</f>
        <v>1167897697.7699292</v>
      </c>
      <c r="G47" s="168">
        <f>G9+G11+G13+G19+G21+G30+G36+G45</f>
        <v>511208117.4633953</v>
      </c>
      <c r="H47" s="175">
        <f>SUM(H9:H46)</f>
        <v>1.0000000000000002</v>
      </c>
      <c r="I47" s="168">
        <f>I9+I11+I13+I19+I21+I30+I36+I45</f>
        <v>6185386.1663329434</v>
      </c>
      <c r="J47" s="176">
        <f>ROUND(K47/F47,5)</f>
        <v>5.3E-3</v>
      </c>
      <c r="K47" s="168">
        <f>K9+K11+K13+K19+K21+K30+K36+K45</f>
        <v>6185430.803423794</v>
      </c>
      <c r="L47" s="10">
        <f>K47-I47</f>
        <v>44.637090850621462</v>
      </c>
      <c r="M47" s="65"/>
      <c r="N47" s="35"/>
      <c r="O47" s="66"/>
    </row>
    <row r="48" spans="2:15" x14ac:dyDescent="0.2">
      <c r="B48" s="348"/>
      <c r="F48" s="166"/>
      <c r="G48" s="8"/>
      <c r="H48" s="166"/>
      <c r="I48" s="166"/>
      <c r="J48" s="166"/>
      <c r="K48" s="166"/>
      <c r="L48" s="9">
        <f>L47/I47</f>
        <v>7.2165406734960453E-6</v>
      </c>
      <c r="N48" s="161"/>
    </row>
    <row r="49" spans="2:14" ht="15" customHeight="1" x14ac:dyDescent="0.2">
      <c r="B49" s="348">
        <f>B47+1</f>
        <v>32</v>
      </c>
      <c r="D49" s="186" t="s">
        <v>20</v>
      </c>
      <c r="F49" s="166"/>
      <c r="G49" s="8"/>
      <c r="H49" s="166"/>
      <c r="I49" s="347">
        <f>'Revenue Req 2020-2021'!G29</f>
        <v>6185386.1663329443</v>
      </c>
      <c r="J49" s="166"/>
      <c r="K49" s="169"/>
      <c r="L49" s="166"/>
    </row>
    <row r="50" spans="2:14" x14ac:dyDescent="0.2">
      <c r="I50" s="192"/>
      <c r="N50" s="161"/>
    </row>
    <row r="51" spans="2:14" s="185" customFormat="1" ht="15" customHeight="1" x14ac:dyDescent="0.2">
      <c r="B51" s="69" t="s">
        <v>32</v>
      </c>
      <c r="C51" s="449" t="s">
        <v>357</v>
      </c>
      <c r="D51" s="448"/>
      <c r="E51" s="448"/>
      <c r="F51" s="448"/>
      <c r="G51" s="448"/>
      <c r="H51" s="448"/>
      <c r="I51" s="448"/>
      <c r="J51" s="448"/>
      <c r="K51" s="448"/>
    </row>
    <row r="52" spans="2:14" s="185" customFormat="1" ht="15" customHeight="1" x14ac:dyDescent="0.2">
      <c r="B52" s="69" t="s">
        <v>31</v>
      </c>
      <c r="C52" s="6" t="s">
        <v>381</v>
      </c>
      <c r="D52" s="6"/>
      <c r="E52" s="6"/>
      <c r="F52" s="6"/>
      <c r="G52" s="6"/>
      <c r="H52" s="6"/>
      <c r="I52" s="6"/>
      <c r="J52" s="6"/>
      <c r="K52" s="6"/>
      <c r="L52" s="32"/>
    </row>
    <row r="53" spans="2:14" x14ac:dyDescent="0.2">
      <c r="B53" s="170"/>
      <c r="D53" s="171"/>
      <c r="E53" s="171"/>
      <c r="F53" s="171"/>
      <c r="G53" s="171"/>
      <c r="H53" s="171"/>
    </row>
    <row r="54" spans="2:14" x14ac:dyDescent="0.2">
      <c r="C54" s="188"/>
      <c r="D54" s="188"/>
      <c r="H54" s="171"/>
    </row>
    <row r="55" spans="2:14" x14ac:dyDescent="0.2">
      <c r="C55" s="188"/>
      <c r="D55" s="172"/>
      <c r="E55" s="166"/>
      <c r="F55" s="166"/>
      <c r="H55" s="171"/>
    </row>
    <row r="56" spans="2:14" x14ac:dyDescent="0.2">
      <c r="C56" s="188"/>
      <c r="D56" s="166"/>
      <c r="E56" s="188"/>
      <c r="F56" s="188"/>
      <c r="G56" s="171"/>
      <c r="H56" s="171"/>
    </row>
    <row r="57" spans="2:14" x14ac:dyDescent="0.2">
      <c r="C57" s="188"/>
      <c r="D57" s="166"/>
      <c r="E57" s="189"/>
      <c r="F57" s="173"/>
      <c r="H57" s="171"/>
    </row>
    <row r="58" spans="2:14" x14ac:dyDescent="0.2">
      <c r="C58" s="171"/>
      <c r="D58" s="171"/>
      <c r="E58" s="189"/>
      <c r="F58" s="173"/>
      <c r="H58" s="171"/>
    </row>
    <row r="59" spans="2:14" x14ac:dyDescent="0.2">
      <c r="E59" s="189"/>
      <c r="F59" s="173"/>
    </row>
    <row r="60" spans="2:14" x14ac:dyDescent="0.2">
      <c r="E60" s="166"/>
      <c r="F60" s="166"/>
    </row>
    <row r="61" spans="2:14" x14ac:dyDescent="0.2">
      <c r="E61" s="166"/>
      <c r="F61" s="166"/>
    </row>
    <row r="62" spans="2:14" x14ac:dyDescent="0.2">
      <c r="E62" s="166"/>
      <c r="F62" s="166"/>
    </row>
  </sheetData>
  <mergeCells count="6">
    <mergeCell ref="C8:D8"/>
    <mergeCell ref="C52:K52"/>
    <mergeCell ref="B1:K1"/>
    <mergeCell ref="B2:K2"/>
    <mergeCell ref="B3:K3"/>
    <mergeCell ref="B4:K4"/>
  </mergeCells>
  <printOptions horizontalCentered="1"/>
  <pageMargins left="0.75" right="0.75" top="1" bottom="1" header="0.5" footer="0.5"/>
  <pageSetup scale="76" orientation="portrait" blackAndWhite="1" horizontalDpi="300" verticalDpi="300" r:id="rId1"/>
  <headerFooter alignWithMargins="0">
    <oddFooter>&amp;L&amp;F 
&amp;A&amp;C&amp;P&amp;R&amp;D</oddFooter>
  </headerFooter>
  <ignoredErrors>
    <ignoredError sqref="H47 J4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0" zoomScaleNormal="90" workbookViewId="0">
      <pane xSplit="1" ySplit="6" topLeftCell="B7" activePane="bottomRight" state="frozen"/>
      <selection activeCell="G24" sqref="G24"/>
      <selection pane="topRight" activeCell="G24" sqref="G24"/>
      <selection pane="bottomLeft" activeCell="G24" sqref="G24"/>
      <selection pane="bottomRight" activeCell="J27" sqref="J27"/>
    </sheetView>
  </sheetViews>
  <sheetFormatPr defaultColWidth="8.7109375" defaultRowHeight="12.75" x14ac:dyDescent="0.2"/>
  <cols>
    <col min="1" max="1" width="8.5703125" style="353" customWidth="1"/>
    <col min="2" max="2" width="36.5703125" style="353" customWidth="1"/>
    <col min="3" max="3" width="38.85546875" style="353" customWidth="1"/>
    <col min="4" max="5" width="10.42578125" style="353" customWidth="1"/>
    <col min="6" max="6" width="13.28515625" style="352" bestFit="1" customWidth="1"/>
    <col min="7" max="7" width="11.85546875" style="352" bestFit="1" customWidth="1"/>
    <col min="8" max="8" width="13.28515625" style="352" bestFit="1" customWidth="1"/>
    <col min="9" max="9" width="11.85546875" style="353" bestFit="1" customWidth="1"/>
    <col min="10" max="10" width="12.28515625" style="352" bestFit="1" customWidth="1"/>
    <col min="11" max="11" width="12.140625" style="352" bestFit="1" customWidth="1"/>
    <col min="12" max="12" width="11.140625" style="352" bestFit="1" customWidth="1"/>
    <col min="13" max="13" width="12.140625" style="352" bestFit="1" customWidth="1"/>
    <col min="14" max="30" width="8.7109375" style="352"/>
    <col min="31" max="16384" width="8.7109375" style="353"/>
  </cols>
  <sheetData>
    <row r="1" spans="1:30" ht="18" x14ac:dyDescent="0.25">
      <c r="A1" s="350" t="s">
        <v>87</v>
      </c>
      <c r="B1" s="351"/>
      <c r="C1" s="351"/>
      <c r="D1" s="351"/>
      <c r="E1" s="351"/>
      <c r="F1" s="351"/>
      <c r="G1" s="351"/>
      <c r="H1" s="351"/>
      <c r="I1" s="351"/>
    </row>
    <row r="2" spans="1:30" ht="18" x14ac:dyDescent="0.25">
      <c r="A2" s="350" t="s">
        <v>86</v>
      </c>
      <c r="B2" s="351"/>
      <c r="C2" s="351"/>
      <c r="D2" s="351"/>
      <c r="E2" s="351"/>
      <c r="F2" s="351"/>
      <c r="G2" s="351"/>
      <c r="H2" s="351"/>
      <c r="I2" s="351"/>
    </row>
    <row r="3" spans="1:30" ht="18" x14ac:dyDescent="0.25">
      <c r="A3" s="350" t="s">
        <v>85</v>
      </c>
      <c r="B3" s="354"/>
      <c r="C3" s="354"/>
      <c r="D3" s="354"/>
      <c r="E3" s="354"/>
      <c r="F3" s="354"/>
      <c r="G3" s="354"/>
      <c r="H3" s="354"/>
      <c r="I3" s="354"/>
    </row>
    <row r="4" spans="1:30" ht="18" x14ac:dyDescent="0.25">
      <c r="A4" s="350" t="s">
        <v>362</v>
      </c>
      <c r="B4" s="354"/>
      <c r="C4" s="354"/>
      <c r="D4" s="354"/>
      <c r="E4" s="354"/>
      <c r="F4" s="354"/>
      <c r="G4" s="354"/>
      <c r="H4" s="354"/>
      <c r="I4" s="354"/>
    </row>
    <row r="5" spans="1:30" s="356" customFormat="1" ht="17.25" customHeight="1" x14ac:dyDescent="0.25">
      <c r="A5" s="355"/>
      <c r="C5" s="357"/>
      <c r="D5" s="358"/>
      <c r="E5" s="359"/>
      <c r="F5" s="360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</row>
    <row r="6" spans="1:30" ht="39.75" customHeight="1" thickBot="1" x14ac:dyDescent="0.25">
      <c r="A6" s="362" t="s">
        <v>84</v>
      </c>
      <c r="B6" s="363"/>
      <c r="C6" s="364"/>
      <c r="D6" s="365" t="s">
        <v>83</v>
      </c>
      <c r="E6" s="366" t="s">
        <v>82</v>
      </c>
      <c r="F6" s="367" t="s">
        <v>67</v>
      </c>
      <c r="G6" s="367" t="s">
        <v>66</v>
      </c>
      <c r="H6" s="367" t="s">
        <v>65</v>
      </c>
      <c r="I6" s="368" t="s">
        <v>81</v>
      </c>
      <c r="J6" s="369"/>
      <c r="K6" s="369"/>
    </row>
    <row r="7" spans="1:30" x14ac:dyDescent="0.2">
      <c r="A7" s="370" t="s">
        <v>80</v>
      </c>
      <c r="B7" s="371" t="s">
        <v>79</v>
      </c>
      <c r="C7" s="372" t="s">
        <v>78</v>
      </c>
      <c r="D7" s="372" t="s">
        <v>77</v>
      </c>
      <c r="E7" s="373" t="s">
        <v>76</v>
      </c>
      <c r="F7" s="374" t="s">
        <v>75</v>
      </c>
      <c r="G7" s="374" t="s">
        <v>74</v>
      </c>
      <c r="H7" s="374" t="s">
        <v>73</v>
      </c>
      <c r="I7" s="374" t="s">
        <v>72</v>
      </c>
      <c r="J7" s="375"/>
    </row>
    <row r="8" spans="1:30" x14ac:dyDescent="0.2">
      <c r="A8" s="370"/>
      <c r="B8" s="371"/>
      <c r="C8" s="372"/>
      <c r="D8" s="372"/>
      <c r="E8" s="373"/>
      <c r="F8" s="376"/>
      <c r="G8" s="376"/>
      <c r="H8" s="376"/>
      <c r="I8" s="376"/>
      <c r="J8" s="377"/>
    </row>
    <row r="9" spans="1:30" x14ac:dyDescent="0.2">
      <c r="A9" s="370">
        <f>A8+1</f>
        <v>1</v>
      </c>
      <c r="B9" s="378" t="s">
        <v>363</v>
      </c>
      <c r="C9" s="372"/>
      <c r="D9" s="372"/>
      <c r="E9" s="373"/>
      <c r="F9" s="379">
        <v>19151820.944557771</v>
      </c>
      <c r="G9" s="379">
        <v>5015233.7483511036</v>
      </c>
      <c r="H9" s="379">
        <f>F9+G9</f>
        <v>24167054.692908876</v>
      </c>
      <c r="I9" s="376"/>
      <c r="J9" s="380"/>
      <c r="K9" s="369"/>
    </row>
    <row r="10" spans="1:30" ht="15" x14ac:dyDescent="0.25">
      <c r="A10" s="370">
        <f>A9+1</f>
        <v>2</v>
      </c>
      <c r="B10" s="378" t="s">
        <v>364</v>
      </c>
      <c r="C10" s="372"/>
      <c r="D10" s="381">
        <v>1.1779965631080057E-3</v>
      </c>
      <c r="E10" s="382">
        <v>-6.7981964135746184E-3</v>
      </c>
      <c r="F10" s="383">
        <f>IF(D10&lt;0,0,D10)*F9</f>
        <v>22560.779249948973</v>
      </c>
      <c r="G10" s="383">
        <f>IF(E10&lt;0,0,E10)*G9</f>
        <v>0</v>
      </c>
      <c r="H10" s="383">
        <f>F10+G10</f>
        <v>22560.779249948973</v>
      </c>
      <c r="I10" s="376"/>
      <c r="J10" s="384"/>
      <c r="K10" s="369"/>
    </row>
    <row r="11" spans="1:30" x14ac:dyDescent="0.2">
      <c r="A11" s="370">
        <f t="shared" ref="A11:A33" si="0">A10+1</f>
        <v>3</v>
      </c>
      <c r="B11" s="385" t="s">
        <v>365</v>
      </c>
      <c r="C11" s="372"/>
      <c r="D11" s="386" t="s">
        <v>366</v>
      </c>
      <c r="E11" s="387"/>
      <c r="F11" s="388">
        <v>2383314.7976538851</v>
      </c>
      <c r="G11" s="388">
        <v>918790.82269792224</v>
      </c>
      <c r="H11" s="388">
        <f>F11+G11</f>
        <v>3302105.6203518072</v>
      </c>
      <c r="I11" s="389" t="s">
        <v>367</v>
      </c>
      <c r="J11" s="384"/>
      <c r="K11" s="369"/>
    </row>
    <row r="12" spans="1:30" x14ac:dyDescent="0.2">
      <c r="A12" s="370">
        <f t="shared" si="0"/>
        <v>4</v>
      </c>
      <c r="B12" s="378" t="s">
        <v>93</v>
      </c>
      <c r="C12" s="375"/>
      <c r="D12" s="390"/>
      <c r="E12" s="391"/>
      <c r="F12" s="392">
        <f>SUM(F9:F11)</f>
        <v>21557696.521461602</v>
      </c>
      <c r="G12" s="392">
        <f>SUM(G9:G11)</f>
        <v>5934024.5710490262</v>
      </c>
      <c r="H12" s="379">
        <f>SUM(H9:H11)</f>
        <v>27491721.092510629</v>
      </c>
      <c r="I12" s="393"/>
      <c r="J12" s="394"/>
    </row>
    <row r="13" spans="1:30" x14ac:dyDescent="0.2">
      <c r="A13" s="370">
        <f t="shared" si="0"/>
        <v>5</v>
      </c>
      <c r="B13" s="378"/>
      <c r="C13" s="375"/>
      <c r="D13" s="390"/>
      <c r="E13" s="391"/>
      <c r="F13" s="395"/>
      <c r="G13" s="395"/>
      <c r="H13" s="396"/>
      <c r="I13" s="393"/>
    </row>
    <row r="14" spans="1:30" x14ac:dyDescent="0.2">
      <c r="A14" s="370">
        <f t="shared" si="0"/>
        <v>6</v>
      </c>
      <c r="B14" s="378" t="s">
        <v>368</v>
      </c>
      <c r="C14" s="375"/>
      <c r="D14" s="390"/>
      <c r="E14" s="391"/>
      <c r="F14" s="395">
        <v>-243660.29381966731</v>
      </c>
      <c r="G14" s="395">
        <v>87825.401962933305</v>
      </c>
      <c r="H14" s="397">
        <f>SUM(F14:G14)</f>
        <v>-155834.891856734</v>
      </c>
      <c r="I14" s="393"/>
    </row>
    <row r="15" spans="1:30" x14ac:dyDescent="0.2">
      <c r="A15" s="370">
        <f t="shared" si="0"/>
        <v>7</v>
      </c>
      <c r="B15" s="398" t="s">
        <v>369</v>
      </c>
      <c r="C15" s="375"/>
      <c r="D15" s="375"/>
      <c r="E15" s="399"/>
      <c r="F15" s="397">
        <v>675972.95411333442</v>
      </c>
      <c r="G15" s="397">
        <v>49992.664219651371</v>
      </c>
      <c r="H15" s="397">
        <f>SUM(F15:G15)</f>
        <v>725965.61833298579</v>
      </c>
      <c r="I15" s="393"/>
      <c r="J15" s="375"/>
    </row>
    <row r="16" spans="1:30" x14ac:dyDescent="0.2">
      <c r="A16" s="370">
        <f t="shared" si="0"/>
        <v>8</v>
      </c>
      <c r="B16" s="400" t="s">
        <v>94</v>
      </c>
      <c r="C16" s="375"/>
      <c r="D16" s="401">
        <v>0.8</v>
      </c>
      <c r="E16" s="401">
        <v>0.2</v>
      </c>
      <c r="F16" s="397">
        <f>H16*D16</f>
        <v>-670254.86400000006</v>
      </c>
      <c r="G16" s="397">
        <f>H16*E16</f>
        <v>-167563.71600000001</v>
      </c>
      <c r="H16" s="397">
        <v>-837818.58</v>
      </c>
      <c r="I16" s="393"/>
      <c r="J16" s="375"/>
      <c r="K16" s="402"/>
    </row>
    <row r="17" spans="1:11" x14ac:dyDescent="0.2">
      <c r="A17" s="370">
        <f t="shared" si="0"/>
        <v>9</v>
      </c>
      <c r="B17" s="378" t="s">
        <v>370</v>
      </c>
      <c r="C17" s="375"/>
      <c r="D17" s="401"/>
      <c r="E17" s="403"/>
      <c r="F17" s="397">
        <v>4499999.9999999991</v>
      </c>
      <c r="G17" s="397">
        <v>0</v>
      </c>
      <c r="H17" s="397">
        <f>SUM(F17:G17)</f>
        <v>4499999.9999999991</v>
      </c>
      <c r="I17" s="393"/>
      <c r="J17" s="375"/>
      <c r="K17" s="402"/>
    </row>
    <row r="18" spans="1:11" ht="15" x14ac:dyDescent="0.25">
      <c r="A18" s="370">
        <f t="shared" si="0"/>
        <v>10</v>
      </c>
      <c r="B18" s="404" t="s">
        <v>371</v>
      </c>
      <c r="C18" s="372"/>
      <c r="D18" s="381"/>
      <c r="E18" s="382"/>
      <c r="F18" s="405">
        <v>-1724915.8399999999</v>
      </c>
      <c r="G18" s="406">
        <v>0</v>
      </c>
      <c r="H18" s="406">
        <f>SUM(F18:G18)</f>
        <v>-1724915.8399999999</v>
      </c>
      <c r="I18" s="393"/>
      <c r="J18" s="375"/>
      <c r="K18" s="402"/>
    </row>
    <row r="19" spans="1:11" x14ac:dyDescent="0.2">
      <c r="A19" s="370">
        <f t="shared" si="0"/>
        <v>11</v>
      </c>
      <c r="B19" s="375"/>
      <c r="C19" s="375"/>
      <c r="D19" s="375"/>
      <c r="E19" s="407"/>
      <c r="F19" s="408"/>
      <c r="G19" s="408"/>
      <c r="H19" s="408"/>
      <c r="I19" s="393"/>
      <c r="J19" s="375"/>
      <c r="K19" s="409"/>
    </row>
    <row r="20" spans="1:11" ht="14.1" customHeight="1" x14ac:dyDescent="0.2">
      <c r="A20" s="370">
        <f t="shared" si="0"/>
        <v>12</v>
      </c>
      <c r="B20" s="398" t="s">
        <v>372</v>
      </c>
      <c r="C20" s="375"/>
      <c r="D20" s="352"/>
      <c r="E20" s="352"/>
      <c r="F20" s="410">
        <f>SUM(F12:F18)</f>
        <v>24094838.477755271</v>
      </c>
      <c r="G20" s="410">
        <f>SUM(G12:G18)</f>
        <v>5904278.9212316107</v>
      </c>
      <c r="H20" s="410">
        <f>SUM(H12:H18)</f>
        <v>29999117.398986883</v>
      </c>
      <c r="I20" s="393"/>
      <c r="K20" s="409"/>
    </row>
    <row r="21" spans="1:11" ht="14.1" customHeight="1" x14ac:dyDescent="0.2">
      <c r="A21" s="370">
        <f t="shared" si="0"/>
        <v>13</v>
      </c>
      <c r="B21" s="400"/>
      <c r="C21" s="375"/>
      <c r="D21" s="375"/>
      <c r="E21" s="407"/>
      <c r="F21" s="411"/>
      <c r="G21" s="411"/>
      <c r="H21" s="411"/>
      <c r="I21" s="393"/>
    </row>
    <row r="22" spans="1:11" ht="14.1" customHeight="1" x14ac:dyDescent="0.2">
      <c r="A22" s="370">
        <f t="shared" si="0"/>
        <v>14</v>
      </c>
      <c r="B22" s="412" t="s">
        <v>71</v>
      </c>
      <c r="C22" s="375"/>
      <c r="D22" s="375"/>
      <c r="E22" s="407"/>
      <c r="F22" s="411"/>
      <c r="G22" s="411"/>
      <c r="H22" s="411"/>
      <c r="I22" s="393"/>
    </row>
    <row r="23" spans="1:11" ht="14.1" customHeight="1" x14ac:dyDescent="0.2">
      <c r="A23" s="370">
        <f t="shared" si="0"/>
        <v>15</v>
      </c>
      <c r="B23" s="400" t="s">
        <v>373</v>
      </c>
      <c r="C23" s="375"/>
      <c r="D23" s="375"/>
      <c r="E23" s="407"/>
      <c r="F23" s="413">
        <v>8.4790000000000004E-3</v>
      </c>
      <c r="G23" s="413">
        <v>5.1240000000000001E-3</v>
      </c>
      <c r="H23" s="411"/>
      <c r="I23" s="407"/>
    </row>
    <row r="24" spans="1:11" ht="14.1" customHeight="1" x14ac:dyDescent="0.2">
      <c r="A24" s="370">
        <f t="shared" si="0"/>
        <v>16</v>
      </c>
      <c r="B24" s="400" t="s">
        <v>70</v>
      </c>
      <c r="C24" s="375"/>
      <c r="D24" s="375"/>
      <c r="E24" s="407"/>
      <c r="F24" s="413">
        <v>2E-3</v>
      </c>
      <c r="G24" s="413">
        <v>2E-3</v>
      </c>
      <c r="H24" s="411"/>
      <c r="I24" s="407"/>
    </row>
    <row r="25" spans="1:11" ht="14.1" customHeight="1" x14ac:dyDescent="0.2">
      <c r="A25" s="370">
        <f t="shared" si="0"/>
        <v>17</v>
      </c>
      <c r="B25" s="400" t="s">
        <v>69</v>
      </c>
      <c r="C25" s="375"/>
      <c r="D25" s="375"/>
      <c r="E25" s="407"/>
      <c r="F25" s="413">
        <v>3.8406000000000003E-2</v>
      </c>
      <c r="G25" s="413">
        <v>3.8323000000000003E-2</v>
      </c>
      <c r="H25" s="411"/>
      <c r="I25" s="407"/>
    </row>
    <row r="26" spans="1:11" ht="14.1" customHeight="1" x14ac:dyDescent="0.2">
      <c r="A26" s="370">
        <f t="shared" si="0"/>
        <v>18</v>
      </c>
      <c r="B26" s="400"/>
      <c r="C26" s="375"/>
      <c r="D26" s="375"/>
      <c r="E26" s="407"/>
      <c r="F26" s="414"/>
      <c r="G26" s="414"/>
      <c r="H26" s="411"/>
      <c r="I26" s="407"/>
    </row>
    <row r="27" spans="1:11" ht="14.1" customHeight="1" x14ac:dyDescent="0.2">
      <c r="A27" s="370">
        <f t="shared" si="0"/>
        <v>19</v>
      </c>
      <c r="B27" s="398" t="s">
        <v>197</v>
      </c>
      <c r="C27" s="375"/>
      <c r="D27" s="375"/>
      <c r="E27" s="407"/>
      <c r="F27" s="415">
        <f>1-SUM(F23:F25)</f>
        <v>0.95111500000000004</v>
      </c>
      <c r="G27" s="415">
        <f>1-SUM(G23:G25)</f>
        <v>0.95455299999999998</v>
      </c>
      <c r="H27" s="416"/>
      <c r="I27" s="407"/>
    </row>
    <row r="28" spans="1:11" ht="14.1" customHeight="1" x14ac:dyDescent="0.2">
      <c r="A28" s="370">
        <f t="shared" si="0"/>
        <v>20</v>
      </c>
      <c r="B28" s="400"/>
      <c r="C28" s="375"/>
      <c r="D28" s="375"/>
      <c r="E28" s="407"/>
      <c r="F28" s="411"/>
      <c r="G28" s="411"/>
      <c r="H28" s="411"/>
      <c r="I28" s="407"/>
    </row>
    <row r="29" spans="1:11" ht="14.1" customHeight="1" x14ac:dyDescent="0.2">
      <c r="A29" s="370">
        <f t="shared" si="0"/>
        <v>21</v>
      </c>
      <c r="B29" s="398" t="s">
        <v>198</v>
      </c>
      <c r="C29" s="375"/>
      <c r="D29" s="375"/>
      <c r="E29" s="407"/>
      <c r="F29" s="410">
        <f>F20/F27</f>
        <v>25333254.630360439</v>
      </c>
      <c r="G29" s="410">
        <f>G20/G27</f>
        <v>6185386.1663329443</v>
      </c>
      <c r="H29" s="410">
        <f>SUM(F29:G29)</f>
        <v>31518640.796693385</v>
      </c>
      <c r="I29" s="407"/>
    </row>
    <row r="30" spans="1:11" ht="14.1" customHeight="1" x14ac:dyDescent="0.2">
      <c r="A30" s="370">
        <f t="shared" si="0"/>
        <v>22</v>
      </c>
      <c r="B30" s="400"/>
      <c r="C30" s="375"/>
      <c r="D30" s="375"/>
      <c r="E30" s="407"/>
      <c r="F30" s="417"/>
      <c r="G30" s="417"/>
      <c r="H30" s="417"/>
      <c r="I30" s="407"/>
    </row>
    <row r="31" spans="1:11" ht="14.1" customHeight="1" x14ac:dyDescent="0.2">
      <c r="A31" s="370">
        <f t="shared" si="0"/>
        <v>23</v>
      </c>
      <c r="B31" s="398" t="s">
        <v>374</v>
      </c>
      <c r="C31" s="375"/>
      <c r="D31" s="375"/>
      <c r="E31" s="375"/>
      <c r="F31" s="418">
        <v>20659545.214275822</v>
      </c>
      <c r="G31" s="418">
        <v>5359731.5322091393</v>
      </c>
      <c r="H31" s="419">
        <f>SUM(F31:G31)</f>
        <v>26019276.746484961</v>
      </c>
      <c r="I31" s="407"/>
      <c r="K31" s="402"/>
    </row>
    <row r="32" spans="1:11" x14ac:dyDescent="0.2">
      <c r="A32" s="370">
        <f t="shared" si="0"/>
        <v>24</v>
      </c>
      <c r="B32" s="420"/>
      <c r="C32" s="421"/>
      <c r="D32" s="421"/>
      <c r="E32" s="421"/>
      <c r="F32" s="422"/>
      <c r="G32" s="422"/>
      <c r="H32" s="422"/>
      <c r="I32" s="407"/>
    </row>
    <row r="33" spans="1:11" ht="13.5" thickBot="1" x14ac:dyDescent="0.25">
      <c r="A33" s="370">
        <f t="shared" si="0"/>
        <v>25</v>
      </c>
      <c r="B33" s="423" t="s">
        <v>189</v>
      </c>
      <c r="C33" s="424"/>
      <c r="D33" s="424"/>
      <c r="E33" s="425"/>
      <c r="F33" s="426">
        <f>F29-F31</f>
        <v>4673709.4160846174</v>
      </c>
      <c r="G33" s="426">
        <f>G29-G31</f>
        <v>825654.63412380498</v>
      </c>
      <c r="H33" s="426">
        <f>H29-H31</f>
        <v>5499364.0502084233</v>
      </c>
      <c r="I33" s="427"/>
    </row>
    <row r="34" spans="1:11" ht="13.5" thickTop="1" x14ac:dyDescent="0.2">
      <c r="A34" s="372"/>
      <c r="B34" s="372"/>
      <c r="C34" s="375"/>
      <c r="D34" s="375"/>
      <c r="E34" s="375"/>
      <c r="F34" s="375"/>
      <c r="G34" s="375"/>
      <c r="H34" s="375"/>
      <c r="I34" s="352"/>
    </row>
    <row r="35" spans="1:11" ht="14.1" customHeight="1" x14ac:dyDescent="0.2">
      <c r="B35" s="372"/>
      <c r="C35" s="375"/>
      <c r="D35" s="375"/>
      <c r="E35" s="375"/>
      <c r="F35" s="428"/>
      <c r="G35" s="428"/>
      <c r="H35" s="429"/>
      <c r="I35" s="352"/>
    </row>
    <row r="36" spans="1:11" ht="14.1" customHeight="1" x14ac:dyDescent="0.2">
      <c r="A36" s="430" t="s">
        <v>375</v>
      </c>
      <c r="B36" s="372"/>
      <c r="C36" s="375"/>
      <c r="D36" s="375"/>
      <c r="E36" s="375"/>
      <c r="F36" s="428"/>
      <c r="G36" s="428"/>
      <c r="H36" s="429"/>
      <c r="I36" s="352"/>
    </row>
    <row r="37" spans="1:11" ht="14.1" customHeight="1" x14ac:dyDescent="0.2">
      <c r="A37" s="431" t="s">
        <v>376</v>
      </c>
      <c r="B37" s="372"/>
      <c r="C37" s="375"/>
      <c r="D37" s="375"/>
      <c r="E37" s="375"/>
      <c r="F37" s="428"/>
      <c r="G37" s="428"/>
      <c r="H37" s="429"/>
      <c r="I37" s="352"/>
    </row>
    <row r="38" spans="1:11" ht="14.1" customHeight="1" x14ac:dyDescent="0.2">
      <c r="B38" s="372"/>
      <c r="C38" s="375"/>
      <c r="D38" s="375"/>
      <c r="E38" s="375"/>
      <c r="F38" s="428"/>
      <c r="G38" s="428"/>
      <c r="H38" s="429"/>
      <c r="I38" s="352"/>
    </row>
    <row r="39" spans="1:11" ht="14.1" customHeight="1" thickBot="1" x14ac:dyDescent="0.25">
      <c r="A39" s="432" t="s">
        <v>68</v>
      </c>
      <c r="B39" s="352"/>
      <c r="C39" s="375"/>
      <c r="D39" s="375"/>
      <c r="E39" s="375"/>
      <c r="F39" s="433" t="s">
        <v>67</v>
      </c>
      <c r="G39" s="433" t="s">
        <v>66</v>
      </c>
      <c r="H39" s="434" t="s">
        <v>65</v>
      </c>
    </row>
    <row r="40" spans="1:11" ht="14.1" customHeight="1" x14ac:dyDescent="0.2">
      <c r="A40" s="435"/>
      <c r="B40" s="352"/>
      <c r="C40" s="375"/>
      <c r="D40" s="375"/>
      <c r="E40" s="375"/>
      <c r="F40" s="436"/>
      <c r="G40" s="436"/>
      <c r="H40" s="428"/>
    </row>
    <row r="41" spans="1:11" ht="14.1" customHeight="1" x14ac:dyDescent="0.2">
      <c r="A41" s="385"/>
      <c r="C41" s="375"/>
      <c r="D41" s="375"/>
      <c r="E41" s="375"/>
      <c r="F41" s="437"/>
      <c r="G41" s="437"/>
      <c r="H41" s="437"/>
      <c r="J41" s="438"/>
    </row>
    <row r="42" spans="1:11" ht="14.1" customHeight="1" x14ac:dyDescent="0.2">
      <c r="A42" s="385" t="s">
        <v>377</v>
      </c>
      <c r="C42" s="375"/>
      <c r="D42" s="375"/>
      <c r="E42" s="375"/>
      <c r="F42" s="437">
        <v>2544562.6264039325</v>
      </c>
      <c r="G42" s="437">
        <v>962436.98139292421</v>
      </c>
      <c r="H42" s="437">
        <f t="shared" ref="H42:H47" si="1">SUM(F42:G42)</f>
        <v>3506999.6077968567</v>
      </c>
      <c r="J42" s="438"/>
      <c r="K42" s="402"/>
    </row>
    <row r="43" spans="1:11" ht="14.1" customHeight="1" x14ac:dyDescent="0.2">
      <c r="A43" s="378" t="s">
        <v>368</v>
      </c>
      <c r="C43" s="375"/>
      <c r="D43" s="375"/>
      <c r="E43" s="375"/>
      <c r="F43" s="437">
        <v>-257706.12709325037</v>
      </c>
      <c r="G43" s="437">
        <v>91997.452158505184</v>
      </c>
      <c r="H43" s="437">
        <f t="shared" si="1"/>
        <v>-165708.67493474518</v>
      </c>
      <c r="J43" s="438"/>
      <c r="K43" s="402"/>
    </row>
    <row r="44" spans="1:11" ht="25.5" customHeight="1" x14ac:dyDescent="0.2">
      <c r="A44" s="531" t="s">
        <v>380</v>
      </c>
      <c r="B44" s="531"/>
      <c r="C44" s="531"/>
      <c r="D44" s="531"/>
      <c r="E44" s="531"/>
      <c r="F44" s="439">
        <v>-688232.58598293783</v>
      </c>
      <c r="G44" s="439">
        <v>-263451.92961995857</v>
      </c>
      <c r="H44" s="439">
        <f t="shared" si="1"/>
        <v>-951684.51560289646</v>
      </c>
      <c r="J44" s="438"/>
    </row>
    <row r="45" spans="1:11" x14ac:dyDescent="0.2">
      <c r="A45" s="435" t="s">
        <v>95</v>
      </c>
      <c r="C45" s="352"/>
      <c r="D45" s="352"/>
      <c r="E45" s="352"/>
      <c r="F45" s="437">
        <v>140031.21048588061</v>
      </c>
      <c r="G45" s="437">
        <v>34672.130192334203</v>
      </c>
      <c r="H45" s="440">
        <f t="shared" si="1"/>
        <v>174703.34067821482</v>
      </c>
      <c r="J45" s="438"/>
    </row>
    <row r="46" spans="1:11" x14ac:dyDescent="0.2">
      <c r="A46" s="378" t="s">
        <v>378</v>
      </c>
      <c r="C46" s="352"/>
      <c r="D46" s="352"/>
      <c r="E46" s="352"/>
      <c r="F46" s="437">
        <v>4759403.1581440279</v>
      </c>
      <c r="G46" s="437">
        <v>0</v>
      </c>
      <c r="H46" s="440">
        <f t="shared" si="1"/>
        <v>4759403.1581440279</v>
      </c>
      <c r="J46" s="438"/>
    </row>
    <row r="47" spans="1:11" x14ac:dyDescent="0.2">
      <c r="A47" s="435" t="s">
        <v>379</v>
      </c>
      <c r="C47" s="352"/>
      <c r="D47" s="352"/>
      <c r="E47" s="352"/>
      <c r="F47" s="437">
        <v>-1824348.8658730357</v>
      </c>
      <c r="G47" s="437">
        <v>0</v>
      </c>
      <c r="H47" s="440">
        <f t="shared" si="1"/>
        <v>-1824348.8658730357</v>
      </c>
      <c r="J47" s="438"/>
    </row>
    <row r="48" spans="1:11" x14ac:dyDescent="0.2">
      <c r="A48" s="352"/>
      <c r="B48" s="352"/>
      <c r="C48" s="352"/>
      <c r="D48" s="352"/>
      <c r="E48" s="352"/>
      <c r="F48" s="437"/>
      <c r="G48" s="437"/>
      <c r="H48" s="440"/>
      <c r="J48" s="438"/>
    </row>
    <row r="49" spans="1:11" ht="13.5" thickBot="1" x14ac:dyDescent="0.25">
      <c r="A49" s="441" t="s">
        <v>64</v>
      </c>
      <c r="B49" s="352"/>
      <c r="C49" s="352"/>
      <c r="D49" s="352"/>
      <c r="E49" s="352"/>
      <c r="F49" s="442">
        <f>SUM(F41:F48)</f>
        <v>4673709.4160846164</v>
      </c>
      <c r="G49" s="442">
        <f>SUM(G41:G48)</f>
        <v>825654.63412380486</v>
      </c>
      <c r="H49" s="442">
        <f>SUM(H41:H48)</f>
        <v>5499364.0502084224</v>
      </c>
      <c r="K49" s="402"/>
    </row>
    <row r="50" spans="1:11" ht="13.5" thickTop="1" x14ac:dyDescent="0.2">
      <c r="B50" s="352"/>
      <c r="C50" s="352"/>
      <c r="D50" s="352"/>
      <c r="E50" s="352"/>
      <c r="I50" s="352"/>
    </row>
    <row r="51" spans="1:11" x14ac:dyDescent="0.2">
      <c r="B51" s="352"/>
      <c r="C51" s="352"/>
      <c r="D51" s="352"/>
      <c r="E51" s="352"/>
      <c r="I51" s="352"/>
      <c r="K51" s="402"/>
    </row>
    <row r="52" spans="1:11" x14ac:dyDescent="0.2">
      <c r="A52" s="352"/>
      <c r="B52" s="352"/>
      <c r="C52" s="352"/>
      <c r="D52" s="352"/>
      <c r="E52" s="352"/>
      <c r="F52" s="443"/>
      <c r="G52" s="443"/>
      <c r="J52" s="444"/>
    </row>
    <row r="53" spans="1:11" x14ac:dyDescent="0.2">
      <c r="A53" s="352"/>
      <c r="B53" s="352"/>
      <c r="C53" s="352"/>
      <c r="D53" s="352"/>
      <c r="E53" s="352"/>
      <c r="F53" s="443"/>
      <c r="G53" s="443"/>
      <c r="J53" s="444"/>
    </row>
    <row r="54" spans="1:11" x14ac:dyDescent="0.2">
      <c r="A54" s="352"/>
      <c r="B54" s="352"/>
      <c r="C54" s="445"/>
      <c r="D54" s="445"/>
      <c r="E54" s="352"/>
    </row>
    <row r="55" spans="1:11" x14ac:dyDescent="0.2">
      <c r="A55" s="352"/>
      <c r="B55" s="352"/>
      <c r="C55" s="352"/>
      <c r="D55" s="352"/>
      <c r="E55" s="352"/>
    </row>
    <row r="56" spans="1:11" x14ac:dyDescent="0.2">
      <c r="C56" s="446"/>
      <c r="D56" s="446"/>
      <c r="K56" s="402"/>
    </row>
    <row r="57" spans="1:11" x14ac:dyDescent="0.2">
      <c r="C57" s="447"/>
      <c r="D57" s="447"/>
    </row>
  </sheetData>
  <mergeCells count="1">
    <mergeCell ref="A44:E44"/>
  </mergeCells>
  <printOptions horizontalCentered="1"/>
  <pageMargins left="0.5" right="0.5" top="0.28000000000000003" bottom="0.52" header="0.36" footer="0.42"/>
  <pageSetup scale="65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44"/>
  <sheetViews>
    <sheetView topLeftCell="B1" zoomScale="90" zoomScaleNormal="90" workbookViewId="0">
      <pane xSplit="3" ySplit="7" topLeftCell="E8" activePane="bottomRight" state="frozen"/>
      <selection activeCell="P36" sqref="P36"/>
      <selection pane="topRight" activeCell="P36" sqref="P36"/>
      <selection pane="bottomLeft" activeCell="P36" sqref="P36"/>
      <selection pane="bottomRight" activeCell="U33" sqref="U33"/>
    </sheetView>
  </sheetViews>
  <sheetFormatPr defaultColWidth="9.140625" defaultRowHeight="15" x14ac:dyDescent="0.25"/>
  <cols>
    <col min="1" max="1" width="3.140625" style="197" customWidth="1"/>
    <col min="2" max="2" width="2.85546875" style="197" customWidth="1"/>
    <col min="3" max="3" width="30.28515625" style="291" customWidth="1"/>
    <col min="4" max="4" width="9.85546875" style="291" bestFit="1" customWidth="1"/>
    <col min="5" max="5" width="13.28515625" style="291" bestFit="1" customWidth="1"/>
    <col min="6" max="6" width="10.7109375" style="291" bestFit="1" customWidth="1"/>
    <col min="7" max="7" width="16" style="291" bestFit="1" customWidth="1"/>
    <col min="8" max="8" width="2.42578125" style="197" customWidth="1"/>
    <col min="9" max="9" width="10.7109375" style="127" bestFit="1" customWidth="1"/>
    <col min="10" max="10" width="16" style="197" bestFit="1" customWidth="1"/>
    <col min="11" max="11" width="2.42578125" style="197" customWidth="1"/>
    <col min="12" max="12" width="12.5703125" style="197" bestFit="1" customWidth="1"/>
    <col min="13" max="13" width="7.85546875" style="197" bestFit="1" customWidth="1"/>
    <col min="14" max="14" width="2.42578125" style="197" customWidth="1"/>
    <col min="15" max="15" width="15.7109375" style="197" customWidth="1"/>
    <col min="16" max="16" width="2.42578125" style="197" customWidth="1"/>
    <col min="17" max="17" width="15.5703125" style="197" bestFit="1" customWidth="1"/>
    <col min="18" max="16384" width="9.140625" style="197"/>
  </cols>
  <sheetData>
    <row r="1" spans="2:29" x14ac:dyDescent="0.25">
      <c r="B1" s="532" t="s">
        <v>13</v>
      </c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194"/>
      <c r="S1" s="194"/>
      <c r="T1" s="195"/>
      <c r="U1" s="194"/>
      <c r="V1" s="194"/>
      <c r="W1" s="194"/>
      <c r="X1" s="194"/>
      <c r="Y1" s="194"/>
      <c r="Z1" s="194"/>
      <c r="AA1" s="196"/>
      <c r="AB1" s="196"/>
      <c r="AC1" s="196"/>
    </row>
    <row r="2" spans="2:29" x14ac:dyDescent="0.25">
      <c r="B2" s="532" t="s">
        <v>199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194"/>
      <c r="S2" s="194"/>
      <c r="T2" s="195"/>
      <c r="U2" s="194"/>
      <c r="V2" s="194"/>
      <c r="W2" s="194"/>
      <c r="X2" s="194"/>
      <c r="Y2" s="194"/>
      <c r="Z2" s="194"/>
      <c r="AA2" s="196"/>
      <c r="AB2" s="196"/>
      <c r="AC2" s="196"/>
    </row>
    <row r="3" spans="2:29" x14ac:dyDescent="0.25">
      <c r="B3" s="532" t="s">
        <v>200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198"/>
      <c r="S3" s="194"/>
      <c r="T3" s="195"/>
      <c r="U3" s="194"/>
      <c r="V3" s="194"/>
      <c r="W3" s="194"/>
      <c r="X3" s="194"/>
      <c r="Y3" s="194"/>
      <c r="Z3" s="194"/>
      <c r="AA3" s="196"/>
      <c r="AB3" s="196"/>
      <c r="AC3" s="196"/>
    </row>
    <row r="4" spans="2:29" x14ac:dyDescent="0.25">
      <c r="B4" s="533" t="s">
        <v>201</v>
      </c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199"/>
      <c r="S4" s="199"/>
      <c r="T4" s="200"/>
      <c r="U4" s="199"/>
      <c r="V4" s="199"/>
      <c r="W4" s="199"/>
      <c r="X4" s="199"/>
      <c r="Y4" s="199"/>
      <c r="Z4" s="199"/>
      <c r="AA4" s="201"/>
      <c r="AB4" s="201"/>
      <c r="AC4" s="201"/>
    </row>
    <row r="5" spans="2:29" x14ac:dyDescent="0.25">
      <c r="B5" s="202"/>
      <c r="C5" s="202"/>
      <c r="D5" s="202"/>
      <c r="E5" s="202"/>
      <c r="F5" s="202"/>
      <c r="G5" s="202"/>
      <c r="H5" s="203"/>
      <c r="I5" s="203"/>
      <c r="J5" s="203"/>
      <c r="K5" s="203"/>
      <c r="L5" s="203"/>
      <c r="M5" s="203"/>
      <c r="N5" s="203"/>
      <c r="O5" s="132" t="s">
        <v>202</v>
      </c>
      <c r="P5" s="204"/>
      <c r="Q5" s="204"/>
      <c r="R5" s="199"/>
      <c r="S5" s="199"/>
      <c r="T5" s="200"/>
      <c r="U5" s="199"/>
      <c r="V5" s="199"/>
      <c r="W5" s="199"/>
      <c r="X5" s="199"/>
      <c r="Y5" s="199"/>
      <c r="Z5" s="199"/>
      <c r="AA5" s="201"/>
      <c r="AB5" s="201"/>
      <c r="AC5" s="201"/>
    </row>
    <row r="6" spans="2:29" s="127" customFormat="1" x14ac:dyDescent="0.25">
      <c r="C6" s="132"/>
      <c r="D6" s="132"/>
      <c r="E6" s="205" t="s">
        <v>203</v>
      </c>
      <c r="F6" s="129" t="s">
        <v>204</v>
      </c>
      <c r="G6" s="206"/>
      <c r="H6" s="207"/>
      <c r="I6" s="129" t="s">
        <v>28</v>
      </c>
      <c r="J6" s="206"/>
      <c r="K6" s="153"/>
      <c r="L6" s="129" t="s">
        <v>122</v>
      </c>
      <c r="M6" s="129"/>
      <c r="N6" s="130"/>
      <c r="O6" s="183" t="s">
        <v>205</v>
      </c>
      <c r="P6" s="132"/>
      <c r="Q6" s="132" t="s">
        <v>206</v>
      </c>
      <c r="R6" s="153"/>
      <c r="S6" s="153"/>
      <c r="T6" s="153"/>
      <c r="U6" s="153"/>
      <c r="V6" s="153"/>
      <c r="W6" s="153"/>
      <c r="X6" s="153"/>
      <c r="Y6" s="153"/>
      <c r="Z6" s="153"/>
    </row>
    <row r="7" spans="2:29" s="127" customFormat="1" x14ac:dyDescent="0.25">
      <c r="B7" s="208"/>
      <c r="C7" s="131" t="s">
        <v>207</v>
      </c>
      <c r="D7" s="131" t="s">
        <v>208</v>
      </c>
      <c r="E7" s="209" t="s">
        <v>209</v>
      </c>
      <c r="F7" s="131" t="s">
        <v>169</v>
      </c>
      <c r="G7" s="210" t="s">
        <v>210</v>
      </c>
      <c r="H7" s="211"/>
      <c r="I7" s="209" t="s">
        <v>169</v>
      </c>
      <c r="J7" s="210" t="s">
        <v>210</v>
      </c>
      <c r="K7" s="153"/>
      <c r="L7" s="212" t="s">
        <v>6</v>
      </c>
      <c r="M7" s="213" t="s">
        <v>117</v>
      </c>
      <c r="N7" s="214"/>
      <c r="O7" s="131" t="s">
        <v>211</v>
      </c>
      <c r="P7" s="132"/>
      <c r="Q7" s="131" t="s">
        <v>122</v>
      </c>
      <c r="R7" s="153"/>
      <c r="S7" s="153"/>
      <c r="T7" s="153"/>
      <c r="U7" s="153"/>
      <c r="V7" s="153"/>
      <c r="W7" s="153"/>
      <c r="X7" s="153"/>
      <c r="Y7" s="153"/>
      <c r="Z7" s="153"/>
    </row>
    <row r="8" spans="2:29" s="127" customFormat="1" x14ac:dyDescent="0.25">
      <c r="B8" s="215" t="s">
        <v>212</v>
      </c>
      <c r="D8" s="215"/>
      <c r="E8" s="216"/>
      <c r="F8" s="216"/>
      <c r="G8" s="217"/>
      <c r="H8" s="218"/>
      <c r="I8" s="216"/>
      <c r="J8" s="217"/>
      <c r="K8" s="153"/>
      <c r="L8" s="153"/>
      <c r="M8" s="153"/>
      <c r="N8" s="214"/>
      <c r="O8" s="153"/>
      <c r="P8" s="214"/>
      <c r="R8" s="153"/>
      <c r="S8" s="153"/>
      <c r="T8" s="153"/>
      <c r="U8" s="153"/>
      <c r="V8" s="153"/>
      <c r="W8" s="153"/>
      <c r="X8" s="153"/>
      <c r="Y8" s="153"/>
      <c r="Z8" s="153"/>
    </row>
    <row r="9" spans="2:29" s="127" customFormat="1" x14ac:dyDescent="0.25">
      <c r="C9" s="219" t="s">
        <v>213</v>
      </c>
      <c r="D9" s="219" t="s">
        <v>214</v>
      </c>
      <c r="E9" s="220">
        <v>9329676.0139058214</v>
      </c>
      <c r="F9" s="221">
        <v>11</v>
      </c>
      <c r="G9" s="217">
        <f>ROUND(SUM(+$E9*F9),2)</f>
        <v>102626436.15000001</v>
      </c>
      <c r="H9" s="218"/>
      <c r="I9" s="222">
        <f>ROUND(F9*(1+Q14),2)</f>
        <v>11.52</v>
      </c>
      <c r="J9" s="217">
        <f>SUM(+$E9*I9)</f>
        <v>107477867.68019506</v>
      </c>
      <c r="K9" s="153"/>
      <c r="L9" s="223">
        <f>J9-G9</f>
        <v>4851431.5301950574</v>
      </c>
      <c r="M9" s="224">
        <f>IF(G9&lt;&gt;0,L9/G9,0)</f>
        <v>4.7272727302974334E-2</v>
      </c>
      <c r="N9" s="224"/>
      <c r="O9" s="225">
        <f>I9-F9</f>
        <v>0.51999999999999957</v>
      </c>
      <c r="P9" s="153"/>
      <c r="Q9" s="226" t="s">
        <v>215</v>
      </c>
      <c r="R9" s="153"/>
      <c r="S9" s="153"/>
      <c r="T9" s="153"/>
      <c r="U9" s="153"/>
      <c r="V9" s="153"/>
      <c r="W9" s="153"/>
      <c r="X9" s="153"/>
      <c r="Y9" s="153"/>
      <c r="Z9" s="153"/>
    </row>
    <row r="10" spans="2:29" s="127" customFormat="1" x14ac:dyDescent="0.25">
      <c r="C10" s="128" t="s">
        <v>216</v>
      </c>
      <c r="D10" s="128" t="s">
        <v>217</v>
      </c>
      <c r="E10" s="220">
        <v>603105552.93699992</v>
      </c>
      <c r="F10" s="227">
        <v>0.34603</v>
      </c>
      <c r="G10" s="217">
        <f>ROUND($E10*F10,2)</f>
        <v>208692614.47999999</v>
      </c>
      <c r="H10" s="128"/>
      <c r="I10" s="228">
        <f>ROUND(F10*(1+Q14),5)</f>
        <v>0.36247000000000001</v>
      </c>
      <c r="J10" s="217">
        <f>ROUND($E10*I10,2)</f>
        <v>218607669.77000001</v>
      </c>
      <c r="L10" s="223">
        <f>J10-G10</f>
        <v>9915055.2900000215</v>
      </c>
      <c r="M10" s="224">
        <f>IF(G10&lt;&gt;0,L10/G10,0)</f>
        <v>4.7510331473422741E-2</v>
      </c>
      <c r="N10" s="224"/>
      <c r="O10" s="229">
        <f>I10-F10</f>
        <v>1.644000000000001E-2</v>
      </c>
      <c r="Q10" s="230">
        <v>27829294.072001942</v>
      </c>
    </row>
    <row r="11" spans="2:29" s="127" customFormat="1" x14ac:dyDescent="0.25">
      <c r="C11" s="231" t="s">
        <v>218</v>
      </c>
      <c r="D11" s="231"/>
      <c r="E11" s="232"/>
      <c r="F11" s="216"/>
      <c r="G11" s="233">
        <f>SUM(G9:G10)</f>
        <v>311319050.63</v>
      </c>
      <c r="H11" s="128"/>
      <c r="I11" s="216"/>
      <c r="J11" s="233">
        <f>SUM(J9:J10)</f>
        <v>326085537.45019507</v>
      </c>
      <c r="L11" s="233">
        <f>SUM(L9:L10)</f>
        <v>14766486.820195079</v>
      </c>
      <c r="M11" s="224">
        <f>IF(G11&lt;&gt;0,L11/G11,0)</f>
        <v>4.7432005173833454E-2</v>
      </c>
      <c r="N11" s="224"/>
      <c r="Q11" s="234" t="s">
        <v>219</v>
      </c>
    </row>
    <row r="12" spans="2:29" s="127" customFormat="1" x14ac:dyDescent="0.25">
      <c r="C12" s="231"/>
      <c r="D12" s="231"/>
      <c r="E12" s="235"/>
      <c r="F12" s="216"/>
      <c r="G12" s="217"/>
      <c r="H12" s="236"/>
      <c r="I12" s="216"/>
      <c r="J12" s="217"/>
      <c r="Q12" s="237">
        <f>L11+L16+L19-Q10</f>
        <v>-13062566.245087752</v>
      </c>
      <c r="T12" s="128"/>
    </row>
    <row r="13" spans="2:29" s="127" customFormat="1" x14ac:dyDescent="0.25">
      <c r="B13" s="238" t="s">
        <v>220</v>
      </c>
      <c r="D13" s="238"/>
      <c r="E13" s="216"/>
      <c r="F13" s="216"/>
      <c r="G13" s="217"/>
      <c r="H13" s="128"/>
      <c r="I13" s="216"/>
      <c r="J13" s="217"/>
      <c r="Q13" s="234" t="s">
        <v>221</v>
      </c>
      <c r="T13" s="128"/>
    </row>
    <row r="14" spans="2:29" s="239" customFormat="1" x14ac:dyDescent="0.25">
      <c r="C14" s="219" t="s">
        <v>213</v>
      </c>
      <c r="D14" s="219" t="s">
        <v>214</v>
      </c>
      <c r="E14" s="220">
        <v>7.5321521335807056</v>
      </c>
      <c r="F14" s="222">
        <f>F9</f>
        <v>11</v>
      </c>
      <c r="G14" s="240">
        <f>SUM($E14*F14)</f>
        <v>82.853673469387758</v>
      </c>
      <c r="H14" s="241"/>
      <c r="I14" s="222">
        <f>I9</f>
        <v>11.52</v>
      </c>
      <c r="J14" s="240">
        <f>SUM($E14*I14)</f>
        <v>86.770392578849723</v>
      </c>
      <c r="L14" s="223">
        <f t="shared" ref="L14:L16" si="0">J14-G14</f>
        <v>3.9167191094619653</v>
      </c>
      <c r="M14" s="224">
        <f t="shared" ref="M14:M16" si="1">IF(G14&lt;&gt;0,L14/G14,0)</f>
        <v>4.7272727272727258E-2</v>
      </c>
      <c r="N14" s="224"/>
      <c r="O14" s="225">
        <f>I14-F14</f>
        <v>0.51999999999999957</v>
      </c>
      <c r="Q14" s="242">
        <v>4.7521822999836899E-2</v>
      </c>
      <c r="T14" s="216"/>
    </row>
    <row r="15" spans="2:29" s="239" customFormat="1" x14ac:dyDescent="0.25">
      <c r="C15" s="128" t="s">
        <v>216</v>
      </c>
      <c r="D15" s="128" t="s">
        <v>217</v>
      </c>
      <c r="E15" s="220">
        <v>295.27300000000002</v>
      </c>
      <c r="F15" s="228">
        <f>F10</f>
        <v>0.34603</v>
      </c>
      <c r="G15" s="240">
        <f>ROUND($E15*F15,2)</f>
        <v>102.17</v>
      </c>
      <c r="H15" s="241"/>
      <c r="I15" s="228">
        <f>I10</f>
        <v>0.36247000000000001</v>
      </c>
      <c r="J15" s="240">
        <f>ROUND($E15*I15,2)</f>
        <v>107.03</v>
      </c>
      <c r="L15" s="243">
        <f t="shared" si="0"/>
        <v>4.8599999999999994</v>
      </c>
      <c r="M15" s="224">
        <f t="shared" si="1"/>
        <v>4.7567779191543501E-2</v>
      </c>
      <c r="N15" s="224"/>
      <c r="O15" s="229">
        <f>I15-F15</f>
        <v>1.644000000000001E-2</v>
      </c>
      <c r="T15" s="216"/>
    </row>
    <row r="16" spans="2:29" s="239" customFormat="1" x14ac:dyDescent="0.25">
      <c r="C16" s="231" t="s">
        <v>218</v>
      </c>
      <c r="D16" s="219"/>
      <c r="E16" s="232"/>
      <c r="F16" s="216"/>
      <c r="G16" s="233">
        <f>SUM(G14:G15)</f>
        <v>185.02367346938775</v>
      </c>
      <c r="H16" s="216"/>
      <c r="I16" s="216"/>
      <c r="J16" s="233">
        <f>SUM(J14:J15)</f>
        <v>193.80039257884971</v>
      </c>
      <c r="L16" s="223">
        <f t="shared" si="0"/>
        <v>8.7767191094619648</v>
      </c>
      <c r="M16" s="224">
        <f t="shared" si="1"/>
        <v>4.7435654826700202E-2</v>
      </c>
      <c r="N16" s="224"/>
      <c r="T16" s="216"/>
    </row>
    <row r="17" spans="2:20" s="239" customFormat="1" x14ac:dyDescent="0.25">
      <c r="C17" s="244"/>
      <c r="D17" s="244"/>
      <c r="E17" s="216"/>
      <c r="F17" s="216"/>
      <c r="G17" s="240"/>
      <c r="H17" s="216"/>
      <c r="I17" s="216"/>
      <c r="J17" s="240"/>
      <c r="T17" s="216"/>
    </row>
    <row r="18" spans="2:20" s="127" customFormat="1" x14ac:dyDescent="0.25">
      <c r="B18" s="238" t="s">
        <v>222</v>
      </c>
      <c r="D18" s="215"/>
      <c r="E18" s="216"/>
      <c r="F18" s="128"/>
      <c r="G18" s="217"/>
      <c r="H18" s="128"/>
      <c r="I18" s="216"/>
      <c r="J18" s="217"/>
      <c r="T18" s="128"/>
    </row>
    <row r="19" spans="2:20" s="127" customFormat="1" x14ac:dyDescent="0.25">
      <c r="C19" s="231" t="s">
        <v>218</v>
      </c>
      <c r="D19" s="245" t="s">
        <v>223</v>
      </c>
      <c r="E19" s="220">
        <v>504.84447368421053</v>
      </c>
      <c r="F19" s="221">
        <v>9.69</v>
      </c>
      <c r="G19" s="217">
        <f>ROUND($E19*F19,2)</f>
        <v>4891.9399999999996</v>
      </c>
      <c r="H19" s="246"/>
      <c r="I19" s="222">
        <f>ROUND(F19*(1+Q14),2)</f>
        <v>10.15</v>
      </c>
      <c r="J19" s="217">
        <f>ROUND($E19*I19,2)</f>
        <v>5124.17</v>
      </c>
      <c r="L19" s="223">
        <f>J19-G19</f>
        <v>232.23000000000047</v>
      </c>
      <c r="M19" s="224">
        <f>IF(G19&lt;&gt;0,L19/G19,0)</f>
        <v>4.747196408786708E-2</v>
      </c>
      <c r="N19" s="224"/>
      <c r="O19" s="225">
        <f>I19-F19</f>
        <v>0.46000000000000085</v>
      </c>
      <c r="T19" s="128"/>
    </row>
    <row r="20" spans="2:20" s="127" customFormat="1" x14ac:dyDescent="0.25">
      <c r="C20" s="231" t="s">
        <v>217</v>
      </c>
      <c r="D20" s="245"/>
      <c r="E20" s="232">
        <f>E19*19</f>
        <v>9592.0450000000001</v>
      </c>
      <c r="F20" s="221"/>
      <c r="G20" s="217"/>
      <c r="H20" s="246"/>
      <c r="I20" s="222"/>
      <c r="J20" s="217"/>
      <c r="L20" s="223"/>
      <c r="M20" s="224"/>
      <c r="N20" s="224"/>
      <c r="Q20" s="226" t="s">
        <v>224</v>
      </c>
      <c r="T20" s="128"/>
    </row>
    <row r="21" spans="2:20" s="127" customFormat="1" x14ac:dyDescent="0.25">
      <c r="C21" s="128"/>
      <c r="D21" s="128"/>
      <c r="E21" s="216"/>
      <c r="F21" s="247"/>
      <c r="G21" s="217"/>
      <c r="H21" s="246"/>
      <c r="I21" s="216"/>
      <c r="J21" s="217"/>
      <c r="Q21" s="230">
        <v>8186189.3009216953</v>
      </c>
      <c r="T21" s="128"/>
    </row>
    <row r="22" spans="2:20" s="249" customFormat="1" x14ac:dyDescent="0.25">
      <c r="B22" s="248" t="s">
        <v>225</v>
      </c>
      <c r="D22" s="250"/>
      <c r="E22" s="251"/>
      <c r="F22" s="252"/>
      <c r="G22" s="253"/>
      <c r="H22" s="254"/>
      <c r="I22" s="251"/>
      <c r="J22" s="253"/>
      <c r="Q22" s="230"/>
    </row>
    <row r="23" spans="2:20" s="249" customFormat="1" x14ac:dyDescent="0.25">
      <c r="C23" s="255" t="s">
        <v>213</v>
      </c>
      <c r="D23" s="255" t="s">
        <v>214</v>
      </c>
      <c r="E23" s="256">
        <v>689698.95172727259</v>
      </c>
      <c r="F23" s="221">
        <v>32.159999999999997</v>
      </c>
      <c r="G23" s="257">
        <f>ROUND($E23*F23,2)</f>
        <v>22180718.289999999</v>
      </c>
      <c r="H23" s="254"/>
      <c r="I23" s="222">
        <f>ROUND(F23*(1+Q26),2)</f>
        <v>33.840000000000003</v>
      </c>
      <c r="J23" s="257">
        <f>ROUND($E23*I23,2)</f>
        <v>23339412.530000001</v>
      </c>
      <c r="L23" s="223">
        <f t="shared" ref="L23:L24" si="2">J23-G23</f>
        <v>1158694.2400000021</v>
      </c>
      <c r="M23" s="224">
        <f t="shared" ref="M23:M26" si="3">IF(G23&lt;&gt;0,L23/G23,0)</f>
        <v>5.2238806013887758E-2</v>
      </c>
      <c r="N23" s="224"/>
      <c r="O23" s="225">
        <f>I23-F23</f>
        <v>1.6800000000000068</v>
      </c>
      <c r="Q23" s="234" t="s">
        <v>219</v>
      </c>
    </row>
    <row r="24" spans="2:20" s="249" customFormat="1" x14ac:dyDescent="0.25">
      <c r="C24" s="258" t="s">
        <v>216</v>
      </c>
      <c r="D24" s="258" t="s">
        <v>217</v>
      </c>
      <c r="E24" s="256">
        <v>228604732.46999997</v>
      </c>
      <c r="F24" s="259">
        <v>0.29475000000000001</v>
      </c>
      <c r="G24" s="257">
        <f>ROUND($E24*F24,2)</f>
        <v>67381244.900000006</v>
      </c>
      <c r="H24" s="254"/>
      <c r="I24" s="228">
        <f>ROUND(F24*(1+Q26),5)</f>
        <v>0.31009999999999999</v>
      </c>
      <c r="J24" s="257">
        <f>ROUND($E24*I24,2)</f>
        <v>70890327.540000007</v>
      </c>
      <c r="L24" s="223">
        <f t="shared" si="2"/>
        <v>3509082.6400000006</v>
      </c>
      <c r="M24" s="224">
        <f t="shared" si="3"/>
        <v>5.2078032176576784E-2</v>
      </c>
      <c r="N24" s="224"/>
      <c r="O24" s="229">
        <f>I24-F24</f>
        <v>1.5349999999999975E-2</v>
      </c>
      <c r="Q24" s="237">
        <f>L26+L36-Q21</f>
        <v>-3413254.240921678</v>
      </c>
    </row>
    <row r="25" spans="2:20" s="249" customFormat="1" x14ac:dyDescent="0.25">
      <c r="C25" s="258" t="s">
        <v>226</v>
      </c>
      <c r="D25" s="258" t="s">
        <v>217</v>
      </c>
      <c r="E25" s="256">
        <v>228604732.46999997</v>
      </c>
      <c r="F25" s="259">
        <v>8.8199999999999997E-3</v>
      </c>
      <c r="G25" s="257">
        <f>ROUND($E25*F25,2)</f>
        <v>2016293.74</v>
      </c>
      <c r="H25" s="254"/>
      <c r="I25" s="228">
        <f>ROUND(F25*(1+Q26),5)</f>
        <v>9.2800000000000001E-3</v>
      </c>
      <c r="J25" s="257">
        <f>ROUND($E25*I25,2)</f>
        <v>2121451.92</v>
      </c>
      <c r="L25" s="243">
        <f>J25-G25</f>
        <v>105158.17999999993</v>
      </c>
      <c r="M25" s="224">
        <f t="shared" si="3"/>
        <v>5.2154196540827397E-2</v>
      </c>
      <c r="N25" s="224"/>
      <c r="O25" s="229">
        <f>I25-F25</f>
        <v>4.6000000000000034E-4</v>
      </c>
      <c r="Q25" s="234" t="s">
        <v>221</v>
      </c>
    </row>
    <row r="26" spans="2:20" s="249" customFormat="1" x14ac:dyDescent="0.25">
      <c r="C26" s="231" t="s">
        <v>218</v>
      </c>
      <c r="D26" s="250"/>
      <c r="E26" s="260"/>
      <c r="F26" s="261"/>
      <c r="G26" s="262">
        <f>SUM(G23:G25)</f>
        <v>91578256.929999992</v>
      </c>
      <c r="H26" s="254"/>
      <c r="I26" s="260"/>
      <c r="J26" s="262">
        <f>SUM(J23:J25)</f>
        <v>96351191.99000001</v>
      </c>
      <c r="L26" s="223">
        <f>J26-G26</f>
        <v>4772935.0600000173</v>
      </c>
      <c r="M26" s="224">
        <f t="shared" si="3"/>
        <v>5.2118649338874438E-2</v>
      </c>
      <c r="N26" s="224"/>
      <c r="Q26" s="242">
        <v>5.2090445717949199E-2</v>
      </c>
    </row>
    <row r="27" spans="2:20" s="249" customFormat="1" x14ac:dyDescent="0.25">
      <c r="C27" s="258"/>
      <c r="D27" s="258"/>
      <c r="E27" s="251"/>
      <c r="F27" s="261"/>
      <c r="G27" s="257"/>
      <c r="H27" s="254"/>
      <c r="I27" s="260"/>
      <c r="J27" s="257"/>
    </row>
    <row r="28" spans="2:20" s="249" customFormat="1" x14ac:dyDescent="0.25">
      <c r="B28" s="263" t="s">
        <v>227</v>
      </c>
      <c r="D28" s="250"/>
      <c r="E28" s="251"/>
      <c r="F28" s="252"/>
      <c r="G28" s="253"/>
      <c r="H28" s="254"/>
      <c r="I28" s="251"/>
      <c r="J28" s="253"/>
      <c r="L28" s="258"/>
    </row>
    <row r="29" spans="2:20" s="249" customFormat="1" x14ac:dyDescent="0.25">
      <c r="B29" s="258"/>
      <c r="C29" s="255" t="s">
        <v>213</v>
      </c>
      <c r="D29" s="255" t="s">
        <v>214</v>
      </c>
      <c r="E29" s="256">
        <v>37.000031241542246</v>
      </c>
      <c r="F29" s="221">
        <v>353.77</v>
      </c>
      <c r="G29" s="257">
        <f>ROUND($E29*F29,2)</f>
        <v>13089.5</v>
      </c>
      <c r="H29" s="254"/>
      <c r="I29" s="222">
        <f>ROUND(F29*(1+Q35),2)</f>
        <v>364.04</v>
      </c>
      <c r="J29" s="257">
        <f>ROUND($E29*I29,2)</f>
        <v>13469.49</v>
      </c>
      <c r="L29" s="218">
        <f t="shared" ref="L29:L32" si="4">J29-G29</f>
        <v>379.98999999999978</v>
      </c>
      <c r="M29" s="224">
        <f t="shared" ref="M29:M32" si="5">IF(G29&lt;&gt;0,L29/G29,0)</f>
        <v>2.9030138660758608E-2</v>
      </c>
      <c r="N29" s="224"/>
      <c r="O29" s="225">
        <f>I29-F29</f>
        <v>10.270000000000039</v>
      </c>
      <c r="Q29" s="226" t="s">
        <v>228</v>
      </c>
    </row>
    <row r="30" spans="2:20" s="249" customFormat="1" x14ac:dyDescent="0.25">
      <c r="B30" s="258"/>
      <c r="C30" s="258" t="s">
        <v>216</v>
      </c>
      <c r="D30" s="258" t="s">
        <v>217</v>
      </c>
      <c r="E30" s="256">
        <v>43413.770000000004</v>
      </c>
      <c r="F30" s="259">
        <v>0.29475000000000001</v>
      </c>
      <c r="G30" s="257">
        <f>ROUND($E30*F30,2)</f>
        <v>12796.21</v>
      </c>
      <c r="H30" s="254"/>
      <c r="I30" s="228">
        <f>ROUND(F30*(1+Q35),5)</f>
        <v>0.30331000000000002</v>
      </c>
      <c r="J30" s="257">
        <f>ROUND($E30*I30,2)</f>
        <v>13167.83</v>
      </c>
      <c r="L30" s="223">
        <f t="shared" si="4"/>
        <v>371.6200000000008</v>
      </c>
      <c r="M30" s="224">
        <f t="shared" si="5"/>
        <v>2.9041411480430598E-2</v>
      </c>
      <c r="N30" s="224"/>
      <c r="O30" s="229">
        <f t="shared" ref="O30" si="6">I30-F30</f>
        <v>8.560000000000012E-3</v>
      </c>
      <c r="Q30" s="230">
        <v>2313.9261152316726</v>
      </c>
    </row>
    <row r="31" spans="2:20" s="249" customFormat="1" x14ac:dyDescent="0.25">
      <c r="B31" s="258"/>
      <c r="C31" s="255" t="s">
        <v>226</v>
      </c>
      <c r="D31" s="258" t="s">
        <v>217</v>
      </c>
      <c r="E31" s="256">
        <v>43413.770000000004</v>
      </c>
      <c r="F31" s="259">
        <v>0</v>
      </c>
      <c r="G31" s="257">
        <f>ROUND($E31*F31,2)</f>
        <v>0</v>
      </c>
      <c r="H31" s="254"/>
      <c r="I31" s="228">
        <f>ROUND(F31*(1+Q35),5)</f>
        <v>0</v>
      </c>
      <c r="J31" s="257">
        <f>ROUND($E31*I31,2)</f>
        <v>0</v>
      </c>
      <c r="L31" s="243">
        <f t="shared" si="4"/>
        <v>0</v>
      </c>
      <c r="M31" s="224">
        <f>IF(G31&lt;&gt;0,L31/G31,0)</f>
        <v>0</v>
      </c>
      <c r="N31" s="224"/>
      <c r="O31" s="229">
        <f>I31-F31</f>
        <v>0</v>
      </c>
      <c r="Q31" s="230"/>
    </row>
    <row r="32" spans="2:20" s="249" customFormat="1" x14ac:dyDescent="0.25">
      <c r="C32" s="231" t="s">
        <v>218</v>
      </c>
      <c r="D32" s="250"/>
      <c r="E32" s="260"/>
      <c r="F32" s="260"/>
      <c r="G32" s="262">
        <f>SUM(G29:G31)</f>
        <v>25885.71</v>
      </c>
      <c r="H32" s="254"/>
      <c r="I32" s="260"/>
      <c r="J32" s="262">
        <f>SUM(J29:J31)</f>
        <v>26637.32</v>
      </c>
      <c r="L32" s="223">
        <f t="shared" si="4"/>
        <v>751.61000000000058</v>
      </c>
      <c r="M32" s="224">
        <f t="shared" si="5"/>
        <v>2.9035711209002984E-2</v>
      </c>
      <c r="N32" s="224"/>
      <c r="Q32" s="234" t="s">
        <v>219</v>
      </c>
    </row>
    <row r="33" spans="2:17" s="249" customFormat="1" x14ac:dyDescent="0.25">
      <c r="B33" s="258"/>
      <c r="C33" s="258"/>
      <c r="D33" s="258"/>
      <c r="E33" s="251"/>
      <c r="F33" s="264"/>
      <c r="G33" s="265"/>
      <c r="H33" s="254"/>
      <c r="I33" s="264"/>
      <c r="J33" s="265"/>
      <c r="Q33" s="237">
        <f>L32-Q30</f>
        <v>-1562.316115231672</v>
      </c>
    </row>
    <row r="34" spans="2:17" s="249" customFormat="1" x14ac:dyDescent="0.25">
      <c r="B34" s="263" t="s">
        <v>229</v>
      </c>
      <c r="D34" s="250"/>
      <c r="E34" s="251"/>
      <c r="F34" s="251"/>
      <c r="G34" s="253"/>
      <c r="H34" s="254"/>
      <c r="I34" s="251"/>
      <c r="J34" s="253"/>
      <c r="Q34" s="234" t="s">
        <v>221</v>
      </c>
    </row>
    <row r="35" spans="2:17" s="249" customFormat="1" x14ac:dyDescent="0.25">
      <c r="C35" s="258" t="s">
        <v>230</v>
      </c>
      <c r="D35" s="258"/>
      <c r="E35" s="266">
        <v>0</v>
      </c>
      <c r="F35" s="267">
        <v>0.1</v>
      </c>
      <c r="G35" s="253">
        <f>ROUND($E35*F35,2)</f>
        <v>0</v>
      </c>
      <c r="H35" s="254"/>
      <c r="I35" s="268">
        <f>ROUND(F35*(1+Q26),2)</f>
        <v>0.11</v>
      </c>
      <c r="J35" s="253">
        <f>ROUND($E35*I35,2)</f>
        <v>0</v>
      </c>
      <c r="L35" s="243">
        <f t="shared" ref="L35:L36" si="7">J35-G35</f>
        <v>0</v>
      </c>
      <c r="M35" s="224">
        <f t="shared" ref="M35:M36" si="8">IF(G35&lt;&gt;0,L35/G35,0)</f>
        <v>0</v>
      </c>
      <c r="N35" s="224"/>
      <c r="O35" s="225">
        <f>I35-F35</f>
        <v>9.999999999999995E-3</v>
      </c>
      <c r="Q35" s="242">
        <v>2.9029973798759129E-2</v>
      </c>
    </row>
    <row r="36" spans="2:17" s="249" customFormat="1" x14ac:dyDescent="0.25">
      <c r="C36" s="231" t="s">
        <v>218</v>
      </c>
      <c r="D36" s="250"/>
      <c r="E36" s="260"/>
      <c r="F36" s="260"/>
      <c r="G36" s="269">
        <f>SUM(G35:G35)</f>
        <v>0</v>
      </c>
      <c r="H36" s="254"/>
      <c r="I36" s="260"/>
      <c r="J36" s="269">
        <f>SUM(J35:J35)</f>
        <v>0</v>
      </c>
      <c r="L36" s="223">
        <f t="shared" si="7"/>
        <v>0</v>
      </c>
      <c r="M36" s="224">
        <f t="shared" si="8"/>
        <v>0</v>
      </c>
      <c r="N36" s="224"/>
    </row>
    <row r="37" spans="2:17" s="249" customFormat="1" x14ac:dyDescent="0.25">
      <c r="C37" s="251"/>
      <c r="D37" s="258"/>
      <c r="E37" s="251"/>
      <c r="F37" s="251"/>
      <c r="G37" s="253"/>
      <c r="H37" s="254"/>
      <c r="I37" s="251"/>
      <c r="J37" s="253"/>
    </row>
    <row r="38" spans="2:17" s="249" customFormat="1" x14ac:dyDescent="0.25">
      <c r="B38" s="263" t="s">
        <v>231</v>
      </c>
      <c r="D38" s="250"/>
      <c r="E38" s="251"/>
      <c r="F38" s="251"/>
      <c r="G38" s="253"/>
      <c r="H38" s="254"/>
      <c r="I38" s="251"/>
      <c r="J38" s="253"/>
    </row>
    <row r="39" spans="2:17" s="249" customFormat="1" x14ac:dyDescent="0.25">
      <c r="C39" s="255" t="s">
        <v>213</v>
      </c>
      <c r="D39" s="255" t="s">
        <v>214</v>
      </c>
      <c r="E39" s="256">
        <v>15757.12870224839</v>
      </c>
      <c r="F39" s="221">
        <v>106.43</v>
      </c>
      <c r="G39" s="253">
        <f>ROUND($E39*F39,2)</f>
        <v>1677031.21</v>
      </c>
      <c r="H39" s="254"/>
      <c r="I39" s="222">
        <f>ROUND(F39*(1+Q44),2)</f>
        <v>113.4</v>
      </c>
      <c r="J39" s="253">
        <f>ROUND($E39*I39,2)</f>
        <v>1786858.39</v>
      </c>
      <c r="L39" s="223">
        <f t="shared" ref="L39:L41" si="9">J39-G39</f>
        <v>109827.17999999993</v>
      </c>
      <c r="M39" s="224">
        <f t="shared" ref="M39:M41" si="10">IF(G39&lt;&gt;0,L39/G39,0)</f>
        <v>6.5489049544879926E-2</v>
      </c>
      <c r="N39" s="224"/>
      <c r="O39" s="225">
        <f>I39-F39</f>
        <v>6.9699999999999989</v>
      </c>
      <c r="Q39" s="226" t="s">
        <v>232</v>
      </c>
    </row>
    <row r="40" spans="2:17" s="249" customFormat="1" x14ac:dyDescent="0.25">
      <c r="C40" s="251" t="s">
        <v>233</v>
      </c>
      <c r="D40" s="255" t="s">
        <v>214</v>
      </c>
      <c r="E40" s="260">
        <f>E39</f>
        <v>15757.12870224839</v>
      </c>
      <c r="F40" s="267">
        <v>115.88</v>
      </c>
      <c r="G40" s="253">
        <f>ROUND($E40*F40,2)</f>
        <v>1825936.07</v>
      </c>
      <c r="H40" s="254"/>
      <c r="I40" s="268">
        <f>ROUND(I45*900,2)</f>
        <v>123.48</v>
      </c>
      <c r="J40" s="253">
        <f>ROUND($E40*I40,2)</f>
        <v>1945690.25</v>
      </c>
      <c r="L40" s="223">
        <f t="shared" si="9"/>
        <v>119754.17999999993</v>
      </c>
      <c r="M40" s="224">
        <f t="shared" si="10"/>
        <v>6.5585089186610976E-2</v>
      </c>
      <c r="N40" s="224"/>
      <c r="O40" s="225">
        <f>I40-F40</f>
        <v>7.6000000000000085</v>
      </c>
      <c r="Q40" s="230">
        <v>1292244.1035412927</v>
      </c>
    </row>
    <row r="41" spans="2:17" s="249" customFormat="1" x14ac:dyDescent="0.25">
      <c r="C41" s="251" t="s">
        <v>234</v>
      </c>
      <c r="D41" s="258" t="s">
        <v>230</v>
      </c>
      <c r="E41" s="256">
        <v>3902427.7730000005</v>
      </c>
      <c r="F41" s="267">
        <v>1.17</v>
      </c>
      <c r="G41" s="253">
        <f>ROUND($E41*F41,2)</f>
        <v>4565840.49</v>
      </c>
      <c r="H41" s="254"/>
      <c r="I41" s="270">
        <f>ROUND(F41*(1+$Q$44),2)</f>
        <v>1.25</v>
      </c>
      <c r="J41" s="253">
        <f>ROUND($E41*I41,2)</f>
        <v>4878034.72</v>
      </c>
      <c r="L41" s="223">
        <f t="shared" si="9"/>
        <v>312194.22999999952</v>
      </c>
      <c r="M41" s="224">
        <f t="shared" si="10"/>
        <v>6.8376070229295177E-2</v>
      </c>
      <c r="N41" s="224"/>
      <c r="O41" s="225">
        <f>I41-F41</f>
        <v>8.0000000000000071E-2</v>
      </c>
      <c r="Q41" s="234" t="s">
        <v>219</v>
      </c>
    </row>
    <row r="42" spans="2:17" s="249" customFormat="1" x14ac:dyDescent="0.25">
      <c r="C42" s="251"/>
      <c r="D42" s="258"/>
      <c r="E42" s="260"/>
      <c r="F42" s="268"/>
      <c r="G42" s="265"/>
      <c r="H42" s="254"/>
      <c r="I42" s="268"/>
      <c r="J42" s="265"/>
      <c r="Q42" s="237">
        <f>L50-Q40</f>
        <v>-331805.78354129428</v>
      </c>
    </row>
    <row r="43" spans="2:17" s="249" customFormat="1" x14ac:dyDescent="0.25">
      <c r="C43" s="251" t="s">
        <v>235</v>
      </c>
      <c r="D43" s="258"/>
      <c r="E43" s="260"/>
      <c r="F43" s="268"/>
      <c r="G43" s="265"/>
      <c r="H43" s="254"/>
      <c r="I43" s="268"/>
      <c r="J43" s="265"/>
      <c r="Q43" s="234" t="s">
        <v>221</v>
      </c>
    </row>
    <row r="44" spans="2:17" s="249" customFormat="1" x14ac:dyDescent="0.25">
      <c r="C44" s="251" t="s">
        <v>236</v>
      </c>
      <c r="D44" s="258" t="s">
        <v>217</v>
      </c>
      <c r="E44" s="256">
        <v>13168764.918000001</v>
      </c>
      <c r="F44" s="259">
        <v>0.12876000000000001</v>
      </c>
      <c r="G44" s="253" t="s">
        <v>237</v>
      </c>
      <c r="H44" s="254"/>
      <c r="I44" s="271">
        <f>I45</f>
        <v>0.13719999999999999</v>
      </c>
      <c r="J44" s="253" t="s">
        <v>237</v>
      </c>
      <c r="O44" s="229">
        <f t="shared" ref="O44:O46" si="11">I44-F44</f>
        <v>8.4399999999999753E-3</v>
      </c>
      <c r="Q44" s="242">
        <v>6.5510043005487698E-2</v>
      </c>
    </row>
    <row r="45" spans="2:17" s="249" customFormat="1" x14ac:dyDescent="0.25">
      <c r="C45" s="251" t="s">
        <v>238</v>
      </c>
      <c r="D45" s="258" t="s">
        <v>217</v>
      </c>
      <c r="E45" s="256">
        <v>29185983.705999997</v>
      </c>
      <c r="F45" s="259">
        <v>0.12876000000000001</v>
      </c>
      <c r="G45" s="253">
        <f>ROUND($E45*F45,2)</f>
        <v>3757987.26</v>
      </c>
      <c r="H45" s="254"/>
      <c r="I45" s="271">
        <f>ROUND(F45*(1+Q44),5)</f>
        <v>0.13719999999999999</v>
      </c>
      <c r="J45" s="253">
        <f>ROUND($E45*I45,2)</f>
        <v>4004316.96</v>
      </c>
      <c r="L45" s="223">
        <f t="shared" ref="L45:L46" si="12">J45-G45</f>
        <v>246329.70000000019</v>
      </c>
      <c r="M45" s="224">
        <f t="shared" ref="M45:M46" si="13">IF(G45&lt;&gt;0,L45/G45,0)</f>
        <v>6.5548306302666975E-2</v>
      </c>
      <c r="N45" s="224"/>
      <c r="O45" s="229">
        <f t="shared" si="11"/>
        <v>8.4399999999999753E-3</v>
      </c>
    </row>
    <row r="46" spans="2:17" s="249" customFormat="1" x14ac:dyDescent="0.25">
      <c r="C46" s="251" t="s">
        <v>239</v>
      </c>
      <c r="D46" s="258" t="s">
        <v>217</v>
      </c>
      <c r="E46" s="256">
        <v>21612119.393000003</v>
      </c>
      <c r="F46" s="259">
        <v>0.10364</v>
      </c>
      <c r="G46" s="253">
        <f>ROUND($E46*F46,2)</f>
        <v>2239880.0499999998</v>
      </c>
      <c r="H46" s="254"/>
      <c r="I46" s="272">
        <f>ROUND(F46*(1+Q44),5)</f>
        <v>0.11043</v>
      </c>
      <c r="J46" s="253">
        <f>ROUND($E46*I46,2)</f>
        <v>2386626.34</v>
      </c>
      <c r="L46" s="223">
        <f t="shared" si="12"/>
        <v>146746.29000000004</v>
      </c>
      <c r="M46" s="224">
        <f t="shared" si="13"/>
        <v>6.5515244890010982E-2</v>
      </c>
      <c r="N46" s="224"/>
      <c r="O46" s="229">
        <f t="shared" si="11"/>
        <v>6.7900000000000044E-3</v>
      </c>
    </row>
    <row r="47" spans="2:17" s="249" customFormat="1" x14ac:dyDescent="0.25">
      <c r="C47" s="255" t="s">
        <v>240</v>
      </c>
      <c r="D47" s="250"/>
      <c r="E47" s="273">
        <f>SUM(E44:E46)</f>
        <v>63966868.017000005</v>
      </c>
      <c r="F47" s="260"/>
      <c r="H47" s="254"/>
      <c r="I47" s="260"/>
    </row>
    <row r="48" spans="2:17" s="249" customFormat="1" x14ac:dyDescent="0.25">
      <c r="C48" s="255"/>
      <c r="D48" s="250"/>
      <c r="E48" s="274"/>
      <c r="F48" s="260"/>
      <c r="H48" s="254"/>
      <c r="I48" s="260"/>
    </row>
    <row r="49" spans="2:17" s="249" customFormat="1" x14ac:dyDescent="0.25">
      <c r="C49" s="255" t="s">
        <v>226</v>
      </c>
      <c r="D49" s="250" t="s">
        <v>217</v>
      </c>
      <c r="E49" s="275">
        <f>E47</f>
        <v>63966868.017000005</v>
      </c>
      <c r="F49" s="276">
        <v>6.0899999999999999E-3</v>
      </c>
      <c r="G49" s="253">
        <f>ROUND($E49*F49,2)</f>
        <v>389558.23</v>
      </c>
      <c r="H49" s="254"/>
      <c r="I49" s="271">
        <f>ROUND(F49*(1+Q44),5)</f>
        <v>6.4900000000000001E-3</v>
      </c>
      <c r="J49" s="253">
        <f>ROUND($E49*I49,2)</f>
        <v>415144.97</v>
      </c>
      <c r="L49" s="243">
        <f t="shared" ref="L49" si="14">J49-G49</f>
        <v>25586.739999999991</v>
      </c>
      <c r="M49" s="224">
        <f>IF(G49&lt;&gt;0,L49/G49,0)</f>
        <v>6.5681425855128234E-2</v>
      </c>
      <c r="O49" s="229">
        <f t="shared" ref="O49" si="15">I49-F49</f>
        <v>4.0000000000000018E-4</v>
      </c>
    </row>
    <row r="50" spans="2:17" s="249" customFormat="1" x14ac:dyDescent="0.25">
      <c r="C50" s="231" t="s">
        <v>218</v>
      </c>
      <c r="D50" s="250"/>
      <c r="E50" s="260"/>
      <c r="F50" s="260"/>
      <c r="G50" s="277">
        <f>SUM(G39:G41,G45:G46,G49)</f>
        <v>14456233.310000002</v>
      </c>
      <c r="H50" s="254"/>
      <c r="I50" s="260"/>
      <c r="J50" s="277">
        <f>SUM(J39:J41,J45:J46,J49)</f>
        <v>15416671.630000001</v>
      </c>
      <c r="L50" s="223">
        <f>J50-G50</f>
        <v>960438.31999999844</v>
      </c>
      <c r="M50" s="224">
        <f>IF(G50&lt;&gt;0,L50/G50,0)</f>
        <v>6.6437660447526234E-2</v>
      </c>
      <c r="N50" s="224"/>
    </row>
    <row r="51" spans="2:17" s="249" customFormat="1" x14ac:dyDescent="0.25">
      <c r="C51" s="255"/>
      <c r="D51" s="250"/>
      <c r="E51" s="260"/>
      <c r="F51" s="260"/>
      <c r="G51" s="265"/>
      <c r="H51" s="254"/>
      <c r="I51" s="260"/>
      <c r="J51" s="265"/>
    </row>
    <row r="52" spans="2:17" s="278" customFormat="1" x14ac:dyDescent="0.25">
      <c r="B52" s="263" t="s">
        <v>241</v>
      </c>
      <c r="D52" s="250"/>
      <c r="E52" s="251"/>
      <c r="F52" s="251"/>
      <c r="G52" s="253"/>
      <c r="H52" s="279"/>
      <c r="I52" s="251"/>
      <c r="J52" s="253"/>
    </row>
    <row r="53" spans="2:17" s="278" customFormat="1" x14ac:dyDescent="0.25">
      <c r="B53" s="251"/>
      <c r="C53" s="255" t="s">
        <v>213</v>
      </c>
      <c r="D53" s="255" t="s">
        <v>214</v>
      </c>
      <c r="E53" s="256">
        <v>1217.0689113856104</v>
      </c>
      <c r="F53" s="221">
        <v>410.51</v>
      </c>
      <c r="G53" s="253">
        <f>ROUND($E53*F53,2)</f>
        <v>499618.96</v>
      </c>
      <c r="H53" s="279"/>
      <c r="I53" s="222">
        <f>ROUND(F53*(1+Q58),2)</f>
        <v>422.79</v>
      </c>
      <c r="J53" s="253">
        <f>ROUND($E53*I53,2)</f>
        <v>514564.57</v>
      </c>
      <c r="L53" s="223">
        <f t="shared" ref="L53:L55" si="16">J53-G53</f>
        <v>14945.609999999986</v>
      </c>
      <c r="M53" s="224">
        <f t="shared" ref="M53:M55" si="17">IF(G53&lt;&gt;0,L53/G53,0)</f>
        <v>2.9914016873979293E-2</v>
      </c>
      <c r="N53" s="224"/>
      <c r="O53" s="225">
        <f>I53-F53</f>
        <v>12.28000000000003</v>
      </c>
      <c r="Q53" s="226" t="s">
        <v>242</v>
      </c>
    </row>
    <row r="54" spans="2:17" s="278" customFormat="1" x14ac:dyDescent="0.25">
      <c r="B54" s="251"/>
      <c r="C54" s="251" t="s">
        <v>233</v>
      </c>
      <c r="D54" s="255" t="s">
        <v>214</v>
      </c>
      <c r="E54" s="260">
        <f>E53</f>
        <v>1217.0689113856104</v>
      </c>
      <c r="F54" s="268">
        <f>F40</f>
        <v>115.88</v>
      </c>
      <c r="G54" s="253">
        <f>ROUND($E54*F54,2)</f>
        <v>141033.95000000001</v>
      </c>
      <c r="H54" s="279"/>
      <c r="I54" s="268">
        <f>ROUND(I59*900,2)</f>
        <v>119.35</v>
      </c>
      <c r="J54" s="253">
        <f>ROUND($E54*I54,2)</f>
        <v>145257.17000000001</v>
      </c>
      <c r="L54" s="223">
        <f t="shared" si="16"/>
        <v>4223.2200000000012</v>
      </c>
      <c r="M54" s="224">
        <f t="shared" si="17"/>
        <v>2.9944704803347003E-2</v>
      </c>
      <c r="N54" s="224"/>
      <c r="O54" s="225">
        <f>I54-F54</f>
        <v>3.4699999999999989</v>
      </c>
      <c r="Q54" s="230">
        <v>357164.18803144427</v>
      </c>
    </row>
    <row r="55" spans="2:17" s="278" customFormat="1" x14ac:dyDescent="0.25">
      <c r="B55" s="251"/>
      <c r="C55" s="251" t="s">
        <v>234</v>
      </c>
      <c r="D55" s="258" t="s">
        <v>230</v>
      </c>
      <c r="E55" s="256">
        <v>1169396.5019999999</v>
      </c>
      <c r="F55" s="267">
        <v>1.17</v>
      </c>
      <c r="G55" s="253">
        <f>ROUND($E55*F55,2)</f>
        <v>1368193.91</v>
      </c>
      <c r="H55" s="279"/>
      <c r="I55" s="270">
        <f>ROUND(F55*(1+$Q$58),2)</f>
        <v>1.21</v>
      </c>
      <c r="J55" s="253">
        <f>ROUND($E55*I55,2)</f>
        <v>1414969.77</v>
      </c>
      <c r="L55" s="223">
        <f t="shared" si="16"/>
        <v>46775.860000000102</v>
      </c>
      <c r="M55" s="224">
        <f t="shared" si="17"/>
        <v>3.4188034063095708E-2</v>
      </c>
      <c r="N55" s="224"/>
      <c r="O55" s="225">
        <f>I55-F55</f>
        <v>4.0000000000000036E-2</v>
      </c>
      <c r="Q55" s="234" t="s">
        <v>219</v>
      </c>
    </row>
    <row r="56" spans="2:17" s="278" customFormat="1" x14ac:dyDescent="0.25">
      <c r="B56" s="251"/>
      <c r="C56" s="251"/>
      <c r="D56" s="258"/>
      <c r="E56" s="260"/>
      <c r="F56" s="268"/>
      <c r="G56" s="265"/>
      <c r="H56" s="279"/>
      <c r="I56" s="268"/>
      <c r="J56" s="265"/>
      <c r="Q56" s="237">
        <f>L63-Q54</f>
        <v>-240921.71803144453</v>
      </c>
    </row>
    <row r="57" spans="2:17" s="278" customFormat="1" x14ac:dyDescent="0.25">
      <c r="B57" s="251"/>
      <c r="C57" s="251" t="s">
        <v>235</v>
      </c>
      <c r="D57" s="258"/>
      <c r="E57" s="260"/>
      <c r="F57" s="268"/>
      <c r="G57" s="265"/>
      <c r="H57" s="279"/>
      <c r="I57" s="268"/>
      <c r="J57" s="265"/>
      <c r="Q57" s="234" t="s">
        <v>221</v>
      </c>
    </row>
    <row r="58" spans="2:17" s="278" customFormat="1" x14ac:dyDescent="0.25">
      <c r="B58" s="251"/>
      <c r="C58" s="251" t="s">
        <v>236</v>
      </c>
      <c r="D58" s="258" t="s">
        <v>217</v>
      </c>
      <c r="E58" s="256">
        <v>1086774.6599999999</v>
      </c>
      <c r="F58" s="271">
        <f>F44</f>
        <v>0.12876000000000001</v>
      </c>
      <c r="G58" s="253" t="s">
        <v>237</v>
      </c>
      <c r="H58" s="279"/>
      <c r="I58" s="271">
        <f>I59</f>
        <v>0.13261000000000001</v>
      </c>
      <c r="J58" s="253" t="s">
        <v>237</v>
      </c>
      <c r="O58" s="229">
        <f t="shared" ref="O58:O60" si="18">I58-F58</f>
        <v>3.8499999999999923E-3</v>
      </c>
      <c r="Q58" s="242">
        <v>2.99200087472089E-2</v>
      </c>
    </row>
    <row r="59" spans="2:17" s="278" customFormat="1" x14ac:dyDescent="0.25">
      <c r="B59" s="251"/>
      <c r="C59" s="251" t="s">
        <v>238</v>
      </c>
      <c r="D59" s="258" t="s">
        <v>217</v>
      </c>
      <c r="E59" s="256">
        <v>4133910.0599999996</v>
      </c>
      <c r="F59" s="271">
        <f>F45</f>
        <v>0.12876000000000001</v>
      </c>
      <c r="G59" s="253">
        <f>ROUND($E59*F59,2)</f>
        <v>532282.26</v>
      </c>
      <c r="H59" s="279"/>
      <c r="I59" s="271">
        <f>ROUND(F59*(1+Q58),5)</f>
        <v>0.13261000000000001</v>
      </c>
      <c r="J59" s="253">
        <f>ROUND($E59*I59,2)</f>
        <v>548197.81000000006</v>
      </c>
      <c r="L59" s="223">
        <f t="shared" ref="L59:L60" si="19">J59-G59</f>
        <v>15915.550000000047</v>
      </c>
      <c r="M59" s="224">
        <f t="shared" ref="M59:M60" si="20">IF(G59&lt;&gt;0,L59/G59,0)</f>
        <v>2.9900583198095021E-2</v>
      </c>
      <c r="N59" s="224"/>
      <c r="O59" s="229">
        <f t="shared" si="18"/>
        <v>3.8499999999999923E-3</v>
      </c>
    </row>
    <row r="60" spans="2:17" s="278" customFormat="1" x14ac:dyDescent="0.25">
      <c r="B60" s="251"/>
      <c r="C60" s="251" t="s">
        <v>239</v>
      </c>
      <c r="D60" s="258" t="s">
        <v>217</v>
      </c>
      <c r="E60" s="256">
        <v>14033564.798999999</v>
      </c>
      <c r="F60" s="271">
        <f>F46</f>
        <v>0.10364</v>
      </c>
      <c r="G60" s="253">
        <f>ROUND($E60*F60,2)</f>
        <v>1454438.66</v>
      </c>
      <c r="H60" s="279"/>
      <c r="I60" s="280">
        <f>ROUND(F60*(1+Q58),5)-0.00065</f>
        <v>0.10609</v>
      </c>
      <c r="J60" s="253">
        <f>ROUND($E60*I60,2)</f>
        <v>1488820.89</v>
      </c>
      <c r="L60" s="223">
        <f t="shared" si="19"/>
        <v>34382.229999999981</v>
      </c>
      <c r="M60" s="224">
        <f t="shared" si="20"/>
        <v>2.3639518768017335E-2</v>
      </c>
      <c r="N60" s="224"/>
      <c r="O60" s="229">
        <f t="shared" si="18"/>
        <v>2.4500000000000077E-3</v>
      </c>
    </row>
    <row r="61" spans="2:17" s="278" customFormat="1" x14ac:dyDescent="0.25">
      <c r="B61" s="251"/>
      <c r="C61" s="255" t="s">
        <v>240</v>
      </c>
      <c r="D61" s="250"/>
      <c r="E61" s="281">
        <f>SUM(E58:E60)</f>
        <v>19254249.518999998</v>
      </c>
      <c r="F61" s="260"/>
      <c r="G61" s="251"/>
      <c r="H61" s="279"/>
      <c r="I61" s="260"/>
      <c r="J61" s="251"/>
    </row>
    <row r="62" spans="2:17" s="278" customFormat="1" x14ac:dyDescent="0.25">
      <c r="B62" s="251"/>
      <c r="C62" s="255" t="s">
        <v>226</v>
      </c>
      <c r="D62" s="258" t="s">
        <v>217</v>
      </c>
      <c r="E62" s="260">
        <f>E61</f>
        <v>19254249.518999998</v>
      </c>
      <c r="F62" s="259">
        <v>0</v>
      </c>
      <c r="G62" s="253">
        <f>ROUND($E62*F62,2)</f>
        <v>0</v>
      </c>
      <c r="H62" s="279"/>
      <c r="I62" s="271">
        <f>ROUND(F62*(1+Q58),5)</f>
        <v>0</v>
      </c>
      <c r="J62" s="253">
        <f>ROUND($E62*I62,2)</f>
        <v>0</v>
      </c>
      <c r="L62" s="243">
        <f t="shared" ref="L62:L63" si="21">J62-G62</f>
        <v>0</v>
      </c>
      <c r="M62" s="224">
        <f t="shared" ref="M62:M63" si="22">IF(G62&lt;&gt;0,L62/G62,0)</f>
        <v>0</v>
      </c>
      <c r="N62" s="224"/>
      <c r="O62" s="229">
        <f>I62-F62</f>
        <v>0</v>
      </c>
    </row>
    <row r="63" spans="2:17" s="278" customFormat="1" x14ac:dyDescent="0.25">
      <c r="C63" s="231" t="s">
        <v>218</v>
      </c>
      <c r="D63" s="250"/>
      <c r="E63" s="260"/>
      <c r="F63" s="260"/>
      <c r="G63" s="277">
        <f>SUM(G53:G62)</f>
        <v>3995567.74</v>
      </c>
      <c r="H63" s="279"/>
      <c r="I63" s="260"/>
      <c r="J63" s="277">
        <f>SUM(J53:J62)</f>
        <v>4111810.21</v>
      </c>
      <c r="L63" s="223">
        <f t="shared" si="21"/>
        <v>116242.46999999974</v>
      </c>
      <c r="M63" s="224">
        <f t="shared" si="22"/>
        <v>2.9092854273570577E-2</v>
      </c>
      <c r="N63" s="224"/>
    </row>
    <row r="64" spans="2:17" s="278" customFormat="1" x14ac:dyDescent="0.25">
      <c r="B64" s="251"/>
      <c r="C64" s="255"/>
      <c r="D64" s="250"/>
      <c r="E64" s="260"/>
      <c r="F64" s="260"/>
      <c r="G64" s="265"/>
      <c r="H64" s="279"/>
      <c r="I64" s="260"/>
      <c r="J64" s="265"/>
    </row>
    <row r="65" spans="2:17" s="249" customFormat="1" x14ac:dyDescent="0.25">
      <c r="B65" s="248" t="s">
        <v>243</v>
      </c>
      <c r="D65" s="250"/>
      <c r="E65" s="260"/>
      <c r="F65" s="268"/>
      <c r="G65" s="282"/>
      <c r="H65" s="283"/>
      <c r="I65" s="268"/>
      <c r="J65" s="282"/>
    </row>
    <row r="66" spans="2:17" s="249" customFormat="1" x14ac:dyDescent="0.25">
      <c r="C66" s="250" t="s">
        <v>213</v>
      </c>
      <c r="D66" s="250" t="s">
        <v>214</v>
      </c>
      <c r="E66" s="256">
        <v>331.51750649225198</v>
      </c>
      <c r="F66" s="267">
        <v>548.57000000000005</v>
      </c>
      <c r="G66" s="253">
        <f>ROUND($E66*F66,2)</f>
        <v>181860.56</v>
      </c>
      <c r="H66" s="283"/>
      <c r="I66" s="222">
        <f>ROUND(F66*(1+Q71),2)</f>
        <v>595.08000000000004</v>
      </c>
      <c r="J66" s="253">
        <f>ROUND($E66*I66,2)</f>
        <v>197279.44</v>
      </c>
      <c r="L66" s="223">
        <f t="shared" ref="L66:L69" si="23">J66-G66</f>
        <v>15418.880000000005</v>
      </c>
      <c r="M66" s="224">
        <f t="shared" ref="M66:M69" si="24">IF(G66&lt;&gt;0,L66/G66,0)</f>
        <v>8.4784078526976961E-2</v>
      </c>
      <c r="N66" s="224"/>
      <c r="O66" s="225">
        <f t="shared" ref="O66:O68" si="25">I66-F66</f>
        <v>46.509999999999991</v>
      </c>
      <c r="Q66" s="226" t="s">
        <v>244</v>
      </c>
    </row>
    <row r="67" spans="2:17" s="249" customFormat="1" x14ac:dyDescent="0.25">
      <c r="C67" s="258" t="s">
        <v>234</v>
      </c>
      <c r="D67" s="258" t="s">
        <v>230</v>
      </c>
      <c r="E67" s="256">
        <v>84395.974999999991</v>
      </c>
      <c r="F67" s="267">
        <v>1.21</v>
      </c>
      <c r="G67" s="253">
        <f>ROUND($E67*F67,2)</f>
        <v>102119.13</v>
      </c>
      <c r="H67" s="283"/>
      <c r="I67" s="268">
        <f>ROUND(F67*(1+$Q$71),2)</f>
        <v>1.31</v>
      </c>
      <c r="J67" s="253">
        <f>ROUND($E67*I67,2)</f>
        <v>110558.73</v>
      </c>
      <c r="L67" s="223">
        <f t="shared" si="23"/>
        <v>8439.5999999999913</v>
      </c>
      <c r="M67" s="224">
        <f t="shared" si="24"/>
        <v>8.2644652378060707E-2</v>
      </c>
      <c r="N67" s="224"/>
      <c r="O67" s="225">
        <f t="shared" si="25"/>
        <v>0.10000000000000009</v>
      </c>
      <c r="Q67" s="230">
        <v>142126.34454270406</v>
      </c>
    </row>
    <row r="68" spans="2:17" s="249" customFormat="1" x14ac:dyDescent="0.25">
      <c r="C68" s="258" t="s">
        <v>226</v>
      </c>
      <c r="D68" s="258" t="s">
        <v>217</v>
      </c>
      <c r="E68" s="260">
        <f>E75</f>
        <v>16307789.426000001</v>
      </c>
      <c r="F68" s="259">
        <v>7.4700000000000001E-3</v>
      </c>
      <c r="G68" s="253">
        <f>ROUND($E68*F68,2)</f>
        <v>121819.19</v>
      </c>
      <c r="H68" s="283"/>
      <c r="I68" s="271">
        <f>ROUND(F68*(1+$Q$71),5)</f>
        <v>8.0999999999999996E-3</v>
      </c>
      <c r="J68" s="253">
        <f>ROUND($E68*I68,2)</f>
        <v>132093.09</v>
      </c>
      <c r="L68" s="223">
        <f t="shared" si="23"/>
        <v>10273.899999999994</v>
      </c>
      <c r="M68" s="224">
        <f t="shared" si="24"/>
        <v>8.4337287089168739E-2</v>
      </c>
      <c r="N68" s="224"/>
      <c r="O68" s="229">
        <f t="shared" si="25"/>
        <v>6.2999999999999948E-4</v>
      </c>
      <c r="Q68" s="234" t="s">
        <v>219</v>
      </c>
    </row>
    <row r="69" spans="2:17" s="249" customFormat="1" x14ac:dyDescent="0.25">
      <c r="C69" s="258" t="s">
        <v>245</v>
      </c>
      <c r="D69" s="258"/>
      <c r="E69" s="260"/>
      <c r="F69" s="271"/>
      <c r="G69" s="284">
        <v>0</v>
      </c>
      <c r="H69" s="283"/>
      <c r="I69" s="271"/>
      <c r="J69" s="284">
        <v>0</v>
      </c>
      <c r="L69" s="223">
        <f t="shared" si="23"/>
        <v>0</v>
      </c>
      <c r="M69" s="224">
        <f t="shared" si="24"/>
        <v>0</v>
      </c>
      <c r="N69" s="224"/>
      <c r="O69" s="225"/>
      <c r="Q69" s="237">
        <f>L76-Q67</f>
        <v>-7538.2045427041594</v>
      </c>
    </row>
    <row r="70" spans="2:17" s="249" customFormat="1" x14ac:dyDescent="0.25">
      <c r="C70" s="258"/>
      <c r="D70" s="258"/>
      <c r="E70" s="260"/>
      <c r="F70" s="271"/>
      <c r="G70" s="265"/>
      <c r="H70" s="283"/>
      <c r="I70" s="271"/>
      <c r="J70" s="265"/>
      <c r="Q70" s="234" t="s">
        <v>221</v>
      </c>
    </row>
    <row r="71" spans="2:17" s="249" customFormat="1" x14ac:dyDescent="0.25">
      <c r="C71" s="258" t="s">
        <v>235</v>
      </c>
      <c r="D71" s="258"/>
      <c r="E71" s="260"/>
      <c r="F71" s="271"/>
      <c r="G71" s="265"/>
      <c r="H71" s="283"/>
      <c r="I71" s="271"/>
      <c r="J71" s="265"/>
      <c r="Q71" s="242">
        <v>8.4793077650793955E-2</v>
      </c>
    </row>
    <row r="72" spans="2:17" s="249" customFormat="1" x14ac:dyDescent="0.25">
      <c r="C72" s="258" t="s">
        <v>246</v>
      </c>
      <c r="D72" s="258" t="s">
        <v>217</v>
      </c>
      <c r="E72" s="256">
        <v>7796583.8330000006</v>
      </c>
      <c r="F72" s="259">
        <v>9.9360000000000004E-2</v>
      </c>
      <c r="G72" s="253">
        <f t="shared" ref="G72:G74" si="26">ROUND($E72*F72,2)</f>
        <v>774668.57</v>
      </c>
      <c r="H72" s="283"/>
      <c r="I72" s="271">
        <f>ROUND(F72*(1+$Q$71),5)</f>
        <v>0.10779</v>
      </c>
      <c r="J72" s="253">
        <f t="shared" ref="J72:J74" si="27">ROUND($E72*I72,2)</f>
        <v>840393.77</v>
      </c>
      <c r="L72" s="223">
        <f t="shared" ref="L72:L74" si="28">J72-G72</f>
        <v>65725.20000000007</v>
      </c>
      <c r="M72" s="224">
        <f t="shared" ref="M72:M74" si="29">IF(G72&lt;&gt;0,L72/G72,0)</f>
        <v>8.4842992920185309E-2</v>
      </c>
      <c r="N72" s="224"/>
      <c r="O72" s="229">
        <f t="shared" ref="O72:O74" si="30">I72-F72</f>
        <v>8.4299999999999931E-3</v>
      </c>
    </row>
    <row r="73" spans="2:17" s="249" customFormat="1" x14ac:dyDescent="0.25">
      <c r="C73" s="258" t="s">
        <v>247</v>
      </c>
      <c r="D73" s="258" t="s">
        <v>217</v>
      </c>
      <c r="E73" s="256">
        <v>4282488.4920000006</v>
      </c>
      <c r="F73" s="259">
        <v>4.9169999999999998E-2</v>
      </c>
      <c r="G73" s="253">
        <f t="shared" si="26"/>
        <v>210569.96</v>
      </c>
      <c r="H73" s="283"/>
      <c r="I73" s="271">
        <f t="shared" ref="I73:I74" si="31">ROUND(F73*(1+$Q$71),5)</f>
        <v>5.3339999999999999E-2</v>
      </c>
      <c r="J73" s="253">
        <f t="shared" si="27"/>
        <v>228427.94</v>
      </c>
      <c r="L73" s="223">
        <f t="shared" si="28"/>
        <v>17857.98000000001</v>
      </c>
      <c r="M73" s="224">
        <f t="shared" si="29"/>
        <v>8.4807823490112316E-2</v>
      </c>
      <c r="N73" s="224"/>
      <c r="O73" s="229">
        <f t="shared" si="30"/>
        <v>4.1700000000000001E-3</v>
      </c>
    </row>
    <row r="74" spans="2:17" s="249" customFormat="1" x14ac:dyDescent="0.25">
      <c r="C74" s="258" t="s">
        <v>248</v>
      </c>
      <c r="D74" s="258" t="s">
        <v>217</v>
      </c>
      <c r="E74" s="256">
        <v>4228717.1009999998</v>
      </c>
      <c r="F74" s="259">
        <v>4.7039999999999998E-2</v>
      </c>
      <c r="G74" s="253">
        <f t="shared" si="26"/>
        <v>198918.85</v>
      </c>
      <c r="H74" s="283"/>
      <c r="I74" s="271">
        <f t="shared" si="31"/>
        <v>5.1029999999999999E-2</v>
      </c>
      <c r="J74" s="253">
        <f t="shared" si="27"/>
        <v>215791.43</v>
      </c>
      <c r="L74" s="223">
        <f t="shared" si="28"/>
        <v>16872.579999999987</v>
      </c>
      <c r="M74" s="224">
        <f t="shared" si="29"/>
        <v>8.4821423409596364E-2</v>
      </c>
      <c r="N74" s="224"/>
      <c r="O74" s="229">
        <f t="shared" si="30"/>
        <v>3.9900000000000005E-3</v>
      </c>
    </row>
    <row r="75" spans="2:17" s="249" customFormat="1" x14ac:dyDescent="0.25">
      <c r="C75" s="255" t="s">
        <v>240</v>
      </c>
      <c r="D75" s="250"/>
      <c r="E75" s="273">
        <f>SUM(E72:E74)</f>
        <v>16307789.426000001</v>
      </c>
      <c r="F75" s="268"/>
      <c r="H75" s="283"/>
      <c r="I75" s="268"/>
      <c r="L75" s="285"/>
    </row>
    <row r="76" spans="2:17" s="249" customFormat="1" x14ac:dyDescent="0.25">
      <c r="C76" s="231" t="s">
        <v>218</v>
      </c>
      <c r="D76" s="250"/>
      <c r="E76" s="260"/>
      <c r="F76" s="268"/>
      <c r="G76" s="277">
        <f>SUM(G66:G74)</f>
        <v>1589956.26</v>
      </c>
      <c r="H76" s="283"/>
      <c r="I76" s="268"/>
      <c r="J76" s="277">
        <f>SUM(J66:J74)</f>
        <v>1724544.4</v>
      </c>
      <c r="L76" s="223">
        <f t="shared" ref="L76" si="32">J76-G76</f>
        <v>134588.1399999999</v>
      </c>
      <c r="M76" s="224">
        <f t="shared" ref="M76" si="33">IF(G76&lt;&gt;0,L76/G76,0)</f>
        <v>8.464895757572595E-2</v>
      </c>
      <c r="N76" s="224"/>
    </row>
    <row r="77" spans="2:17" s="249" customFormat="1" x14ac:dyDescent="0.25">
      <c r="C77" s="250"/>
      <c r="D77" s="250"/>
      <c r="E77" s="260"/>
      <c r="F77" s="268"/>
      <c r="G77" s="265"/>
      <c r="H77" s="283"/>
      <c r="I77" s="268"/>
      <c r="J77" s="265"/>
      <c r="Q77" s="258"/>
    </row>
    <row r="78" spans="2:17" s="249" customFormat="1" x14ac:dyDescent="0.25">
      <c r="B78" s="248" t="s">
        <v>249</v>
      </c>
      <c r="D78" s="250"/>
      <c r="E78" s="260"/>
      <c r="F78" s="268"/>
      <c r="G78" s="282"/>
      <c r="H78" s="283"/>
      <c r="I78" s="268"/>
      <c r="J78" s="282"/>
      <c r="Q78" s="258"/>
    </row>
    <row r="79" spans="2:17" s="249" customFormat="1" x14ac:dyDescent="0.25">
      <c r="C79" s="250" t="s">
        <v>213</v>
      </c>
      <c r="D79" s="250" t="s">
        <v>214</v>
      </c>
      <c r="E79" s="256">
        <v>1226.3663564440635</v>
      </c>
      <c r="F79" s="267">
        <v>877.69</v>
      </c>
      <c r="G79" s="253">
        <f>ROUND($E79*F79,2)</f>
        <v>1076369.49</v>
      </c>
      <c r="H79" s="283"/>
      <c r="I79" s="222">
        <f>ROUND(F79*(1+Q84),2)</f>
        <v>903.09</v>
      </c>
      <c r="J79" s="253">
        <f>ROUND($E79*I79,2)</f>
        <v>1107519.19</v>
      </c>
      <c r="L79" s="223">
        <f t="shared" ref="L79:L81" si="34">J79-G79</f>
        <v>31149.699999999953</v>
      </c>
      <c r="M79" s="224">
        <f t="shared" ref="M79:M80" si="35">IF(G79&lt;&gt;0,L79/G79,0)</f>
        <v>2.8939597684062891E-2</v>
      </c>
      <c r="N79" s="224"/>
      <c r="O79" s="225">
        <f t="shared" ref="O79:O80" si="36">I79-F79</f>
        <v>25.399999999999977</v>
      </c>
      <c r="Q79" s="226" t="s">
        <v>250</v>
      </c>
    </row>
    <row r="80" spans="2:17" s="249" customFormat="1" x14ac:dyDescent="0.25">
      <c r="C80" s="258" t="s">
        <v>234</v>
      </c>
      <c r="D80" s="258" t="s">
        <v>230</v>
      </c>
      <c r="E80" s="256">
        <v>686276.33400000003</v>
      </c>
      <c r="F80" s="267">
        <v>1.21</v>
      </c>
      <c r="G80" s="253">
        <f>ROUND($E80*F80,2)</f>
        <v>830394.36</v>
      </c>
      <c r="H80" s="283"/>
      <c r="I80" s="268">
        <f>ROUND(F80*(1+$Q$84),2)</f>
        <v>1.25</v>
      </c>
      <c r="J80" s="253">
        <f>ROUND($E80*I80,2)</f>
        <v>857845.42</v>
      </c>
      <c r="L80" s="223">
        <f t="shared" si="34"/>
        <v>27451.060000000056</v>
      </c>
      <c r="M80" s="224">
        <f t="shared" si="35"/>
        <v>3.3057859400682899E-2</v>
      </c>
      <c r="N80" s="224"/>
      <c r="O80" s="225">
        <f t="shared" si="36"/>
        <v>4.0000000000000036E-2</v>
      </c>
      <c r="Q80" s="230">
        <v>629066.29044865072</v>
      </c>
    </row>
    <row r="81" spans="2:17" s="249" customFormat="1" x14ac:dyDescent="0.25">
      <c r="C81" s="258" t="s">
        <v>245</v>
      </c>
      <c r="D81" s="258"/>
      <c r="E81" s="266"/>
      <c r="F81" s="268"/>
      <c r="G81" s="286">
        <v>12562.25</v>
      </c>
      <c r="H81" s="283"/>
      <c r="I81" s="268"/>
      <c r="J81" s="286">
        <v>12562.25</v>
      </c>
      <c r="L81" s="223">
        <f t="shared" si="34"/>
        <v>0</v>
      </c>
      <c r="M81" s="224">
        <f>IF(G81&lt;&gt;0,L81/G81,0)</f>
        <v>0</v>
      </c>
      <c r="N81" s="224"/>
      <c r="Q81" s="234" t="s">
        <v>219</v>
      </c>
    </row>
    <row r="82" spans="2:17" s="249" customFormat="1" x14ac:dyDescent="0.25">
      <c r="C82" s="258"/>
      <c r="D82" s="258"/>
      <c r="E82" s="260"/>
      <c r="F82" s="271"/>
      <c r="G82" s="265"/>
      <c r="H82" s="283"/>
      <c r="I82" s="271"/>
      <c r="J82" s="265"/>
      <c r="Q82" s="237">
        <f>L88-Q80</f>
        <v>-423200.3804486515</v>
      </c>
    </row>
    <row r="83" spans="2:17" s="249" customFormat="1" x14ac:dyDescent="0.25">
      <c r="C83" s="258" t="s">
        <v>235</v>
      </c>
      <c r="D83" s="258"/>
      <c r="E83" s="260"/>
      <c r="F83" s="271"/>
      <c r="G83" s="265"/>
      <c r="H83" s="283"/>
      <c r="I83" s="271"/>
      <c r="J83" s="265"/>
      <c r="Q83" s="234" t="s">
        <v>221</v>
      </c>
    </row>
    <row r="84" spans="2:17" s="249" customFormat="1" x14ac:dyDescent="0.25">
      <c r="C84" s="258" t="s">
        <v>246</v>
      </c>
      <c r="D84" s="258" t="s">
        <v>217</v>
      </c>
      <c r="E84" s="256">
        <v>28192306.539999999</v>
      </c>
      <c r="F84" s="271">
        <f>F72</f>
        <v>9.9360000000000004E-2</v>
      </c>
      <c r="G84" s="253">
        <f t="shared" ref="G84:G86" si="37">ROUND($E84*F84,2)</f>
        <v>2801187.58</v>
      </c>
      <c r="H84" s="283"/>
      <c r="I84" s="271">
        <f>ROUND(F84*(1+$Q$84),5)</f>
        <v>0.10224</v>
      </c>
      <c r="J84" s="253">
        <f t="shared" ref="J84:J86" si="38">ROUND($E84*I84,2)</f>
        <v>2882381.42</v>
      </c>
      <c r="L84" s="223">
        <f t="shared" ref="L84:L86" si="39">J84-G84</f>
        <v>81193.839999999851</v>
      </c>
      <c r="M84" s="224">
        <f>IF(G84&lt;&gt;0,L84/G84,0)</f>
        <v>2.8985506211618949E-2</v>
      </c>
      <c r="N84" s="224"/>
      <c r="O84" s="229">
        <f t="shared" ref="O84:O86" si="40">I84-F84</f>
        <v>2.8799999999999937E-3</v>
      </c>
      <c r="Q84" s="242">
        <v>2.8936E-2</v>
      </c>
    </row>
    <row r="85" spans="2:17" s="249" customFormat="1" x14ac:dyDescent="0.25">
      <c r="C85" s="258" t="s">
        <v>247</v>
      </c>
      <c r="D85" s="258" t="s">
        <v>217</v>
      </c>
      <c r="E85" s="256">
        <v>19024750.539999999</v>
      </c>
      <c r="F85" s="271">
        <f>F73</f>
        <v>4.9169999999999998E-2</v>
      </c>
      <c r="G85" s="253">
        <f t="shared" si="37"/>
        <v>935446.98</v>
      </c>
      <c r="H85" s="283"/>
      <c r="I85" s="271">
        <f>ROUND(F85*(1+$Q$84),5)</f>
        <v>5.0590000000000003E-2</v>
      </c>
      <c r="J85" s="253">
        <f t="shared" si="38"/>
        <v>962462.13</v>
      </c>
      <c r="L85" s="223">
        <f t="shared" si="39"/>
        <v>27015.150000000023</v>
      </c>
      <c r="M85" s="224">
        <f>IF(G85&lt;&gt;0,L85/G85,0)</f>
        <v>2.8879402657326473E-2</v>
      </c>
      <c r="N85" s="224"/>
      <c r="O85" s="229">
        <f t="shared" si="40"/>
        <v>1.4200000000000046E-3</v>
      </c>
      <c r="Q85" s="258"/>
    </row>
    <row r="86" spans="2:17" s="249" customFormat="1" x14ac:dyDescent="0.25">
      <c r="C86" s="258" t="s">
        <v>251</v>
      </c>
      <c r="D86" s="258" t="s">
        <v>217</v>
      </c>
      <c r="E86" s="256">
        <v>29365530.039999999</v>
      </c>
      <c r="F86" s="271">
        <f>F74</f>
        <v>4.7039999999999998E-2</v>
      </c>
      <c r="G86" s="253">
        <f t="shared" si="37"/>
        <v>1381354.53</v>
      </c>
      <c r="H86" s="283"/>
      <c r="I86" s="280">
        <f>ROUND(F86*(1+$Q$84),5)-0.00003</f>
        <v>4.8369999999999996E-2</v>
      </c>
      <c r="J86" s="253">
        <f t="shared" si="38"/>
        <v>1420410.69</v>
      </c>
      <c r="L86" s="223">
        <f t="shared" si="39"/>
        <v>39056.159999999916</v>
      </c>
      <c r="M86" s="224">
        <f>IF(G86&lt;&gt;0,L86/G86,0)</f>
        <v>2.8273813240399563E-2</v>
      </c>
      <c r="N86" s="224"/>
      <c r="O86" s="229">
        <f t="shared" si="40"/>
        <v>1.3299999999999979E-3</v>
      </c>
    </row>
    <row r="87" spans="2:17" s="249" customFormat="1" x14ac:dyDescent="0.25">
      <c r="C87" s="255" t="s">
        <v>240</v>
      </c>
      <c r="D87" s="250"/>
      <c r="E87" s="281">
        <f>SUM(E84:E86)</f>
        <v>76582587.120000005</v>
      </c>
      <c r="F87" s="268"/>
      <c r="H87" s="283"/>
      <c r="I87" s="268"/>
      <c r="L87" s="285"/>
    </row>
    <row r="88" spans="2:17" s="249" customFormat="1" x14ac:dyDescent="0.25">
      <c r="C88" s="231" t="s">
        <v>218</v>
      </c>
      <c r="D88" s="250"/>
      <c r="E88" s="260"/>
      <c r="F88" s="268"/>
      <c r="G88" s="277">
        <f>SUM(G79:G86)</f>
        <v>7037315.1900000004</v>
      </c>
      <c r="H88" s="283"/>
      <c r="I88" s="268"/>
      <c r="J88" s="277">
        <f>SUM(J79:J86)</f>
        <v>7243181.0999999996</v>
      </c>
      <c r="L88" s="223">
        <f t="shared" ref="L88" si="41">J88-G88</f>
        <v>205865.90999999922</v>
      </c>
      <c r="M88" s="224">
        <f>IF(G88&lt;&gt;0,L88/G88,0)</f>
        <v>2.9253473013761546E-2</v>
      </c>
      <c r="N88" s="224"/>
    </row>
    <row r="89" spans="2:17" s="249" customFormat="1" x14ac:dyDescent="0.25">
      <c r="C89" s="250"/>
      <c r="D89" s="250"/>
      <c r="E89" s="260"/>
      <c r="F89" s="268"/>
      <c r="G89" s="265"/>
      <c r="H89" s="283"/>
      <c r="I89" s="268"/>
      <c r="J89" s="265"/>
    </row>
    <row r="90" spans="2:17" s="249" customFormat="1" x14ac:dyDescent="0.25">
      <c r="B90" s="248" t="s">
        <v>252</v>
      </c>
      <c r="D90" s="250"/>
      <c r="E90" s="260"/>
      <c r="F90" s="268"/>
      <c r="G90" s="265"/>
      <c r="H90" s="283"/>
      <c r="I90" s="268"/>
      <c r="J90" s="265"/>
    </row>
    <row r="91" spans="2:17" s="249" customFormat="1" x14ac:dyDescent="0.25">
      <c r="C91" s="250" t="s">
        <v>213</v>
      </c>
      <c r="D91" s="250" t="s">
        <v>214</v>
      </c>
      <c r="E91" s="256">
        <v>2677.7055539223543</v>
      </c>
      <c r="F91" s="267">
        <v>139.36000000000001</v>
      </c>
      <c r="G91" s="265">
        <f>ROUND($E91*F91,2)</f>
        <v>373165.05</v>
      </c>
      <c r="H91" s="283"/>
      <c r="I91" s="222">
        <f>ROUND(F91*(1+Q96),2)</f>
        <v>148.82</v>
      </c>
      <c r="J91" s="265">
        <f>ROUND($E91*I91,2)</f>
        <v>398496.14</v>
      </c>
      <c r="L91" s="223">
        <f t="shared" ref="L91:L94" si="42">J91-G91</f>
        <v>25331.090000000026</v>
      </c>
      <c r="M91" s="224">
        <f t="shared" ref="M91:M94" si="43">IF(G91&lt;&gt;0,L91/G91,0)</f>
        <v>6.7881732225459027E-2</v>
      </c>
      <c r="N91" s="224"/>
      <c r="O91" s="225">
        <f t="shared" ref="O91:O93" si="44">I91-F91</f>
        <v>9.4599999999999795</v>
      </c>
      <c r="Q91" s="226" t="s">
        <v>253</v>
      </c>
    </row>
    <row r="92" spans="2:17" s="249" customFormat="1" x14ac:dyDescent="0.25">
      <c r="C92" s="258" t="s">
        <v>234</v>
      </c>
      <c r="D92" s="258" t="s">
        <v>230</v>
      </c>
      <c r="E92" s="256">
        <v>82161.953000000009</v>
      </c>
      <c r="F92" s="267">
        <v>1.22</v>
      </c>
      <c r="G92" s="265">
        <f>ROUND($E92*F92,2)</f>
        <v>100237.58</v>
      </c>
      <c r="H92" s="283"/>
      <c r="I92" s="268">
        <f>ROUND(F92*(1+$Q$96),2)</f>
        <v>1.3</v>
      </c>
      <c r="J92" s="265">
        <f>ROUND($E92*I92,2)</f>
        <v>106810.54</v>
      </c>
      <c r="L92" s="223">
        <f t="shared" si="42"/>
        <v>6572.9599999999919</v>
      </c>
      <c r="M92" s="224">
        <f t="shared" si="43"/>
        <v>6.5573809742812947E-2</v>
      </c>
      <c r="N92" s="224"/>
      <c r="O92" s="225">
        <f>I92-F92</f>
        <v>8.0000000000000071E-2</v>
      </c>
      <c r="Q92" s="230">
        <v>173839.080480075</v>
      </c>
    </row>
    <row r="93" spans="2:17" s="249" customFormat="1" x14ac:dyDescent="0.25">
      <c r="C93" s="258" t="s">
        <v>226</v>
      </c>
      <c r="D93" s="258" t="s">
        <v>217</v>
      </c>
      <c r="E93" s="260">
        <f>E99</f>
        <v>9107268.5420000013</v>
      </c>
      <c r="F93" s="259">
        <v>9.0699999999999999E-3</v>
      </c>
      <c r="G93" s="265">
        <f>ROUND($E93*F93,2)</f>
        <v>82602.929999999993</v>
      </c>
      <c r="H93" s="283"/>
      <c r="I93" s="271">
        <f>ROUND(F93*(1+$Q$96),5)</f>
        <v>9.6900000000000007E-3</v>
      </c>
      <c r="J93" s="265">
        <f>ROUND($E93*I93,2)</f>
        <v>88249.43</v>
      </c>
      <c r="L93" s="223">
        <f t="shared" si="42"/>
        <v>5646.5</v>
      </c>
      <c r="M93" s="224">
        <f t="shared" si="43"/>
        <v>6.8357139389607607E-2</v>
      </c>
      <c r="N93" s="224"/>
      <c r="O93" s="229">
        <f t="shared" si="44"/>
        <v>6.2000000000000076E-4</v>
      </c>
      <c r="Q93" s="234" t="s">
        <v>219</v>
      </c>
    </row>
    <row r="94" spans="2:17" s="249" customFormat="1" x14ac:dyDescent="0.25">
      <c r="C94" s="258" t="s">
        <v>245</v>
      </c>
      <c r="D94" s="258"/>
      <c r="E94" s="260"/>
      <c r="F94" s="271"/>
      <c r="G94" s="286">
        <v>28713.760000000002</v>
      </c>
      <c r="H94" s="283"/>
      <c r="I94" s="271"/>
      <c r="J94" s="286">
        <v>28713.760000000002</v>
      </c>
      <c r="L94" s="223">
        <f t="shared" si="42"/>
        <v>0</v>
      </c>
      <c r="M94" s="224">
        <f t="shared" si="43"/>
        <v>0</v>
      </c>
      <c r="N94" s="224"/>
      <c r="Q94" s="237">
        <f>L100-Q92</f>
        <v>-44014.080480075238</v>
      </c>
    </row>
    <row r="95" spans="2:17" s="249" customFormat="1" x14ac:dyDescent="0.25">
      <c r="C95" s="258"/>
      <c r="D95" s="258"/>
      <c r="E95" s="260"/>
      <c r="F95" s="271"/>
      <c r="G95" s="265"/>
      <c r="H95" s="283"/>
      <c r="I95" s="271"/>
      <c r="J95" s="265"/>
      <c r="Q95" s="234" t="s">
        <v>221</v>
      </c>
    </row>
    <row r="96" spans="2:17" s="249" customFormat="1" x14ac:dyDescent="0.25">
      <c r="C96" s="258" t="s">
        <v>235</v>
      </c>
      <c r="D96" s="258"/>
      <c r="E96" s="260"/>
      <c r="F96" s="271"/>
      <c r="G96" s="265"/>
      <c r="H96" s="283"/>
      <c r="I96" s="271"/>
      <c r="J96" s="265"/>
      <c r="Q96" s="242">
        <v>6.787E-2</v>
      </c>
    </row>
    <row r="97" spans="2:17" s="249" customFormat="1" x14ac:dyDescent="0.25">
      <c r="C97" s="251" t="s">
        <v>254</v>
      </c>
      <c r="D97" s="251" t="s">
        <v>217</v>
      </c>
      <c r="E97" s="256">
        <v>2060386.0149999999</v>
      </c>
      <c r="F97" s="259">
        <v>0.19273999999999999</v>
      </c>
      <c r="G97" s="265">
        <f>ROUND($E97*F97,2)</f>
        <v>397118.8</v>
      </c>
      <c r="H97" s="283"/>
      <c r="I97" s="271">
        <f>ROUND(F97*(1+$Q$96),5)</f>
        <v>0.20582</v>
      </c>
      <c r="J97" s="265">
        <f>ROUND($E97*I97,2)</f>
        <v>424068.65</v>
      </c>
      <c r="L97" s="223">
        <f t="shared" ref="L97:L98" si="45">J97-G97</f>
        <v>26949.850000000035</v>
      </c>
      <c r="M97" s="224">
        <f t="shared" ref="M97:M98" si="46">IF(G97&lt;&gt;0,L97/G97,0)</f>
        <v>6.786344539719609E-2</v>
      </c>
      <c r="N97" s="224"/>
      <c r="O97" s="229">
        <f t="shared" ref="O97:O98" si="47">I97-F97</f>
        <v>1.3080000000000008E-2</v>
      </c>
    </row>
    <row r="98" spans="2:17" s="249" customFormat="1" x14ac:dyDescent="0.25">
      <c r="C98" s="251" t="s">
        <v>255</v>
      </c>
      <c r="D98" s="251" t="s">
        <v>217</v>
      </c>
      <c r="E98" s="256">
        <v>7046882.5270000007</v>
      </c>
      <c r="F98" s="259">
        <v>0.13664000000000001</v>
      </c>
      <c r="G98" s="265">
        <f>ROUND($E98*F98,2)</f>
        <v>962886.03</v>
      </c>
      <c r="H98" s="283"/>
      <c r="I98" s="271">
        <f>ROUND(F98*(1+$Q$96),5)</f>
        <v>0.14591000000000001</v>
      </c>
      <c r="J98" s="265">
        <f>ROUND($E98*I98,2)</f>
        <v>1028210.63</v>
      </c>
      <c r="L98" s="223">
        <f t="shared" si="45"/>
        <v>65324.599999999977</v>
      </c>
      <c r="M98" s="224">
        <f t="shared" si="46"/>
        <v>6.7842504683550117E-2</v>
      </c>
      <c r="N98" s="224"/>
      <c r="O98" s="229">
        <f t="shared" si="47"/>
        <v>9.2700000000000005E-3</v>
      </c>
    </row>
    <row r="99" spans="2:17" s="249" customFormat="1" x14ac:dyDescent="0.25">
      <c r="C99" s="255" t="s">
        <v>240</v>
      </c>
      <c r="D99" s="258" t="s">
        <v>217</v>
      </c>
      <c r="E99" s="273">
        <f>SUM(E97:E98)</f>
        <v>9107268.5420000013</v>
      </c>
      <c r="F99" s="268"/>
      <c r="H99" s="283"/>
      <c r="I99" s="268"/>
      <c r="L99" s="285"/>
    </row>
    <row r="100" spans="2:17" s="249" customFormat="1" x14ac:dyDescent="0.25">
      <c r="C100" s="231" t="s">
        <v>218</v>
      </c>
      <c r="D100" s="258"/>
      <c r="E100" s="260"/>
      <c r="F100" s="268"/>
      <c r="G100" s="277">
        <f>SUM(G91:G98)</f>
        <v>1944724.1500000001</v>
      </c>
      <c r="H100" s="283"/>
      <c r="I100" s="268"/>
      <c r="J100" s="277">
        <f>SUM(J91:J98)</f>
        <v>2074549.15</v>
      </c>
      <c r="L100" s="223">
        <f t="shared" ref="L100" si="48">J100-G100</f>
        <v>129824.99999999977</v>
      </c>
      <c r="M100" s="224">
        <f>IF(G100&lt;&gt;0,L100/G100,0)</f>
        <v>6.6757539880398856E-2</v>
      </c>
      <c r="N100" s="224"/>
      <c r="Q100" s="258"/>
    </row>
    <row r="101" spans="2:17" s="249" customFormat="1" x14ac:dyDescent="0.25">
      <c r="C101" s="250"/>
      <c r="D101" s="250"/>
      <c r="E101" s="260"/>
      <c r="F101" s="268"/>
      <c r="G101" s="265"/>
      <c r="H101" s="283"/>
      <c r="I101" s="268"/>
      <c r="J101" s="265"/>
      <c r="Q101" s="258"/>
    </row>
    <row r="102" spans="2:17" s="249" customFormat="1" x14ac:dyDescent="0.25">
      <c r="B102" s="248" t="s">
        <v>256</v>
      </c>
      <c r="D102" s="250"/>
      <c r="E102" s="260"/>
      <c r="F102" s="268"/>
      <c r="G102" s="265"/>
      <c r="H102" s="283"/>
      <c r="I102" s="268"/>
      <c r="J102" s="265"/>
      <c r="Q102" s="258"/>
    </row>
    <row r="103" spans="2:17" s="249" customFormat="1" x14ac:dyDescent="0.25">
      <c r="B103" s="258"/>
      <c r="C103" s="250" t="s">
        <v>213</v>
      </c>
      <c r="D103" s="250" t="s">
        <v>214</v>
      </c>
      <c r="E103" s="256">
        <v>31.999971930109631</v>
      </c>
      <c r="F103" s="267">
        <v>443.44</v>
      </c>
      <c r="G103" s="265">
        <f>ROUND($E103*F103,2)</f>
        <v>14190.07</v>
      </c>
      <c r="H103" s="283"/>
      <c r="I103" s="222">
        <f>ROUND(F103*(1+Q108),2)</f>
        <v>457.76</v>
      </c>
      <c r="J103" s="265">
        <f>ROUND($E103*I103,2)</f>
        <v>14648.31</v>
      </c>
      <c r="L103" s="223">
        <f t="shared" ref="L103:L105" si="49">J103-G103</f>
        <v>458.23999999999978</v>
      </c>
      <c r="M103" s="224">
        <f t="shared" ref="M103:M105" si="50">IF(G103&lt;&gt;0,L103/G103,0)</f>
        <v>3.2293004897086468E-2</v>
      </c>
      <c r="N103" s="224"/>
      <c r="O103" s="225">
        <f t="shared" ref="O103:O104" si="51">I103-F103</f>
        <v>14.319999999999993</v>
      </c>
      <c r="Q103" s="226" t="s">
        <v>257</v>
      </c>
    </row>
    <row r="104" spans="2:17" s="249" customFormat="1" x14ac:dyDescent="0.25">
      <c r="B104" s="258"/>
      <c r="C104" s="258" t="s">
        <v>234</v>
      </c>
      <c r="D104" s="258" t="s">
        <v>230</v>
      </c>
      <c r="E104" s="256">
        <v>9750</v>
      </c>
      <c r="F104" s="267">
        <v>1.22</v>
      </c>
      <c r="G104" s="265">
        <f>ROUND($E104*F104,2)</f>
        <v>11895</v>
      </c>
      <c r="H104" s="283"/>
      <c r="I104" s="268">
        <f>ROUND(F104*(1+$Q$108),2)</f>
        <v>1.26</v>
      </c>
      <c r="J104" s="265">
        <f>ROUND($E104*I104,2)</f>
        <v>12285</v>
      </c>
      <c r="L104" s="223">
        <f t="shared" si="49"/>
        <v>390</v>
      </c>
      <c r="M104" s="224">
        <f t="shared" si="50"/>
        <v>3.2786885245901641E-2</v>
      </c>
      <c r="N104" s="224"/>
      <c r="O104" s="225">
        <f t="shared" si="51"/>
        <v>4.0000000000000036E-2</v>
      </c>
      <c r="Q104" s="230">
        <v>7545.3055113022911</v>
      </c>
    </row>
    <row r="105" spans="2:17" s="249" customFormat="1" x14ac:dyDescent="0.25">
      <c r="B105" s="258"/>
      <c r="C105" s="258" t="s">
        <v>245</v>
      </c>
      <c r="D105" s="258"/>
      <c r="E105" s="260"/>
      <c r="F105" s="271"/>
      <c r="G105" s="286">
        <v>8523.59</v>
      </c>
      <c r="H105" s="283"/>
      <c r="I105" s="271"/>
      <c r="J105" s="286">
        <v>8523.59</v>
      </c>
      <c r="L105" s="223">
        <f t="shared" si="49"/>
        <v>0</v>
      </c>
      <c r="M105" s="224">
        <f t="shared" si="50"/>
        <v>0</v>
      </c>
      <c r="N105" s="224"/>
      <c r="Q105" s="234" t="s">
        <v>219</v>
      </c>
    </row>
    <row r="106" spans="2:17" s="249" customFormat="1" x14ac:dyDescent="0.25">
      <c r="B106" s="258"/>
      <c r="C106" s="258"/>
      <c r="D106" s="258"/>
      <c r="E106" s="260"/>
      <c r="F106" s="271"/>
      <c r="G106" s="265"/>
      <c r="H106" s="283"/>
      <c r="I106" s="271"/>
      <c r="J106" s="265"/>
      <c r="Q106" s="237">
        <f>L111-Q104</f>
        <v>-5089.5655113023004</v>
      </c>
    </row>
    <row r="107" spans="2:17" s="249" customFormat="1" x14ac:dyDescent="0.25">
      <c r="B107" s="258"/>
      <c r="C107" s="258" t="s">
        <v>235</v>
      </c>
      <c r="D107" s="258"/>
      <c r="E107" s="260"/>
      <c r="F107" s="271"/>
      <c r="G107" s="265"/>
      <c r="H107" s="283"/>
      <c r="I107" s="271"/>
      <c r="J107" s="265"/>
      <c r="Q107" s="234" t="s">
        <v>221</v>
      </c>
    </row>
    <row r="108" spans="2:17" s="249" customFormat="1" x14ac:dyDescent="0.25">
      <c r="B108" s="258"/>
      <c r="C108" s="251" t="s">
        <v>254</v>
      </c>
      <c r="D108" s="251" t="s">
        <v>217</v>
      </c>
      <c r="E108" s="256">
        <v>23930.91</v>
      </c>
      <c r="F108" s="271">
        <f>F97</f>
        <v>0.19273999999999999</v>
      </c>
      <c r="G108" s="265">
        <f>ROUND($E108*F108,2)</f>
        <v>4612.4399999999996</v>
      </c>
      <c r="H108" s="283"/>
      <c r="I108" s="271">
        <f>ROUND(F108*(1+$Q$108),5)</f>
        <v>0.19897000000000001</v>
      </c>
      <c r="J108" s="265">
        <f>ROUND($E108*I108,2)</f>
        <v>4761.53</v>
      </c>
      <c r="L108" s="223">
        <f t="shared" ref="L108:L109" si="52">J108-G108</f>
        <v>149.09000000000015</v>
      </c>
      <c r="M108" s="224">
        <f t="shared" ref="M108:M109" si="53">IF(G108&lt;&gt;0,L108/G108,0)</f>
        <v>3.2323455698068736E-2</v>
      </c>
      <c r="N108" s="224"/>
      <c r="O108" s="229">
        <f>I108-F108</f>
        <v>6.2300000000000133E-3</v>
      </c>
      <c r="Q108" s="242">
        <v>3.2300000000000002E-2</v>
      </c>
    </row>
    <row r="109" spans="2:17" s="249" customFormat="1" x14ac:dyDescent="0.25">
      <c r="B109" s="258"/>
      <c r="C109" s="251" t="s">
        <v>255</v>
      </c>
      <c r="D109" s="251" t="s">
        <v>217</v>
      </c>
      <c r="E109" s="256">
        <v>330705.78999999998</v>
      </c>
      <c r="F109" s="271">
        <f>F98</f>
        <v>0.13664000000000001</v>
      </c>
      <c r="G109" s="265">
        <f>ROUND($E109*F109,2)</f>
        <v>45187.64</v>
      </c>
      <c r="H109" s="283"/>
      <c r="I109" s="271">
        <f>ROUND(F109*(1+$Q$108),5)</f>
        <v>0.14105000000000001</v>
      </c>
      <c r="J109" s="265">
        <f>ROUND($E109*I109,2)</f>
        <v>46646.05</v>
      </c>
      <c r="L109" s="223">
        <f t="shared" si="52"/>
        <v>1458.4100000000035</v>
      </c>
      <c r="M109" s="224">
        <f t="shared" si="53"/>
        <v>3.2274533478623878E-2</v>
      </c>
      <c r="N109" s="224"/>
      <c r="O109" s="229">
        <f t="shared" ref="O109" si="54">I109-F109</f>
        <v>4.4099999999999973E-3</v>
      </c>
      <c r="Q109" s="258"/>
    </row>
    <row r="110" spans="2:17" s="249" customFormat="1" x14ac:dyDescent="0.25">
      <c r="C110" s="255" t="s">
        <v>240</v>
      </c>
      <c r="D110" s="258" t="s">
        <v>217</v>
      </c>
      <c r="E110" s="281">
        <f>SUM(E108:E109)</f>
        <v>354636.69999999995</v>
      </c>
      <c r="F110" s="268"/>
      <c r="H110" s="283"/>
      <c r="I110" s="268"/>
      <c r="L110" s="285"/>
    </row>
    <row r="111" spans="2:17" s="249" customFormat="1" x14ac:dyDescent="0.25">
      <c r="C111" s="231" t="s">
        <v>218</v>
      </c>
      <c r="D111" s="258"/>
      <c r="E111" s="260"/>
      <c r="F111" s="268"/>
      <c r="G111" s="277">
        <f>SUM(G103:G109)</f>
        <v>84408.74</v>
      </c>
      <c r="H111" s="283"/>
      <c r="I111" s="268"/>
      <c r="J111" s="277">
        <f>SUM(J103:J109)</f>
        <v>86864.48</v>
      </c>
      <c r="L111" s="223">
        <f t="shared" ref="L111" si="55">J111-G111</f>
        <v>2455.7399999999907</v>
      </c>
      <c r="M111" s="224">
        <f>IF(G111&lt;&gt;0,L111/G111,0)</f>
        <v>2.9093432741680428E-2</v>
      </c>
      <c r="N111" s="224"/>
    </row>
    <row r="112" spans="2:17" s="249" customFormat="1" x14ac:dyDescent="0.25">
      <c r="B112" s="258"/>
      <c r="C112" s="250"/>
      <c r="D112" s="250"/>
      <c r="E112" s="260"/>
      <c r="F112" s="268"/>
      <c r="G112" s="265"/>
      <c r="H112" s="283"/>
      <c r="I112" s="268"/>
      <c r="J112" s="265"/>
    </row>
    <row r="113" spans="2:17" s="249" customFormat="1" x14ac:dyDescent="0.25">
      <c r="B113" s="248" t="s">
        <v>258</v>
      </c>
      <c r="D113" s="250"/>
      <c r="E113" s="260"/>
      <c r="F113" s="268"/>
      <c r="G113" s="265"/>
      <c r="H113" s="283"/>
      <c r="I113" s="268"/>
      <c r="J113" s="265"/>
    </row>
    <row r="114" spans="2:17" s="249" customFormat="1" x14ac:dyDescent="0.25">
      <c r="C114" s="250" t="s">
        <v>213</v>
      </c>
      <c r="D114" s="250" t="s">
        <v>214</v>
      </c>
      <c r="E114" s="256">
        <v>60.132496118726415</v>
      </c>
      <c r="F114" s="267">
        <v>557.39</v>
      </c>
      <c r="G114" s="265">
        <f>ROUND($E114*F114,2)</f>
        <v>33517.25</v>
      </c>
      <c r="H114" s="283"/>
      <c r="I114" s="222">
        <f>ROUND(F114*(1+Q119),2)</f>
        <v>606.5</v>
      </c>
      <c r="J114" s="265">
        <f>ROUND($E114*I114,2)</f>
        <v>36470.36</v>
      </c>
      <c r="L114" s="223">
        <f>J114-G114</f>
        <v>2953.1100000000006</v>
      </c>
      <c r="M114" s="224">
        <f>IF(G114&lt;&gt;0,L114/G114,0)</f>
        <v>8.8107168696715893E-2</v>
      </c>
      <c r="N114" s="224"/>
      <c r="O114" s="225">
        <f t="shared" ref="O114:O116" si="56">I114-F114</f>
        <v>49.110000000000014</v>
      </c>
      <c r="Q114" s="226" t="s">
        <v>259</v>
      </c>
    </row>
    <row r="115" spans="2:17" s="249" customFormat="1" x14ac:dyDescent="0.25">
      <c r="C115" s="258" t="s">
        <v>234</v>
      </c>
      <c r="D115" s="258" t="s">
        <v>230</v>
      </c>
      <c r="E115" s="256">
        <v>0</v>
      </c>
      <c r="F115" s="267">
        <v>1.38</v>
      </c>
      <c r="G115" s="265">
        <f>ROUND($E115*F115,2)</f>
        <v>0</v>
      </c>
      <c r="H115" s="283"/>
      <c r="I115" s="268">
        <f>ROUND(F115*(1+$Q$119),2)</f>
        <v>1.5</v>
      </c>
      <c r="J115" s="265">
        <f>ROUND($E115*I115,2)</f>
        <v>0</v>
      </c>
      <c r="L115" s="223">
        <f t="shared" ref="L115:L117" si="57">J115-G115</f>
        <v>0</v>
      </c>
      <c r="M115" s="224">
        <f t="shared" ref="M115:M117" si="58">IF(G115&lt;&gt;0,L115/G115,0)</f>
        <v>0</v>
      </c>
      <c r="N115" s="224"/>
      <c r="O115" s="225">
        <f t="shared" si="56"/>
        <v>0.12000000000000011</v>
      </c>
      <c r="Q115" s="230">
        <v>97747.749547424202</v>
      </c>
    </row>
    <row r="116" spans="2:17" s="249" customFormat="1" x14ac:dyDescent="0.25">
      <c r="C116" s="258" t="s">
        <v>226</v>
      </c>
      <c r="D116" s="258"/>
      <c r="E116" s="260">
        <f>E126</f>
        <v>23273158.627999999</v>
      </c>
      <c r="F116" s="259">
        <v>5.94E-3</v>
      </c>
      <c r="G116" s="265">
        <f>ROUND($E116*F116,2)</f>
        <v>138242.56</v>
      </c>
      <c r="H116" s="283"/>
      <c r="I116" s="271">
        <f>ROUND(F116*(1+$Q$119),5)</f>
        <v>6.4599999999999996E-3</v>
      </c>
      <c r="J116" s="265">
        <f>ROUND($E116*I116,2)</f>
        <v>150344.6</v>
      </c>
      <c r="L116" s="223">
        <f t="shared" si="57"/>
        <v>12102.040000000008</v>
      </c>
      <c r="M116" s="224">
        <f t="shared" si="58"/>
        <v>8.75420709801671E-2</v>
      </c>
      <c r="N116" s="224"/>
      <c r="O116" s="229">
        <f t="shared" si="56"/>
        <v>5.1999999999999963E-4</v>
      </c>
      <c r="Q116" s="234" t="s">
        <v>219</v>
      </c>
    </row>
    <row r="117" spans="2:17" s="249" customFormat="1" x14ac:dyDescent="0.25">
      <c r="C117" s="251" t="s">
        <v>245</v>
      </c>
      <c r="D117" s="251"/>
      <c r="E117" s="260"/>
      <c r="F117" s="271" t="s">
        <v>260</v>
      </c>
      <c r="G117" s="286">
        <v>42191.22</v>
      </c>
      <c r="H117" s="283"/>
      <c r="I117" s="271" t="s">
        <v>260</v>
      </c>
      <c r="J117" s="286">
        <v>42191.22</v>
      </c>
      <c r="L117" s="223">
        <f t="shared" si="57"/>
        <v>0</v>
      </c>
      <c r="M117" s="224">
        <f t="shared" si="58"/>
        <v>0</v>
      </c>
      <c r="N117" s="224"/>
      <c r="Q117" s="237">
        <f>L127-Q115</f>
        <v>-5197.1195474240812</v>
      </c>
    </row>
    <row r="118" spans="2:17" s="249" customFormat="1" x14ac:dyDescent="0.25">
      <c r="C118" s="258"/>
      <c r="D118" s="258"/>
      <c r="E118" s="260"/>
      <c r="F118" s="271"/>
      <c r="G118" s="265"/>
      <c r="H118" s="283"/>
      <c r="I118" s="271"/>
      <c r="J118" s="265"/>
      <c r="Q118" s="234" t="s">
        <v>221</v>
      </c>
    </row>
    <row r="119" spans="2:17" s="249" customFormat="1" x14ac:dyDescent="0.25">
      <c r="C119" s="258" t="s">
        <v>235</v>
      </c>
      <c r="D119" s="258"/>
      <c r="E119" s="260"/>
      <c r="F119" s="271"/>
      <c r="G119" s="265"/>
      <c r="H119" s="283"/>
      <c r="I119" s="271"/>
      <c r="J119" s="265"/>
      <c r="Q119" s="242">
        <v>8.8100770546344992E-2</v>
      </c>
    </row>
    <row r="120" spans="2:17" s="249" customFormat="1" x14ac:dyDescent="0.25">
      <c r="C120" s="258" t="s">
        <v>246</v>
      </c>
      <c r="D120" s="258" t="s">
        <v>217</v>
      </c>
      <c r="E120" s="256">
        <v>1503311.6719999998</v>
      </c>
      <c r="F120" s="259">
        <v>0.1391</v>
      </c>
      <c r="G120" s="265">
        <f>ROUND($E120*F120,2)</f>
        <v>209110.65</v>
      </c>
      <c r="H120" s="283"/>
      <c r="I120" s="271">
        <f t="shared" ref="I120:I125" si="59">ROUND(F120*(1+$Q$119),5)</f>
        <v>0.15135000000000001</v>
      </c>
      <c r="J120" s="265">
        <f>ROUND($E120*I120,2)</f>
        <v>227526.22</v>
      </c>
      <c r="L120" s="223">
        <f t="shared" ref="L120:L125" si="60">J120-G120</f>
        <v>18415.570000000007</v>
      </c>
      <c r="M120" s="224">
        <f t="shared" ref="M120:M125" si="61">IF(G120&lt;&gt;0,L120/G120,0)</f>
        <v>8.8066150624083503E-2</v>
      </c>
      <c r="N120" s="224"/>
      <c r="O120" s="229">
        <f t="shared" ref="O120:O125" si="62">I120-F120</f>
        <v>1.2250000000000011E-2</v>
      </c>
    </row>
    <row r="121" spans="2:17" s="249" customFormat="1" x14ac:dyDescent="0.25">
      <c r="C121" s="258" t="s">
        <v>247</v>
      </c>
      <c r="D121" s="258" t="s">
        <v>217</v>
      </c>
      <c r="E121" s="256">
        <v>1455588.43</v>
      </c>
      <c r="F121" s="259">
        <v>8.4059999999999996E-2</v>
      </c>
      <c r="G121" s="265">
        <f t="shared" ref="G121:G125" si="63">ROUND($E121*F121,2)</f>
        <v>122356.76</v>
      </c>
      <c r="H121" s="283"/>
      <c r="I121" s="271">
        <f t="shared" si="59"/>
        <v>9.1469999999999996E-2</v>
      </c>
      <c r="J121" s="265">
        <f t="shared" ref="J121:J125" si="64">ROUND($E121*I121,2)</f>
        <v>133142.67000000001</v>
      </c>
      <c r="L121" s="223">
        <f t="shared" si="60"/>
        <v>10785.910000000018</v>
      </c>
      <c r="M121" s="224">
        <f t="shared" si="61"/>
        <v>8.8151320777045905E-2</v>
      </c>
      <c r="N121" s="224"/>
      <c r="O121" s="229">
        <f t="shared" si="62"/>
        <v>7.4099999999999999E-3</v>
      </c>
    </row>
    <row r="122" spans="2:17" s="249" customFormat="1" x14ac:dyDescent="0.25">
      <c r="C122" s="258" t="s">
        <v>251</v>
      </c>
      <c r="D122" s="258" t="s">
        <v>217</v>
      </c>
      <c r="E122" s="256">
        <v>2640466.9439999997</v>
      </c>
      <c r="F122" s="259">
        <v>5.3490000000000003E-2</v>
      </c>
      <c r="G122" s="265">
        <f t="shared" si="63"/>
        <v>141238.57999999999</v>
      </c>
      <c r="H122" s="283"/>
      <c r="I122" s="271">
        <f t="shared" si="59"/>
        <v>5.8200000000000002E-2</v>
      </c>
      <c r="J122" s="265">
        <f t="shared" si="64"/>
        <v>153675.18</v>
      </c>
      <c r="L122" s="223">
        <f t="shared" si="60"/>
        <v>12436.600000000006</v>
      </c>
      <c r="M122" s="224">
        <f t="shared" si="61"/>
        <v>8.8053844778105295E-2</v>
      </c>
      <c r="N122" s="224"/>
      <c r="O122" s="229">
        <f t="shared" si="62"/>
        <v>4.7099999999999989E-3</v>
      </c>
    </row>
    <row r="123" spans="2:17" s="249" customFormat="1" x14ac:dyDescent="0.25">
      <c r="C123" s="258" t="s">
        <v>16</v>
      </c>
      <c r="D123" s="258" t="s">
        <v>217</v>
      </c>
      <c r="E123" s="256">
        <v>3226287.8670000001</v>
      </c>
      <c r="F123" s="259">
        <v>3.4299999999999997E-2</v>
      </c>
      <c r="G123" s="265">
        <f t="shared" si="63"/>
        <v>110661.67</v>
      </c>
      <c r="H123" s="283"/>
      <c r="I123" s="271">
        <f t="shared" si="59"/>
        <v>3.7319999999999999E-2</v>
      </c>
      <c r="J123" s="265">
        <f t="shared" si="64"/>
        <v>120405.06</v>
      </c>
      <c r="L123" s="223">
        <f t="shared" si="60"/>
        <v>9743.39</v>
      </c>
      <c r="M123" s="224">
        <f t="shared" si="61"/>
        <v>8.8046656082453836E-2</v>
      </c>
      <c r="N123" s="224"/>
      <c r="O123" s="229">
        <f t="shared" si="62"/>
        <v>3.0200000000000018E-3</v>
      </c>
    </row>
    <row r="124" spans="2:17" s="249" customFormat="1" x14ac:dyDescent="0.25">
      <c r="C124" s="258" t="s">
        <v>15</v>
      </c>
      <c r="D124" s="258" t="s">
        <v>217</v>
      </c>
      <c r="E124" s="256">
        <v>3759593.1549999998</v>
      </c>
      <c r="F124" s="259">
        <v>2.4680000000000001E-2</v>
      </c>
      <c r="G124" s="265">
        <f t="shared" si="63"/>
        <v>92786.76</v>
      </c>
      <c r="H124" s="283"/>
      <c r="I124" s="271">
        <f t="shared" si="59"/>
        <v>2.6849999999999999E-2</v>
      </c>
      <c r="J124" s="265">
        <f t="shared" si="64"/>
        <v>100945.08</v>
      </c>
      <c r="L124" s="223">
        <f t="shared" si="60"/>
        <v>8158.320000000007</v>
      </c>
      <c r="M124" s="224">
        <f t="shared" si="61"/>
        <v>8.792547557431693E-2</v>
      </c>
      <c r="N124" s="224"/>
      <c r="O124" s="229">
        <f t="shared" si="62"/>
        <v>2.1699999999999983E-3</v>
      </c>
    </row>
    <row r="125" spans="2:17" s="249" customFormat="1" x14ac:dyDescent="0.25">
      <c r="C125" s="258" t="s">
        <v>261</v>
      </c>
      <c r="D125" s="258" t="s">
        <v>217</v>
      </c>
      <c r="E125" s="256">
        <v>10687910.560000001</v>
      </c>
      <c r="F125" s="259">
        <v>1.9029999999999998E-2</v>
      </c>
      <c r="G125" s="265">
        <f t="shared" si="63"/>
        <v>203390.94</v>
      </c>
      <c r="H125" s="283"/>
      <c r="I125" s="271">
        <f t="shared" si="59"/>
        <v>2.0709999999999999E-2</v>
      </c>
      <c r="J125" s="265">
        <f t="shared" si="64"/>
        <v>221346.63</v>
      </c>
      <c r="L125" s="223">
        <f t="shared" si="60"/>
        <v>17955.690000000002</v>
      </c>
      <c r="M125" s="224">
        <f t="shared" si="61"/>
        <v>8.8281660923539673E-2</v>
      </c>
      <c r="N125" s="224"/>
      <c r="O125" s="229">
        <f t="shared" si="62"/>
        <v>1.6800000000000009E-3</v>
      </c>
    </row>
    <row r="126" spans="2:17" s="249" customFormat="1" x14ac:dyDescent="0.25">
      <c r="C126" s="255" t="s">
        <v>240</v>
      </c>
      <c r="D126" s="258" t="s">
        <v>217</v>
      </c>
      <c r="E126" s="273">
        <f>SUM(E120:E125)</f>
        <v>23273158.627999999</v>
      </c>
      <c r="F126" s="268"/>
      <c r="H126" s="283"/>
      <c r="I126" s="268"/>
      <c r="L126" s="285"/>
    </row>
    <row r="127" spans="2:17" s="249" customFormat="1" x14ac:dyDescent="0.25">
      <c r="C127" s="231" t="s">
        <v>218</v>
      </c>
      <c r="D127" s="258"/>
      <c r="E127" s="260"/>
      <c r="F127" s="268"/>
      <c r="G127" s="277">
        <f>SUM(G114:G125)</f>
        <v>1093496.3899999999</v>
      </c>
      <c r="H127" s="283"/>
      <c r="I127" s="268"/>
      <c r="J127" s="277">
        <f>SUM(J114:J125)</f>
        <v>1186047.02</v>
      </c>
      <c r="L127" s="223">
        <f>J127-G127</f>
        <v>92550.630000000121</v>
      </c>
      <c r="M127" s="224">
        <f>IF(G127&lt;&gt;0,L127/G127,0)</f>
        <v>8.4637343887344826E-2</v>
      </c>
      <c r="N127" s="224"/>
    </row>
    <row r="128" spans="2:17" s="249" customFormat="1" x14ac:dyDescent="0.25">
      <c r="C128" s="250"/>
      <c r="D128" s="250"/>
      <c r="E128" s="260"/>
      <c r="F128" s="268"/>
      <c r="G128" s="265"/>
      <c r="H128" s="283"/>
      <c r="I128" s="268"/>
      <c r="J128" s="265"/>
    </row>
    <row r="129" spans="2:17" s="249" customFormat="1" x14ac:dyDescent="0.25">
      <c r="B129" s="248" t="s">
        <v>262</v>
      </c>
      <c r="D129" s="250"/>
      <c r="E129" s="260"/>
      <c r="F129" s="268"/>
      <c r="G129" s="265"/>
      <c r="H129" s="283"/>
      <c r="I129" s="268"/>
      <c r="J129" s="265"/>
      <c r="Q129" s="258"/>
    </row>
    <row r="130" spans="2:17" s="249" customFormat="1" x14ac:dyDescent="0.25">
      <c r="B130" s="258"/>
      <c r="C130" s="250" t="s">
        <v>213</v>
      </c>
      <c r="D130" s="250" t="s">
        <v>214</v>
      </c>
      <c r="E130" s="256">
        <v>112.76670855311828</v>
      </c>
      <c r="F130" s="267">
        <v>891.83</v>
      </c>
      <c r="G130" s="265">
        <f>ROUND($E130*F130,2)</f>
        <v>100568.73</v>
      </c>
      <c r="H130" s="283"/>
      <c r="I130" s="222">
        <f>ROUND(F130*(1+Q135),2)</f>
        <v>918.31</v>
      </c>
      <c r="J130" s="265">
        <f>ROUND($E130*I130,2)</f>
        <v>103554.8</v>
      </c>
      <c r="L130" s="223">
        <f t="shared" ref="L130:L132" si="65">J130-G130</f>
        <v>2986.070000000007</v>
      </c>
      <c r="M130" s="224">
        <f>IF(G130&lt;&gt;0,L130/G130,0)</f>
        <v>2.9691833634570178E-2</v>
      </c>
      <c r="N130" s="224"/>
      <c r="O130" s="225">
        <f t="shared" ref="O130:O131" si="66">I130-F130</f>
        <v>26.479999999999905</v>
      </c>
      <c r="Q130" s="226" t="s">
        <v>263</v>
      </c>
    </row>
    <row r="131" spans="2:17" s="249" customFormat="1" x14ac:dyDescent="0.25">
      <c r="B131" s="258"/>
      <c r="C131" s="258" t="s">
        <v>234</v>
      </c>
      <c r="D131" s="258" t="s">
        <v>230</v>
      </c>
      <c r="E131" s="256">
        <v>287412</v>
      </c>
      <c r="F131" s="267">
        <v>1.38</v>
      </c>
      <c r="G131" s="265">
        <f>ROUND($E131*F131,2)</f>
        <v>396628.56</v>
      </c>
      <c r="H131" s="283"/>
      <c r="I131" s="268">
        <f>ROUND(F131*(1+$Q$135),2)</f>
        <v>1.42</v>
      </c>
      <c r="J131" s="265">
        <f>ROUND($E131*I131,2)</f>
        <v>408125.04</v>
      </c>
      <c r="L131" s="223">
        <f t="shared" si="65"/>
        <v>11496.479999999981</v>
      </c>
      <c r="M131" s="224">
        <f>IF(G131&lt;&gt;0,L131/G131,0)</f>
        <v>2.8985507246376763E-2</v>
      </c>
      <c r="N131" s="224"/>
      <c r="O131" s="225">
        <f t="shared" si="66"/>
        <v>4.0000000000000036E-2</v>
      </c>
      <c r="Q131" s="230">
        <v>318618.36816249572</v>
      </c>
    </row>
    <row r="132" spans="2:17" s="249" customFormat="1" x14ac:dyDescent="0.25">
      <c r="B132" s="258"/>
      <c r="C132" s="258" t="s">
        <v>245</v>
      </c>
      <c r="D132" s="258"/>
      <c r="E132" s="266"/>
      <c r="F132" s="268"/>
      <c r="G132" s="286">
        <v>0</v>
      </c>
      <c r="H132" s="283"/>
      <c r="I132" s="268"/>
      <c r="J132" s="286">
        <v>0</v>
      </c>
      <c r="L132" s="223">
        <f t="shared" si="65"/>
        <v>0</v>
      </c>
      <c r="M132" s="224">
        <f>IF(G132&lt;&gt;0,L132/G132,0)</f>
        <v>0</v>
      </c>
      <c r="N132" s="224"/>
      <c r="Q132" s="234" t="s">
        <v>219</v>
      </c>
    </row>
    <row r="133" spans="2:17" s="249" customFormat="1" x14ac:dyDescent="0.25">
      <c r="B133" s="258"/>
      <c r="C133" s="251"/>
      <c r="D133" s="258"/>
      <c r="E133" s="260"/>
      <c r="F133" s="287"/>
      <c r="G133" s="265"/>
      <c r="H133" s="283"/>
      <c r="I133" s="271"/>
      <c r="J133" s="265"/>
      <c r="Q133" s="237">
        <f>L142-Q131</f>
        <v>-213369.60816249595</v>
      </c>
    </row>
    <row r="134" spans="2:17" s="249" customFormat="1" x14ac:dyDescent="0.25">
      <c r="B134" s="258"/>
      <c r="C134" s="258" t="s">
        <v>235</v>
      </c>
      <c r="D134" s="258"/>
      <c r="E134" s="260"/>
      <c r="F134" s="271"/>
      <c r="G134" s="288"/>
      <c r="H134" s="283"/>
      <c r="I134" s="271"/>
      <c r="J134" s="265"/>
      <c r="Q134" s="234" t="s">
        <v>221</v>
      </c>
    </row>
    <row r="135" spans="2:17" s="249" customFormat="1" x14ac:dyDescent="0.25">
      <c r="B135" s="258"/>
      <c r="C135" s="258" t="s">
        <v>246</v>
      </c>
      <c r="D135" s="258" t="s">
        <v>217</v>
      </c>
      <c r="E135" s="256">
        <v>3000000</v>
      </c>
      <c r="F135" s="271">
        <f t="shared" ref="F135:F140" si="67">F120</f>
        <v>0.1391</v>
      </c>
      <c r="G135" s="288">
        <f t="shared" ref="G135:G140" si="68">ROUND($E135*F135,2)</f>
        <v>417300</v>
      </c>
      <c r="H135" s="283"/>
      <c r="I135" s="271">
        <f t="shared" ref="I135:I139" si="69">ROUND(F135*(1+$Q$135),5)</f>
        <v>0.14323</v>
      </c>
      <c r="J135" s="265">
        <f t="shared" ref="J135:J140" si="70">ROUND($E135*I135,2)</f>
        <v>429690</v>
      </c>
      <c r="L135" s="223">
        <f t="shared" ref="L135:L140" si="71">J135-G135</f>
        <v>12390</v>
      </c>
      <c r="M135" s="224">
        <f t="shared" ref="M135:M140" si="72">IF(G135&lt;&gt;0,L135/G135,0)</f>
        <v>2.9690869877785766E-2</v>
      </c>
      <c r="N135" s="224"/>
      <c r="O135" s="229">
        <f t="shared" ref="O135:O140" si="73">I135-F135</f>
        <v>4.1299999999999948E-3</v>
      </c>
      <c r="P135" s="289"/>
      <c r="Q135" s="242">
        <v>2.9689960000000001E-2</v>
      </c>
    </row>
    <row r="136" spans="2:17" s="249" customFormat="1" x14ac:dyDescent="0.25">
      <c r="B136" s="258"/>
      <c r="C136" s="258" t="s">
        <v>247</v>
      </c>
      <c r="D136" s="258" t="s">
        <v>217</v>
      </c>
      <c r="E136" s="256">
        <v>3000000</v>
      </c>
      <c r="F136" s="271">
        <f t="shared" si="67"/>
        <v>8.4059999999999996E-2</v>
      </c>
      <c r="G136" s="288">
        <f t="shared" si="68"/>
        <v>252180</v>
      </c>
      <c r="H136" s="283"/>
      <c r="I136" s="271">
        <f t="shared" si="69"/>
        <v>8.6559999999999998E-2</v>
      </c>
      <c r="J136" s="265">
        <f t="shared" si="70"/>
        <v>259680</v>
      </c>
      <c r="L136" s="223">
        <f t="shared" si="71"/>
        <v>7500</v>
      </c>
      <c r="M136" s="224">
        <f t="shared" si="72"/>
        <v>2.9740661432310255E-2</v>
      </c>
      <c r="N136" s="224"/>
      <c r="O136" s="229">
        <f t="shared" si="73"/>
        <v>2.5000000000000022E-3</v>
      </c>
      <c r="P136" s="289"/>
      <c r="Q136" s="271"/>
    </row>
    <row r="137" spans="2:17" s="249" customFormat="1" x14ac:dyDescent="0.25">
      <c r="B137" s="258"/>
      <c r="C137" s="258" t="s">
        <v>251</v>
      </c>
      <c r="D137" s="258" t="s">
        <v>217</v>
      </c>
      <c r="E137" s="256">
        <v>6000000</v>
      </c>
      <c r="F137" s="271">
        <f t="shared" si="67"/>
        <v>5.3490000000000003E-2</v>
      </c>
      <c r="G137" s="288">
        <f t="shared" si="68"/>
        <v>320940</v>
      </c>
      <c r="H137" s="283"/>
      <c r="I137" s="271">
        <f t="shared" si="69"/>
        <v>5.5079999999999997E-2</v>
      </c>
      <c r="J137" s="265">
        <f t="shared" si="70"/>
        <v>330480</v>
      </c>
      <c r="L137" s="223">
        <f t="shared" si="71"/>
        <v>9540</v>
      </c>
      <c r="M137" s="224">
        <f t="shared" si="72"/>
        <v>2.9725182277061134E-2</v>
      </c>
      <c r="N137" s="224"/>
      <c r="O137" s="229">
        <f t="shared" si="73"/>
        <v>1.5899999999999942E-3</v>
      </c>
      <c r="P137" s="289"/>
      <c r="Q137" s="271"/>
    </row>
    <row r="138" spans="2:17" s="249" customFormat="1" x14ac:dyDescent="0.25">
      <c r="B138" s="258"/>
      <c r="C138" s="258" t="s">
        <v>16</v>
      </c>
      <c r="D138" s="258" t="s">
        <v>217</v>
      </c>
      <c r="E138" s="256">
        <v>11777991.880000001</v>
      </c>
      <c r="F138" s="271">
        <f t="shared" si="67"/>
        <v>3.4299999999999997E-2</v>
      </c>
      <c r="G138" s="288">
        <f t="shared" si="68"/>
        <v>403985.12</v>
      </c>
      <c r="H138" s="283"/>
      <c r="I138" s="271">
        <f t="shared" si="69"/>
        <v>3.5319999999999997E-2</v>
      </c>
      <c r="J138" s="265">
        <f t="shared" si="70"/>
        <v>415998.67</v>
      </c>
      <c r="L138" s="223">
        <f t="shared" si="71"/>
        <v>12013.549999999988</v>
      </c>
      <c r="M138" s="224">
        <f t="shared" si="72"/>
        <v>2.9737605187042503E-2</v>
      </c>
      <c r="N138" s="224"/>
      <c r="O138" s="229">
        <f t="shared" si="73"/>
        <v>1.0200000000000001E-3</v>
      </c>
      <c r="P138" s="289"/>
      <c r="Q138" s="271"/>
    </row>
    <row r="139" spans="2:17" s="249" customFormat="1" x14ac:dyDescent="0.25">
      <c r="B139" s="258"/>
      <c r="C139" s="258" t="s">
        <v>15</v>
      </c>
      <c r="D139" s="258" t="s">
        <v>217</v>
      </c>
      <c r="E139" s="256">
        <v>26253593.52</v>
      </c>
      <c r="F139" s="271">
        <f t="shared" si="67"/>
        <v>2.4680000000000001E-2</v>
      </c>
      <c r="G139" s="288">
        <f t="shared" si="68"/>
        <v>647938.68999999994</v>
      </c>
      <c r="H139" s="283"/>
      <c r="I139" s="271">
        <f t="shared" si="69"/>
        <v>2.5409999999999999E-2</v>
      </c>
      <c r="J139" s="265">
        <f t="shared" si="70"/>
        <v>667103.81000000006</v>
      </c>
      <c r="L139" s="223">
        <f t="shared" si="71"/>
        <v>19165.120000000112</v>
      </c>
      <c r="M139" s="224">
        <f t="shared" si="72"/>
        <v>2.9578601024736018E-2</v>
      </c>
      <c r="N139" s="224"/>
      <c r="O139" s="229">
        <f t="shared" si="73"/>
        <v>7.2999999999999801E-4</v>
      </c>
      <c r="P139" s="289"/>
      <c r="Q139" s="271"/>
    </row>
    <row r="140" spans="2:17" s="249" customFormat="1" x14ac:dyDescent="0.25">
      <c r="B140" s="258"/>
      <c r="C140" s="258" t="s">
        <v>261</v>
      </c>
      <c r="D140" s="258" t="s">
        <v>217</v>
      </c>
      <c r="E140" s="256">
        <v>53852735.850000009</v>
      </c>
      <c r="F140" s="271">
        <f t="shared" si="67"/>
        <v>1.9029999999999998E-2</v>
      </c>
      <c r="G140" s="288">
        <f t="shared" si="68"/>
        <v>1024817.56</v>
      </c>
      <c r="H140" s="283"/>
      <c r="I140" s="271">
        <f>ROUND(F140*(1+$Q$135),5)</f>
        <v>1.959E-2</v>
      </c>
      <c r="J140" s="265">
        <f t="shared" si="70"/>
        <v>1054975.1000000001</v>
      </c>
      <c r="L140" s="223">
        <f t="shared" si="71"/>
        <v>30157.540000000037</v>
      </c>
      <c r="M140" s="224">
        <f t="shared" si="72"/>
        <v>2.9427228003392172E-2</v>
      </c>
      <c r="N140" s="224"/>
      <c r="O140" s="229">
        <f t="shared" si="73"/>
        <v>5.6000000000000147E-4</v>
      </c>
      <c r="P140" s="289"/>
      <c r="Q140" s="271"/>
    </row>
    <row r="141" spans="2:17" s="249" customFormat="1" x14ac:dyDescent="0.25">
      <c r="C141" s="255" t="s">
        <v>240</v>
      </c>
      <c r="D141" s="258"/>
      <c r="E141" s="273">
        <f>SUM(E135:E140)</f>
        <v>103884321.25000001</v>
      </c>
      <c r="F141" s="271"/>
      <c r="G141" s="278"/>
      <c r="H141" s="283"/>
      <c r="I141" s="271"/>
      <c r="L141" s="285"/>
      <c r="O141" s="289"/>
      <c r="P141" s="289"/>
    </row>
    <row r="142" spans="2:17" s="249" customFormat="1" x14ac:dyDescent="0.25">
      <c r="C142" s="231" t="s">
        <v>218</v>
      </c>
      <c r="D142" s="258"/>
      <c r="E142" s="260"/>
      <c r="F142" s="271"/>
      <c r="G142" s="290">
        <f>SUM(G130:G140)</f>
        <v>3564358.66</v>
      </c>
      <c r="H142" s="283"/>
      <c r="I142" s="271"/>
      <c r="J142" s="290">
        <f>SUM(J130:J140)</f>
        <v>3669607.42</v>
      </c>
      <c r="L142" s="223">
        <f t="shared" ref="L142" si="74">J142-G142</f>
        <v>105248.75999999978</v>
      </c>
      <c r="M142" s="224">
        <f>IF(G142&lt;&gt;0,L142/G142,0)</f>
        <v>2.9528105906154734E-2</v>
      </c>
      <c r="N142" s="224"/>
      <c r="O142" s="289"/>
      <c r="P142" s="289"/>
    </row>
    <row r="143" spans="2:17" s="249" customFormat="1" x14ac:dyDescent="0.25">
      <c r="B143" s="258"/>
      <c r="C143" s="258"/>
      <c r="D143" s="250"/>
      <c r="E143" s="260"/>
      <c r="F143" s="268"/>
      <c r="G143" s="265"/>
      <c r="H143" s="283"/>
      <c r="I143" s="268"/>
      <c r="J143" s="265"/>
    </row>
    <row r="144" spans="2:17" x14ac:dyDescent="0.25">
      <c r="B144" s="248" t="s">
        <v>264</v>
      </c>
      <c r="E144" s="292"/>
      <c r="I144" s="216"/>
      <c r="J144" s="291"/>
    </row>
    <row r="145" spans="2:17" x14ac:dyDescent="0.25">
      <c r="B145" s="278" t="s">
        <v>265</v>
      </c>
      <c r="C145" s="278" t="s">
        <v>266</v>
      </c>
      <c r="D145" s="197"/>
      <c r="E145" s="293">
        <v>12480.465045003857</v>
      </c>
      <c r="F145" s="294">
        <v>7.37</v>
      </c>
      <c r="G145" s="265">
        <f t="shared" ref="G145:G150" si="75">ROUND($E145*F145,2)</f>
        <v>91981.03</v>
      </c>
      <c r="I145" s="295">
        <f>ROUND(F145*(1+$Q$150),2)</f>
        <v>7.58</v>
      </c>
      <c r="J145" s="265">
        <f t="shared" ref="J145:J150" si="76">ROUND($E145*I145,2)</f>
        <v>94601.93</v>
      </c>
      <c r="L145" s="223">
        <f t="shared" ref="L145:L150" si="77">J145-G145</f>
        <v>2620.8999999999942</v>
      </c>
      <c r="M145" s="224">
        <f t="shared" ref="M145:M151" si="78">IF(G145&lt;&gt;0,L145/G145,0)</f>
        <v>2.8493918800430854E-2</v>
      </c>
      <c r="N145" s="224"/>
      <c r="O145" s="225">
        <f t="shared" ref="O145:O150" si="79">I145-F145</f>
        <v>0.20999999999999996</v>
      </c>
      <c r="Q145" s="226" t="s">
        <v>267</v>
      </c>
    </row>
    <row r="146" spans="2:17" x14ac:dyDescent="0.25">
      <c r="B146" s="278" t="s">
        <v>268</v>
      </c>
      <c r="C146" s="278" t="s">
        <v>269</v>
      </c>
      <c r="E146" s="293">
        <v>193906.38286551557</v>
      </c>
      <c r="F146" s="294">
        <v>12.09</v>
      </c>
      <c r="G146" s="265">
        <f t="shared" si="75"/>
        <v>2344328.17</v>
      </c>
      <c r="I146" s="295">
        <f t="shared" ref="I146:I150" si="80">ROUND(F146*(1+$Q$150),2)</f>
        <v>12.44</v>
      </c>
      <c r="J146" s="265">
        <f t="shared" si="76"/>
        <v>2412195.4</v>
      </c>
      <c r="L146" s="223">
        <f t="shared" si="77"/>
        <v>67867.229999999981</v>
      </c>
      <c r="M146" s="224">
        <f t="shared" si="78"/>
        <v>2.8949543356807415E-2</v>
      </c>
      <c r="N146" s="224"/>
      <c r="O146" s="225">
        <f t="shared" si="79"/>
        <v>0.34999999999999964</v>
      </c>
      <c r="Q146" s="230">
        <v>479521.17403291765</v>
      </c>
    </row>
    <row r="147" spans="2:17" x14ac:dyDescent="0.25">
      <c r="B147" s="278" t="s">
        <v>270</v>
      </c>
      <c r="C147" s="278" t="s">
        <v>271</v>
      </c>
      <c r="E147" s="293">
        <v>36640.184380349841</v>
      </c>
      <c r="F147" s="294">
        <v>17.149999999999999</v>
      </c>
      <c r="G147" s="265">
        <f t="shared" si="75"/>
        <v>628379.16</v>
      </c>
      <c r="I147" s="295">
        <f t="shared" si="80"/>
        <v>17.649999999999999</v>
      </c>
      <c r="J147" s="265">
        <f t="shared" si="76"/>
        <v>646699.25</v>
      </c>
      <c r="L147" s="223">
        <f t="shared" si="77"/>
        <v>18320.089999999967</v>
      </c>
      <c r="M147" s="224">
        <f t="shared" si="78"/>
        <v>2.9154515563501449E-2</v>
      </c>
      <c r="N147" s="224"/>
      <c r="O147" s="225">
        <f t="shared" si="79"/>
        <v>0.5</v>
      </c>
      <c r="Q147" s="234" t="s">
        <v>219</v>
      </c>
    </row>
    <row r="148" spans="2:17" x14ac:dyDescent="0.25">
      <c r="B148" s="278" t="s">
        <v>272</v>
      </c>
      <c r="C148" s="278" t="s">
        <v>273</v>
      </c>
      <c r="E148" s="293">
        <v>8166.0570112435507</v>
      </c>
      <c r="F148" s="294">
        <v>16.78</v>
      </c>
      <c r="G148" s="265">
        <f t="shared" si="75"/>
        <v>137026.44</v>
      </c>
      <c r="I148" s="295">
        <f t="shared" si="80"/>
        <v>17.27</v>
      </c>
      <c r="J148" s="265">
        <f t="shared" si="76"/>
        <v>141027.79999999999</v>
      </c>
      <c r="L148" s="223">
        <f t="shared" si="77"/>
        <v>4001.359999999986</v>
      </c>
      <c r="M148" s="224">
        <f t="shared" si="78"/>
        <v>2.9201371647690665E-2</v>
      </c>
      <c r="N148" s="224"/>
      <c r="O148" s="225">
        <f t="shared" si="79"/>
        <v>0.48999999999999844</v>
      </c>
      <c r="Q148" s="237">
        <f>L151+L161+L168-Q146</f>
        <v>-323810.18403291772</v>
      </c>
    </row>
    <row r="149" spans="2:17" x14ac:dyDescent="0.25">
      <c r="B149" s="278" t="s">
        <v>274</v>
      </c>
      <c r="C149" s="278" t="s">
        <v>275</v>
      </c>
      <c r="E149" s="293">
        <v>40969.207236776536</v>
      </c>
      <c r="F149" s="294">
        <v>5.83</v>
      </c>
      <c r="G149" s="265">
        <f t="shared" si="75"/>
        <v>238850.48</v>
      </c>
      <c r="I149" s="295">
        <f t="shared" si="80"/>
        <v>6</v>
      </c>
      <c r="J149" s="265">
        <f t="shared" si="76"/>
        <v>245815.24</v>
      </c>
      <c r="L149" s="223">
        <f t="shared" si="77"/>
        <v>6964.7599999999802</v>
      </c>
      <c r="M149" s="224">
        <f t="shared" si="78"/>
        <v>2.9159497607038429E-2</v>
      </c>
      <c r="N149" s="224"/>
      <c r="O149" s="225">
        <f t="shared" si="79"/>
        <v>0.16999999999999993</v>
      </c>
      <c r="Q149" s="234" t="s">
        <v>221</v>
      </c>
    </row>
    <row r="150" spans="2:17" x14ac:dyDescent="0.25">
      <c r="B150" s="278" t="s">
        <v>276</v>
      </c>
      <c r="C150" s="278" t="s">
        <v>277</v>
      </c>
      <c r="E150" s="293">
        <v>2378.5021946803395</v>
      </c>
      <c r="F150" s="294">
        <v>10.57</v>
      </c>
      <c r="G150" s="265">
        <f t="shared" si="75"/>
        <v>25140.77</v>
      </c>
      <c r="I150" s="295">
        <f t="shared" si="80"/>
        <v>10.88</v>
      </c>
      <c r="J150" s="265">
        <f t="shared" si="76"/>
        <v>25878.1</v>
      </c>
      <c r="L150" s="223">
        <f t="shared" si="77"/>
        <v>737.32999999999811</v>
      </c>
      <c r="M150" s="224">
        <f t="shared" si="78"/>
        <v>2.9328059562216992E-2</v>
      </c>
      <c r="N150" s="224"/>
      <c r="O150" s="225">
        <f t="shared" si="79"/>
        <v>0.3100000000000005</v>
      </c>
      <c r="Q150" s="242">
        <v>2.9047396867454601E-2</v>
      </c>
    </row>
    <row r="151" spans="2:17" x14ac:dyDescent="0.25">
      <c r="C151" s="231" t="s">
        <v>218</v>
      </c>
      <c r="E151" s="296"/>
      <c r="F151" s="294"/>
      <c r="G151" s="277">
        <f>SUM(G145:G150)</f>
        <v>3465706.05</v>
      </c>
      <c r="I151" s="295"/>
      <c r="J151" s="277">
        <f>SUM(J145:J150)</f>
        <v>3566217.72</v>
      </c>
      <c r="L151" s="277">
        <f>SUM(L145:L150)</f>
        <v>100511.66999999991</v>
      </c>
      <c r="M151" s="224">
        <f t="shared" si="78"/>
        <v>2.9001787384709075E-2</v>
      </c>
      <c r="N151" s="224"/>
    </row>
    <row r="152" spans="2:17" x14ac:dyDescent="0.25">
      <c r="C152" s="278"/>
      <c r="E152" s="292"/>
      <c r="F152" s="294"/>
      <c r="G152" s="265"/>
      <c r="I152" s="295"/>
      <c r="J152" s="265"/>
    </row>
    <row r="153" spans="2:17" x14ac:dyDescent="0.25">
      <c r="B153" s="248" t="s">
        <v>278</v>
      </c>
      <c r="C153" s="278"/>
      <c r="E153" s="292"/>
      <c r="F153" s="294"/>
      <c r="G153" s="265"/>
      <c r="I153" s="295"/>
      <c r="J153" s="265"/>
    </row>
    <row r="154" spans="2:17" x14ac:dyDescent="0.25">
      <c r="B154" s="278" t="s">
        <v>279</v>
      </c>
      <c r="C154" s="278" t="s">
        <v>280</v>
      </c>
      <c r="E154" s="293">
        <v>1385.380082485219</v>
      </c>
      <c r="F154" s="294">
        <v>14.9</v>
      </c>
      <c r="G154" s="265">
        <f t="shared" ref="G154:G160" si="81">ROUND($E154*F154,2)</f>
        <v>20642.16</v>
      </c>
      <c r="I154" s="295">
        <f t="shared" ref="I154:I160" si="82">ROUND(F154*(1+$Q$150),2)</f>
        <v>15.33</v>
      </c>
      <c r="J154" s="265">
        <f t="shared" ref="J154:J160" si="83">ROUND($E154*I154,2)</f>
        <v>21237.88</v>
      </c>
      <c r="L154" s="223">
        <f t="shared" ref="L154:L160" si="84">J154-G154</f>
        <v>595.72000000000116</v>
      </c>
      <c r="M154" s="224">
        <f t="shared" ref="M154:M161" si="85">IF(G154&lt;&gt;0,L154/G154,0)</f>
        <v>2.8859382932793911E-2</v>
      </c>
      <c r="N154" s="224"/>
      <c r="O154" s="225">
        <f t="shared" ref="O154:O160" si="86">I154-F154</f>
        <v>0.42999999999999972</v>
      </c>
    </row>
    <row r="155" spans="2:17" x14ac:dyDescent="0.25">
      <c r="B155" s="278" t="s">
        <v>281</v>
      </c>
      <c r="C155" s="278" t="s">
        <v>282</v>
      </c>
      <c r="E155" s="293">
        <v>1037.5582075779919</v>
      </c>
      <c r="F155" s="294">
        <v>19.600000000000001</v>
      </c>
      <c r="G155" s="265">
        <f t="shared" si="81"/>
        <v>20336.14</v>
      </c>
      <c r="I155" s="295">
        <f t="shared" si="82"/>
        <v>20.170000000000002</v>
      </c>
      <c r="J155" s="265">
        <f t="shared" si="83"/>
        <v>20927.55</v>
      </c>
      <c r="L155" s="223">
        <f t="shared" si="84"/>
        <v>591.40999999999985</v>
      </c>
      <c r="M155" s="224">
        <f t="shared" si="85"/>
        <v>2.9081723473579544E-2</v>
      </c>
      <c r="N155" s="224"/>
      <c r="O155" s="225">
        <f t="shared" si="86"/>
        <v>0.57000000000000028</v>
      </c>
    </row>
    <row r="156" spans="2:17" x14ac:dyDescent="0.25">
      <c r="B156" s="278" t="s">
        <v>283</v>
      </c>
      <c r="C156" s="278" t="s">
        <v>284</v>
      </c>
      <c r="E156" s="293">
        <v>2771.9403299097144</v>
      </c>
      <c r="F156" s="294">
        <v>19.600000000000001</v>
      </c>
      <c r="G156" s="265">
        <f t="shared" si="81"/>
        <v>54330.03</v>
      </c>
      <c r="I156" s="295">
        <f t="shared" si="82"/>
        <v>20.170000000000002</v>
      </c>
      <c r="J156" s="265">
        <f t="shared" si="83"/>
        <v>55910.04</v>
      </c>
      <c r="L156" s="223">
        <f t="shared" si="84"/>
        <v>1580.010000000002</v>
      </c>
      <c r="M156" s="224">
        <f t="shared" si="85"/>
        <v>2.9081706746710834E-2</v>
      </c>
      <c r="N156" s="224"/>
      <c r="O156" s="225">
        <f t="shared" si="86"/>
        <v>0.57000000000000028</v>
      </c>
    </row>
    <row r="157" spans="2:17" x14ac:dyDescent="0.25">
      <c r="B157" s="278" t="s">
        <v>285</v>
      </c>
      <c r="C157" s="278" t="s">
        <v>286</v>
      </c>
      <c r="E157" s="293">
        <v>156.42359935012365</v>
      </c>
      <c r="F157" s="294">
        <v>30.95</v>
      </c>
      <c r="G157" s="265">
        <f t="shared" si="81"/>
        <v>4841.3100000000004</v>
      </c>
      <c r="I157" s="295">
        <f t="shared" si="82"/>
        <v>31.85</v>
      </c>
      <c r="J157" s="265">
        <f t="shared" si="83"/>
        <v>4982.09</v>
      </c>
      <c r="L157" s="223">
        <f t="shared" si="84"/>
        <v>140.77999999999975</v>
      </c>
      <c r="M157" s="224">
        <f t="shared" si="85"/>
        <v>2.9078906329072035E-2</v>
      </c>
      <c r="N157" s="224"/>
      <c r="O157" s="225">
        <f t="shared" si="86"/>
        <v>0.90000000000000213</v>
      </c>
    </row>
    <row r="158" spans="2:17" x14ac:dyDescent="0.25">
      <c r="B158" s="278" t="s">
        <v>287</v>
      </c>
      <c r="C158" s="278" t="s">
        <v>288</v>
      </c>
      <c r="E158" s="293">
        <v>6653.0909836922901</v>
      </c>
      <c r="F158" s="294">
        <v>40.51</v>
      </c>
      <c r="G158" s="265">
        <f t="shared" si="81"/>
        <v>269516.71999999997</v>
      </c>
      <c r="I158" s="295">
        <f t="shared" si="82"/>
        <v>41.69</v>
      </c>
      <c r="J158" s="265">
        <f t="shared" si="83"/>
        <v>277367.36</v>
      </c>
      <c r="L158" s="223">
        <f t="shared" si="84"/>
        <v>7850.640000000014</v>
      </c>
      <c r="M158" s="224">
        <f t="shared" si="85"/>
        <v>2.9128582449356073E-2</v>
      </c>
      <c r="N158" s="224"/>
      <c r="O158" s="225">
        <f t="shared" si="86"/>
        <v>1.1799999999999997</v>
      </c>
    </row>
    <row r="159" spans="2:17" x14ac:dyDescent="0.25">
      <c r="B159" s="278" t="s">
        <v>289</v>
      </c>
      <c r="C159" s="278" t="s">
        <v>290</v>
      </c>
      <c r="E159" s="293">
        <v>4493.0155629840601</v>
      </c>
      <c r="F159" s="294">
        <v>54.25</v>
      </c>
      <c r="G159" s="265">
        <f t="shared" si="81"/>
        <v>243746.09</v>
      </c>
      <c r="I159" s="295">
        <f t="shared" si="82"/>
        <v>55.83</v>
      </c>
      <c r="J159" s="265">
        <f t="shared" si="83"/>
        <v>250845.06</v>
      </c>
      <c r="L159" s="223">
        <f t="shared" si="84"/>
        <v>7098.9700000000012</v>
      </c>
      <c r="M159" s="224">
        <f t="shared" si="85"/>
        <v>2.9124446673175357E-2</v>
      </c>
      <c r="N159" s="224"/>
      <c r="O159" s="225">
        <f t="shared" si="86"/>
        <v>1.5799999999999983</v>
      </c>
    </row>
    <row r="160" spans="2:17" x14ac:dyDescent="0.25">
      <c r="B160" s="278" t="s">
        <v>291</v>
      </c>
      <c r="C160" s="278" t="s">
        <v>292</v>
      </c>
      <c r="E160" s="293">
        <v>12979.72487632374</v>
      </c>
      <c r="F160" s="294">
        <v>63.09</v>
      </c>
      <c r="G160" s="265">
        <f t="shared" si="81"/>
        <v>818890.84</v>
      </c>
      <c r="I160" s="295">
        <f t="shared" si="82"/>
        <v>64.92</v>
      </c>
      <c r="J160" s="265">
        <f t="shared" si="83"/>
        <v>842643.74</v>
      </c>
      <c r="L160" s="223">
        <f t="shared" si="84"/>
        <v>23752.900000000023</v>
      </c>
      <c r="M160" s="224">
        <f t="shared" si="85"/>
        <v>2.9006185977120007E-2</v>
      </c>
      <c r="N160" s="224"/>
      <c r="O160" s="225">
        <f t="shared" si="86"/>
        <v>1.8299999999999983</v>
      </c>
    </row>
    <row r="161" spans="2:17" x14ac:dyDescent="0.25">
      <c r="C161" s="231" t="s">
        <v>218</v>
      </c>
      <c r="E161" s="292"/>
      <c r="F161" s="294"/>
      <c r="G161" s="277">
        <f>SUM(G154:G160)</f>
        <v>1432303.29</v>
      </c>
      <c r="I161" s="295"/>
      <c r="J161" s="277">
        <f>SUM(J154:J160)</f>
        <v>1473913.72</v>
      </c>
      <c r="L161" s="277">
        <f>SUM(L154:L160)</f>
        <v>41610.430000000037</v>
      </c>
      <c r="M161" s="224">
        <f t="shared" si="85"/>
        <v>2.9051409914725556E-2</v>
      </c>
      <c r="N161" s="224"/>
    </row>
    <row r="162" spans="2:17" x14ac:dyDescent="0.25">
      <c r="B162" s="231"/>
      <c r="E162" s="292"/>
      <c r="F162" s="294"/>
      <c r="G162" s="265"/>
      <c r="I162" s="295"/>
      <c r="J162" s="265"/>
    </row>
    <row r="163" spans="2:17" x14ac:dyDescent="0.25">
      <c r="B163" s="248" t="s">
        <v>293</v>
      </c>
      <c r="E163" s="292"/>
      <c r="F163" s="294"/>
      <c r="G163" s="265"/>
      <c r="I163" s="295"/>
      <c r="J163" s="265"/>
    </row>
    <row r="164" spans="2:17" x14ac:dyDescent="0.25">
      <c r="B164" s="278" t="s">
        <v>294</v>
      </c>
      <c r="C164" s="278" t="s">
        <v>295</v>
      </c>
      <c r="E164" s="293">
        <v>11826.912573528694</v>
      </c>
      <c r="F164" s="294">
        <v>10.16</v>
      </c>
      <c r="G164" s="265">
        <f t="shared" ref="G164:G167" si="87">ROUND($E164*F164,2)</f>
        <v>120161.43</v>
      </c>
      <c r="I164" s="295">
        <f t="shared" ref="I164:I167" si="88">ROUND(F164*(1+$Q$150),2)</f>
        <v>10.46</v>
      </c>
      <c r="J164" s="265">
        <f t="shared" ref="J164:J167" si="89">ROUND($E164*I164,2)</f>
        <v>123709.51</v>
      </c>
      <c r="L164" s="223">
        <f t="shared" ref="L164:L167" si="90">J164-G164</f>
        <v>3548.0800000000017</v>
      </c>
      <c r="M164" s="224">
        <f t="shared" ref="M164:M168" si="91">IF(G164&lt;&gt;0,L164/G164,0)</f>
        <v>2.9527611314212904E-2</v>
      </c>
      <c r="N164" s="224"/>
      <c r="O164" s="225">
        <f t="shared" ref="O164:O167" si="92">I164-F164</f>
        <v>0.30000000000000071</v>
      </c>
      <c r="Q164" s="297"/>
    </row>
    <row r="165" spans="2:17" x14ac:dyDescent="0.25">
      <c r="B165" s="278" t="s">
        <v>296</v>
      </c>
      <c r="C165" s="278" t="s">
        <v>297</v>
      </c>
      <c r="E165" s="293">
        <v>845.66294824016904</v>
      </c>
      <c r="F165" s="294">
        <v>27.71</v>
      </c>
      <c r="G165" s="265">
        <f t="shared" si="87"/>
        <v>23433.32</v>
      </c>
      <c r="I165" s="295">
        <f t="shared" si="88"/>
        <v>28.51</v>
      </c>
      <c r="J165" s="265">
        <f t="shared" si="89"/>
        <v>24109.85</v>
      </c>
      <c r="L165" s="223">
        <f t="shared" si="90"/>
        <v>676.52999999999884</v>
      </c>
      <c r="M165" s="224">
        <f t="shared" si="91"/>
        <v>2.8870428944767487E-2</v>
      </c>
      <c r="N165" s="224"/>
      <c r="O165" s="225">
        <f t="shared" si="92"/>
        <v>0.80000000000000071</v>
      </c>
      <c r="Q165" s="297"/>
    </row>
    <row r="166" spans="2:17" x14ac:dyDescent="0.25">
      <c r="B166" s="278" t="s">
        <v>298</v>
      </c>
      <c r="C166" s="278" t="s">
        <v>299</v>
      </c>
      <c r="E166" s="293">
        <v>535.50948516824371</v>
      </c>
      <c r="F166" s="294">
        <v>37.58</v>
      </c>
      <c r="G166" s="265">
        <f t="shared" si="87"/>
        <v>20124.45</v>
      </c>
      <c r="I166" s="295">
        <f t="shared" si="88"/>
        <v>38.67</v>
      </c>
      <c r="J166" s="265">
        <f t="shared" si="89"/>
        <v>20708.150000000001</v>
      </c>
      <c r="L166" s="223">
        <f t="shared" si="90"/>
        <v>583.70000000000073</v>
      </c>
      <c r="M166" s="224">
        <f t="shared" si="91"/>
        <v>2.9004519378169377E-2</v>
      </c>
      <c r="N166" s="224"/>
      <c r="O166" s="225">
        <f t="shared" si="92"/>
        <v>1.0900000000000034</v>
      </c>
      <c r="Q166" s="297"/>
    </row>
    <row r="167" spans="2:17" x14ac:dyDescent="0.25">
      <c r="B167" s="278" t="s">
        <v>300</v>
      </c>
      <c r="C167" s="278" t="s">
        <v>301</v>
      </c>
      <c r="E167" s="293">
        <v>19512.390986324594</v>
      </c>
      <c r="F167" s="294">
        <v>15.51</v>
      </c>
      <c r="G167" s="265">
        <f t="shared" si="87"/>
        <v>302637.18</v>
      </c>
      <c r="I167" s="295">
        <f t="shared" si="88"/>
        <v>15.96</v>
      </c>
      <c r="J167" s="265">
        <f t="shared" si="89"/>
        <v>311417.76</v>
      </c>
      <c r="L167" s="223">
        <f t="shared" si="90"/>
        <v>8780.5800000000163</v>
      </c>
      <c r="M167" s="224">
        <f t="shared" si="91"/>
        <v>2.9013553456981117E-2</v>
      </c>
      <c r="N167" s="224"/>
      <c r="O167" s="225">
        <f t="shared" si="92"/>
        <v>0.45000000000000107</v>
      </c>
      <c r="Q167" s="297"/>
    </row>
    <row r="168" spans="2:17" x14ac:dyDescent="0.25">
      <c r="C168" s="231" t="s">
        <v>218</v>
      </c>
      <c r="E168" s="292"/>
      <c r="G168" s="298">
        <f>SUM(G164:G167)</f>
        <v>466356.38</v>
      </c>
      <c r="I168" s="216"/>
      <c r="J168" s="298">
        <f>SUM(J164:J167)</f>
        <v>479945.27</v>
      </c>
      <c r="L168" s="298">
        <f>SUM(L164:L167)</f>
        <v>13588.890000000018</v>
      </c>
      <c r="M168" s="224">
        <f t="shared" si="91"/>
        <v>2.9138424138209534E-2</v>
      </c>
      <c r="N168" s="224"/>
    </row>
    <row r="169" spans="2:17" x14ac:dyDescent="0.25">
      <c r="E169" s="292"/>
      <c r="I169" s="128"/>
      <c r="J169" s="291"/>
    </row>
    <row r="170" spans="2:17" x14ac:dyDescent="0.25">
      <c r="B170" s="299" t="s">
        <v>155</v>
      </c>
      <c r="D170" s="258" t="s">
        <v>217</v>
      </c>
      <c r="E170" s="293">
        <v>37275691.68</v>
      </c>
      <c r="G170" s="300">
        <v>1726553.2512827553</v>
      </c>
      <c r="H170" s="301"/>
      <c r="I170" s="128"/>
      <c r="J170" s="300">
        <v>1750165.3479455719</v>
      </c>
      <c r="L170" s="223">
        <f t="shared" ref="L170" si="93">J170-G170</f>
        <v>23612.096662816592</v>
      </c>
      <c r="M170" s="224">
        <f>IF(G170&lt;&gt;0,L170/G170,0)</f>
        <v>1.3675857750274318E-2</v>
      </c>
      <c r="N170" s="224"/>
    </row>
    <row r="171" spans="2:17" x14ac:dyDescent="0.25">
      <c r="I171" s="128"/>
      <c r="J171" s="291"/>
    </row>
    <row r="172" spans="2:17" x14ac:dyDescent="0.25">
      <c r="B172" s="299" t="s">
        <v>302</v>
      </c>
      <c r="E172" s="302"/>
      <c r="I172" s="128"/>
      <c r="J172" s="291"/>
    </row>
    <row r="173" spans="2:17" x14ac:dyDescent="0.25">
      <c r="B173" s="126" t="s">
        <v>157</v>
      </c>
      <c r="C173" s="197"/>
      <c r="E173" s="302">
        <f>E10+E15+E19*19</f>
        <v>603115440.25499988</v>
      </c>
      <c r="G173" s="303">
        <f>SUM(G11,G16,G19)</f>
        <v>311324127.59367347</v>
      </c>
      <c r="I173" s="128"/>
      <c r="J173" s="303">
        <f>SUM(J11,J16,J19)</f>
        <v>326090855.42058766</v>
      </c>
      <c r="L173" s="223">
        <f t="shared" ref="L173:L186" si="94">J173-G173</f>
        <v>14766727.826914191</v>
      </c>
      <c r="M173" s="224">
        <f>IF(G173&lt;&gt;0,L173/G173,0)</f>
        <v>4.7432005803890259E-2</v>
      </c>
      <c r="N173" s="224"/>
    </row>
    <row r="174" spans="2:17" x14ac:dyDescent="0.25">
      <c r="B174" s="304" t="s">
        <v>303</v>
      </c>
      <c r="C174" s="197"/>
      <c r="E174" s="302">
        <f>E24</f>
        <v>228604732.46999997</v>
      </c>
      <c r="G174" s="303">
        <f>SUM(G26,G36)</f>
        <v>91578256.929999992</v>
      </c>
      <c r="I174" s="128"/>
      <c r="J174" s="303">
        <f>SUM(J26,J36)</f>
        <v>96351191.99000001</v>
      </c>
      <c r="L174" s="223">
        <f t="shared" si="94"/>
        <v>4772935.0600000173</v>
      </c>
      <c r="M174" s="224">
        <f t="shared" ref="M174:M186" si="95">IF(G174&lt;&gt;0,L174/G174,0)</f>
        <v>5.2118649338874438E-2</v>
      </c>
      <c r="N174" s="224"/>
    </row>
    <row r="175" spans="2:17" x14ac:dyDescent="0.25">
      <c r="B175" s="304" t="s">
        <v>304</v>
      </c>
      <c r="C175" s="197"/>
      <c r="E175" s="302">
        <f>E30</f>
        <v>43413.770000000004</v>
      </c>
      <c r="G175" s="303">
        <f>SUM(G32)</f>
        <v>25885.71</v>
      </c>
      <c r="I175" s="128"/>
      <c r="J175" s="303">
        <f>SUM(J32)</f>
        <v>26637.32</v>
      </c>
      <c r="L175" s="223">
        <f t="shared" si="94"/>
        <v>751.61000000000058</v>
      </c>
      <c r="M175" s="224">
        <f t="shared" si="95"/>
        <v>2.9035711209002984E-2</v>
      </c>
      <c r="N175" s="224"/>
    </row>
    <row r="176" spans="2:17" x14ac:dyDescent="0.25">
      <c r="B176" s="305" t="s">
        <v>305</v>
      </c>
      <c r="C176" s="197"/>
      <c r="E176" s="302">
        <f>E47</f>
        <v>63966868.017000005</v>
      </c>
      <c r="G176" s="303">
        <f>SUM(G50)</f>
        <v>14456233.310000002</v>
      </c>
      <c r="I176" s="128"/>
      <c r="J176" s="303">
        <f>SUM(J50)</f>
        <v>15416671.630000001</v>
      </c>
      <c r="L176" s="223">
        <f t="shared" si="94"/>
        <v>960438.31999999844</v>
      </c>
      <c r="M176" s="224">
        <f t="shared" si="95"/>
        <v>6.6437660447526234E-2</v>
      </c>
      <c r="N176" s="224"/>
    </row>
    <row r="177" spans="2:14" x14ac:dyDescent="0.25">
      <c r="B177" s="305" t="s">
        <v>306</v>
      </c>
      <c r="C177" s="197"/>
      <c r="E177" s="302">
        <f>E61</f>
        <v>19254249.518999998</v>
      </c>
      <c r="G177" s="303">
        <f>SUM(G63)</f>
        <v>3995567.74</v>
      </c>
      <c r="I177" s="128"/>
      <c r="J177" s="303">
        <f>SUM(J63)</f>
        <v>4111810.21</v>
      </c>
      <c r="L177" s="223">
        <f t="shared" si="94"/>
        <v>116242.46999999974</v>
      </c>
      <c r="M177" s="224">
        <f t="shared" si="95"/>
        <v>2.9092854273570577E-2</v>
      </c>
      <c r="N177" s="224"/>
    </row>
    <row r="178" spans="2:14" x14ac:dyDescent="0.25">
      <c r="B178" s="126" t="s">
        <v>307</v>
      </c>
      <c r="C178" s="197"/>
      <c r="E178" s="302">
        <f>E75</f>
        <v>16307789.426000001</v>
      </c>
      <c r="G178" s="303">
        <f>SUM(G76)</f>
        <v>1589956.26</v>
      </c>
      <c r="I178" s="128"/>
      <c r="J178" s="303">
        <f>SUM(J76)</f>
        <v>1724544.4</v>
      </c>
      <c r="L178" s="223">
        <f t="shared" si="94"/>
        <v>134588.1399999999</v>
      </c>
      <c r="M178" s="224">
        <f t="shared" si="95"/>
        <v>8.464895757572595E-2</v>
      </c>
      <c r="N178" s="224"/>
    </row>
    <row r="179" spans="2:14" x14ac:dyDescent="0.25">
      <c r="B179" s="126" t="s">
        <v>308</v>
      </c>
      <c r="C179" s="197"/>
      <c r="E179" s="302">
        <f>E87</f>
        <v>76582587.120000005</v>
      </c>
      <c r="G179" s="303">
        <f>SUM(G88)</f>
        <v>7037315.1900000004</v>
      </c>
      <c r="I179" s="128"/>
      <c r="J179" s="303">
        <f>SUM(J88)</f>
        <v>7243181.0999999996</v>
      </c>
      <c r="L179" s="223">
        <f t="shared" si="94"/>
        <v>205865.90999999922</v>
      </c>
      <c r="M179" s="224">
        <f t="shared" si="95"/>
        <v>2.9253473013761546E-2</v>
      </c>
      <c r="N179" s="224"/>
    </row>
    <row r="180" spans="2:14" x14ac:dyDescent="0.25">
      <c r="B180" s="305" t="s">
        <v>309</v>
      </c>
      <c r="C180" s="197"/>
      <c r="E180" s="302">
        <f>E99</f>
        <v>9107268.5420000013</v>
      </c>
      <c r="G180" s="303">
        <f>SUM(G100)</f>
        <v>1944724.1500000001</v>
      </c>
      <c r="I180" s="128"/>
      <c r="J180" s="303">
        <f>SUM(J100)</f>
        <v>2074549.15</v>
      </c>
      <c r="L180" s="223">
        <f t="shared" si="94"/>
        <v>129824.99999999977</v>
      </c>
      <c r="M180" s="224">
        <f t="shared" si="95"/>
        <v>6.6757539880398856E-2</v>
      </c>
      <c r="N180" s="224"/>
    </row>
    <row r="181" spans="2:14" x14ac:dyDescent="0.25">
      <c r="B181" s="305" t="s">
        <v>310</v>
      </c>
      <c r="C181" s="197"/>
      <c r="E181" s="302">
        <f>E110</f>
        <v>354636.69999999995</v>
      </c>
      <c r="G181" s="303">
        <f>SUM(G111)</f>
        <v>84408.74</v>
      </c>
      <c r="I181" s="128"/>
      <c r="J181" s="303">
        <f>SUM(J111)</f>
        <v>86864.48</v>
      </c>
      <c r="L181" s="223">
        <f t="shared" si="94"/>
        <v>2455.7399999999907</v>
      </c>
      <c r="M181" s="224">
        <f t="shared" si="95"/>
        <v>2.9093432741680428E-2</v>
      </c>
      <c r="N181" s="224"/>
    </row>
    <row r="182" spans="2:14" x14ac:dyDescent="0.25">
      <c r="B182" s="305" t="s">
        <v>311</v>
      </c>
      <c r="C182" s="197"/>
      <c r="E182" s="302">
        <f>E126</f>
        <v>23273158.627999999</v>
      </c>
      <c r="G182" s="303">
        <f>SUM(G127)</f>
        <v>1093496.3899999999</v>
      </c>
      <c r="I182" s="128"/>
      <c r="J182" s="303">
        <f>SUM(J127)</f>
        <v>1186047.02</v>
      </c>
      <c r="L182" s="223">
        <f t="shared" si="94"/>
        <v>92550.630000000121</v>
      </c>
      <c r="M182" s="224">
        <f>IF(G182&lt;&gt;0,L182/G182,0)</f>
        <v>8.4637343887344826E-2</v>
      </c>
      <c r="N182" s="224"/>
    </row>
    <row r="183" spans="2:14" x14ac:dyDescent="0.25">
      <c r="B183" s="305" t="s">
        <v>312</v>
      </c>
      <c r="C183" s="197"/>
      <c r="E183" s="302">
        <f>E141</f>
        <v>103884321.25000001</v>
      </c>
      <c r="G183" s="303">
        <f>SUM(G142)</f>
        <v>3564358.66</v>
      </c>
      <c r="I183" s="128"/>
      <c r="J183" s="303">
        <f>SUM(J142)</f>
        <v>3669607.42</v>
      </c>
      <c r="L183" s="223">
        <f t="shared" si="94"/>
        <v>105248.75999999978</v>
      </c>
      <c r="M183" s="224">
        <f t="shared" si="95"/>
        <v>2.9528105906154734E-2</v>
      </c>
      <c r="N183" s="224"/>
    </row>
    <row r="184" spans="2:14" x14ac:dyDescent="0.25">
      <c r="B184" s="126" t="s">
        <v>163</v>
      </c>
      <c r="C184" s="197"/>
      <c r="E184" s="302"/>
      <c r="G184" s="303">
        <f>SUM(G151,G161,G168)</f>
        <v>5364365.72</v>
      </c>
      <c r="I184" s="128"/>
      <c r="J184" s="303">
        <f>SUM(J151,J161,J168)</f>
        <v>5520076.7100000009</v>
      </c>
      <c r="L184" s="223">
        <f t="shared" si="94"/>
        <v>155710.99000000115</v>
      </c>
      <c r="M184" s="224">
        <f t="shared" si="95"/>
        <v>2.9026915413217048E-2</v>
      </c>
      <c r="N184" s="224"/>
    </row>
    <row r="185" spans="2:14" x14ac:dyDescent="0.25">
      <c r="B185" s="305" t="s">
        <v>155</v>
      </c>
      <c r="C185" s="197"/>
      <c r="E185" s="302">
        <f>E170</f>
        <v>37275691.68</v>
      </c>
      <c r="G185" s="217">
        <f>G170</f>
        <v>1726553.2512827553</v>
      </c>
      <c r="I185" s="128"/>
      <c r="J185" s="217">
        <f>J170</f>
        <v>1750165.3479455719</v>
      </c>
      <c r="L185" s="223">
        <f t="shared" si="94"/>
        <v>23612.096662816592</v>
      </c>
      <c r="M185" s="224">
        <f t="shared" si="95"/>
        <v>1.3675857750274318E-2</v>
      </c>
      <c r="N185" s="224"/>
    </row>
    <row r="186" spans="2:14" x14ac:dyDescent="0.25">
      <c r="B186" s="126" t="s">
        <v>313</v>
      </c>
      <c r="C186" s="197"/>
      <c r="E186" s="302"/>
      <c r="G186" s="300">
        <v>5090448.3099999996</v>
      </c>
      <c r="I186" s="128"/>
      <c r="J186" s="217">
        <f>G186</f>
        <v>5090448.3099999996</v>
      </c>
      <c r="L186" s="243">
        <f t="shared" si="94"/>
        <v>0</v>
      </c>
      <c r="M186" s="306">
        <f t="shared" si="95"/>
        <v>0</v>
      </c>
      <c r="N186" s="224"/>
    </row>
    <row r="187" spans="2:14" x14ac:dyDescent="0.25">
      <c r="B187" s="307" t="s">
        <v>314</v>
      </c>
      <c r="C187" s="307"/>
      <c r="D187" s="307"/>
      <c r="E187" s="308">
        <f>SUM(E173:E186)</f>
        <v>1181770157.3770001</v>
      </c>
      <c r="F187" s="307"/>
      <c r="G187" s="298">
        <f>SUM(G173:G186)</f>
        <v>448875697.95495623</v>
      </c>
      <c r="I187" s="309"/>
      <c r="J187" s="298">
        <f>SUM(J173:J186)</f>
        <v>470342650.50853318</v>
      </c>
      <c r="L187" s="223">
        <f>J187-G187</f>
        <v>21466952.553576946</v>
      </c>
      <c r="M187" s="224">
        <f>IF(G187&lt;&gt;0,L187/G187,0)</f>
        <v>4.7823824393654547E-2</v>
      </c>
      <c r="N187" s="224"/>
    </row>
    <row r="188" spans="2:14" x14ac:dyDescent="0.25">
      <c r="B188" s="231"/>
      <c r="I188" s="128"/>
      <c r="J188" s="303"/>
    </row>
    <row r="189" spans="2:14" x14ac:dyDescent="0.25">
      <c r="B189" s="310" t="s">
        <v>315</v>
      </c>
      <c r="I189" s="128"/>
      <c r="J189" s="291"/>
    </row>
    <row r="190" spans="2:14" x14ac:dyDescent="0.25">
      <c r="B190" s="291" t="s">
        <v>316</v>
      </c>
      <c r="G190" s="303"/>
      <c r="I190" s="128"/>
      <c r="J190" s="303"/>
      <c r="K190" s="291"/>
    </row>
    <row r="191" spans="2:14" x14ac:dyDescent="0.25">
      <c r="B191" s="291"/>
      <c r="C191" s="311" t="s">
        <v>317</v>
      </c>
      <c r="D191" s="291">
        <v>23</v>
      </c>
      <c r="E191" s="302">
        <f>E9</f>
        <v>9329676.0139058214</v>
      </c>
      <c r="I191" s="128"/>
      <c r="J191" s="291"/>
      <c r="K191" s="291"/>
    </row>
    <row r="192" spans="2:14" x14ac:dyDescent="0.25">
      <c r="B192" s="291"/>
      <c r="C192" s="311" t="s">
        <v>318</v>
      </c>
      <c r="D192" s="291">
        <v>53</v>
      </c>
      <c r="E192" s="302">
        <f>E14</f>
        <v>7.5321521335807056</v>
      </c>
      <c r="I192" s="128"/>
      <c r="J192" s="291"/>
      <c r="K192" s="291"/>
    </row>
    <row r="193" spans="2:11" x14ac:dyDescent="0.25">
      <c r="B193" s="291"/>
      <c r="C193" s="311" t="s">
        <v>25</v>
      </c>
      <c r="D193" s="291">
        <v>31</v>
      </c>
      <c r="E193" s="302">
        <f>E23</f>
        <v>689698.95172727259</v>
      </c>
      <c r="I193" s="128"/>
      <c r="J193" s="291"/>
      <c r="K193" s="291"/>
    </row>
    <row r="194" spans="2:11" x14ac:dyDescent="0.25">
      <c r="B194" s="291"/>
      <c r="C194" s="311" t="s">
        <v>24</v>
      </c>
      <c r="D194" s="291">
        <v>41</v>
      </c>
      <c r="E194" s="302">
        <f>E39</f>
        <v>15757.12870224839</v>
      </c>
      <c r="I194" s="128"/>
      <c r="J194" s="291"/>
      <c r="K194" s="291"/>
    </row>
    <row r="195" spans="2:11" x14ac:dyDescent="0.25">
      <c r="B195" s="291"/>
      <c r="C195" s="311" t="s">
        <v>319</v>
      </c>
      <c r="D195" s="291">
        <v>85</v>
      </c>
      <c r="E195" s="302">
        <f>E66</f>
        <v>331.51750649225198</v>
      </c>
      <c r="I195" s="128"/>
      <c r="J195" s="291"/>
      <c r="K195" s="291"/>
    </row>
    <row r="196" spans="2:11" x14ac:dyDescent="0.25">
      <c r="B196" s="291"/>
      <c r="C196" s="311" t="s">
        <v>43</v>
      </c>
      <c r="D196" s="291">
        <v>86</v>
      </c>
      <c r="E196" s="302">
        <f>E91</f>
        <v>2677.7055539223543</v>
      </c>
      <c r="I196" s="128"/>
      <c r="J196" s="291"/>
      <c r="K196" s="291"/>
    </row>
    <row r="197" spans="2:11" x14ac:dyDescent="0.25">
      <c r="B197" s="291"/>
      <c r="C197" s="311" t="s">
        <v>42</v>
      </c>
      <c r="D197" s="291">
        <v>87</v>
      </c>
      <c r="E197" s="302">
        <f>E114</f>
        <v>60.132496118726415</v>
      </c>
      <c r="I197" s="128"/>
      <c r="J197" s="291"/>
      <c r="K197" s="291"/>
    </row>
    <row r="198" spans="2:11" x14ac:dyDescent="0.25">
      <c r="B198" s="291"/>
      <c r="C198" s="291" t="s">
        <v>320</v>
      </c>
      <c r="D198" s="312" t="s">
        <v>148</v>
      </c>
      <c r="E198" s="302">
        <f>E29</f>
        <v>37.000031241542246</v>
      </c>
      <c r="I198" s="128"/>
      <c r="J198" s="291"/>
      <c r="K198" s="291"/>
    </row>
    <row r="199" spans="2:11" x14ac:dyDescent="0.25">
      <c r="B199" s="291"/>
      <c r="C199" s="291" t="s">
        <v>321</v>
      </c>
      <c r="D199" s="312" t="s">
        <v>150</v>
      </c>
      <c r="E199" s="302">
        <f>E53</f>
        <v>1217.0689113856104</v>
      </c>
      <c r="I199" s="128"/>
      <c r="J199" s="291"/>
      <c r="K199" s="291"/>
    </row>
    <row r="200" spans="2:11" x14ac:dyDescent="0.25">
      <c r="B200" s="291"/>
      <c r="C200" s="291" t="s">
        <v>322</v>
      </c>
      <c r="D200" s="312" t="s">
        <v>3</v>
      </c>
      <c r="E200" s="302">
        <f>E79</f>
        <v>1226.3663564440635</v>
      </c>
      <c r="I200" s="128"/>
      <c r="J200" s="291"/>
      <c r="K200" s="291"/>
    </row>
    <row r="201" spans="2:11" x14ac:dyDescent="0.25">
      <c r="B201" s="291"/>
      <c r="C201" s="291" t="s">
        <v>323</v>
      </c>
      <c r="D201" s="312" t="s">
        <v>153</v>
      </c>
      <c r="E201" s="302">
        <f>E103</f>
        <v>31.999971930109631</v>
      </c>
      <c r="I201" s="128"/>
      <c r="J201" s="291"/>
      <c r="K201" s="291"/>
    </row>
    <row r="202" spans="2:11" x14ac:dyDescent="0.25">
      <c r="B202" s="291"/>
      <c r="C202" s="291" t="s">
        <v>324</v>
      </c>
      <c r="D202" s="312" t="s">
        <v>2</v>
      </c>
      <c r="E202" s="302">
        <f>E130</f>
        <v>112.76670855311828</v>
      </c>
      <c r="I202" s="128"/>
      <c r="J202" s="291"/>
      <c r="K202" s="291"/>
    </row>
    <row r="203" spans="2:11" x14ac:dyDescent="0.25">
      <c r="B203" s="291"/>
      <c r="C203" s="291" t="s">
        <v>325</v>
      </c>
      <c r="E203" s="308">
        <f>SUM(E191:E202)</f>
        <v>10040834.184023561</v>
      </c>
      <c r="I203" s="128"/>
      <c r="J203" s="302"/>
      <c r="K203" s="291"/>
    </row>
    <row r="204" spans="2:11" x14ac:dyDescent="0.25">
      <c r="B204" s="291"/>
      <c r="I204" s="128"/>
      <c r="J204" s="291"/>
      <c r="K204" s="291"/>
    </row>
    <row r="205" spans="2:11" x14ac:dyDescent="0.25">
      <c r="B205" s="291" t="s">
        <v>326</v>
      </c>
      <c r="I205" s="128"/>
      <c r="J205" s="291"/>
      <c r="K205" s="291"/>
    </row>
    <row r="206" spans="2:11" x14ac:dyDescent="0.25">
      <c r="B206" s="291"/>
      <c r="C206" s="311" t="s">
        <v>327</v>
      </c>
      <c r="D206" s="291">
        <v>16</v>
      </c>
      <c r="E206" s="275">
        <f>E20</f>
        <v>9592.0450000000001</v>
      </c>
      <c r="I206" s="128"/>
      <c r="J206" s="275"/>
      <c r="K206" s="291"/>
    </row>
    <row r="207" spans="2:11" x14ac:dyDescent="0.25">
      <c r="B207" s="291"/>
      <c r="C207" s="311" t="s">
        <v>317</v>
      </c>
      <c r="D207" s="291">
        <v>23</v>
      </c>
      <c r="E207" s="275">
        <f>E10</f>
        <v>603105552.93699992</v>
      </c>
      <c r="I207" s="128"/>
      <c r="J207" s="275"/>
      <c r="K207" s="291"/>
    </row>
    <row r="208" spans="2:11" x14ac:dyDescent="0.25">
      <c r="B208" s="291"/>
      <c r="C208" s="311" t="s">
        <v>318</v>
      </c>
      <c r="D208" s="291">
        <v>53</v>
      </c>
      <c r="E208" s="275">
        <f>E15</f>
        <v>295.27300000000002</v>
      </c>
      <c r="I208" s="128"/>
      <c r="J208" s="275"/>
      <c r="K208" s="291"/>
    </row>
    <row r="209" spans="2:11" x14ac:dyDescent="0.25">
      <c r="B209" s="291"/>
      <c r="C209" s="313" t="s">
        <v>25</v>
      </c>
      <c r="D209" s="291">
        <v>31</v>
      </c>
      <c r="E209" s="275">
        <f>E24</f>
        <v>228604732.46999997</v>
      </c>
      <c r="I209" s="128"/>
      <c r="J209" s="275"/>
      <c r="K209" s="291"/>
    </row>
    <row r="210" spans="2:11" x14ac:dyDescent="0.25">
      <c r="B210" s="291"/>
      <c r="C210" s="311" t="s">
        <v>24</v>
      </c>
      <c r="D210" s="291">
        <v>41</v>
      </c>
      <c r="E210" s="302">
        <f>E47</f>
        <v>63966868.017000005</v>
      </c>
      <c r="I210" s="128"/>
      <c r="J210" s="275"/>
      <c r="K210" s="291"/>
    </row>
    <row r="211" spans="2:11" x14ac:dyDescent="0.25">
      <c r="B211" s="291"/>
      <c r="C211" s="311" t="s">
        <v>319</v>
      </c>
      <c r="D211" s="291">
        <v>85</v>
      </c>
      <c r="E211" s="302">
        <f>E75</f>
        <v>16307789.426000001</v>
      </c>
      <c r="I211" s="128"/>
      <c r="J211" s="302"/>
      <c r="K211" s="291"/>
    </row>
    <row r="212" spans="2:11" x14ac:dyDescent="0.25">
      <c r="B212" s="291"/>
      <c r="C212" s="311" t="s">
        <v>43</v>
      </c>
      <c r="D212" s="291">
        <v>86</v>
      </c>
      <c r="E212" s="302">
        <f>E99</f>
        <v>9107268.5420000013</v>
      </c>
      <c r="I212" s="128"/>
      <c r="J212" s="302"/>
      <c r="K212" s="291"/>
    </row>
    <row r="213" spans="2:11" x14ac:dyDescent="0.25">
      <c r="B213" s="291"/>
      <c r="C213" s="311" t="s">
        <v>42</v>
      </c>
      <c r="D213" s="291">
        <v>87</v>
      </c>
      <c r="E213" s="302">
        <f>E126</f>
        <v>23273158.627999999</v>
      </c>
      <c r="I213" s="128"/>
      <c r="J213" s="302"/>
      <c r="K213" s="291"/>
    </row>
    <row r="214" spans="2:11" x14ac:dyDescent="0.25">
      <c r="B214" s="291"/>
      <c r="C214" s="291" t="s">
        <v>320</v>
      </c>
      <c r="D214" s="312" t="s">
        <v>148</v>
      </c>
      <c r="E214" s="302">
        <f>E30</f>
        <v>43413.770000000004</v>
      </c>
      <c r="I214" s="128"/>
      <c r="J214" s="302"/>
      <c r="K214" s="291"/>
    </row>
    <row r="215" spans="2:11" x14ac:dyDescent="0.25">
      <c r="B215" s="291"/>
      <c r="C215" s="291" t="s">
        <v>321</v>
      </c>
      <c r="D215" s="312" t="s">
        <v>150</v>
      </c>
      <c r="E215" s="302">
        <f>E61</f>
        <v>19254249.518999998</v>
      </c>
      <c r="I215" s="128"/>
      <c r="J215" s="302"/>
      <c r="K215" s="291"/>
    </row>
    <row r="216" spans="2:11" x14ac:dyDescent="0.25">
      <c r="B216" s="291"/>
      <c r="C216" s="291" t="s">
        <v>322</v>
      </c>
      <c r="D216" s="312" t="s">
        <v>3</v>
      </c>
      <c r="E216" s="302">
        <f>E87</f>
        <v>76582587.120000005</v>
      </c>
      <c r="I216" s="128"/>
      <c r="J216" s="302"/>
      <c r="K216" s="291"/>
    </row>
    <row r="217" spans="2:11" x14ac:dyDescent="0.25">
      <c r="B217" s="291"/>
      <c r="C217" s="291" t="s">
        <v>323</v>
      </c>
      <c r="D217" s="312" t="s">
        <v>153</v>
      </c>
      <c r="E217" s="302">
        <f>E110</f>
        <v>354636.69999999995</v>
      </c>
      <c r="I217" s="128"/>
      <c r="J217" s="302"/>
      <c r="K217" s="291"/>
    </row>
    <row r="218" spans="2:11" x14ac:dyDescent="0.25">
      <c r="B218" s="291"/>
      <c r="C218" s="291" t="s">
        <v>324</v>
      </c>
      <c r="D218" s="312" t="s">
        <v>2</v>
      </c>
      <c r="E218" s="302">
        <f>E141</f>
        <v>103884321.25000001</v>
      </c>
      <c r="I218" s="128"/>
      <c r="J218" s="302"/>
      <c r="K218" s="291"/>
    </row>
    <row r="219" spans="2:11" x14ac:dyDescent="0.25">
      <c r="B219" s="291"/>
      <c r="C219" s="292" t="s">
        <v>155</v>
      </c>
      <c r="D219" s="312"/>
      <c r="E219" s="302">
        <f>E170</f>
        <v>37275691.68</v>
      </c>
      <c r="I219" s="128"/>
      <c r="J219" s="302"/>
      <c r="K219" s="291"/>
    </row>
    <row r="220" spans="2:11" x14ac:dyDescent="0.25">
      <c r="B220" s="291"/>
      <c r="C220" s="291" t="s">
        <v>328</v>
      </c>
      <c r="E220" s="308">
        <f>SUM(E206:E219)</f>
        <v>1181770157.3770001</v>
      </c>
      <c r="I220" s="128"/>
      <c r="J220" s="302"/>
      <c r="K220" s="291"/>
    </row>
    <row r="221" spans="2:11" x14ac:dyDescent="0.25">
      <c r="B221" s="291"/>
      <c r="E221" s="302"/>
      <c r="I221" s="128"/>
      <c r="J221" s="302"/>
      <c r="K221" s="291"/>
    </row>
    <row r="222" spans="2:11" x14ac:dyDescent="0.25">
      <c r="B222" s="291" t="s">
        <v>329</v>
      </c>
      <c r="I222" s="128"/>
      <c r="J222" s="291"/>
      <c r="K222" s="291"/>
    </row>
    <row r="223" spans="2:11" x14ac:dyDescent="0.25">
      <c r="B223" s="291"/>
      <c r="C223" s="291" t="s">
        <v>330</v>
      </c>
      <c r="D223" s="291">
        <v>61</v>
      </c>
      <c r="E223" s="302">
        <f>E35</f>
        <v>0</v>
      </c>
      <c r="I223" s="128"/>
      <c r="J223" s="302"/>
      <c r="K223" s="291"/>
    </row>
    <row r="224" spans="2:11" x14ac:dyDescent="0.25">
      <c r="B224" s="291"/>
      <c r="C224" s="311" t="s">
        <v>24</v>
      </c>
      <c r="D224" s="291">
        <v>41</v>
      </c>
      <c r="E224" s="302">
        <f>E41</f>
        <v>3902427.7730000005</v>
      </c>
      <c r="I224" s="128"/>
      <c r="J224" s="302"/>
      <c r="K224" s="291"/>
    </row>
    <row r="225" spans="2:25" x14ac:dyDescent="0.25">
      <c r="B225" s="291"/>
      <c r="C225" s="311" t="s">
        <v>319</v>
      </c>
      <c r="D225" s="291">
        <v>85</v>
      </c>
      <c r="E225" s="302">
        <f>E67</f>
        <v>84395.974999999991</v>
      </c>
      <c r="I225" s="128"/>
      <c r="J225" s="302"/>
      <c r="K225" s="291"/>
    </row>
    <row r="226" spans="2:25" x14ac:dyDescent="0.25">
      <c r="B226" s="291"/>
      <c r="C226" s="311" t="s">
        <v>43</v>
      </c>
      <c r="D226" s="291">
        <v>86</v>
      </c>
      <c r="E226" s="302">
        <f>E92</f>
        <v>82161.953000000009</v>
      </c>
      <c r="I226" s="128"/>
      <c r="J226" s="302"/>
      <c r="K226" s="291"/>
    </row>
    <row r="227" spans="2:25" x14ac:dyDescent="0.25">
      <c r="B227" s="291"/>
      <c r="C227" s="311" t="s">
        <v>42</v>
      </c>
      <c r="D227" s="291">
        <v>87</v>
      </c>
      <c r="E227" s="302">
        <f>E115</f>
        <v>0</v>
      </c>
      <c r="I227" s="128"/>
      <c r="J227" s="302"/>
      <c r="K227" s="291"/>
    </row>
    <row r="228" spans="2:25" x14ac:dyDescent="0.25">
      <c r="B228" s="291"/>
      <c r="C228" s="291" t="s">
        <v>321</v>
      </c>
      <c r="D228" s="312" t="s">
        <v>150</v>
      </c>
      <c r="E228" s="302">
        <f>E55</f>
        <v>1169396.5019999999</v>
      </c>
      <c r="I228" s="128"/>
      <c r="J228" s="302"/>
      <c r="K228" s="291"/>
    </row>
    <row r="229" spans="2:25" x14ac:dyDescent="0.25">
      <c r="B229" s="291"/>
      <c r="C229" s="291" t="s">
        <v>322</v>
      </c>
      <c r="D229" s="312" t="s">
        <v>3</v>
      </c>
      <c r="E229" s="302">
        <f>E80</f>
        <v>686276.33400000003</v>
      </c>
      <c r="I229" s="128"/>
      <c r="J229" s="302"/>
      <c r="K229" s="291"/>
    </row>
    <row r="230" spans="2:25" x14ac:dyDescent="0.25">
      <c r="B230" s="291"/>
      <c r="C230" s="291" t="s">
        <v>331</v>
      </c>
      <c r="D230" s="312" t="s">
        <v>153</v>
      </c>
      <c r="E230" s="302">
        <f>E104</f>
        <v>9750</v>
      </c>
      <c r="I230" s="128"/>
      <c r="J230" s="302"/>
      <c r="K230" s="291"/>
    </row>
    <row r="231" spans="2:25" x14ac:dyDescent="0.25">
      <c r="B231" s="291"/>
      <c r="C231" s="291" t="s">
        <v>324</v>
      </c>
      <c r="D231" s="312" t="s">
        <v>2</v>
      </c>
      <c r="E231" s="302">
        <f>E131</f>
        <v>287412</v>
      </c>
      <c r="I231" s="128"/>
      <c r="J231" s="302"/>
      <c r="K231" s="291"/>
    </row>
    <row r="232" spans="2:25" x14ac:dyDescent="0.25">
      <c r="B232" s="291"/>
      <c r="C232" s="291" t="s">
        <v>0</v>
      </c>
      <c r="E232" s="308">
        <f>SUM(E223:E231)</f>
        <v>6221820.5370000005</v>
      </c>
      <c r="I232" s="128"/>
      <c r="J232" s="302"/>
      <c r="K232" s="291"/>
    </row>
    <row r="233" spans="2:25" x14ac:dyDescent="0.25">
      <c r="J233" s="291"/>
      <c r="K233" s="291"/>
    </row>
    <row r="234" spans="2:25" x14ac:dyDescent="0.25">
      <c r="B234" s="197" t="s">
        <v>332</v>
      </c>
      <c r="J234" s="291"/>
      <c r="K234" s="291"/>
    </row>
    <row r="235" spans="2:25" x14ac:dyDescent="0.25">
      <c r="J235" s="291"/>
      <c r="K235" s="291"/>
    </row>
    <row r="238" spans="2:25" ht="15.75" thickBot="1" x14ac:dyDescent="0.3"/>
    <row r="239" spans="2:25" ht="15.75" thickBot="1" x14ac:dyDescent="0.3">
      <c r="B239" s="314" t="s">
        <v>14</v>
      </c>
      <c r="C239" s="315"/>
      <c r="D239" s="315"/>
      <c r="E239" s="316">
        <v>0</v>
      </c>
      <c r="F239" s="317"/>
      <c r="G239" s="317">
        <v>-1.3857901096343994E-2</v>
      </c>
      <c r="H239" s="317"/>
      <c r="I239" s="317"/>
      <c r="J239" s="317">
        <v>0</v>
      </c>
      <c r="K239" s="317"/>
      <c r="L239" s="317">
        <v>1.3857774436473846E-2</v>
      </c>
      <c r="M239" s="317"/>
      <c r="N239" s="317"/>
      <c r="O239" s="317"/>
      <c r="P239" s="317"/>
      <c r="Q239" s="318"/>
      <c r="R239" s="319"/>
      <c r="S239" s="319"/>
      <c r="T239" s="319"/>
      <c r="U239" s="319"/>
      <c r="V239" s="319"/>
      <c r="W239" s="319"/>
      <c r="X239" s="319"/>
      <c r="Y239" s="319"/>
    </row>
    <row r="240" spans="2:25" x14ac:dyDescent="0.25">
      <c r="F240" s="319"/>
      <c r="G240" s="319"/>
      <c r="H240" s="319"/>
      <c r="I240" s="319"/>
      <c r="J240" s="319"/>
      <c r="K240" s="319"/>
      <c r="L240" s="319"/>
      <c r="M240" s="319"/>
      <c r="N240" s="319"/>
      <c r="O240" s="319"/>
      <c r="P240" s="319"/>
      <c r="Q240" s="319"/>
      <c r="R240" s="319"/>
      <c r="S240" s="319"/>
      <c r="T240" s="319"/>
      <c r="U240" s="319"/>
      <c r="V240" s="319"/>
      <c r="W240" s="319"/>
      <c r="X240" s="319"/>
      <c r="Y240" s="319"/>
    </row>
    <row r="241" spans="6:25" x14ac:dyDescent="0.25">
      <c r="F241" s="319"/>
      <c r="G241" s="319"/>
      <c r="H241" s="319"/>
      <c r="I241" s="319"/>
      <c r="J241" s="319"/>
      <c r="K241" s="319"/>
      <c r="L241" s="319"/>
      <c r="M241" s="319"/>
      <c r="N241" s="319"/>
      <c r="O241" s="319"/>
      <c r="P241" s="319"/>
      <c r="Q241" s="319"/>
      <c r="R241" s="319"/>
      <c r="S241" s="319"/>
      <c r="T241" s="319"/>
      <c r="U241" s="319"/>
      <c r="V241" s="319"/>
      <c r="W241" s="319"/>
      <c r="X241" s="319"/>
      <c r="Y241" s="319"/>
    </row>
    <row r="242" spans="6:25" x14ac:dyDescent="0.25">
      <c r="F242" s="319"/>
      <c r="G242" s="319"/>
      <c r="H242" s="319"/>
      <c r="I242" s="319"/>
      <c r="J242" s="319"/>
      <c r="K242" s="319"/>
      <c r="L242" s="319"/>
      <c r="M242" s="319"/>
      <c r="N242" s="319"/>
      <c r="O242" s="319"/>
      <c r="P242" s="319"/>
      <c r="Q242" s="319"/>
      <c r="R242" s="319"/>
      <c r="S242" s="319"/>
      <c r="T242" s="319"/>
      <c r="U242" s="319"/>
      <c r="V242" s="319"/>
      <c r="W242" s="319"/>
      <c r="X242" s="319"/>
      <c r="Y242" s="319"/>
    </row>
    <row r="243" spans="6:25" x14ac:dyDescent="0.25">
      <c r="F243" s="319"/>
      <c r="G243" s="319"/>
      <c r="H243" s="319"/>
      <c r="I243" s="319"/>
      <c r="J243" s="319"/>
      <c r="K243" s="319"/>
      <c r="L243" s="319"/>
      <c r="M243" s="319"/>
      <c r="N243" s="319"/>
      <c r="O243" s="319"/>
      <c r="P243" s="319"/>
      <c r="Q243" s="319"/>
      <c r="R243" s="319"/>
      <c r="S243" s="319"/>
      <c r="T243" s="319"/>
      <c r="U243" s="319"/>
      <c r="V243" s="319"/>
      <c r="W243" s="319"/>
      <c r="X243" s="319"/>
      <c r="Y243" s="319"/>
    </row>
    <row r="244" spans="6:25" x14ac:dyDescent="0.25">
      <c r="F244" s="319"/>
      <c r="G244" s="319"/>
      <c r="H244" s="319"/>
      <c r="I244" s="319"/>
      <c r="J244" s="319"/>
      <c r="K244" s="319"/>
      <c r="L244" s="319"/>
      <c r="M244" s="319"/>
      <c r="N244" s="319"/>
      <c r="O244" s="319"/>
      <c r="P244" s="319"/>
      <c r="Q244" s="319"/>
      <c r="R244" s="319"/>
      <c r="S244" s="319"/>
      <c r="T244" s="319"/>
      <c r="U244" s="319"/>
      <c r="V244" s="319"/>
      <c r="W244" s="319"/>
      <c r="X244" s="319"/>
      <c r="Y244" s="319"/>
    </row>
  </sheetData>
  <mergeCells count="4">
    <mergeCell ref="B1:Q1"/>
    <mergeCell ref="B2:Q2"/>
    <mergeCell ref="B3:Q3"/>
    <mergeCell ref="B4:Q4"/>
  </mergeCells>
  <printOptions horizontalCentered="1"/>
  <pageMargins left="0.54" right="0.46" top="0.75" bottom="0.75" header="0.3" footer="0.3"/>
  <pageSetup scale="64" fitToHeight="5" orientation="landscape" blackAndWhite="1" horizontalDpi="300" verticalDpi="300" r:id="rId1"/>
  <headerFooter>
    <oddFooter>&amp;L&amp;F
&amp;A&amp;C&amp;P&amp;R&amp;D</oddFooter>
  </headerFooter>
  <rowBreaks count="5" manualBreakCount="5">
    <brk id="50" min="1" max="14" man="1"/>
    <brk id="89" min="1" max="14" man="1"/>
    <brk id="128" min="1" max="14" man="1"/>
    <brk id="170" min="1" max="14" man="1"/>
    <brk id="204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O34" sqref="O3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5"/>
  <sheetViews>
    <sheetView zoomScale="90" zoomScaleNormal="90" workbookViewId="0">
      <pane xSplit="3" ySplit="9" topLeftCell="D10" activePane="bottomRight" state="frozenSplit"/>
      <selection activeCell="K33" sqref="K33"/>
      <selection pane="topRight" activeCell="K33" sqref="K33"/>
      <selection pane="bottomLeft" activeCell="K33" sqref="K33"/>
      <selection pane="bottomRight" activeCell="J31" sqref="J31"/>
    </sheetView>
  </sheetViews>
  <sheetFormatPr defaultRowHeight="15" x14ac:dyDescent="0.25"/>
  <cols>
    <col min="1" max="1" width="2.85546875" customWidth="1"/>
    <col min="2" max="2" width="37.5703125" customWidth="1"/>
    <col min="3" max="3" width="9.140625" bestFit="1" customWidth="1"/>
    <col min="4" max="4" width="15" customWidth="1"/>
    <col min="5" max="5" width="14.5703125" bestFit="1" customWidth="1"/>
    <col min="6" max="6" width="11.7109375" bestFit="1" customWidth="1"/>
    <col min="7" max="7" width="13.5703125" bestFit="1" customWidth="1"/>
    <col min="8" max="8" width="15.5703125" bestFit="1" customWidth="1"/>
    <col min="9" max="9" width="14.5703125" bestFit="1" customWidth="1"/>
    <col min="10" max="11" width="13.28515625" bestFit="1" customWidth="1"/>
    <col min="12" max="12" width="12.140625" bestFit="1" customWidth="1"/>
    <col min="13" max="14" width="13.28515625" bestFit="1" customWidth="1"/>
    <col min="15" max="15" width="12.85546875" bestFit="1" customWidth="1"/>
    <col min="16" max="16" width="11" bestFit="1" customWidth="1"/>
    <col min="17" max="17" width="12.85546875" bestFit="1" customWidth="1"/>
    <col min="18" max="18" width="13.28515625" bestFit="1" customWidth="1"/>
    <col min="19" max="19" width="15.7109375" bestFit="1" customWidth="1"/>
    <col min="20" max="20" width="11.28515625" bestFit="1" customWidth="1"/>
    <col min="21" max="21" width="7.85546875" bestFit="1" customWidth="1"/>
    <col min="22" max="22" width="13.7109375" bestFit="1" customWidth="1"/>
  </cols>
  <sheetData>
    <row r="1" spans="2:21" x14ac:dyDescent="0.25">
      <c r="B1" s="3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x14ac:dyDescent="0.25">
      <c r="B2" s="3" t="s">
        <v>355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x14ac:dyDescent="0.25">
      <c r="B3" s="2" t="s">
        <v>107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x14ac:dyDescent="0.25">
      <c r="B4" s="2" t="s">
        <v>388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x14ac:dyDescent="0.25">
      <c r="F5" s="475"/>
      <c r="N5" s="475"/>
      <c r="R5" s="475"/>
    </row>
    <row r="6" spans="2:21" x14ac:dyDescent="0.25">
      <c r="F6" s="475"/>
      <c r="G6" s="77" t="s">
        <v>108</v>
      </c>
      <c r="N6" s="475"/>
      <c r="R6" s="475"/>
    </row>
    <row r="7" spans="2:21" x14ac:dyDescent="0.25">
      <c r="B7" s="77"/>
      <c r="C7" s="77"/>
      <c r="D7" s="77" t="s">
        <v>98</v>
      </c>
      <c r="E7" s="77" t="s">
        <v>98</v>
      </c>
      <c r="F7" s="77"/>
      <c r="G7" s="77" t="s">
        <v>217</v>
      </c>
      <c r="H7" s="475"/>
      <c r="I7" s="77"/>
      <c r="J7" s="77"/>
      <c r="K7" s="77"/>
      <c r="L7" s="77"/>
      <c r="M7" s="77"/>
      <c r="N7" s="77"/>
      <c r="O7" s="77"/>
      <c r="P7" s="77"/>
      <c r="Q7" s="77"/>
      <c r="R7" s="77"/>
      <c r="S7" s="78" t="s">
        <v>389</v>
      </c>
      <c r="T7" s="78" t="s">
        <v>336</v>
      </c>
      <c r="U7" s="77"/>
    </row>
    <row r="8" spans="2:21" x14ac:dyDescent="0.25">
      <c r="B8" s="77"/>
      <c r="C8" s="77" t="s">
        <v>12</v>
      </c>
      <c r="D8" s="77" t="s">
        <v>11</v>
      </c>
      <c r="E8" s="77" t="s">
        <v>10</v>
      </c>
      <c r="F8" s="77" t="s">
        <v>111</v>
      </c>
      <c r="G8" s="78" t="s">
        <v>390</v>
      </c>
      <c r="H8" s="475" t="s">
        <v>108</v>
      </c>
      <c r="I8" s="77" t="s">
        <v>113</v>
      </c>
      <c r="J8" s="77" t="s">
        <v>114</v>
      </c>
      <c r="K8" s="77" t="s">
        <v>115</v>
      </c>
      <c r="L8" s="77" t="s">
        <v>110</v>
      </c>
      <c r="M8" s="77" t="s">
        <v>100</v>
      </c>
      <c r="N8" s="77" t="s">
        <v>337</v>
      </c>
      <c r="O8" s="77" t="s">
        <v>338</v>
      </c>
      <c r="P8" s="77" t="s">
        <v>339</v>
      </c>
      <c r="Q8" s="77" t="s">
        <v>109</v>
      </c>
      <c r="R8" s="77" t="s">
        <v>9</v>
      </c>
      <c r="S8" s="77" t="s">
        <v>116</v>
      </c>
      <c r="T8" s="77" t="s">
        <v>6</v>
      </c>
      <c r="U8" s="77" t="s">
        <v>117</v>
      </c>
    </row>
    <row r="9" spans="2:21" ht="17.25" x14ac:dyDescent="0.25">
      <c r="B9" s="476" t="s">
        <v>8</v>
      </c>
      <c r="C9" s="476" t="s">
        <v>7</v>
      </c>
      <c r="D9" s="476" t="s">
        <v>118</v>
      </c>
      <c r="E9" s="476" t="s">
        <v>119</v>
      </c>
      <c r="F9" s="476" t="s">
        <v>120</v>
      </c>
      <c r="G9" s="478" t="s">
        <v>391</v>
      </c>
      <c r="H9" s="476" t="s">
        <v>121</v>
      </c>
      <c r="I9" s="476" t="s">
        <v>6</v>
      </c>
      <c r="J9" s="476" t="s">
        <v>6</v>
      </c>
      <c r="K9" s="476" t="s">
        <v>6</v>
      </c>
      <c r="L9" s="476" t="s">
        <v>6</v>
      </c>
      <c r="M9" s="476" t="s">
        <v>6</v>
      </c>
      <c r="N9" s="476" t="s">
        <v>6</v>
      </c>
      <c r="O9" s="476" t="s">
        <v>6</v>
      </c>
      <c r="P9" s="476" t="s">
        <v>6</v>
      </c>
      <c r="Q9" s="476" t="s">
        <v>6</v>
      </c>
      <c r="R9" s="476" t="s">
        <v>6</v>
      </c>
      <c r="S9" s="479" t="s">
        <v>392</v>
      </c>
      <c r="T9" s="476" t="s">
        <v>122</v>
      </c>
      <c r="U9" s="476" t="s">
        <v>122</v>
      </c>
    </row>
    <row r="10" spans="2:21" x14ac:dyDescent="0.25">
      <c r="B10" s="77" t="s">
        <v>123</v>
      </c>
      <c r="C10" s="77" t="s">
        <v>124</v>
      </c>
      <c r="D10" s="79" t="s">
        <v>125</v>
      </c>
      <c r="E10" s="80" t="s">
        <v>126</v>
      </c>
      <c r="F10" s="77" t="s">
        <v>127</v>
      </c>
      <c r="G10" s="77" t="s">
        <v>393</v>
      </c>
      <c r="H10" s="77" t="s">
        <v>128</v>
      </c>
      <c r="I10" s="77" t="s">
        <v>129</v>
      </c>
      <c r="J10" s="77" t="s">
        <v>130</v>
      </c>
      <c r="K10" s="77" t="s">
        <v>131</v>
      </c>
      <c r="L10" s="80" t="s">
        <v>132</v>
      </c>
      <c r="M10" s="77" t="s">
        <v>133</v>
      </c>
      <c r="N10" s="80" t="s">
        <v>134</v>
      </c>
      <c r="O10" s="80" t="s">
        <v>135</v>
      </c>
      <c r="P10" s="77" t="s">
        <v>136</v>
      </c>
      <c r="Q10" s="80" t="s">
        <v>137</v>
      </c>
      <c r="R10" s="77" t="s">
        <v>138</v>
      </c>
      <c r="S10" s="480" t="s">
        <v>394</v>
      </c>
      <c r="T10" s="77" t="s">
        <v>139</v>
      </c>
      <c r="U10" s="77" t="s">
        <v>140</v>
      </c>
    </row>
    <row r="11" spans="2:21" x14ac:dyDescent="0.25">
      <c r="B11" t="s">
        <v>5</v>
      </c>
      <c r="C11" s="81" t="s">
        <v>141</v>
      </c>
      <c r="D11" s="174">
        <v>577531400.48799992</v>
      </c>
      <c r="E11" s="87">
        <v>299349526.67167699</v>
      </c>
      <c r="F11" s="83">
        <f t="shared" ref="F11:F16" si="0">(E11)/D11</f>
        <v>0.51832597572830497</v>
      </c>
      <c r="G11" s="174">
        <v>623630491</v>
      </c>
      <c r="H11" s="84">
        <f>F11*G11</f>
        <v>323243882.74149692</v>
      </c>
      <c r="I11" s="87">
        <v>215863458.15000001</v>
      </c>
      <c r="J11" s="87">
        <v>28574749.100000001</v>
      </c>
      <c r="K11" s="87">
        <v>13588908.39889</v>
      </c>
      <c r="L11" s="82">
        <f>'Schedule 129'!G9</f>
        <v>3860272.7392899999</v>
      </c>
      <c r="M11" s="87">
        <v>12291756.977610001</v>
      </c>
      <c r="N11" s="87">
        <v>19490563.300000001</v>
      </c>
      <c r="O11" s="87">
        <v>-4386642.5799999991</v>
      </c>
      <c r="P11" s="87">
        <v>0</v>
      </c>
      <c r="Q11" s="87">
        <v>7683127.6500000004</v>
      </c>
      <c r="R11" s="87">
        <v>11724253.230800001</v>
      </c>
      <c r="S11" s="85">
        <f>SUM(H11:R11)</f>
        <v>631934329.70808685</v>
      </c>
      <c r="T11" s="82">
        <f>'Schedule 129'!I9</f>
        <v>511377.00261999946</v>
      </c>
      <c r="U11" s="86">
        <f>T11/S11</f>
        <v>8.0922491243073133E-4</v>
      </c>
    </row>
    <row r="12" spans="2:21" x14ac:dyDescent="0.25">
      <c r="B12" t="s">
        <v>142</v>
      </c>
      <c r="C12" s="81">
        <v>16</v>
      </c>
      <c r="D12" s="174">
        <v>9689.9889999999996</v>
      </c>
      <c r="E12" s="87">
        <v>4941.8900000000003</v>
      </c>
      <c r="F12" s="83">
        <f t="shared" si="0"/>
        <v>0.50999954695511007</v>
      </c>
      <c r="G12" s="174">
        <v>9066</v>
      </c>
      <c r="H12" s="84">
        <f t="shared" ref="H12:H23" si="1">F12*G12</f>
        <v>4623.6558926950283</v>
      </c>
      <c r="I12" s="87">
        <v>3138.11</v>
      </c>
      <c r="J12" s="87">
        <v>415.4</v>
      </c>
      <c r="K12" s="87">
        <v>197.54813999999999</v>
      </c>
      <c r="L12" s="82"/>
      <c r="M12" s="87">
        <v>178.69086000000001</v>
      </c>
      <c r="N12" s="87">
        <v>281.52</v>
      </c>
      <c r="O12" s="87">
        <v>-62.03</v>
      </c>
      <c r="P12" s="87">
        <v>0</v>
      </c>
      <c r="Q12" s="87"/>
      <c r="R12" s="87">
        <v>170.4408</v>
      </c>
      <c r="S12" s="85">
        <f t="shared" ref="S12:S23" si="2">SUM(H12:R12)</f>
        <v>8943.3356926950291</v>
      </c>
      <c r="T12" s="82"/>
      <c r="U12" s="86">
        <f t="shared" ref="U12:U24" si="3">T12/S12</f>
        <v>0</v>
      </c>
    </row>
    <row r="13" spans="2:21" x14ac:dyDescent="0.25">
      <c r="B13" t="s">
        <v>143</v>
      </c>
      <c r="C13" s="81">
        <v>31</v>
      </c>
      <c r="D13" s="174">
        <v>214564223.29299998</v>
      </c>
      <c r="E13" s="87">
        <v>86991648.090000004</v>
      </c>
      <c r="F13" s="83">
        <f t="shared" si="0"/>
        <v>0.40543407822098948</v>
      </c>
      <c r="G13" s="174">
        <v>234224852</v>
      </c>
      <c r="H13" s="84">
        <f t="shared" si="1"/>
        <v>94962736.967067689</v>
      </c>
      <c r="I13" s="87">
        <v>78966566.599999994</v>
      </c>
      <c r="J13" s="87">
        <v>10732182.720000001</v>
      </c>
      <c r="K13" s="87">
        <v>5103759.5250800001</v>
      </c>
      <c r="L13" s="82">
        <f>'Schedule 129'!G11</f>
        <v>1154728.5203600002</v>
      </c>
      <c r="M13" s="87">
        <v>4977278.1050000004</v>
      </c>
      <c r="N13" s="87">
        <v>6144316.5700000003</v>
      </c>
      <c r="O13" s="87">
        <v>-1282527.42</v>
      </c>
      <c r="P13" s="87">
        <v>0</v>
      </c>
      <c r="Q13" s="87">
        <v>-1728579.41</v>
      </c>
      <c r="R13" s="87">
        <v>4005244.9692000002</v>
      </c>
      <c r="S13" s="85">
        <f t="shared" si="2"/>
        <v>203035707.14670765</v>
      </c>
      <c r="T13" s="82">
        <f>'Schedule 129'!I11</f>
        <v>147561.65675999969</v>
      </c>
      <c r="U13" s="86">
        <f t="shared" si="3"/>
        <v>7.2677687503201575E-4</v>
      </c>
    </row>
    <row r="14" spans="2:21" x14ac:dyDescent="0.25">
      <c r="B14" t="s">
        <v>144</v>
      </c>
      <c r="C14" s="81">
        <v>41</v>
      </c>
      <c r="D14" s="174">
        <v>65990650.213</v>
      </c>
      <c r="E14" s="87">
        <v>14627826.099797169</v>
      </c>
      <c r="F14" s="83">
        <f t="shared" si="0"/>
        <v>0.22166513062960427</v>
      </c>
      <c r="G14" s="174">
        <v>65541880</v>
      </c>
      <c r="H14" s="84">
        <f t="shared" si="1"/>
        <v>14528349.391909847</v>
      </c>
      <c r="I14" s="87">
        <v>19788930.649999999</v>
      </c>
      <c r="J14" s="87">
        <v>3005095.2</v>
      </c>
      <c r="K14" s="87">
        <v>1428157.5652000001</v>
      </c>
      <c r="L14" s="82">
        <f>'Schedule 129'!G14</f>
        <v>176307.65720000002</v>
      </c>
      <c r="M14" s="87">
        <v>494841.19400000002</v>
      </c>
      <c r="N14" s="87">
        <v>1171604.4500000002</v>
      </c>
      <c r="O14" s="87">
        <v>-200857.68999999997</v>
      </c>
      <c r="P14" s="87">
        <v>0</v>
      </c>
      <c r="Q14" s="87">
        <v>-843348.16</v>
      </c>
      <c r="R14" s="87">
        <v>671148.85120000003</v>
      </c>
      <c r="S14" s="85">
        <f t="shared" si="2"/>
        <v>40220229.109509856</v>
      </c>
      <c r="T14" s="82">
        <f>'Schedule 129'!I14</f>
        <v>23595.07680000001</v>
      </c>
      <c r="U14" s="86">
        <f t="shared" si="3"/>
        <v>5.8664700133249817E-4</v>
      </c>
    </row>
    <row r="15" spans="2:21" x14ac:dyDescent="0.25">
      <c r="B15" t="s">
        <v>4</v>
      </c>
      <c r="C15" s="81">
        <v>85</v>
      </c>
      <c r="D15" s="174">
        <v>17139795.438999999</v>
      </c>
      <c r="E15" s="87">
        <v>1690709.47</v>
      </c>
      <c r="F15" s="83">
        <f t="shared" si="0"/>
        <v>9.864233654463278E-2</v>
      </c>
      <c r="G15" s="174">
        <v>9854386</v>
      </c>
      <c r="H15" s="84">
        <f t="shared" si="1"/>
        <v>972059.66025271767</v>
      </c>
      <c r="I15" s="87">
        <v>2880560.41</v>
      </c>
      <c r="J15" s="87">
        <v>451922.14</v>
      </c>
      <c r="K15" s="87">
        <v>180335.26380000002</v>
      </c>
      <c r="L15" s="82">
        <f>'Schedule 129'!G21</f>
        <v>12405.205120250273</v>
      </c>
      <c r="M15" s="87">
        <v>43162.210680000004</v>
      </c>
      <c r="N15" s="87">
        <v>105638.91999999998</v>
      </c>
      <c r="O15" s="87">
        <v>-14869.31</v>
      </c>
      <c r="P15" s="87">
        <v>0</v>
      </c>
      <c r="Q15" s="87"/>
      <c r="R15" s="87">
        <v>54691.842300000004</v>
      </c>
      <c r="S15" s="85">
        <f t="shared" si="2"/>
        <v>4685906.342152968</v>
      </c>
      <c r="T15" s="82">
        <f>'Schedule 129'!I21</f>
        <v>1748.8545861207649</v>
      </c>
      <c r="U15" s="86">
        <f t="shared" si="3"/>
        <v>3.7321586442917319E-4</v>
      </c>
    </row>
    <row r="16" spans="2:21" x14ac:dyDescent="0.25">
      <c r="B16" t="s">
        <v>145</v>
      </c>
      <c r="C16" s="81">
        <v>86</v>
      </c>
      <c r="D16" s="174">
        <v>9926029.5299999993</v>
      </c>
      <c r="E16" s="87">
        <v>2102083.46</v>
      </c>
      <c r="F16" s="83">
        <f t="shared" si="0"/>
        <v>0.21177485455254333</v>
      </c>
      <c r="G16" s="174">
        <v>4833560</v>
      </c>
      <c r="H16" s="84">
        <f t="shared" si="1"/>
        <v>1023626.4659709913</v>
      </c>
      <c r="I16" s="87">
        <v>1439811.86</v>
      </c>
      <c r="J16" s="87">
        <v>221667.06</v>
      </c>
      <c r="K16" s="87">
        <v>88454.148000000001</v>
      </c>
      <c r="L16" s="82">
        <f>'Schedule 129'!G23</f>
        <v>12518.920399999999</v>
      </c>
      <c r="M16" s="87">
        <v>38136.788400000005</v>
      </c>
      <c r="N16" s="87">
        <v>101264.52</v>
      </c>
      <c r="O16" s="87">
        <v>-17390.23</v>
      </c>
      <c r="P16" s="87">
        <v>0</v>
      </c>
      <c r="Q16" s="87">
        <v>-65044.33</v>
      </c>
      <c r="R16" s="87">
        <v>39200.171600000001</v>
      </c>
      <c r="S16" s="85">
        <f t="shared" si="2"/>
        <v>2882245.3743709917</v>
      </c>
      <c r="T16" s="82">
        <f>'Schedule 129'!I23</f>
        <v>1788.4171999999999</v>
      </c>
      <c r="U16" s="86">
        <f t="shared" si="3"/>
        <v>6.2049442976044194E-4</v>
      </c>
    </row>
    <row r="17" spans="2:24" x14ac:dyDescent="0.25">
      <c r="B17" t="s">
        <v>146</v>
      </c>
      <c r="C17" s="81">
        <v>87</v>
      </c>
      <c r="D17" s="174">
        <v>23311381.287999999</v>
      </c>
      <c r="E17" s="87">
        <v>1129405.5499999998</v>
      </c>
      <c r="F17" s="83">
        <f>(E17)/D17</f>
        <v>4.8448675608140992E-2</v>
      </c>
      <c r="G17" s="174">
        <v>14418768</v>
      </c>
      <c r="H17" s="84">
        <f t="shared" si="1"/>
        <v>698570.21350104385</v>
      </c>
      <c r="I17" s="87">
        <v>4070418.21</v>
      </c>
      <c r="J17" s="87">
        <v>661244.69999999995</v>
      </c>
      <c r="K17" s="87">
        <v>263863.45439999999</v>
      </c>
      <c r="L17" s="82">
        <f>'Schedule 129'!G33</f>
        <v>7401.2386434616565</v>
      </c>
      <c r="M17" s="87">
        <v>33307.354079999997</v>
      </c>
      <c r="N17" s="87">
        <v>68018.070000000007</v>
      </c>
      <c r="O17" s="87">
        <v>-9555.26</v>
      </c>
      <c r="P17" s="87">
        <v>0</v>
      </c>
      <c r="Q17" s="87"/>
      <c r="R17" s="87">
        <v>48158.685120000002</v>
      </c>
      <c r="S17" s="85">
        <f t="shared" si="2"/>
        <v>5841426.6657445058</v>
      </c>
      <c r="T17" s="82">
        <f>'Schedule 129'!I33</f>
        <v>1043.6333827753715</v>
      </c>
      <c r="U17" s="86">
        <f t="shared" si="3"/>
        <v>1.7866070097147366E-4</v>
      </c>
    </row>
    <row r="18" spans="2:24" x14ac:dyDescent="0.25">
      <c r="B18" t="s">
        <v>147</v>
      </c>
      <c r="C18" s="81" t="s">
        <v>148</v>
      </c>
      <c r="D18" s="174">
        <v>22880.93</v>
      </c>
      <c r="E18" s="87">
        <v>14880.86</v>
      </c>
      <c r="F18" s="83">
        <f>(E18)/D18</f>
        <v>0.65036080264220031</v>
      </c>
      <c r="G18" s="174">
        <v>22597</v>
      </c>
      <c r="H18" s="84">
        <f t="shared" si="1"/>
        <v>14696.2030573058</v>
      </c>
      <c r="I18" s="87"/>
      <c r="J18" s="87"/>
      <c r="K18" s="87"/>
      <c r="L18" s="82">
        <f>'Schedule 129'!G12</f>
        <v>111.40321</v>
      </c>
      <c r="M18" s="87">
        <v>480.18625000000003</v>
      </c>
      <c r="N18" s="87">
        <v>845.12999999999988</v>
      </c>
      <c r="O18" s="87">
        <v>-271.70999999999998</v>
      </c>
      <c r="P18" s="87">
        <v>0</v>
      </c>
      <c r="Q18" s="87">
        <v>-158.63</v>
      </c>
      <c r="R18" s="87">
        <v>386.40870000000001</v>
      </c>
      <c r="S18" s="85">
        <f t="shared" si="2"/>
        <v>16088.991217305802</v>
      </c>
      <c r="T18" s="82">
        <f>'Schedule 129'!I12</f>
        <v>14.236109999999996</v>
      </c>
      <c r="U18" s="86">
        <f t="shared" si="3"/>
        <v>8.8483546343708671E-4</v>
      </c>
    </row>
    <row r="19" spans="2:24" x14ac:dyDescent="0.25">
      <c r="B19" t="s">
        <v>149</v>
      </c>
      <c r="C19" t="s">
        <v>150</v>
      </c>
      <c r="D19" s="174">
        <v>17702125.890000001</v>
      </c>
      <c r="E19" s="87">
        <v>3565479.9526575999</v>
      </c>
      <c r="F19" s="83">
        <f t="shared" ref="F19:F24" si="4">(E19)/D19</f>
        <v>0.20141535399834398</v>
      </c>
      <c r="G19" s="174">
        <v>23460839</v>
      </c>
      <c r="H19" s="84">
        <f>F19*G19</f>
        <v>4725373.1922831545</v>
      </c>
      <c r="I19" s="87"/>
      <c r="J19" s="87"/>
      <c r="K19" s="87"/>
      <c r="L19" s="82">
        <f>'Schedule 129'!G15</f>
        <v>63109.656910000005</v>
      </c>
      <c r="M19" s="87">
        <v>177129.33444999999</v>
      </c>
      <c r="N19" s="87">
        <v>187310.94999999998</v>
      </c>
      <c r="O19" s="87">
        <v>-60079.619999999995</v>
      </c>
      <c r="P19" s="87">
        <v>0</v>
      </c>
      <c r="Q19" s="87">
        <v>-280247</v>
      </c>
      <c r="R19" s="87">
        <v>240238.99136000001</v>
      </c>
      <c r="S19" s="85">
        <f>SUM(H19:R19)</f>
        <v>5052835.5050031552</v>
      </c>
      <c r="T19" s="82">
        <f>'Schedule 129'!I15</f>
        <v>8445.9020400000009</v>
      </c>
      <c r="U19" s="86">
        <f t="shared" si="3"/>
        <v>1.6715173157006873E-3</v>
      </c>
    </row>
    <row r="20" spans="2:24" x14ac:dyDescent="0.25">
      <c r="B20" t="s">
        <v>151</v>
      </c>
      <c r="C20" t="s">
        <v>3</v>
      </c>
      <c r="D20" s="174">
        <v>79480065.260000005</v>
      </c>
      <c r="E20" s="87">
        <v>7330425.0899999999</v>
      </c>
      <c r="F20" s="83">
        <f t="shared" si="4"/>
        <v>9.2229731644284246E-2</v>
      </c>
      <c r="G20" s="174">
        <v>71987028</v>
      </c>
      <c r="H20" s="84">
        <f t="shared" si="1"/>
        <v>6639344.2743095765</v>
      </c>
      <c r="I20" s="87"/>
      <c r="J20" s="87"/>
      <c r="K20" s="87"/>
      <c r="L20" s="82">
        <f>'Schedule 129'!G39</f>
        <v>81375.094928402294</v>
      </c>
      <c r="M20" s="87">
        <v>315303.18264000001</v>
      </c>
      <c r="N20" s="87">
        <v>289651.92</v>
      </c>
      <c r="O20" s="87">
        <v>-92623.1</v>
      </c>
      <c r="P20" s="87">
        <v>0</v>
      </c>
      <c r="Q20" s="87"/>
      <c r="R20" s="87">
        <v>399528.00540000002</v>
      </c>
      <c r="S20" s="85">
        <f t="shared" si="2"/>
        <v>7632579.3772779796</v>
      </c>
      <c r="T20" s="82">
        <f>'Schedule 129'!I39</f>
        <v>11526.901324794046</v>
      </c>
      <c r="U20" s="86">
        <f t="shared" si="3"/>
        <v>1.5102235764634661E-3</v>
      </c>
    </row>
    <row r="21" spans="2:24" x14ac:dyDescent="0.25">
      <c r="B21" t="s">
        <v>152</v>
      </c>
      <c r="C21" t="s">
        <v>153</v>
      </c>
      <c r="D21" s="174">
        <v>372634.3</v>
      </c>
      <c r="E21" s="87">
        <v>84449.41</v>
      </c>
      <c r="F21" s="83">
        <f t="shared" si="4"/>
        <v>0.22662811770145691</v>
      </c>
      <c r="G21" s="174">
        <v>200004</v>
      </c>
      <c r="H21" s="84">
        <f t="shared" si="1"/>
        <v>45326.530052762188</v>
      </c>
      <c r="I21" s="87"/>
      <c r="J21" s="87"/>
      <c r="K21" s="87"/>
      <c r="L21" s="82">
        <f>'Schedule 129'!G24</f>
        <v>518.01035999999999</v>
      </c>
      <c r="M21" s="87">
        <v>1578.0315600000001</v>
      </c>
      <c r="N21" s="87">
        <v>2587.6999999999998</v>
      </c>
      <c r="O21" s="87">
        <v>-832.87999999999988</v>
      </c>
      <c r="P21" s="87">
        <v>0</v>
      </c>
      <c r="Q21" s="87">
        <v>-2922.6</v>
      </c>
      <c r="R21" s="87">
        <v>1622.0324400000002</v>
      </c>
      <c r="S21" s="85">
        <f t="shared" si="2"/>
        <v>47876.824412762195</v>
      </c>
      <c r="T21" s="82">
        <f>'Schedule 129'!I24</f>
        <v>74.001480000000015</v>
      </c>
      <c r="U21" s="86">
        <f t="shared" si="3"/>
        <v>1.5456639179325759E-3</v>
      </c>
    </row>
    <row r="22" spans="2:24" x14ac:dyDescent="0.25">
      <c r="B22" t="s">
        <v>154</v>
      </c>
      <c r="C22" t="s">
        <v>2</v>
      </c>
      <c r="D22" s="174">
        <v>99276638.950000003</v>
      </c>
      <c r="E22" s="87">
        <v>3590033.5100000002</v>
      </c>
      <c r="F22" s="83">
        <f t="shared" si="4"/>
        <v>3.6161916317574934E-2</v>
      </c>
      <c r="G22" s="174">
        <v>92020378</v>
      </c>
      <c r="H22" s="84">
        <f t="shared" si="1"/>
        <v>3327633.2087476132</v>
      </c>
      <c r="I22" s="87"/>
      <c r="J22" s="87"/>
      <c r="K22" s="87"/>
      <c r="L22" s="82">
        <f>'Schedule 129'!G48</f>
        <v>38217.023746887047</v>
      </c>
      <c r="M22" s="87">
        <v>212567.07318000001</v>
      </c>
      <c r="N22" s="87">
        <v>139145.94</v>
      </c>
      <c r="O22" s="87">
        <v>-44263</v>
      </c>
      <c r="P22" s="87">
        <v>0</v>
      </c>
      <c r="Q22" s="87"/>
      <c r="R22" s="87">
        <v>307348.06252000004</v>
      </c>
      <c r="S22" s="85">
        <f t="shared" si="2"/>
        <v>3980648.3081945004</v>
      </c>
      <c r="T22" s="82">
        <f>'Schedule 129'!I48</f>
        <v>5369.0333174312436</v>
      </c>
      <c r="U22" s="86">
        <f t="shared" si="3"/>
        <v>1.3487836406895419E-3</v>
      </c>
    </row>
    <row r="23" spans="2:24" x14ac:dyDescent="0.25">
      <c r="B23" t="s">
        <v>155</v>
      </c>
      <c r="D23" s="174">
        <v>37223237.460000001</v>
      </c>
      <c r="E23" s="87">
        <v>1465941.3557558353</v>
      </c>
      <c r="F23" s="88">
        <f t="shared" si="4"/>
        <v>3.9382424952454288E-2</v>
      </c>
      <c r="G23" s="174">
        <v>32377372</v>
      </c>
      <c r="H23" s="84">
        <f t="shared" si="1"/>
        <v>1275099.4229476948</v>
      </c>
      <c r="I23" s="87"/>
      <c r="J23" s="87"/>
      <c r="K23" s="87"/>
      <c r="L23" s="82"/>
      <c r="M23" s="87">
        <v>94218.152519999989</v>
      </c>
      <c r="N23" s="87">
        <v>35274.722042470239</v>
      </c>
      <c r="O23" s="87">
        <v>-11662.625379653648</v>
      </c>
      <c r="P23" s="87">
        <v>0</v>
      </c>
      <c r="Q23" s="87"/>
      <c r="R23" s="87">
        <v>131452.13032</v>
      </c>
      <c r="S23" s="85">
        <f t="shared" si="2"/>
        <v>1524381.8024505114</v>
      </c>
      <c r="T23" s="82"/>
      <c r="U23" s="86">
        <f t="shared" si="3"/>
        <v>0</v>
      </c>
    </row>
    <row r="24" spans="2:24" x14ac:dyDescent="0.25">
      <c r="B24" t="s">
        <v>0</v>
      </c>
      <c r="D24" s="89">
        <f>SUM(D11:D23)</f>
        <v>1142550753.0299997</v>
      </c>
      <c r="E24" s="90">
        <f>SUM(E11:E23)</f>
        <v>421947351.40988761</v>
      </c>
      <c r="F24" s="83">
        <f t="shared" si="4"/>
        <v>0.36930293931442415</v>
      </c>
      <c r="G24" s="89">
        <f>SUM(G11:G23)</f>
        <v>1172581221</v>
      </c>
      <c r="H24" s="90">
        <f>SUM(H11:H23)</f>
        <v>451461321.92748994</v>
      </c>
      <c r="I24" s="90">
        <f t="shared" ref="I24:K24" si="5">SUM(I11:I23)</f>
        <v>323012883.99000001</v>
      </c>
      <c r="J24" s="90">
        <f t="shared" si="5"/>
        <v>43647276.320000008</v>
      </c>
      <c r="K24" s="90">
        <f t="shared" si="5"/>
        <v>20653675.903509997</v>
      </c>
      <c r="L24" s="90">
        <f>SUM(L11:L23)</f>
        <v>5406965.4701690031</v>
      </c>
      <c r="M24" s="90">
        <f>SUM(M11:M23)</f>
        <v>18679937.281230003</v>
      </c>
      <c r="N24" s="90">
        <f>SUM(N11:N23)</f>
        <v>27736503.712042473</v>
      </c>
      <c r="O24" s="90">
        <f>SUM(O11:O23)</f>
        <v>-6121637.4553796528</v>
      </c>
      <c r="P24" s="90">
        <f>SUM(P11:P23)</f>
        <v>0</v>
      </c>
      <c r="Q24" s="90">
        <f t="shared" ref="Q24:S24" si="6">SUM(Q11:Q23)</f>
        <v>4762827.5200000005</v>
      </c>
      <c r="R24" s="90">
        <f t="shared" si="6"/>
        <v>17623443.821759999</v>
      </c>
      <c r="S24" s="91">
        <f t="shared" si="6"/>
        <v>906863198.4908216</v>
      </c>
      <c r="T24" s="90">
        <f>SUM(T11:T23)</f>
        <v>712544.71562112065</v>
      </c>
      <c r="U24" s="92">
        <f t="shared" si="3"/>
        <v>7.8572459088307827E-4</v>
      </c>
      <c r="V24" s="84"/>
    </row>
    <row r="25" spans="2:24" s="101" customFormat="1" x14ac:dyDescent="0.25">
      <c r="B25" s="93"/>
      <c r="C25" s="94"/>
      <c r="D25" s="95"/>
      <c r="E25" s="96"/>
      <c r="F25" s="96"/>
      <c r="G25" s="97"/>
      <c r="H25" s="98"/>
      <c r="I25" s="97"/>
      <c r="J25" s="97"/>
      <c r="K25" s="97"/>
      <c r="L25" s="96"/>
      <c r="M25" s="96"/>
      <c r="N25" s="96"/>
      <c r="O25" s="96"/>
      <c r="P25" s="97"/>
      <c r="Q25" s="96"/>
      <c r="R25" s="96"/>
      <c r="S25" s="96"/>
      <c r="T25" s="99"/>
      <c r="U25" s="100"/>
    </row>
    <row r="26" spans="2:24" s="101" customFormat="1" ht="17.25" x14ac:dyDescent="0.25">
      <c r="B26" s="93" t="s">
        <v>156</v>
      </c>
      <c r="C26" s="93"/>
      <c r="D26" s="174">
        <v>397262</v>
      </c>
      <c r="E26" s="87">
        <v>5943249.8599999994</v>
      </c>
      <c r="F26" s="102">
        <f>E26/D26</f>
        <v>14.960529474251249</v>
      </c>
      <c r="G26" s="521">
        <v>279322</v>
      </c>
      <c r="H26" s="84">
        <f>F26*G26</f>
        <v>4178805.0138068073</v>
      </c>
      <c r="I26" s="95"/>
      <c r="J26" s="97"/>
      <c r="K26" s="97"/>
      <c r="L26" s="82"/>
      <c r="M26" s="87">
        <v>142454.22</v>
      </c>
      <c r="N26" s="87">
        <v>183245.01</v>
      </c>
      <c r="O26" s="87">
        <v>-59081.350000000006</v>
      </c>
      <c r="P26" s="87">
        <v>0</v>
      </c>
      <c r="Q26" s="87"/>
      <c r="R26" s="520"/>
      <c r="S26" s="85">
        <f>SUM(H26:R26)</f>
        <v>4445422.8938068077</v>
      </c>
      <c r="T26" s="82">
        <v>0</v>
      </c>
      <c r="U26" s="86">
        <f>T26/S26</f>
        <v>0</v>
      </c>
      <c r="V26" s="100"/>
      <c r="W26" s="103"/>
      <c r="X26" s="104"/>
    </row>
    <row r="27" spans="2:24" s="101" customFormat="1" x14ac:dyDescent="0.25">
      <c r="B27" s="105" t="s">
        <v>0</v>
      </c>
      <c r="C27" s="105"/>
      <c r="D27" s="106"/>
      <c r="E27" s="107">
        <f>E24+E26</f>
        <v>427890601.26988763</v>
      </c>
      <c r="F27" s="108"/>
      <c r="G27" s="108"/>
      <c r="H27" s="107">
        <f>H24+H26</f>
        <v>455640126.94129676</v>
      </c>
      <c r="I27" s="107">
        <f t="shared" ref="I27:K27" si="7">I24+I26</f>
        <v>323012883.99000001</v>
      </c>
      <c r="J27" s="107">
        <f t="shared" si="7"/>
        <v>43647276.320000008</v>
      </c>
      <c r="K27" s="107">
        <f t="shared" si="7"/>
        <v>20653675.903509997</v>
      </c>
      <c r="L27" s="107">
        <f>L24+L26</f>
        <v>5406965.4701690031</v>
      </c>
      <c r="M27" s="107">
        <f>M24+M26</f>
        <v>18822391.501230001</v>
      </c>
      <c r="N27" s="107">
        <f>N24+N26</f>
        <v>27919748.722042475</v>
      </c>
      <c r="O27" s="107">
        <f>O24+O26</f>
        <v>-6180718.8053796524</v>
      </c>
      <c r="P27" s="107">
        <f>P24+P26</f>
        <v>0</v>
      </c>
      <c r="Q27" s="107">
        <f t="shared" ref="Q27:T27" si="8">Q24+Q26</f>
        <v>4762827.5200000005</v>
      </c>
      <c r="R27" s="107">
        <f t="shared" si="8"/>
        <v>17623443.821759999</v>
      </c>
      <c r="S27" s="107">
        <f t="shared" si="8"/>
        <v>911308621.38462842</v>
      </c>
      <c r="T27" s="107">
        <f t="shared" si="8"/>
        <v>712544.71562112065</v>
      </c>
      <c r="U27" s="92">
        <f>T27/S27</f>
        <v>7.8189177508108183E-4</v>
      </c>
      <c r="V27" s="100"/>
    </row>
    <row r="28" spans="2:24" x14ac:dyDescent="0.25">
      <c r="D28" s="109"/>
      <c r="E28" s="84"/>
      <c r="L28" s="84"/>
      <c r="O28" s="84"/>
      <c r="P28" s="84"/>
      <c r="Q28" s="84"/>
      <c r="S28" s="84"/>
      <c r="U28" s="110"/>
    </row>
    <row r="29" spans="2:24" x14ac:dyDescent="0.25">
      <c r="D29" s="109"/>
      <c r="E29" s="84"/>
      <c r="G29" s="109"/>
      <c r="L29" s="84"/>
      <c r="P29" s="84"/>
      <c r="Q29" s="84"/>
      <c r="S29" s="84"/>
      <c r="U29" s="110"/>
    </row>
    <row r="30" spans="2:24" s="101" customFormat="1" x14ac:dyDescent="0.25">
      <c r="B30" s="481" t="s">
        <v>395</v>
      </c>
      <c r="C30" s="111"/>
      <c r="D30" s="106"/>
      <c r="E30" s="112"/>
      <c r="T30" s="113"/>
      <c r="U30" s="100"/>
    </row>
    <row r="31" spans="2:24" s="101" customFormat="1" x14ac:dyDescent="0.25">
      <c r="B31" s="105" t="s">
        <v>157</v>
      </c>
      <c r="C31" s="105"/>
      <c r="D31" s="114">
        <f>D11+D12</f>
        <v>577541090.47699988</v>
      </c>
      <c r="E31" s="115">
        <f>E11+E12</f>
        <v>299354468.56167698</v>
      </c>
      <c r="F31" s="108"/>
      <c r="H31" s="115">
        <f>H11+H12</f>
        <v>323248506.39738959</v>
      </c>
      <c r="L31" s="115"/>
      <c r="P31" s="115"/>
      <c r="Q31" s="115"/>
      <c r="S31" s="115">
        <f>S11+S12</f>
        <v>631943273.04377949</v>
      </c>
      <c r="T31" s="84">
        <f>SUM(T11:T12)</f>
        <v>511377.00261999946</v>
      </c>
      <c r="U31" s="86">
        <f t="shared" ref="U31:U38" si="9">T31/S31</f>
        <v>8.0921346018438033E-4</v>
      </c>
      <c r="V31" s="116"/>
    </row>
    <row r="32" spans="2:24" s="101" customFormat="1" x14ac:dyDescent="0.25">
      <c r="B32" s="117" t="s">
        <v>158</v>
      </c>
      <c r="C32" s="117"/>
      <c r="D32" s="114">
        <f>D13+D18</f>
        <v>214587104.22299999</v>
      </c>
      <c r="E32" s="115">
        <f>E13+E18</f>
        <v>87006528.950000003</v>
      </c>
      <c r="F32" s="118"/>
      <c r="H32" s="115">
        <f>H13+H18</f>
        <v>94977433.170124993</v>
      </c>
      <c r="I32" s="119"/>
      <c r="J32" s="119"/>
      <c r="K32" s="119"/>
      <c r="L32" s="115"/>
      <c r="N32" s="119"/>
      <c r="P32" s="115"/>
      <c r="Q32" s="115"/>
      <c r="R32" s="119"/>
      <c r="S32" s="115">
        <f>S13+S18</f>
        <v>203051796.13792497</v>
      </c>
      <c r="T32" s="84">
        <f>SUM(T13,T18)</f>
        <v>147575.89286999969</v>
      </c>
      <c r="U32" s="86">
        <f t="shared" si="9"/>
        <v>7.2678939894605657E-4</v>
      </c>
    </row>
    <row r="33" spans="2:21" s="101" customFormat="1" x14ac:dyDescent="0.25">
      <c r="B33" s="105" t="s">
        <v>159</v>
      </c>
      <c r="C33" s="105"/>
      <c r="D33" s="114">
        <f t="shared" ref="D33:E36" si="10">D14+D19</f>
        <v>83692776.103</v>
      </c>
      <c r="E33" s="115">
        <f t="shared" si="10"/>
        <v>18193306.05245477</v>
      </c>
      <c r="F33" s="118"/>
      <c r="H33" s="115">
        <f>H14+H19</f>
        <v>19253722.584193002</v>
      </c>
      <c r="I33" s="119"/>
      <c r="J33" s="119"/>
      <c r="K33" s="119"/>
      <c r="L33" s="115"/>
      <c r="N33" s="119"/>
      <c r="P33" s="115"/>
      <c r="Q33" s="115"/>
      <c r="R33" s="119"/>
      <c r="S33" s="115">
        <f>S14+S19</f>
        <v>45273064.61451301</v>
      </c>
      <c r="T33" s="84">
        <f>SUM(T14,T19)</f>
        <v>32040.978840000011</v>
      </c>
      <c r="U33" s="86">
        <f t="shared" si="9"/>
        <v>7.0772719083233345E-4</v>
      </c>
    </row>
    <row r="34" spans="2:21" s="101" customFormat="1" x14ac:dyDescent="0.25">
      <c r="B34" s="105" t="s">
        <v>160</v>
      </c>
      <c r="C34" s="105"/>
      <c r="D34" s="114">
        <f t="shared" si="10"/>
        <v>96619860.699000001</v>
      </c>
      <c r="E34" s="115">
        <f t="shared" si="10"/>
        <v>9021134.5600000005</v>
      </c>
      <c r="F34" s="118"/>
      <c r="H34" s="115">
        <f>H15+H20</f>
        <v>7611403.9345622938</v>
      </c>
      <c r="I34" s="119"/>
      <c r="J34" s="119"/>
      <c r="K34" s="119"/>
      <c r="L34" s="115"/>
      <c r="N34" s="119"/>
      <c r="P34" s="115"/>
      <c r="Q34" s="115"/>
      <c r="R34" s="119"/>
      <c r="S34" s="115">
        <f>S15+S20</f>
        <v>12318485.719430948</v>
      </c>
      <c r="T34" s="84">
        <f>SUM(T15,T20)</f>
        <v>13275.75591091481</v>
      </c>
      <c r="U34" s="86">
        <f t="shared" si="9"/>
        <v>1.077710054083505E-3</v>
      </c>
    </row>
    <row r="35" spans="2:21" s="101" customFormat="1" x14ac:dyDescent="0.25">
      <c r="B35" s="105" t="s">
        <v>161</v>
      </c>
      <c r="C35" s="105"/>
      <c r="D35" s="114">
        <f t="shared" si="10"/>
        <v>10298663.83</v>
      </c>
      <c r="E35" s="115">
        <f t="shared" si="10"/>
        <v>2186532.87</v>
      </c>
      <c r="F35" s="118"/>
      <c r="H35" s="115">
        <f>H16+H21</f>
        <v>1068952.9960237534</v>
      </c>
      <c r="I35" s="119"/>
      <c r="J35" s="119"/>
      <c r="K35" s="119"/>
      <c r="L35" s="120"/>
      <c r="N35" s="119"/>
      <c r="P35" s="120"/>
      <c r="Q35" s="120"/>
      <c r="R35" s="119"/>
      <c r="S35" s="115">
        <f>S16+S21</f>
        <v>2930122.1987837539</v>
      </c>
      <c r="T35" s="84">
        <f>SUM(T16,T21)</f>
        <v>1862.4186799999998</v>
      </c>
      <c r="U35" s="86">
        <f t="shared" si="9"/>
        <v>6.3561126589637101E-4</v>
      </c>
    </row>
    <row r="36" spans="2:21" s="101" customFormat="1" x14ac:dyDescent="0.25">
      <c r="B36" s="93" t="s">
        <v>162</v>
      </c>
      <c r="C36" s="93"/>
      <c r="D36" s="114">
        <f t="shared" si="10"/>
        <v>122588020.23800001</v>
      </c>
      <c r="E36" s="115">
        <f t="shared" si="10"/>
        <v>4719439.0600000005</v>
      </c>
      <c r="F36" s="118"/>
      <c r="G36" s="108"/>
      <c r="H36" s="115">
        <f>H17+H22</f>
        <v>4026203.4222486569</v>
      </c>
      <c r="I36" s="118"/>
      <c r="J36" s="118"/>
      <c r="K36" s="118"/>
      <c r="L36" s="120"/>
      <c r="N36" s="118"/>
      <c r="P36" s="120"/>
      <c r="Q36" s="120"/>
      <c r="R36" s="118"/>
      <c r="S36" s="115">
        <f>S17+S22</f>
        <v>9822074.9739390053</v>
      </c>
      <c r="T36" s="84">
        <f>SUM(T17,T22)</f>
        <v>6412.6667002066151</v>
      </c>
      <c r="U36" s="86">
        <f t="shared" si="9"/>
        <v>6.5288309417525303E-4</v>
      </c>
    </row>
    <row r="37" spans="2:21" s="101" customFormat="1" x14ac:dyDescent="0.25">
      <c r="B37" s="93" t="s">
        <v>155</v>
      </c>
      <c r="C37" s="93"/>
      <c r="D37" s="114">
        <f>D23</f>
        <v>37223237.460000001</v>
      </c>
      <c r="E37" s="115">
        <f>E23</f>
        <v>1465941.3557558353</v>
      </c>
      <c r="F37" s="118"/>
      <c r="G37" s="108"/>
      <c r="H37" s="115">
        <f>H23</f>
        <v>1275099.4229476948</v>
      </c>
      <c r="I37" s="118"/>
      <c r="J37" s="118"/>
      <c r="K37" s="118"/>
      <c r="L37" s="120"/>
      <c r="N37" s="118"/>
      <c r="P37" s="120"/>
      <c r="Q37" s="120"/>
      <c r="R37" s="118"/>
      <c r="S37" s="115">
        <f>S23</f>
        <v>1524381.8024505114</v>
      </c>
      <c r="T37" s="84">
        <f>T23</f>
        <v>0</v>
      </c>
      <c r="U37" s="86">
        <f t="shared" si="9"/>
        <v>0</v>
      </c>
    </row>
    <row r="38" spans="2:21" s="101" customFormat="1" x14ac:dyDescent="0.25">
      <c r="B38" s="93" t="s">
        <v>1</v>
      </c>
      <c r="C38" s="93"/>
      <c r="D38" s="122">
        <f>SUM(D31:D37)</f>
        <v>1142550753.03</v>
      </c>
      <c r="E38" s="123">
        <f>SUM(E31:E37)</f>
        <v>421947351.40988755</v>
      </c>
      <c r="F38" s="108"/>
      <c r="G38" s="108"/>
      <c r="H38" s="123">
        <f>SUM(H31:H37)</f>
        <v>451461321.92749</v>
      </c>
      <c r="I38" s="108"/>
      <c r="J38" s="108"/>
      <c r="K38" s="118"/>
      <c r="L38" s="120"/>
      <c r="N38" s="118"/>
      <c r="P38" s="120"/>
      <c r="Q38" s="120"/>
      <c r="R38" s="118"/>
      <c r="S38" s="123">
        <f>SUM(S31:S37)</f>
        <v>906863198.49082184</v>
      </c>
      <c r="T38" s="123">
        <f>SUM(T31:T37)</f>
        <v>712544.71562112053</v>
      </c>
      <c r="U38" s="92">
        <f t="shared" si="9"/>
        <v>7.8572459088307794E-4</v>
      </c>
    </row>
    <row r="39" spans="2:21" s="101" customFormat="1" x14ac:dyDescent="0.25">
      <c r="B39" s="93"/>
      <c r="C39" s="93"/>
      <c r="D39" s="114"/>
      <c r="E39" s="115"/>
      <c r="F39" s="108"/>
      <c r="G39" s="108"/>
      <c r="H39" s="115"/>
      <c r="I39" s="108"/>
      <c r="J39" s="108"/>
      <c r="K39" s="118"/>
      <c r="L39" s="120"/>
      <c r="N39" s="118"/>
      <c r="P39" s="120"/>
      <c r="Q39" s="120"/>
      <c r="R39" s="118"/>
      <c r="S39" s="115"/>
      <c r="T39" s="115"/>
      <c r="U39" s="86"/>
    </row>
    <row r="40" spans="2:21" s="101" customFormat="1" x14ac:dyDescent="0.25">
      <c r="B40" s="93" t="s">
        <v>163</v>
      </c>
      <c r="C40" s="93"/>
      <c r="D40" s="114"/>
      <c r="E40" s="115">
        <f>E26</f>
        <v>5943249.8599999994</v>
      </c>
      <c r="F40" s="108"/>
      <c r="G40" s="108"/>
      <c r="H40" s="115">
        <f>H26</f>
        <v>4178805.0138068073</v>
      </c>
      <c r="I40" s="108"/>
      <c r="J40" s="108"/>
      <c r="K40" s="118"/>
      <c r="L40" s="120"/>
      <c r="N40" s="118"/>
      <c r="P40" s="120"/>
      <c r="Q40" s="120"/>
      <c r="R40" s="118"/>
      <c r="S40" s="115">
        <f>S26</f>
        <v>4445422.8938068077</v>
      </c>
      <c r="T40" s="84">
        <f>T26</f>
        <v>0</v>
      </c>
      <c r="U40" s="86">
        <f>T40/S40</f>
        <v>0</v>
      </c>
    </row>
    <row r="41" spans="2:21" s="108" customFormat="1" x14ac:dyDescent="0.25">
      <c r="B41" s="105" t="s">
        <v>0</v>
      </c>
      <c r="C41" s="105"/>
      <c r="D41" s="122">
        <f>D40+D38</f>
        <v>1142550753.03</v>
      </c>
      <c r="E41" s="123">
        <f>E40+E38</f>
        <v>427890601.26988757</v>
      </c>
      <c r="G41" s="101"/>
      <c r="H41" s="123">
        <f>H40+H38</f>
        <v>455640126.94129682</v>
      </c>
      <c r="L41" s="120"/>
      <c r="P41" s="120"/>
      <c r="Q41" s="120"/>
      <c r="S41" s="123">
        <f>S40+S38</f>
        <v>911308621.38462865</v>
      </c>
      <c r="T41" s="123">
        <f>T40+T38</f>
        <v>712544.71562112053</v>
      </c>
      <c r="U41" s="92">
        <f>T41/S41</f>
        <v>7.8189177508108151E-4</v>
      </c>
    </row>
    <row r="42" spans="2:21" s="101" customFormat="1" x14ac:dyDescent="0.25">
      <c r="B42" s="108"/>
      <c r="C42" s="108"/>
      <c r="D42" s="108"/>
      <c r="E42" s="108"/>
      <c r="F42" s="108"/>
      <c r="I42" s="119"/>
      <c r="L42" s="108"/>
      <c r="N42" s="108"/>
      <c r="P42" s="108"/>
      <c r="Q42" s="108"/>
      <c r="R42" s="108"/>
      <c r="S42" s="108"/>
      <c r="T42" s="124"/>
    </row>
    <row r="43" spans="2:21" ht="17.25" x14ac:dyDescent="0.25">
      <c r="B43" t="s">
        <v>164</v>
      </c>
      <c r="D43" s="109"/>
      <c r="E43" s="109"/>
      <c r="H43" s="125"/>
      <c r="L43" s="109"/>
      <c r="P43" s="109"/>
      <c r="Q43" s="109"/>
      <c r="S43" s="109"/>
    </row>
    <row r="44" spans="2:21" ht="17.25" x14ac:dyDescent="0.25">
      <c r="B44" s="482" t="s">
        <v>396</v>
      </c>
      <c r="C44" s="482"/>
      <c r="D44" s="483"/>
      <c r="E44" s="109"/>
      <c r="L44" s="109"/>
      <c r="P44" s="109"/>
      <c r="Q44" s="109"/>
      <c r="S44" s="109"/>
    </row>
    <row r="45" spans="2:21" ht="17.25" x14ac:dyDescent="0.25">
      <c r="B45" t="s">
        <v>397</v>
      </c>
    </row>
  </sheetData>
  <mergeCells count="4">
    <mergeCell ref="B1:U1"/>
    <mergeCell ref="B2:U2"/>
    <mergeCell ref="B3:U3"/>
    <mergeCell ref="B4:U4"/>
  </mergeCells>
  <printOptions horizontalCentered="1"/>
  <pageMargins left="0.45" right="0.45" top="0.75" bottom="0.75" header="0.3" footer="0.3"/>
  <pageSetup paperSize="5" scale="59" orientation="landscape" blackAndWhite="1" r:id="rId1"/>
  <headerFooter>
    <oddFooter>&amp;L&amp;F 
&amp;A&amp;C&amp;P&amp;R&amp;D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zoomScale="90" zoomScaleNormal="90" workbookViewId="0">
      <selection activeCell="J26" sqref="J26"/>
    </sheetView>
  </sheetViews>
  <sheetFormatPr defaultColWidth="9.140625" defaultRowHeight="15" x14ac:dyDescent="0.25"/>
  <cols>
    <col min="1" max="1" width="2.140625" style="249" customWidth="1"/>
    <col min="2" max="2" width="2.42578125" style="249" customWidth="1"/>
    <col min="3" max="3" width="34.5703125" style="249" customWidth="1"/>
    <col min="4" max="5" width="11.85546875" style="249" customWidth="1"/>
    <col min="6" max="6" width="2.7109375" style="258" customWidth="1"/>
    <col min="7" max="8" width="11.85546875" style="249" customWidth="1"/>
    <col min="9" max="16384" width="9.140625" style="249"/>
  </cols>
  <sheetData>
    <row r="1" spans="2:8" x14ac:dyDescent="0.25">
      <c r="B1" s="1" t="s">
        <v>13</v>
      </c>
      <c r="C1" s="1"/>
      <c r="D1" s="1"/>
      <c r="E1" s="1"/>
      <c r="F1" s="1"/>
      <c r="G1" s="1"/>
      <c r="H1" s="1"/>
    </row>
    <row r="2" spans="2:8" x14ac:dyDescent="0.25">
      <c r="B2" s="1" t="s">
        <v>355</v>
      </c>
      <c r="C2" s="1"/>
      <c r="D2" s="1"/>
      <c r="E2" s="1"/>
      <c r="F2" s="1"/>
      <c r="G2" s="1"/>
      <c r="H2" s="1"/>
    </row>
    <row r="3" spans="2:8" x14ac:dyDescent="0.25">
      <c r="B3" s="3" t="s">
        <v>165</v>
      </c>
      <c r="C3" s="3"/>
      <c r="D3" s="3"/>
      <c r="E3" s="3"/>
      <c r="F3" s="3"/>
      <c r="G3" s="3"/>
      <c r="H3" s="3"/>
    </row>
    <row r="4" spans="2:8" x14ac:dyDescent="0.25">
      <c r="B4" s="3" t="s">
        <v>388</v>
      </c>
      <c r="C4" s="3"/>
      <c r="D4" s="3"/>
      <c r="E4" s="3"/>
      <c r="F4" s="3"/>
      <c r="G4" s="3"/>
      <c r="H4" s="3"/>
    </row>
    <row r="6" spans="2:8" x14ac:dyDescent="0.25">
      <c r="D6" s="129" t="s">
        <v>166</v>
      </c>
      <c r="E6" s="129"/>
      <c r="F6" s="130"/>
      <c r="G6" s="129" t="s">
        <v>167</v>
      </c>
      <c r="H6" s="129"/>
    </row>
    <row r="7" spans="2:8" ht="17.25" x14ac:dyDescent="0.25">
      <c r="D7" s="131" t="s">
        <v>398</v>
      </c>
      <c r="E7" s="131" t="s">
        <v>168</v>
      </c>
      <c r="F7" s="132"/>
      <c r="G7" s="131" t="s">
        <v>169</v>
      </c>
      <c r="H7" s="131" t="s">
        <v>168</v>
      </c>
    </row>
    <row r="8" spans="2:8" x14ac:dyDescent="0.25">
      <c r="B8" s="249" t="s">
        <v>170</v>
      </c>
      <c r="D8" s="133">
        <v>64</v>
      </c>
      <c r="E8" s="134"/>
      <c r="F8" s="135"/>
      <c r="G8" s="133">
        <v>64</v>
      </c>
      <c r="H8" s="134"/>
    </row>
    <row r="9" spans="2:8" x14ac:dyDescent="0.25">
      <c r="D9" s="133"/>
      <c r="E9" s="134"/>
      <c r="F9" s="135"/>
      <c r="G9" s="133"/>
      <c r="H9" s="134"/>
    </row>
    <row r="10" spans="2:8" x14ac:dyDescent="0.25">
      <c r="B10" s="249" t="s">
        <v>171</v>
      </c>
      <c r="D10" s="133"/>
      <c r="E10" s="134"/>
      <c r="F10" s="135"/>
      <c r="G10" s="133"/>
      <c r="H10" s="134"/>
    </row>
    <row r="11" spans="2:8" x14ac:dyDescent="0.25">
      <c r="C11" s="249" t="s">
        <v>172</v>
      </c>
      <c r="D11" s="136">
        <v>11</v>
      </c>
      <c r="E11" s="134">
        <f>D11</f>
        <v>11</v>
      </c>
      <c r="F11" s="137"/>
      <c r="G11" s="138">
        <f>$D$11</f>
        <v>11</v>
      </c>
      <c r="H11" s="134">
        <f>G11</f>
        <v>11</v>
      </c>
    </row>
    <row r="12" spans="2:8" x14ac:dyDescent="0.25">
      <c r="C12" s="249" t="s">
        <v>399</v>
      </c>
      <c r="D12" s="522">
        <v>0.66999999999999993</v>
      </c>
      <c r="E12" s="325">
        <f>D12</f>
        <v>0.66999999999999993</v>
      </c>
      <c r="F12" s="137"/>
      <c r="G12" s="148">
        <f>$D$12</f>
        <v>0.66999999999999993</v>
      </c>
      <c r="H12" s="325">
        <f>G12</f>
        <v>0.66999999999999993</v>
      </c>
    </row>
    <row r="13" spans="2:8" x14ac:dyDescent="0.25">
      <c r="C13" s="249" t="s">
        <v>340</v>
      </c>
      <c r="D13" s="522">
        <v>-0.15000000000000036</v>
      </c>
      <c r="E13" s="325">
        <f>D13</f>
        <v>-0.15000000000000036</v>
      </c>
      <c r="F13" s="137"/>
      <c r="G13" s="148">
        <f>$D$13</f>
        <v>-0.15000000000000036</v>
      </c>
      <c r="H13" s="325">
        <f>G13</f>
        <v>-0.15000000000000036</v>
      </c>
    </row>
    <row r="14" spans="2:8" x14ac:dyDescent="0.25">
      <c r="C14" s="249" t="s">
        <v>1</v>
      </c>
      <c r="D14" s="326">
        <f>SUM(D11:D13)</f>
        <v>11.52</v>
      </c>
      <c r="E14" s="326">
        <f>SUM(E11:E13)</f>
        <v>11.52</v>
      </c>
      <c r="F14" s="137"/>
      <c r="G14" s="326">
        <f>SUM(G11:G13)</f>
        <v>11.52</v>
      </c>
      <c r="H14" s="326">
        <f>SUM(H11:H13)</f>
        <v>11.52</v>
      </c>
    </row>
    <row r="15" spans="2:8" x14ac:dyDescent="0.25">
      <c r="D15" s="136"/>
      <c r="E15" s="134"/>
      <c r="F15" s="137"/>
      <c r="G15" s="138"/>
      <c r="H15" s="134"/>
    </row>
    <row r="16" spans="2:8" x14ac:dyDescent="0.25">
      <c r="B16" s="249" t="s">
        <v>173</v>
      </c>
      <c r="E16" s="134"/>
      <c r="H16" s="134"/>
    </row>
    <row r="17" spans="3:8" x14ac:dyDescent="0.25">
      <c r="C17" s="249" t="s">
        <v>174</v>
      </c>
      <c r="D17" s="484">
        <v>0.34603</v>
      </c>
      <c r="E17" s="134"/>
      <c r="F17" s="139"/>
      <c r="G17" s="140">
        <f>$D$17</f>
        <v>0.34603</v>
      </c>
      <c r="H17" s="134"/>
    </row>
    <row r="18" spans="3:8" x14ac:dyDescent="0.25">
      <c r="C18" s="249" t="s">
        <v>177</v>
      </c>
      <c r="D18" s="485">
        <f>'Schedule 129'!$E$9</f>
        <v>6.1900000000000002E-3</v>
      </c>
      <c r="E18" s="134"/>
      <c r="F18" s="139"/>
      <c r="G18" s="141">
        <f>'Schedule 129'!$F$9</f>
        <v>7.0099999999999997E-3</v>
      </c>
      <c r="H18" s="134"/>
    </row>
    <row r="19" spans="3:8" x14ac:dyDescent="0.25">
      <c r="C19" s="249" t="s">
        <v>175</v>
      </c>
      <c r="D19" s="484">
        <v>1.9710000000000002E-2</v>
      </c>
      <c r="E19" s="134"/>
      <c r="F19" s="139"/>
      <c r="G19" s="142">
        <f>$D$19</f>
        <v>1.9710000000000002E-2</v>
      </c>
      <c r="H19" s="134"/>
    </row>
    <row r="20" spans="3:8" x14ac:dyDescent="0.25">
      <c r="C20" s="249" t="s">
        <v>399</v>
      </c>
      <c r="D20" s="484">
        <v>2.1230000000000027E-2</v>
      </c>
      <c r="E20" s="134"/>
      <c r="F20" s="139"/>
      <c r="G20" s="140">
        <f>$D$20</f>
        <v>2.1230000000000027E-2</v>
      </c>
      <c r="H20" s="134"/>
    </row>
    <row r="21" spans="3:8" x14ac:dyDescent="0.25">
      <c r="C21" s="249" t="s">
        <v>340</v>
      </c>
      <c r="D21" s="484">
        <v>-4.7900000000000165E-3</v>
      </c>
      <c r="E21" s="134"/>
      <c r="F21" s="139"/>
      <c r="G21" s="140">
        <f>$D$21</f>
        <v>-4.7900000000000165E-3</v>
      </c>
      <c r="H21" s="134"/>
    </row>
    <row r="22" spans="3:8" x14ac:dyDescent="0.25">
      <c r="C22" s="249" t="s">
        <v>341</v>
      </c>
      <c r="D22" s="484">
        <v>0</v>
      </c>
      <c r="E22" s="134"/>
      <c r="F22" s="139"/>
      <c r="G22" s="142">
        <f>$D$22</f>
        <v>0</v>
      </c>
      <c r="H22" s="134"/>
    </row>
    <row r="23" spans="3:8" x14ac:dyDescent="0.25">
      <c r="C23" s="249" t="s">
        <v>176</v>
      </c>
      <c r="D23" s="484">
        <v>1.2319999999999999E-2</v>
      </c>
      <c r="E23" s="134"/>
      <c r="F23" s="139"/>
      <c r="G23" s="142">
        <f>$D$23</f>
        <v>1.2319999999999999E-2</v>
      </c>
      <c r="H23" s="134"/>
    </row>
    <row r="24" spans="3:8" x14ac:dyDescent="0.25">
      <c r="C24" s="249" t="s">
        <v>178</v>
      </c>
      <c r="D24" s="523">
        <v>1.8800000000000001E-2</v>
      </c>
      <c r="E24" s="134"/>
      <c r="F24" s="139"/>
      <c r="G24" s="142">
        <f>$D$24</f>
        <v>1.8800000000000001E-2</v>
      </c>
      <c r="H24" s="134"/>
    </row>
    <row r="25" spans="3:8" x14ac:dyDescent="0.25">
      <c r="C25" s="249" t="s">
        <v>1</v>
      </c>
      <c r="D25" s="143">
        <f>SUM(D17:D24)</f>
        <v>0.41948999999999997</v>
      </c>
      <c r="E25" s="134">
        <f>ROUND(D25*D$8,2)</f>
        <v>26.85</v>
      </c>
      <c r="F25" s="139"/>
      <c r="G25" s="143">
        <f>SUM(G17:G24)</f>
        <v>0.42031000000000002</v>
      </c>
      <c r="H25" s="134">
        <f>ROUND(G25*G$8,2)</f>
        <v>26.9</v>
      </c>
    </row>
    <row r="27" spans="3:8" x14ac:dyDescent="0.25">
      <c r="C27" s="249" t="s">
        <v>179</v>
      </c>
      <c r="D27" s="484">
        <v>2.179E-2</v>
      </c>
      <c r="E27" s="134">
        <f>ROUND(D27*D$8,2)</f>
        <v>1.39</v>
      </c>
      <c r="F27" s="139"/>
      <c r="G27" s="144">
        <f>$D$27</f>
        <v>2.179E-2</v>
      </c>
      <c r="H27" s="134">
        <f>ROUND(G27*G$8,2)</f>
        <v>1.39</v>
      </c>
    </row>
    <row r="28" spans="3:8" x14ac:dyDescent="0.25">
      <c r="D28" s="140"/>
      <c r="E28" s="134"/>
      <c r="F28" s="139"/>
      <c r="G28" s="140"/>
      <c r="H28" s="134"/>
    </row>
    <row r="29" spans="3:8" x14ac:dyDescent="0.25">
      <c r="C29" s="249" t="s">
        <v>180</v>
      </c>
      <c r="D29" s="484">
        <v>0</v>
      </c>
      <c r="E29" s="134">
        <f>ROUND(D29*D$8,2)</f>
        <v>0</v>
      </c>
      <c r="F29" s="139"/>
      <c r="G29" s="142">
        <f>$D$29</f>
        <v>0</v>
      </c>
      <c r="H29" s="134">
        <f>ROUND(G29*G$8,2)</f>
        <v>0</v>
      </c>
    </row>
    <row r="30" spans="3:8" x14ac:dyDescent="0.25">
      <c r="D30" s="484"/>
      <c r="E30" s="134"/>
      <c r="F30" s="139"/>
      <c r="G30" s="140"/>
      <c r="H30" s="134"/>
    </row>
    <row r="31" spans="3:8" x14ac:dyDescent="0.25">
      <c r="C31" s="249" t="s">
        <v>181</v>
      </c>
      <c r="D31" s="484">
        <v>0.34614</v>
      </c>
      <c r="E31" s="134"/>
      <c r="F31" s="139"/>
      <c r="G31" s="142">
        <f>$D$31</f>
        <v>0.34614</v>
      </c>
      <c r="H31" s="134"/>
    </row>
    <row r="32" spans="3:8" x14ac:dyDescent="0.25">
      <c r="C32" s="249" t="s">
        <v>182</v>
      </c>
      <c r="D32" s="484">
        <v>4.582E-2</v>
      </c>
      <c r="E32" s="134"/>
      <c r="F32" s="139"/>
      <c r="G32" s="142">
        <f>$D$32</f>
        <v>4.582E-2</v>
      </c>
      <c r="H32" s="134"/>
    </row>
    <row r="33" spans="2:8" x14ac:dyDescent="0.25">
      <c r="C33" s="249" t="s">
        <v>1</v>
      </c>
      <c r="D33" s="143">
        <f>SUM(D31:D32)</f>
        <v>0.39195999999999998</v>
      </c>
      <c r="E33" s="134">
        <f>ROUND(D33*D$8,2)</f>
        <v>25.09</v>
      </c>
      <c r="F33" s="139"/>
      <c r="G33" s="143">
        <f>SUM(G31:G32)</f>
        <v>0.39195999999999998</v>
      </c>
      <c r="H33" s="134">
        <f>ROUND(G33*G$8,2)</f>
        <v>25.09</v>
      </c>
    </row>
    <row r="34" spans="2:8" x14ac:dyDescent="0.25">
      <c r="C34" s="249" t="s">
        <v>183</v>
      </c>
      <c r="D34" s="143">
        <f>D25+D27+D29+D33</f>
        <v>0.83323999999999998</v>
      </c>
      <c r="E34" s="146">
        <f>SUM(E25,E27,E29,E33)</f>
        <v>53.33</v>
      </c>
      <c r="F34" s="147"/>
      <c r="G34" s="143">
        <f>G25+G27+G29+G33</f>
        <v>0.83406000000000002</v>
      </c>
      <c r="H34" s="146">
        <f>SUM(H25,H27,H29,H33)</f>
        <v>53.379999999999995</v>
      </c>
    </row>
    <row r="35" spans="2:8" x14ac:dyDescent="0.25">
      <c r="E35" s="134"/>
      <c r="H35" s="134"/>
    </row>
    <row r="36" spans="2:8" x14ac:dyDescent="0.25">
      <c r="B36" s="249" t="s">
        <v>184</v>
      </c>
      <c r="D36" s="138"/>
      <c r="E36" s="134">
        <f>E14+E34</f>
        <v>64.849999999999994</v>
      </c>
      <c r="F36" s="148"/>
      <c r="G36" s="138"/>
      <c r="H36" s="134">
        <f>H14+H34</f>
        <v>64.899999999999991</v>
      </c>
    </row>
    <row r="37" spans="2:8" x14ac:dyDescent="0.25">
      <c r="B37" s="249" t="s">
        <v>185</v>
      </c>
      <c r="D37" s="138"/>
      <c r="E37" s="134"/>
      <c r="F37" s="148"/>
      <c r="G37" s="138"/>
      <c r="H37" s="134">
        <f>H36-$E36</f>
        <v>4.9999999999997158E-2</v>
      </c>
    </row>
    <row r="38" spans="2:8" x14ac:dyDescent="0.25">
      <c r="B38" s="249" t="s">
        <v>186</v>
      </c>
      <c r="D38" s="149"/>
      <c r="E38" s="149"/>
      <c r="F38" s="150"/>
      <c r="G38" s="149"/>
      <c r="H38" s="151">
        <f>H37/$E36</f>
        <v>7.7101002313025697E-4</v>
      </c>
    </row>
    <row r="39" spans="2:8" x14ac:dyDescent="0.25">
      <c r="E39" s="134"/>
    </row>
    <row r="40" spans="2:8" x14ac:dyDescent="0.25">
      <c r="B40" s="249" t="s">
        <v>187</v>
      </c>
      <c r="D40" s="140">
        <f>D25+D27+D29</f>
        <v>0.44127999999999995</v>
      </c>
      <c r="E40" s="134"/>
      <c r="F40" s="147"/>
      <c r="G40" s="140">
        <f>G25+G27+G29</f>
        <v>0.44209999999999999</v>
      </c>
    </row>
    <row r="42" spans="2:8" ht="17.25" x14ac:dyDescent="0.25">
      <c r="B42" s="152" t="s">
        <v>400</v>
      </c>
    </row>
    <row r="43" spans="2:8" x14ac:dyDescent="0.25">
      <c r="C43" s="152"/>
      <c r="D43" s="152"/>
      <c r="E43" s="152"/>
      <c r="F43" s="194"/>
      <c r="G43" s="194"/>
      <c r="H43" s="194"/>
    </row>
    <row r="48" spans="2:8" ht="14.25" customHeight="1" x14ac:dyDescent="0.25"/>
  </sheetData>
  <mergeCells count="4">
    <mergeCell ref="B1:H1"/>
    <mergeCell ref="B2:H2"/>
    <mergeCell ref="B3:H3"/>
    <mergeCell ref="B4:H4"/>
  </mergeCells>
  <printOptions horizontalCentered="1"/>
  <pageMargins left="0.5" right="0.5" top="1" bottom="1" header="0.5" footer="0.5"/>
  <pageSetup scale="75" orientation="landscape" blackAndWhite="1" r:id="rId1"/>
  <headerFooter alignWithMargins="0">
    <oddFooter>&amp;L&amp;F  
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8"/>
  <sheetViews>
    <sheetView zoomScale="90" zoomScaleNormal="90" workbookViewId="0">
      <selection activeCell="G32" sqref="G32"/>
    </sheetView>
  </sheetViews>
  <sheetFormatPr defaultRowHeight="15" x14ac:dyDescent="0.25"/>
  <cols>
    <col min="1" max="1" width="2.85546875" customWidth="1"/>
    <col min="2" max="2" width="37.85546875" customWidth="1"/>
    <col min="3" max="3" width="9.140625" bestFit="1" customWidth="1"/>
    <col min="4" max="5" width="20.42578125" bestFit="1" customWidth="1"/>
    <col min="6" max="6" width="14.28515625" bestFit="1" customWidth="1"/>
    <col min="7" max="7" width="2.5703125" customWidth="1"/>
    <col min="8" max="9" width="20.42578125" bestFit="1" customWidth="1"/>
    <col min="10" max="10" width="14.28515625" bestFit="1" customWidth="1"/>
    <col min="11" max="11" width="2.5703125" customWidth="1"/>
    <col min="12" max="12" width="11.7109375" bestFit="1" customWidth="1"/>
    <col min="13" max="13" width="9.28515625" customWidth="1"/>
    <col min="14" max="14" width="13.85546875" customWidth="1"/>
  </cols>
  <sheetData>
    <row r="1" spans="2:14" x14ac:dyDescent="0.25">
      <c r="B1" s="3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4" x14ac:dyDescent="0.25">
      <c r="B2" s="3" t="s">
        <v>355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4" x14ac:dyDescent="0.25">
      <c r="B3" s="2" t="s">
        <v>401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4" x14ac:dyDescent="0.25">
      <c r="B4" s="2" t="s">
        <v>388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4" x14ac:dyDescent="0.25"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</row>
    <row r="6" spans="2:14" x14ac:dyDescent="0.25">
      <c r="D6" s="526" t="s">
        <v>402</v>
      </c>
      <c r="E6" s="526"/>
      <c r="F6" s="526"/>
      <c r="G6" s="475"/>
      <c r="H6" s="526" t="s">
        <v>342</v>
      </c>
      <c r="I6" s="526"/>
      <c r="J6" s="526"/>
    </row>
    <row r="7" spans="2:14" x14ac:dyDescent="0.25">
      <c r="B7" s="77"/>
      <c r="C7" s="77"/>
      <c r="D7" s="77" t="s">
        <v>108</v>
      </c>
      <c r="E7" s="327" t="s">
        <v>108</v>
      </c>
      <c r="F7" s="77"/>
      <c r="G7" s="77"/>
      <c r="H7" s="77" t="s">
        <v>108</v>
      </c>
      <c r="I7" s="327" t="s">
        <v>108</v>
      </c>
      <c r="J7" s="77"/>
      <c r="K7" s="77"/>
      <c r="L7" s="77"/>
    </row>
    <row r="8" spans="2:14" x14ac:dyDescent="0.25">
      <c r="B8" s="77"/>
      <c r="C8" s="77" t="s">
        <v>12</v>
      </c>
      <c r="D8" s="77" t="s">
        <v>112</v>
      </c>
      <c r="E8" s="77" t="s">
        <v>6</v>
      </c>
      <c r="F8" s="77" t="s">
        <v>343</v>
      </c>
      <c r="G8" s="77"/>
      <c r="H8" s="77" t="s">
        <v>112</v>
      </c>
      <c r="I8" s="77" t="s">
        <v>6</v>
      </c>
      <c r="J8" s="77" t="s">
        <v>343</v>
      </c>
      <c r="K8" s="77"/>
      <c r="L8" s="77" t="s">
        <v>0</v>
      </c>
    </row>
    <row r="9" spans="2:14" x14ac:dyDescent="0.25">
      <c r="B9" s="476" t="s">
        <v>8</v>
      </c>
      <c r="C9" s="476" t="s">
        <v>7</v>
      </c>
      <c r="D9" s="478" t="s">
        <v>403</v>
      </c>
      <c r="E9" s="328" t="str">
        <f>D9</f>
        <v>Oct. 2020 - Sept. 2021</v>
      </c>
      <c r="F9" s="476" t="s">
        <v>344</v>
      </c>
      <c r="G9" s="77"/>
      <c r="H9" s="328" t="str">
        <f>D9</f>
        <v>Oct. 2020 - Sept. 2021</v>
      </c>
      <c r="I9" s="328" t="str">
        <f>D9</f>
        <v>Oct. 2020 - Sept. 2021</v>
      </c>
      <c r="J9" s="476" t="s">
        <v>344</v>
      </c>
      <c r="K9" s="77"/>
      <c r="L9" s="476" t="s">
        <v>345</v>
      </c>
      <c r="N9" s="329" t="s">
        <v>346</v>
      </c>
    </row>
    <row r="10" spans="2:14" x14ac:dyDescent="0.25">
      <c r="B10" s="77" t="s">
        <v>123</v>
      </c>
      <c r="C10" s="77" t="s">
        <v>124</v>
      </c>
      <c r="D10" s="77" t="s">
        <v>125</v>
      </c>
      <c r="E10" s="77" t="s">
        <v>126</v>
      </c>
      <c r="F10" s="79" t="s">
        <v>347</v>
      </c>
      <c r="G10" s="77"/>
      <c r="H10" s="77" t="s">
        <v>348</v>
      </c>
      <c r="I10" s="77" t="s">
        <v>349</v>
      </c>
      <c r="J10" s="79" t="s">
        <v>350</v>
      </c>
      <c r="K10" s="79"/>
      <c r="L10" s="80" t="s">
        <v>351</v>
      </c>
    </row>
    <row r="11" spans="2:14" x14ac:dyDescent="0.25">
      <c r="B11" t="s">
        <v>5</v>
      </c>
      <c r="C11" s="81" t="s">
        <v>141</v>
      </c>
      <c r="D11" s="486">
        <f>'Rate Impacts Sch129'!G11</f>
        <v>623630491</v>
      </c>
      <c r="E11" s="330">
        <f>'Rate Impacts Sch129'!S11</f>
        <v>631934329.70808685</v>
      </c>
      <c r="F11" s="487">
        <f>E11/D11</f>
        <v>1.0133153186509074</v>
      </c>
      <c r="G11" s="83"/>
      <c r="H11" s="486">
        <f>'Rate Impacts Sch129'!G11</f>
        <v>623630491</v>
      </c>
      <c r="I11" s="330">
        <f>'Rate Impacts Sch129'!S11+'Rate Impacts Sch129'!T11</f>
        <v>632445706.71070683</v>
      </c>
      <c r="J11" s="487">
        <f>I11/H11</f>
        <v>1.0141353186509074</v>
      </c>
      <c r="K11" s="488"/>
      <c r="L11" s="86">
        <f>(I11-E11)/E11</f>
        <v>8.0922491243070325E-4</v>
      </c>
      <c r="N11" s="489">
        <f>L11-'Rate Impacts Sch129'!U11</f>
        <v>-2.8080836267374565E-17</v>
      </c>
    </row>
    <row r="12" spans="2:14" x14ac:dyDescent="0.25">
      <c r="B12" t="s">
        <v>142</v>
      </c>
      <c r="C12" s="81">
        <v>16</v>
      </c>
      <c r="D12" s="486">
        <f>'Rate Impacts Sch129'!G12</f>
        <v>9066</v>
      </c>
      <c r="E12" s="330">
        <f>'Rate Impacts Sch129'!S12</f>
        <v>8943.3356926950291</v>
      </c>
      <c r="F12" s="487">
        <f t="shared" ref="F12:F23" si="0">E12/D12</f>
        <v>0.98646985359530437</v>
      </c>
      <c r="G12" s="83"/>
      <c r="H12" s="486">
        <f>'Rate Impacts Sch129'!G12</f>
        <v>9066</v>
      </c>
      <c r="I12" s="330">
        <f>'Rate Impacts Sch129'!S12+'Rate Impacts Sch129'!T12</f>
        <v>8943.3356926950291</v>
      </c>
      <c r="J12" s="487">
        <f t="shared" ref="J12:J23" si="1">I12/H12</f>
        <v>0.98646985359530437</v>
      </c>
      <c r="K12" s="488"/>
      <c r="L12" s="86">
        <f t="shared" ref="L12:L23" si="2">(I12-E12)/E12</f>
        <v>0</v>
      </c>
      <c r="N12" s="489">
        <f>L12-'Rate Impacts Sch129'!U12</f>
        <v>0</v>
      </c>
    </row>
    <row r="13" spans="2:14" x14ac:dyDescent="0.25">
      <c r="B13" t="s">
        <v>143</v>
      </c>
      <c r="C13" s="81">
        <v>31</v>
      </c>
      <c r="D13" s="486">
        <f>'Rate Impacts Sch129'!G13</f>
        <v>234224852</v>
      </c>
      <c r="E13" s="330">
        <f>'Rate Impacts Sch129'!S13</f>
        <v>203035707.14670765</v>
      </c>
      <c r="F13" s="487">
        <f t="shared" si="0"/>
        <v>0.86684100945320552</v>
      </c>
      <c r="G13" s="83"/>
      <c r="H13" s="486">
        <f>'Rate Impacts Sch129'!G13</f>
        <v>234224852</v>
      </c>
      <c r="I13" s="330">
        <f>'Rate Impacts Sch129'!S13+'Rate Impacts Sch129'!T13</f>
        <v>203183268.80346766</v>
      </c>
      <c r="J13" s="487">
        <f t="shared" si="1"/>
        <v>0.86747100945320554</v>
      </c>
      <c r="K13" s="488"/>
      <c r="L13" s="86">
        <f t="shared" si="2"/>
        <v>7.267768750320524E-4</v>
      </c>
      <c r="N13" s="489">
        <f>L13-'Rate Impacts Sch129'!U13</f>
        <v>3.664603343001005E-17</v>
      </c>
    </row>
    <row r="14" spans="2:14" x14ac:dyDescent="0.25">
      <c r="B14" t="s">
        <v>144</v>
      </c>
      <c r="C14" s="81">
        <v>41</v>
      </c>
      <c r="D14" s="486">
        <f>'Rate Impacts Sch129'!G14</f>
        <v>65541880</v>
      </c>
      <c r="E14" s="330">
        <f>'Rate Impacts Sch129'!S14</f>
        <v>40220229.109509856</v>
      </c>
      <c r="F14" s="487">
        <f t="shared" si="0"/>
        <v>0.61365693369658991</v>
      </c>
      <c r="G14" s="83"/>
      <c r="H14" s="486">
        <f>'Rate Impacts Sch129'!G14</f>
        <v>65541880</v>
      </c>
      <c r="I14" s="330">
        <f>'Rate Impacts Sch129'!S14+'Rate Impacts Sch129'!T14</f>
        <v>40243824.186309859</v>
      </c>
      <c r="J14" s="487">
        <f t="shared" si="1"/>
        <v>0.61401693369659005</v>
      </c>
      <c r="K14" s="488"/>
      <c r="L14" s="86">
        <f t="shared" si="2"/>
        <v>5.8664700133258859E-4</v>
      </c>
      <c r="N14" s="489">
        <f>L14-'Rate Impacts Sch129'!U14</f>
        <v>9.042246118529107E-17</v>
      </c>
    </row>
    <row r="15" spans="2:14" x14ac:dyDescent="0.25">
      <c r="B15" t="s">
        <v>4</v>
      </c>
      <c r="C15" s="81">
        <v>85</v>
      </c>
      <c r="D15" s="486">
        <f>'Rate Impacts Sch129'!G15</f>
        <v>9854386</v>
      </c>
      <c r="E15" s="330">
        <f>'Rate Impacts Sch129'!S15</f>
        <v>4685906.342152968</v>
      </c>
      <c r="F15" s="487">
        <f t="shared" si="0"/>
        <v>0.47551479535639946</v>
      </c>
      <c r="G15" s="83"/>
      <c r="H15" s="486">
        <f>'Rate Impacts Sch129'!G15</f>
        <v>9854386</v>
      </c>
      <c r="I15" s="330">
        <f>'Rate Impacts Sch129'!S15+'Rate Impacts Sch129'!T15</f>
        <v>4687655.1967390887</v>
      </c>
      <c r="J15" s="487">
        <f t="shared" si="1"/>
        <v>0.47569226502179729</v>
      </c>
      <c r="K15" s="488"/>
      <c r="L15" s="86">
        <f t="shared" si="2"/>
        <v>3.7321586442915823E-4</v>
      </c>
      <c r="N15" s="489">
        <f>L15-'Rate Impacts Sch129'!U15</f>
        <v>-1.4961989980299961E-17</v>
      </c>
    </row>
    <row r="16" spans="2:14" x14ac:dyDescent="0.25">
      <c r="B16" t="s">
        <v>145</v>
      </c>
      <c r="C16" s="81">
        <v>86</v>
      </c>
      <c r="D16" s="486">
        <f>'Rate Impacts Sch129'!G16</f>
        <v>4833560</v>
      </c>
      <c r="E16" s="330">
        <f>'Rate Impacts Sch129'!S16</f>
        <v>2882245.3743709917</v>
      </c>
      <c r="F16" s="487">
        <f t="shared" si="0"/>
        <v>0.59629866482902705</v>
      </c>
      <c r="G16" s="83"/>
      <c r="H16" s="486">
        <f>'Rate Impacts Sch129'!G16</f>
        <v>4833560</v>
      </c>
      <c r="I16" s="330">
        <f>'Rate Impacts Sch129'!S16+'Rate Impacts Sch129'!T16</f>
        <v>2884033.7915709917</v>
      </c>
      <c r="J16" s="487">
        <f>I16/H16</f>
        <v>0.59666866482902703</v>
      </c>
      <c r="K16" s="488"/>
      <c r="L16" s="86">
        <f t="shared" si="2"/>
        <v>6.2049442976045072E-4</v>
      </c>
      <c r="N16" s="489">
        <f>L16-'Rate Impacts Sch129'!U16</f>
        <v>8.7820375971325859E-18</v>
      </c>
    </row>
    <row r="17" spans="2:15" x14ac:dyDescent="0.25">
      <c r="B17" t="s">
        <v>146</v>
      </c>
      <c r="C17" s="81">
        <v>87</v>
      </c>
      <c r="D17" s="486">
        <f>'Rate Impacts Sch129'!G17</f>
        <v>14418768</v>
      </c>
      <c r="E17" s="330">
        <f>'Rate Impacts Sch129'!S17</f>
        <v>5841426.6657445058</v>
      </c>
      <c r="F17" s="487">
        <f t="shared" si="0"/>
        <v>0.40512661454463417</v>
      </c>
      <c r="G17" s="83"/>
      <c r="H17" s="486">
        <f>'Rate Impacts Sch129'!G17</f>
        <v>14418768</v>
      </c>
      <c r="I17" s="330">
        <f>'Rate Impacts Sch129'!S17+'Rate Impacts Sch129'!T17</f>
        <v>5842470.2991272816</v>
      </c>
      <c r="J17" s="487">
        <f t="shared" si="1"/>
        <v>0.40519899474957094</v>
      </c>
      <c r="K17" s="488"/>
      <c r="L17" s="86">
        <f t="shared" si="2"/>
        <v>1.7866070097155055E-4</v>
      </c>
      <c r="N17" s="489">
        <f>L17-'Rate Impacts Sch129'!U17</f>
        <v>7.6897039083534402E-17</v>
      </c>
    </row>
    <row r="18" spans="2:15" x14ac:dyDescent="0.25">
      <c r="B18" t="s">
        <v>147</v>
      </c>
      <c r="C18" s="81" t="s">
        <v>148</v>
      </c>
      <c r="D18" s="486">
        <f>'Rate Impacts Sch129'!G18</f>
        <v>22597</v>
      </c>
      <c r="E18" s="330">
        <f>'Rate Impacts Sch129'!S18</f>
        <v>16088.991217305802</v>
      </c>
      <c r="F18" s="487">
        <f t="shared" si="0"/>
        <v>0.71199677909925219</v>
      </c>
      <c r="G18" s="83"/>
      <c r="H18" s="486">
        <f>'Rate Impacts Sch129'!G18</f>
        <v>22597</v>
      </c>
      <c r="I18" s="330">
        <f>'Rate Impacts Sch129'!S18+'Rate Impacts Sch129'!T18</f>
        <v>16103.227327305802</v>
      </c>
      <c r="J18" s="487">
        <f t="shared" si="1"/>
        <v>0.71262677909925221</v>
      </c>
      <c r="K18" s="488"/>
      <c r="L18" s="86">
        <f t="shared" si="2"/>
        <v>8.8483546343707609E-4</v>
      </c>
      <c r="N18" s="489">
        <f>L18-'Rate Impacts Sch129'!U18</f>
        <v>-1.0625181290357943E-17</v>
      </c>
    </row>
    <row r="19" spans="2:15" x14ac:dyDescent="0.25">
      <c r="B19" t="s">
        <v>149</v>
      </c>
      <c r="C19" t="s">
        <v>150</v>
      </c>
      <c r="D19" s="486">
        <f>'Rate Impacts Sch129'!G19</f>
        <v>23460839</v>
      </c>
      <c r="E19" s="330">
        <f>'Rate Impacts Sch129'!S19</f>
        <v>5052835.5050031552</v>
      </c>
      <c r="F19" s="487">
        <f t="shared" si="0"/>
        <v>0.2153731801749782</v>
      </c>
      <c r="G19" s="83"/>
      <c r="H19" s="486">
        <f>'Rate Impacts Sch129'!G19</f>
        <v>23460839</v>
      </c>
      <c r="I19" s="330">
        <f>'Rate Impacts Sch129'!S19+'Rate Impacts Sch129'!T19</f>
        <v>5061281.4070431553</v>
      </c>
      <c r="J19" s="487">
        <f t="shared" si="1"/>
        <v>0.2157331801749782</v>
      </c>
      <c r="K19" s="488"/>
      <c r="L19" s="86">
        <f t="shared" si="2"/>
        <v>1.6715173157007017E-3</v>
      </c>
      <c r="N19" s="489">
        <f>L19-'Rate Impacts Sch129'!U19</f>
        <v>1.4311468676808659E-17</v>
      </c>
    </row>
    <row r="20" spans="2:15" x14ac:dyDescent="0.25">
      <c r="B20" t="s">
        <v>151</v>
      </c>
      <c r="C20" t="s">
        <v>3</v>
      </c>
      <c r="D20" s="486">
        <f>'Rate Impacts Sch129'!G20</f>
        <v>71987028</v>
      </c>
      <c r="E20" s="330">
        <f>'Rate Impacts Sch129'!S20</f>
        <v>7632579.3772779796</v>
      </c>
      <c r="F20" s="487">
        <f t="shared" si="0"/>
        <v>0.10602714946473384</v>
      </c>
      <c r="G20" s="83"/>
      <c r="H20" s="486">
        <f>'Rate Impacts Sch129'!G20</f>
        <v>71987028</v>
      </c>
      <c r="I20" s="330">
        <f>'Rate Impacts Sch129'!S20+'Rate Impacts Sch129'!T20</f>
        <v>7644106.2786027733</v>
      </c>
      <c r="J20" s="487">
        <f t="shared" si="1"/>
        <v>0.10618727416560068</v>
      </c>
      <c r="K20" s="488"/>
      <c r="L20" s="86">
        <f t="shared" si="2"/>
        <v>1.5102235764634204E-3</v>
      </c>
      <c r="N20" s="489">
        <f>L20-'Rate Impacts Sch129'!U20</f>
        <v>-4.5753331678888287E-17</v>
      </c>
    </row>
    <row r="21" spans="2:15" x14ac:dyDescent="0.25">
      <c r="B21" t="s">
        <v>152</v>
      </c>
      <c r="C21" t="s">
        <v>153</v>
      </c>
      <c r="D21" s="486">
        <f>'Rate Impacts Sch129'!G21</f>
        <v>200004</v>
      </c>
      <c r="E21" s="330">
        <f>'Rate Impacts Sch129'!S21</f>
        <v>47876.824412762195</v>
      </c>
      <c r="F21" s="487">
        <f t="shared" si="0"/>
        <v>0.23937933447712142</v>
      </c>
      <c r="G21" s="83"/>
      <c r="H21" s="486">
        <f>'Rate Impacts Sch129'!G21</f>
        <v>200004</v>
      </c>
      <c r="I21" s="330">
        <f>'Rate Impacts Sch129'!S21+'Rate Impacts Sch129'!T21</f>
        <v>47950.825892762194</v>
      </c>
      <c r="J21" s="487">
        <f t="shared" si="1"/>
        <v>0.23974933447712143</v>
      </c>
      <c r="K21" s="488"/>
      <c r="L21" s="86">
        <f t="shared" si="2"/>
        <v>1.5456639179325547E-3</v>
      </c>
      <c r="N21" s="489">
        <f>L21-'Rate Impacts Sch129'!U21</f>
        <v>-2.1250362580715887E-17</v>
      </c>
    </row>
    <row r="22" spans="2:15" x14ac:dyDescent="0.25">
      <c r="B22" t="s">
        <v>154</v>
      </c>
      <c r="C22" t="s">
        <v>2</v>
      </c>
      <c r="D22" s="486">
        <f>'Rate Impacts Sch129'!G22</f>
        <v>92020378</v>
      </c>
      <c r="E22" s="330">
        <f>'Rate Impacts Sch129'!S22</f>
        <v>3980648.3081945004</v>
      </c>
      <c r="F22" s="487">
        <f t="shared" si="0"/>
        <v>4.3258334672288568E-2</v>
      </c>
      <c r="G22" s="83"/>
      <c r="H22" s="486">
        <f>'Rate Impacts Sch129'!G22</f>
        <v>92020378</v>
      </c>
      <c r="I22" s="330">
        <f>'Rate Impacts Sch129'!S22+'Rate Impacts Sch129'!T22</f>
        <v>3986017.3415119317</v>
      </c>
      <c r="J22" s="487">
        <f t="shared" si="1"/>
        <v>4.3316680806418026E-2</v>
      </c>
      <c r="K22" s="488"/>
      <c r="L22" s="86">
        <f t="shared" si="2"/>
        <v>1.3487836406895666E-3</v>
      </c>
      <c r="N22" s="489">
        <f>L22-'Rate Impacts Sch129'!U22</f>
        <v>2.4719809532669501E-17</v>
      </c>
    </row>
    <row r="23" spans="2:15" x14ac:dyDescent="0.25">
      <c r="B23" t="s">
        <v>155</v>
      </c>
      <c r="D23" s="486">
        <f>'Rate Impacts Sch129'!G23</f>
        <v>32377372</v>
      </c>
      <c r="E23" s="330">
        <f>'Rate Impacts Sch129'!S23</f>
        <v>1524381.8024505114</v>
      </c>
      <c r="F23" s="487">
        <f t="shared" si="0"/>
        <v>4.7081702691945206E-2</v>
      </c>
      <c r="G23" s="331"/>
      <c r="H23" s="486">
        <f>'Rate Impacts Sch129'!G23</f>
        <v>32377372</v>
      </c>
      <c r="I23" s="330">
        <f>'Rate Impacts Sch129'!S23+'Rate Impacts Sch129'!T23</f>
        <v>1524381.8024505114</v>
      </c>
      <c r="J23" s="487">
        <f t="shared" si="1"/>
        <v>4.7081702691945206E-2</v>
      </c>
      <c r="K23" s="488"/>
      <c r="L23" s="86">
        <f t="shared" si="2"/>
        <v>0</v>
      </c>
      <c r="M23" s="332"/>
      <c r="N23" s="489">
        <f>L23-'Rate Impacts Sch129'!U23</f>
        <v>0</v>
      </c>
    </row>
    <row r="24" spans="2:15" x14ac:dyDescent="0.25">
      <c r="B24" t="s">
        <v>0</v>
      </c>
      <c r="D24" s="490">
        <f>SUM(D11:D23)</f>
        <v>1172581221</v>
      </c>
      <c r="E24" s="90">
        <f>SUM(E11:E23)</f>
        <v>906863198.4908216</v>
      </c>
      <c r="F24" s="491">
        <f>E24/D24</f>
        <v>0.77339051849852336</v>
      </c>
      <c r="G24" s="331"/>
      <c r="H24" s="490">
        <f>SUM(H11:H23)</f>
        <v>1172581221</v>
      </c>
      <c r="I24" s="90">
        <f>SUM(I11:I23)</f>
        <v>907575743.20644283</v>
      </c>
      <c r="J24" s="491">
        <f>I24/H24</f>
        <v>0.77399819044726359</v>
      </c>
      <c r="K24" s="165"/>
      <c r="L24" s="92">
        <f>(I24-E24)/E24</f>
        <v>7.8572459088320219E-4</v>
      </c>
      <c r="M24" s="333"/>
      <c r="N24" s="489">
        <f>L24-'Rate Impacts Sch129'!U24</f>
        <v>1.2392430831509316E-16</v>
      </c>
    </row>
    <row r="25" spans="2:15" s="101" customFormat="1" x14ac:dyDescent="0.25">
      <c r="B25" s="93"/>
      <c r="C25" s="94"/>
      <c r="D25" s="94"/>
      <c r="E25" s="94"/>
      <c r="F25" s="120"/>
      <c r="G25" s="96"/>
      <c r="H25" s="94"/>
      <c r="I25" s="94"/>
      <c r="J25" s="120"/>
      <c r="K25" s="120"/>
      <c r="L25" s="334"/>
      <c r="M25" s="119"/>
      <c r="N25" s="492"/>
    </row>
    <row r="26" spans="2:15" s="101" customFormat="1" x14ac:dyDescent="0.25">
      <c r="B26" s="93"/>
      <c r="C26" s="94"/>
      <c r="D26" s="335" t="s">
        <v>352</v>
      </c>
      <c r="E26" s="335" t="s">
        <v>108</v>
      </c>
      <c r="F26" s="120"/>
      <c r="G26" s="96"/>
      <c r="H26" s="335" t="s">
        <v>352</v>
      </c>
      <c r="I26" s="335" t="s">
        <v>108</v>
      </c>
      <c r="J26" s="120"/>
      <c r="K26" s="120"/>
      <c r="L26" s="334"/>
      <c r="M26" s="119"/>
      <c r="N26" s="492"/>
    </row>
    <row r="27" spans="2:15" s="101" customFormat="1" x14ac:dyDescent="0.25">
      <c r="B27" s="93"/>
      <c r="C27" s="94"/>
      <c r="D27" s="335" t="s">
        <v>208</v>
      </c>
      <c r="E27" s="335" t="s">
        <v>6</v>
      </c>
      <c r="F27" s="493" t="s">
        <v>343</v>
      </c>
      <c r="G27" s="96"/>
      <c r="H27" s="335" t="s">
        <v>208</v>
      </c>
      <c r="I27" s="335" t="s">
        <v>6</v>
      </c>
      <c r="J27" s="493" t="s">
        <v>343</v>
      </c>
      <c r="K27" s="120"/>
      <c r="L27" s="334"/>
      <c r="M27" s="119"/>
      <c r="N27" s="492"/>
    </row>
    <row r="28" spans="2:15" s="101" customFormat="1" x14ac:dyDescent="0.25">
      <c r="B28" s="93"/>
      <c r="C28" s="94"/>
      <c r="D28" s="335" t="str">
        <f>D9</f>
        <v>Oct. 2020 - Sept. 2021</v>
      </c>
      <c r="E28" s="335" t="str">
        <f>D9</f>
        <v>Oct. 2020 - Sept. 2021</v>
      </c>
      <c r="F28" s="493" t="s">
        <v>353</v>
      </c>
      <c r="G28" s="96"/>
      <c r="H28" s="335" t="str">
        <f>D9</f>
        <v>Oct. 2020 - Sept. 2021</v>
      </c>
      <c r="I28" s="335" t="str">
        <f>D9</f>
        <v>Oct. 2020 - Sept. 2021</v>
      </c>
      <c r="J28" s="493" t="s">
        <v>353</v>
      </c>
      <c r="K28" s="120"/>
      <c r="L28" s="334"/>
      <c r="M28" s="119"/>
      <c r="N28" s="492"/>
    </row>
    <row r="29" spans="2:15" s="101" customFormat="1" x14ac:dyDescent="0.25">
      <c r="B29" s="93" t="s">
        <v>163</v>
      </c>
      <c r="C29" s="93"/>
      <c r="D29" s="494">
        <f>'Rate Impacts Sch129'!G26</f>
        <v>279322</v>
      </c>
      <c r="E29" s="336">
        <f>'Rate Impacts Sch129'!S26</f>
        <v>4445422.8938068077</v>
      </c>
      <c r="F29" s="495">
        <f>E29/D29</f>
        <v>15.915047485721882</v>
      </c>
      <c r="G29" s="102"/>
      <c r="H29" s="496">
        <f>'Rate Impacts Sch129'!G26</f>
        <v>279322</v>
      </c>
      <c r="I29" s="336">
        <f>'Rate Impacts Sch129'!S26+'Rate Impacts Sch129'!T26</f>
        <v>4445422.8938068077</v>
      </c>
      <c r="J29" s="495">
        <f>I29/H29</f>
        <v>15.915047485721882</v>
      </c>
      <c r="K29" s="488"/>
      <c r="L29" s="86">
        <f t="shared" ref="L29" si="3">(J29-F29)/F29</f>
        <v>0</v>
      </c>
      <c r="M29" s="337"/>
      <c r="N29" s="489">
        <f>L29-'Rate Impacts Sch129'!U26</f>
        <v>0</v>
      </c>
      <c r="O29" s="104"/>
    </row>
    <row r="30" spans="2:15" s="101" customFormat="1" x14ac:dyDescent="0.25">
      <c r="B30" s="105" t="s">
        <v>354</v>
      </c>
      <c r="C30" s="105"/>
      <c r="D30" s="105"/>
      <c r="E30" s="338">
        <f>E24+E29</f>
        <v>911308621.38462842</v>
      </c>
      <c r="F30" s="497"/>
      <c r="G30" s="118"/>
      <c r="H30" s="121"/>
      <c r="I30" s="338">
        <f>I24+I29</f>
        <v>912021166.10024965</v>
      </c>
      <c r="J30" s="497"/>
      <c r="K30" s="498"/>
      <c r="L30" s="92">
        <f>(I30-E30)/E30</f>
        <v>7.8189177508120511E-4</v>
      </c>
      <c r="M30" s="337"/>
      <c r="N30" s="489">
        <f>L30-'Rate Impacts Sch129'!U27</f>
        <v>1.2327378701160185E-16</v>
      </c>
    </row>
    <row r="31" spans="2:15" x14ac:dyDescent="0.25">
      <c r="F31" s="156"/>
      <c r="G31" s="332"/>
      <c r="J31" s="156"/>
      <c r="K31" s="165"/>
      <c r="L31" s="339"/>
      <c r="M31" s="332"/>
      <c r="N31" s="492"/>
    </row>
    <row r="32" spans="2:15" x14ac:dyDescent="0.25">
      <c r="F32" s="156"/>
      <c r="G32" s="332"/>
      <c r="J32" s="156"/>
      <c r="K32" s="165"/>
      <c r="L32" s="339"/>
      <c r="M32" s="332"/>
      <c r="N32" s="492"/>
    </row>
    <row r="33" spans="2:14" s="101" customFormat="1" x14ac:dyDescent="0.25">
      <c r="B33" s="481" t="s">
        <v>395</v>
      </c>
      <c r="C33" s="111"/>
      <c r="D33" s="111"/>
      <c r="E33" s="111"/>
      <c r="F33" s="498"/>
      <c r="G33" s="119"/>
      <c r="H33" s="111"/>
      <c r="I33" s="111"/>
      <c r="J33" s="498"/>
      <c r="K33" s="498"/>
      <c r="L33" s="340"/>
      <c r="M33" s="119"/>
      <c r="N33" s="492"/>
    </row>
    <row r="34" spans="2:14" s="101" customFormat="1" x14ac:dyDescent="0.25">
      <c r="B34" s="105" t="s">
        <v>157</v>
      </c>
      <c r="C34" s="105"/>
      <c r="D34" s="114">
        <f>D11+D12</f>
        <v>623639557</v>
      </c>
      <c r="E34" s="115">
        <f>E11+E12</f>
        <v>631943273.04377949</v>
      </c>
      <c r="F34" s="341">
        <f>E34/D34</f>
        <v>1.013314928391849</v>
      </c>
      <c r="G34" s="118"/>
      <c r="H34" s="114">
        <f>H11+H12</f>
        <v>623639557</v>
      </c>
      <c r="I34" s="115">
        <f>I11+I12</f>
        <v>632454650.04639947</v>
      </c>
      <c r="J34" s="341">
        <f>I34/H34</f>
        <v>1.0141349164713096</v>
      </c>
      <c r="K34" s="120"/>
      <c r="L34" s="86">
        <f>(I34-E34)/E34</f>
        <v>8.0921346018435235E-4</v>
      </c>
      <c r="M34" s="116"/>
      <c r="N34" s="489">
        <f>L34-'Rate Impacts Sch129'!U31</f>
        <v>-2.7972416050126014E-17</v>
      </c>
    </row>
    <row r="35" spans="2:14" s="101" customFormat="1" x14ac:dyDescent="0.25">
      <c r="B35" s="117" t="s">
        <v>158</v>
      </c>
      <c r="C35" s="117"/>
      <c r="D35" s="114">
        <f t="shared" ref="D35:E39" si="4">D13+D18</f>
        <v>234247449</v>
      </c>
      <c r="E35" s="115">
        <f t="shared" si="4"/>
        <v>203051796.13792497</v>
      </c>
      <c r="F35" s="341">
        <f t="shared" ref="F35:F40" si="5">E35/D35</f>
        <v>0.86682607219310626</v>
      </c>
      <c r="G35" s="118"/>
      <c r="H35" s="114">
        <f t="shared" ref="H35:I39" si="6">H13+H18</f>
        <v>234247449</v>
      </c>
      <c r="I35" s="115">
        <f t="shared" si="6"/>
        <v>203199372.03079498</v>
      </c>
      <c r="J35" s="341">
        <f t="shared" ref="J35:J40" si="7">I35/H35</f>
        <v>0.86745607219310628</v>
      </c>
      <c r="K35" s="120"/>
      <c r="L35" s="86">
        <f t="shared" ref="L35:L41" si="8">(I35-E35)/E35</f>
        <v>7.267893989461021E-4</v>
      </c>
      <c r="M35" s="119"/>
      <c r="N35" s="489">
        <f>L35-'Rate Impacts Sch129'!U32</f>
        <v>4.5536491244391186E-17</v>
      </c>
    </row>
    <row r="36" spans="2:14" s="101" customFormat="1" x14ac:dyDescent="0.25">
      <c r="B36" s="105" t="s">
        <v>159</v>
      </c>
      <c r="C36" s="105"/>
      <c r="D36" s="114">
        <f t="shared" si="4"/>
        <v>89002719</v>
      </c>
      <c r="E36" s="115">
        <f t="shared" si="4"/>
        <v>45273064.61451301</v>
      </c>
      <c r="F36" s="341">
        <f t="shared" si="5"/>
        <v>0.5086705790922299</v>
      </c>
      <c r="G36" s="118"/>
      <c r="H36" s="114">
        <f t="shared" si="6"/>
        <v>89002719</v>
      </c>
      <c r="I36" s="115">
        <f t="shared" si="6"/>
        <v>45305105.593353018</v>
      </c>
      <c r="J36" s="341">
        <f t="shared" si="7"/>
        <v>0.50903057909222993</v>
      </c>
      <c r="K36" s="120"/>
      <c r="L36" s="86">
        <f t="shared" si="8"/>
        <v>7.077271908325182E-4</v>
      </c>
      <c r="M36" s="119"/>
      <c r="N36" s="489">
        <f>L36-'Rate Impacts Sch129'!U33</f>
        <v>1.8474805019152996E-16</v>
      </c>
    </row>
    <row r="37" spans="2:14" s="101" customFormat="1" x14ac:dyDescent="0.25">
      <c r="B37" s="105" t="s">
        <v>160</v>
      </c>
      <c r="C37" s="105"/>
      <c r="D37" s="114">
        <f t="shared" si="4"/>
        <v>81841414</v>
      </c>
      <c r="E37" s="115">
        <f t="shared" si="4"/>
        <v>12318485.719430948</v>
      </c>
      <c r="F37" s="341">
        <f t="shared" si="5"/>
        <v>0.15051653090244688</v>
      </c>
      <c r="G37" s="118"/>
      <c r="H37" s="114">
        <f t="shared" si="6"/>
        <v>81841414</v>
      </c>
      <c r="I37" s="115">
        <f t="shared" si="6"/>
        <v>12331761.475341862</v>
      </c>
      <c r="J37" s="341">
        <f t="shared" si="7"/>
        <v>0.15067874408110621</v>
      </c>
      <c r="K37" s="120"/>
      <c r="L37" s="86">
        <f t="shared" si="8"/>
        <v>1.0777100540834709E-3</v>
      </c>
      <c r="M37" s="119"/>
      <c r="N37" s="489">
        <f>L37-'Rate Impacts Sch129'!U34</f>
        <v>-3.4043948216044839E-17</v>
      </c>
    </row>
    <row r="38" spans="2:14" s="101" customFormat="1" x14ac:dyDescent="0.25">
      <c r="B38" s="105" t="s">
        <v>161</v>
      </c>
      <c r="C38" s="105"/>
      <c r="D38" s="114">
        <f t="shared" si="4"/>
        <v>5033564</v>
      </c>
      <c r="E38" s="115">
        <f t="shared" si="4"/>
        <v>2930122.1987837539</v>
      </c>
      <c r="F38" s="341">
        <f t="shared" si="5"/>
        <v>0.58211680606102434</v>
      </c>
      <c r="G38" s="118"/>
      <c r="H38" s="114">
        <f t="shared" si="6"/>
        <v>5033564</v>
      </c>
      <c r="I38" s="115">
        <f t="shared" si="6"/>
        <v>2931984.617463754</v>
      </c>
      <c r="J38" s="341">
        <f t="shared" si="7"/>
        <v>0.58248680606102432</v>
      </c>
      <c r="K38" s="120"/>
      <c r="L38" s="86">
        <f t="shared" si="8"/>
        <v>6.3561126589641167E-4</v>
      </c>
      <c r="M38" s="119"/>
      <c r="N38" s="489">
        <f>L38-'Rate Impacts Sch129'!U35</f>
        <v>4.0657581468206416E-17</v>
      </c>
    </row>
    <row r="39" spans="2:14" s="101" customFormat="1" x14ac:dyDescent="0.25">
      <c r="B39" s="93" t="s">
        <v>162</v>
      </c>
      <c r="C39" s="93"/>
      <c r="D39" s="114">
        <f t="shared" si="4"/>
        <v>106439146</v>
      </c>
      <c r="E39" s="115">
        <f t="shared" si="4"/>
        <v>9822074.9739390053</v>
      </c>
      <c r="F39" s="341">
        <f t="shared" si="5"/>
        <v>9.2278784103914227E-2</v>
      </c>
      <c r="G39" s="118"/>
      <c r="H39" s="114">
        <f t="shared" si="6"/>
        <v>106439146</v>
      </c>
      <c r="I39" s="115">
        <f t="shared" si="6"/>
        <v>9828487.6406392138</v>
      </c>
      <c r="J39" s="341">
        <f t="shared" si="7"/>
        <v>9.2339031362006732E-2</v>
      </c>
      <c r="K39" s="120"/>
      <c r="L39" s="86">
        <f t="shared" si="8"/>
        <v>6.5288309417545101E-4</v>
      </c>
      <c r="M39" s="119"/>
      <c r="N39" s="489">
        <f>L39-'Rate Impacts Sch129'!U36</f>
        <v>1.9797531669585311E-16</v>
      </c>
    </row>
    <row r="40" spans="2:14" s="101" customFormat="1" x14ac:dyDescent="0.25">
      <c r="B40" s="93" t="s">
        <v>155</v>
      </c>
      <c r="C40" s="93"/>
      <c r="D40" s="114">
        <f>D23</f>
        <v>32377372</v>
      </c>
      <c r="E40" s="115">
        <f>E23</f>
        <v>1524381.8024505114</v>
      </c>
      <c r="F40" s="341">
        <f t="shared" si="5"/>
        <v>4.7081702691945206E-2</v>
      </c>
      <c r="G40" s="118"/>
      <c r="H40" s="114">
        <f>H23</f>
        <v>32377372</v>
      </c>
      <c r="I40" s="115">
        <f>I23</f>
        <v>1524381.8024505114</v>
      </c>
      <c r="J40" s="341">
        <f t="shared" si="7"/>
        <v>4.7081702691945206E-2</v>
      </c>
      <c r="K40" s="120"/>
      <c r="L40" s="86">
        <f t="shared" si="8"/>
        <v>0</v>
      </c>
      <c r="M40" s="119"/>
      <c r="N40" s="489">
        <f>L40-'Rate Impacts Sch129'!U37</f>
        <v>0</v>
      </c>
    </row>
    <row r="41" spans="2:14" s="101" customFormat="1" x14ac:dyDescent="0.25">
      <c r="B41" s="93" t="s">
        <v>1</v>
      </c>
      <c r="C41" s="93"/>
      <c r="D41" s="499">
        <f>SUM(D34:D40)</f>
        <v>1172581221</v>
      </c>
      <c r="E41" s="342">
        <f>SUM(E34:E40)</f>
        <v>906863198.49082184</v>
      </c>
      <c r="F41" s="500">
        <f>E41/D41</f>
        <v>0.77339051849852358</v>
      </c>
      <c r="G41" s="118"/>
      <c r="H41" s="499">
        <f>SUM(H34:H40)</f>
        <v>1172581221</v>
      </c>
      <c r="I41" s="342">
        <f>SUM(I34:I40)</f>
        <v>907575743.20644283</v>
      </c>
      <c r="J41" s="500">
        <f>I41/H41</f>
        <v>0.77399819044726359</v>
      </c>
      <c r="K41" s="120"/>
      <c r="L41" s="92">
        <f t="shared" si="8"/>
        <v>7.8572459088293905E-4</v>
      </c>
      <c r="M41" s="119"/>
      <c r="N41" s="489">
        <f>L41-'Rate Impacts Sch129'!U38</f>
        <v>-1.3888629829539312E-16</v>
      </c>
    </row>
    <row r="42" spans="2:14" s="101" customFormat="1" x14ac:dyDescent="0.25">
      <c r="B42" s="93"/>
      <c r="C42" s="93"/>
      <c r="D42" s="93"/>
      <c r="E42" s="93"/>
      <c r="F42" s="115"/>
      <c r="G42" s="118"/>
      <c r="H42" s="93"/>
      <c r="I42" s="93"/>
      <c r="J42" s="115"/>
      <c r="K42" s="120"/>
      <c r="L42" s="343"/>
      <c r="M42" s="119"/>
      <c r="N42" s="489"/>
    </row>
    <row r="43" spans="2:14" s="101" customFormat="1" x14ac:dyDescent="0.25">
      <c r="B43" s="93" t="s">
        <v>163</v>
      </c>
      <c r="C43" s="93"/>
      <c r="D43" s="501">
        <f>D29</f>
        <v>279322</v>
      </c>
      <c r="E43" s="344">
        <f>E29</f>
        <v>4445422.8938068077</v>
      </c>
      <c r="F43" s="502">
        <f>E43/D43</f>
        <v>15.915047485721882</v>
      </c>
      <c r="G43" s="118"/>
      <c r="H43" s="501">
        <f>H29</f>
        <v>279322</v>
      </c>
      <c r="I43" s="344">
        <f>I29</f>
        <v>4445422.8938068077</v>
      </c>
      <c r="J43" s="502">
        <f>I43/H43</f>
        <v>15.915047485721882</v>
      </c>
      <c r="K43" s="120"/>
      <c r="L43" s="86">
        <f t="shared" ref="L43" si="9">(J43-F43)/F43</f>
        <v>0</v>
      </c>
      <c r="M43" s="119"/>
      <c r="N43" s="489">
        <f>L43-'Rate Impacts Sch129'!U40</f>
        <v>0</v>
      </c>
    </row>
    <row r="44" spans="2:14" s="108" customFormat="1" x14ac:dyDescent="0.25">
      <c r="B44" s="105" t="s">
        <v>0</v>
      </c>
      <c r="C44" s="105"/>
      <c r="D44" s="105"/>
      <c r="E44" s="342">
        <f>E41+E43</f>
        <v>911308621.38462865</v>
      </c>
      <c r="F44" s="123"/>
      <c r="G44" s="118"/>
      <c r="H44" s="105"/>
      <c r="I44" s="342">
        <f>I41+I43</f>
        <v>912021166.10024965</v>
      </c>
      <c r="J44" s="123"/>
      <c r="K44" s="120"/>
      <c r="L44" s="92">
        <f>(I44-E44)/E44</f>
        <v>7.8189177508094327E-4</v>
      </c>
      <c r="M44" s="118"/>
      <c r="N44" s="489">
        <f>L44-'Rate Impacts Sch129'!U41</f>
        <v>-1.3823577699190182E-16</v>
      </c>
    </row>
    <row r="45" spans="2:14" s="101" customFormat="1" x14ac:dyDescent="0.25">
      <c r="B45" s="108"/>
      <c r="C45" s="108"/>
      <c r="D45" s="108"/>
      <c r="E45" s="108"/>
      <c r="F45" s="108"/>
      <c r="G45" s="108"/>
      <c r="J45" s="119"/>
      <c r="K45" s="119"/>
    </row>
    <row r="46" spans="2:14" x14ac:dyDescent="0.25">
      <c r="B46" s="105" t="s">
        <v>404</v>
      </c>
      <c r="F46" s="109"/>
      <c r="I46" s="125"/>
      <c r="K46" s="332"/>
    </row>
    <row r="47" spans="2:14" x14ac:dyDescent="0.25">
      <c r="F47" s="109"/>
    </row>
    <row r="48" spans="2:14" x14ac:dyDescent="0.25">
      <c r="B48" s="345"/>
    </row>
  </sheetData>
  <mergeCells count="6">
    <mergeCell ref="B1:L1"/>
    <mergeCell ref="B2:L2"/>
    <mergeCell ref="B3:L3"/>
    <mergeCell ref="B4:L4"/>
    <mergeCell ref="D6:F6"/>
    <mergeCell ref="H6:J6"/>
  </mergeCells>
  <printOptions horizontalCentered="1"/>
  <pageMargins left="0.7" right="0.7" top="0.75" bottom="0.75" header="0.3" footer="0.3"/>
  <pageSetup scale="70" orientation="landscape" blackAndWhite="1" r:id="rId1"/>
  <headerFooter>
    <oddFooter>&amp;L&amp;F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pane ySplit="8" topLeftCell="A9" activePane="bottomLeft" state="frozen"/>
      <selection activeCell="K33" sqref="K33"/>
      <selection pane="bottomLeft" activeCell="L25" sqref="L25"/>
    </sheetView>
  </sheetViews>
  <sheetFormatPr defaultColWidth="9.140625" defaultRowHeight="15" x14ac:dyDescent="0.25"/>
  <cols>
    <col min="1" max="1" width="3.5703125" style="249" customWidth="1"/>
    <col min="2" max="2" width="19.85546875" style="249" customWidth="1"/>
    <col min="3" max="3" width="8.7109375" style="249" bestFit="1" customWidth="1"/>
    <col min="4" max="4" width="18.5703125" style="249" bestFit="1" customWidth="1"/>
    <col min="5" max="5" width="13.7109375" style="249" customWidth="1"/>
    <col min="6" max="6" width="13.7109375" style="278" customWidth="1"/>
    <col min="7" max="9" width="14.42578125" style="249" customWidth="1"/>
    <col min="10" max="10" width="8.28515625" style="249" customWidth="1"/>
    <col min="11" max="11" width="11.85546875" style="249" bestFit="1" customWidth="1"/>
    <col min="12" max="12" width="11.28515625" style="249" bestFit="1" customWidth="1"/>
    <col min="13" max="13" width="10.5703125" style="249" customWidth="1"/>
    <col min="14" max="16384" width="9.140625" style="249"/>
  </cols>
  <sheetData>
    <row r="1" spans="1:10" ht="15" customHeight="1" x14ac:dyDescent="0.25">
      <c r="A1" s="527" t="s">
        <v>13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ht="15" customHeight="1" x14ac:dyDescent="0.25">
      <c r="A2" s="527" t="s">
        <v>405</v>
      </c>
      <c r="B2" s="527"/>
      <c r="C2" s="527"/>
      <c r="D2" s="527"/>
      <c r="E2" s="527"/>
      <c r="F2" s="527"/>
      <c r="G2" s="527"/>
      <c r="H2" s="527"/>
      <c r="I2" s="527"/>
      <c r="J2" s="527"/>
    </row>
    <row r="3" spans="1:10" ht="15" customHeight="1" x14ac:dyDescent="0.25">
      <c r="A3" s="527" t="s">
        <v>406</v>
      </c>
      <c r="B3" s="527"/>
      <c r="C3" s="527"/>
      <c r="D3" s="527"/>
      <c r="E3" s="527"/>
      <c r="F3" s="527"/>
      <c r="G3" s="527"/>
      <c r="H3" s="527"/>
      <c r="I3" s="527"/>
      <c r="J3" s="527"/>
    </row>
    <row r="4" spans="1:10" ht="15" customHeight="1" x14ac:dyDescent="0.25">
      <c r="A4" s="528" t="s">
        <v>356</v>
      </c>
      <c r="B4" s="528"/>
      <c r="C4" s="528"/>
      <c r="D4" s="528"/>
      <c r="E4" s="528"/>
      <c r="F4" s="528"/>
      <c r="G4" s="528"/>
      <c r="H4" s="528"/>
      <c r="I4" s="528"/>
      <c r="J4" s="528"/>
    </row>
    <row r="6" spans="1:10" x14ac:dyDescent="0.25">
      <c r="D6" s="327" t="s">
        <v>108</v>
      </c>
      <c r="E6" s="474"/>
      <c r="F6" s="477"/>
      <c r="G6" s="474" t="s">
        <v>108</v>
      </c>
      <c r="H6" s="474" t="s">
        <v>108</v>
      </c>
      <c r="I6" s="474" t="s">
        <v>110</v>
      </c>
    </row>
    <row r="7" spans="1:10" x14ac:dyDescent="0.25">
      <c r="C7" s="474" t="s">
        <v>12</v>
      </c>
      <c r="D7" s="327" t="s">
        <v>112</v>
      </c>
      <c r="E7" s="474" t="s">
        <v>204</v>
      </c>
      <c r="F7" s="477" t="s">
        <v>28</v>
      </c>
      <c r="G7" s="474" t="s">
        <v>6</v>
      </c>
      <c r="H7" s="474" t="s">
        <v>6</v>
      </c>
      <c r="I7" s="474" t="s">
        <v>6</v>
      </c>
      <c r="J7" s="327" t="s">
        <v>117</v>
      </c>
    </row>
    <row r="8" spans="1:10" x14ac:dyDescent="0.25">
      <c r="A8" s="529" t="s">
        <v>27</v>
      </c>
      <c r="B8" s="529"/>
      <c r="C8" s="131" t="s">
        <v>7</v>
      </c>
      <c r="D8" s="503" t="str">
        <f>'Rate Impacts Sch129'!$S$7</f>
        <v>12ME Sept. 2021</v>
      </c>
      <c r="E8" s="131" t="s">
        <v>188</v>
      </c>
      <c r="F8" s="209" t="s">
        <v>12</v>
      </c>
      <c r="G8" s="131" t="s">
        <v>166</v>
      </c>
      <c r="H8" s="131" t="s">
        <v>342</v>
      </c>
      <c r="I8" s="131" t="s">
        <v>122</v>
      </c>
      <c r="J8" s="479" t="s">
        <v>122</v>
      </c>
    </row>
    <row r="9" spans="1:10" x14ac:dyDescent="0.25">
      <c r="A9" s="249" t="s">
        <v>5</v>
      </c>
      <c r="C9" s="474" t="s">
        <v>26</v>
      </c>
      <c r="D9" s="174">
        <v>623630491</v>
      </c>
      <c r="E9" s="155">
        <v>6.1900000000000002E-3</v>
      </c>
      <c r="F9" s="504">
        <f>Rates!$J$9</f>
        <v>7.0099999999999997E-3</v>
      </c>
      <c r="G9" s="156">
        <f>D9*(E9)</f>
        <v>3860272.7392899999</v>
      </c>
      <c r="H9" s="156">
        <f>D9*(F9)</f>
        <v>4371649.7419099994</v>
      </c>
      <c r="I9" s="505">
        <f>H9-G9</f>
        <v>511377.00261999946</v>
      </c>
      <c r="J9" s="149">
        <f>I9/G9</f>
        <v>0.13247172859450712</v>
      </c>
    </row>
    <row r="10" spans="1:10" x14ac:dyDescent="0.25">
      <c r="C10" s="474"/>
      <c r="D10" s="174"/>
      <c r="E10" s="155"/>
      <c r="F10" s="504"/>
      <c r="G10" s="156"/>
      <c r="H10" s="156"/>
      <c r="I10" s="505"/>
    </row>
    <row r="11" spans="1:10" x14ac:dyDescent="0.25">
      <c r="A11" s="249" t="s">
        <v>25</v>
      </c>
      <c r="C11" s="474">
        <v>31</v>
      </c>
      <c r="D11" s="524">
        <v>234224852</v>
      </c>
      <c r="E11" s="155">
        <v>4.9300000000000004E-3</v>
      </c>
      <c r="F11" s="504">
        <f>Rates!$J$11</f>
        <v>5.5599999999999998E-3</v>
      </c>
      <c r="G11" s="156">
        <f>D11*(E11)</f>
        <v>1154728.5203600002</v>
      </c>
      <c r="H11" s="156">
        <f>D11*(F11)</f>
        <v>1302290.1771199999</v>
      </c>
      <c r="I11" s="505">
        <f t="shared" ref="I11:I47" si="0">H11-G11</f>
        <v>147561.65675999969</v>
      </c>
      <c r="J11" s="149">
        <f t="shared" ref="J11:J12" si="1">I11/G11</f>
        <v>0.12778904665314372</v>
      </c>
    </row>
    <row r="12" spans="1:10" x14ac:dyDescent="0.25">
      <c r="A12" s="249" t="s">
        <v>25</v>
      </c>
      <c r="C12" s="474" t="s">
        <v>148</v>
      </c>
      <c r="D12" s="524">
        <v>22597</v>
      </c>
      <c r="E12" s="155">
        <v>4.9300000000000004E-3</v>
      </c>
      <c r="F12" s="504">
        <f>Rates!$J$11</f>
        <v>5.5599999999999998E-3</v>
      </c>
      <c r="G12" s="156">
        <f>D12*(E12)</f>
        <v>111.40321</v>
      </c>
      <c r="H12" s="156">
        <f>D12*(F12)</f>
        <v>125.63932</v>
      </c>
      <c r="I12" s="505">
        <f t="shared" si="0"/>
        <v>14.236109999999996</v>
      </c>
      <c r="J12" s="149">
        <f t="shared" si="1"/>
        <v>0.12778904665314397</v>
      </c>
    </row>
    <row r="13" spans="1:10" x14ac:dyDescent="0.25">
      <c r="C13" s="474"/>
      <c r="D13" s="174"/>
      <c r="E13" s="155"/>
      <c r="F13" s="504"/>
      <c r="G13" s="156"/>
      <c r="H13" s="156"/>
      <c r="I13" s="505"/>
    </row>
    <row r="14" spans="1:10" x14ac:dyDescent="0.25">
      <c r="A14" s="249" t="s">
        <v>24</v>
      </c>
      <c r="C14" s="474">
        <v>41</v>
      </c>
      <c r="D14" s="524">
        <v>65541880</v>
      </c>
      <c r="E14" s="155">
        <v>2.6900000000000001E-3</v>
      </c>
      <c r="F14" s="504">
        <f>Rates!$J$13</f>
        <v>3.0500000000000002E-3</v>
      </c>
      <c r="G14" s="156">
        <f>D14*(E14)</f>
        <v>176307.65720000002</v>
      </c>
      <c r="H14" s="156">
        <f>D14*(F14)</f>
        <v>199902.73400000003</v>
      </c>
      <c r="I14" s="505">
        <f t="shared" si="0"/>
        <v>23595.07680000001</v>
      </c>
      <c r="J14" s="149">
        <f t="shared" ref="J14:J15" si="2">I14/G14</f>
        <v>0.13382899628252792</v>
      </c>
    </row>
    <row r="15" spans="1:10" x14ac:dyDescent="0.25">
      <c r="A15" s="249" t="s">
        <v>24</v>
      </c>
      <c r="C15" s="474" t="s">
        <v>150</v>
      </c>
      <c r="D15" s="525">
        <v>23460839</v>
      </c>
      <c r="E15" s="155">
        <v>2.6900000000000001E-3</v>
      </c>
      <c r="F15" s="504">
        <f>Rates!$J$13</f>
        <v>3.0500000000000002E-3</v>
      </c>
      <c r="G15" s="156">
        <f>D15*(E15)</f>
        <v>63109.656910000005</v>
      </c>
      <c r="H15" s="156">
        <f>D15*(F15)</f>
        <v>71555.558950000006</v>
      </c>
      <c r="I15" s="505">
        <f t="shared" si="0"/>
        <v>8445.9020400000009</v>
      </c>
      <c r="J15" s="149">
        <f t="shared" si="2"/>
        <v>0.1338289962825279</v>
      </c>
    </row>
    <row r="16" spans="1:10" x14ac:dyDescent="0.25">
      <c r="C16" s="474"/>
      <c r="D16" s="174"/>
      <c r="E16" s="155"/>
      <c r="F16" s="504"/>
      <c r="G16" s="156"/>
      <c r="H16" s="156"/>
      <c r="I16" s="505"/>
    </row>
    <row r="17" spans="1:10" x14ac:dyDescent="0.25">
      <c r="A17" s="249" t="s">
        <v>4</v>
      </c>
      <c r="C17" s="474">
        <v>85</v>
      </c>
      <c r="D17" s="174"/>
      <c r="E17" s="155"/>
      <c r="F17" s="504"/>
      <c r="G17" s="156"/>
      <c r="H17" s="156"/>
      <c r="I17" s="505"/>
    </row>
    <row r="18" spans="1:10" x14ac:dyDescent="0.25">
      <c r="B18" s="249" t="s">
        <v>19</v>
      </c>
      <c r="C18" s="474"/>
      <c r="D18" s="174">
        <v>4711279.0436972585</v>
      </c>
      <c r="E18" s="507">
        <v>1.72E-3</v>
      </c>
      <c r="F18" s="504">
        <f>Rates!J16</f>
        <v>1.9599999999999999E-3</v>
      </c>
      <c r="G18" s="156">
        <f t="shared" ref="G18:G47" si="3">D18*(E18)</f>
        <v>8103.3999551592842</v>
      </c>
      <c r="H18" s="156">
        <f t="shared" ref="H18:H47" si="4">D18*(F18)</f>
        <v>9234.1069256466271</v>
      </c>
      <c r="I18" s="505">
        <f t="shared" si="0"/>
        <v>1130.7069704873429</v>
      </c>
      <c r="J18" s="149">
        <f t="shared" ref="J18:J21" si="5">I18/G18</f>
        <v>0.13953488372093034</v>
      </c>
    </row>
    <row r="19" spans="1:10" x14ac:dyDescent="0.25">
      <c r="B19" s="249" t="s">
        <v>18</v>
      </c>
      <c r="C19" s="474"/>
      <c r="D19" s="174">
        <v>2587799.8261029245</v>
      </c>
      <c r="E19" s="507">
        <v>1.06E-3</v>
      </c>
      <c r="F19" s="504">
        <f>Rates!J17</f>
        <v>1.2099999999999999E-3</v>
      </c>
      <c r="G19" s="156">
        <f t="shared" si="3"/>
        <v>2743.0678156691001</v>
      </c>
      <c r="H19" s="156">
        <f t="shared" si="4"/>
        <v>3131.2377895845384</v>
      </c>
      <c r="I19" s="505">
        <f t="shared" si="0"/>
        <v>388.16997391543828</v>
      </c>
      <c r="J19" s="149">
        <f t="shared" si="5"/>
        <v>0.14150943396226401</v>
      </c>
    </row>
    <row r="20" spans="1:10" x14ac:dyDescent="0.25">
      <c r="B20" s="249" t="s">
        <v>23</v>
      </c>
      <c r="C20" s="474"/>
      <c r="D20" s="174">
        <v>2555307.130199817</v>
      </c>
      <c r="E20" s="507">
        <v>6.0999999999999997E-4</v>
      </c>
      <c r="F20" s="504">
        <f>Rates!J18</f>
        <v>6.9999999999999999E-4</v>
      </c>
      <c r="G20" s="156">
        <f t="shared" si="3"/>
        <v>1558.7373494218882</v>
      </c>
      <c r="H20" s="156">
        <f t="shared" si="4"/>
        <v>1788.7149911398719</v>
      </c>
      <c r="I20" s="505">
        <f t="shared" si="0"/>
        <v>229.97764171798372</v>
      </c>
      <c r="J20" s="149">
        <f t="shared" si="5"/>
        <v>0.14754098360655751</v>
      </c>
    </row>
    <row r="21" spans="1:10" x14ac:dyDescent="0.25">
      <c r="B21" s="249" t="s">
        <v>0</v>
      </c>
      <c r="C21" s="474"/>
      <c r="D21" s="281">
        <f>SUM(D18:D20)</f>
        <v>9854386</v>
      </c>
      <c r="E21" s="155"/>
      <c r="F21" s="504"/>
      <c r="G21" s="508">
        <f>SUM(G18:G20)</f>
        <v>12405.205120250273</v>
      </c>
      <c r="H21" s="508">
        <f t="shared" ref="H21:I21" si="6">SUM(H18:H20)</f>
        <v>14154.059706371037</v>
      </c>
      <c r="I21" s="508">
        <f t="shared" si="6"/>
        <v>1748.8545861207649</v>
      </c>
      <c r="J21" s="509">
        <f t="shared" si="5"/>
        <v>0.14097748236874635</v>
      </c>
    </row>
    <row r="22" spans="1:10" x14ac:dyDescent="0.25">
      <c r="C22" s="474"/>
      <c r="D22" s="506"/>
      <c r="E22" s="155"/>
      <c r="F22" s="504"/>
      <c r="G22" s="156"/>
      <c r="H22" s="156"/>
      <c r="I22" s="505"/>
    </row>
    <row r="23" spans="1:10" x14ac:dyDescent="0.25">
      <c r="A23" s="249" t="s">
        <v>4</v>
      </c>
      <c r="C23" s="474">
        <v>86</v>
      </c>
      <c r="D23" s="524">
        <v>4833560</v>
      </c>
      <c r="E23" s="155">
        <v>2.5899999999999999E-3</v>
      </c>
      <c r="F23" s="504">
        <f>Rates!$J$21</f>
        <v>2.96E-3</v>
      </c>
      <c r="G23" s="156">
        <f t="shared" si="3"/>
        <v>12518.920399999999</v>
      </c>
      <c r="H23" s="156">
        <f t="shared" si="4"/>
        <v>14307.337599999999</v>
      </c>
      <c r="I23" s="505">
        <f t="shared" si="0"/>
        <v>1788.4171999999999</v>
      </c>
      <c r="J23" s="149">
        <f t="shared" ref="J23:J24" si="7">I23/G23</f>
        <v>0.14285714285714285</v>
      </c>
    </row>
    <row r="24" spans="1:10" x14ac:dyDescent="0.25">
      <c r="A24" s="249" t="s">
        <v>4</v>
      </c>
      <c r="C24" s="474" t="s">
        <v>153</v>
      </c>
      <c r="D24" s="525">
        <v>200004</v>
      </c>
      <c r="E24" s="155">
        <v>2.5899999999999999E-3</v>
      </c>
      <c r="F24" s="504">
        <f>Rates!$J$21</f>
        <v>2.96E-3</v>
      </c>
      <c r="G24" s="156">
        <f t="shared" si="3"/>
        <v>518.01035999999999</v>
      </c>
      <c r="H24" s="156">
        <f t="shared" si="4"/>
        <v>592.01184000000001</v>
      </c>
      <c r="I24" s="505">
        <f t="shared" si="0"/>
        <v>74.001480000000015</v>
      </c>
      <c r="J24" s="149">
        <f t="shared" si="7"/>
        <v>0.14285714285714288</v>
      </c>
    </row>
    <row r="25" spans="1:10" x14ac:dyDescent="0.25">
      <c r="C25" s="474"/>
      <c r="D25" s="174"/>
      <c r="E25" s="155"/>
      <c r="F25" s="504"/>
      <c r="G25" s="156"/>
      <c r="H25" s="156"/>
      <c r="I25" s="505"/>
    </row>
    <row r="26" spans="1:10" x14ac:dyDescent="0.25">
      <c r="A26" s="249" t="s">
        <v>4</v>
      </c>
      <c r="C26" s="474">
        <v>87</v>
      </c>
      <c r="D26" s="174"/>
      <c r="E26" s="155"/>
      <c r="F26" s="504"/>
      <c r="G26" s="156"/>
      <c r="H26" s="156"/>
      <c r="I26" s="505"/>
    </row>
    <row r="27" spans="1:10" x14ac:dyDescent="0.25">
      <c r="B27" s="249" t="s">
        <v>19</v>
      </c>
      <c r="C27" s="474"/>
      <c r="D27" s="174">
        <v>931369.16121826961</v>
      </c>
      <c r="E27" s="507">
        <v>1.72E-3</v>
      </c>
      <c r="F27" s="504">
        <f>Rates!J24</f>
        <v>1.9599999999999999E-3</v>
      </c>
      <c r="G27" s="156">
        <f t="shared" si="3"/>
        <v>1601.9549572954236</v>
      </c>
      <c r="H27" s="156">
        <f t="shared" si="4"/>
        <v>1825.4835559878084</v>
      </c>
      <c r="I27" s="505">
        <f t="shared" si="0"/>
        <v>223.52859869238478</v>
      </c>
      <c r="J27" s="149">
        <f t="shared" ref="J27:J33" si="8">I27/G27</f>
        <v>0.13953488372093029</v>
      </c>
    </row>
    <row r="28" spans="1:10" x14ac:dyDescent="0.25">
      <c r="B28" s="249" t="s">
        <v>18</v>
      </c>
      <c r="C28" s="474"/>
      <c r="D28" s="174">
        <v>901802.46743146295</v>
      </c>
      <c r="E28" s="507">
        <v>1.06E-3</v>
      </c>
      <c r="F28" s="504">
        <f>Rates!J25</f>
        <v>1.2099999999999999E-3</v>
      </c>
      <c r="G28" s="156">
        <f t="shared" si="3"/>
        <v>955.91061547735069</v>
      </c>
      <c r="H28" s="156">
        <f t="shared" si="4"/>
        <v>1091.1809855920701</v>
      </c>
      <c r="I28" s="505">
        <f t="shared" si="0"/>
        <v>135.27037011471941</v>
      </c>
      <c r="J28" s="149">
        <f t="shared" si="8"/>
        <v>0.14150943396226412</v>
      </c>
    </row>
    <row r="29" spans="1:10" x14ac:dyDescent="0.25">
      <c r="B29" s="249" t="s">
        <v>17</v>
      </c>
      <c r="C29" s="474"/>
      <c r="D29" s="174">
        <v>1635887.9723098748</v>
      </c>
      <c r="E29" s="507">
        <v>6.9999999999999999E-4</v>
      </c>
      <c r="F29" s="504">
        <f>Rates!J26</f>
        <v>8.0000000000000004E-4</v>
      </c>
      <c r="G29" s="156">
        <f t="shared" si="3"/>
        <v>1145.1215806169123</v>
      </c>
      <c r="H29" s="156">
        <f t="shared" si="4"/>
        <v>1308.7103778479</v>
      </c>
      <c r="I29" s="505">
        <f t="shared" si="0"/>
        <v>163.58879723098767</v>
      </c>
      <c r="J29" s="149">
        <f t="shared" si="8"/>
        <v>0.14285714285714302</v>
      </c>
    </row>
    <row r="30" spans="1:10" x14ac:dyDescent="0.25">
      <c r="B30" s="249" t="s">
        <v>16</v>
      </c>
      <c r="C30" s="474"/>
      <c r="D30" s="174">
        <v>1998830.3693131111</v>
      </c>
      <c r="E30" s="507">
        <v>4.6999999999999999E-4</v>
      </c>
      <c r="F30" s="504">
        <f>Rates!J27</f>
        <v>5.4000000000000001E-4</v>
      </c>
      <c r="G30" s="156">
        <f t="shared" si="3"/>
        <v>939.45027357716219</v>
      </c>
      <c r="H30" s="156">
        <f t="shared" si="4"/>
        <v>1079.36839942908</v>
      </c>
      <c r="I30" s="505">
        <f t="shared" si="0"/>
        <v>139.91812585191781</v>
      </c>
      <c r="J30" s="149">
        <f t="shared" si="8"/>
        <v>0.14893617021276601</v>
      </c>
    </row>
    <row r="31" spans="1:10" x14ac:dyDescent="0.25">
      <c r="B31" s="249" t="s">
        <v>15</v>
      </c>
      <c r="C31" s="474"/>
      <c r="D31" s="174">
        <v>2329236.9696270796</v>
      </c>
      <c r="E31" s="507">
        <v>3.6000000000000002E-4</v>
      </c>
      <c r="F31" s="504">
        <f>Rates!J28</f>
        <v>4.0999999999999999E-4</v>
      </c>
      <c r="G31" s="156">
        <f t="shared" si="3"/>
        <v>838.52530906574873</v>
      </c>
      <c r="H31" s="156">
        <f t="shared" si="4"/>
        <v>954.98715754710258</v>
      </c>
      <c r="I31" s="505">
        <f t="shared" si="0"/>
        <v>116.46184848135385</v>
      </c>
      <c r="J31" s="149">
        <f t="shared" si="8"/>
        <v>0.13888888888888873</v>
      </c>
    </row>
    <row r="32" spans="1:10" x14ac:dyDescent="0.25">
      <c r="B32" s="249" t="s">
        <v>21</v>
      </c>
      <c r="C32" s="474"/>
      <c r="D32" s="174">
        <v>6621641.0601002024</v>
      </c>
      <c r="E32" s="507">
        <v>2.9E-4</v>
      </c>
      <c r="F32" s="504">
        <f>Rates!J29</f>
        <v>3.3E-4</v>
      </c>
      <c r="G32" s="156">
        <f t="shared" si="3"/>
        <v>1920.2759074290586</v>
      </c>
      <c r="H32" s="156">
        <f t="shared" si="4"/>
        <v>2185.1415498330666</v>
      </c>
      <c r="I32" s="505">
        <f t="shared" si="0"/>
        <v>264.86564240400799</v>
      </c>
      <c r="J32" s="149">
        <f t="shared" si="8"/>
        <v>0.13793103448275856</v>
      </c>
    </row>
    <row r="33" spans="1:10" x14ac:dyDescent="0.25">
      <c r="B33" s="249" t="s">
        <v>0</v>
      </c>
      <c r="C33" s="474"/>
      <c r="D33" s="281">
        <f>SUM(D27:D32)</f>
        <v>14418768</v>
      </c>
      <c r="E33" s="155"/>
      <c r="F33" s="504"/>
      <c r="G33" s="508">
        <f>SUM(G27:G32)</f>
        <v>7401.2386434616565</v>
      </c>
      <c r="H33" s="508">
        <f t="shared" ref="H33:I33" si="9">SUM(H27:H32)</f>
        <v>8444.872026237028</v>
      </c>
      <c r="I33" s="508">
        <f t="shared" si="9"/>
        <v>1043.6333827753715</v>
      </c>
      <c r="J33" s="509">
        <f t="shared" si="8"/>
        <v>0.14100793570510387</v>
      </c>
    </row>
    <row r="34" spans="1:10" x14ac:dyDescent="0.25">
      <c r="C34" s="474"/>
      <c r="D34" s="510"/>
      <c r="E34" s="155"/>
      <c r="F34" s="504"/>
      <c r="G34" s="156"/>
      <c r="H34" s="156"/>
      <c r="I34" s="505"/>
      <c r="J34" s="511"/>
    </row>
    <row r="35" spans="1:10" x14ac:dyDescent="0.25">
      <c r="A35" s="249" t="s">
        <v>22</v>
      </c>
      <c r="C35" s="474" t="s">
        <v>3</v>
      </c>
      <c r="D35" s="510"/>
      <c r="E35" s="155"/>
      <c r="F35" s="504"/>
      <c r="G35" s="156"/>
      <c r="H35" s="156"/>
      <c r="I35" s="505"/>
      <c r="J35" s="511"/>
    </row>
    <row r="36" spans="1:10" x14ac:dyDescent="0.25">
      <c r="B36" s="249" t="s">
        <v>19</v>
      </c>
      <c r="C36" s="474"/>
      <c r="D36" s="524">
        <v>26500545.836868864</v>
      </c>
      <c r="E36" s="507">
        <v>1.72E-3</v>
      </c>
      <c r="F36" s="504">
        <f>Rates!J33</f>
        <v>1.9599999999999999E-3</v>
      </c>
      <c r="G36" s="156">
        <f t="shared" si="3"/>
        <v>45580.938839414441</v>
      </c>
      <c r="H36" s="156">
        <f t="shared" si="4"/>
        <v>51941.069840262971</v>
      </c>
      <c r="I36" s="505">
        <f t="shared" si="0"/>
        <v>6360.1310008485307</v>
      </c>
      <c r="J36" s="149">
        <f t="shared" ref="J36:J39" si="10">I36/G36</f>
        <v>0.13953488372093031</v>
      </c>
    </row>
    <row r="37" spans="1:10" x14ac:dyDescent="0.25">
      <c r="B37" s="249" t="s">
        <v>18</v>
      </c>
      <c r="C37" s="474"/>
      <c r="D37" s="524">
        <v>17883115.487728577</v>
      </c>
      <c r="E37" s="507">
        <v>1.06E-3</v>
      </c>
      <c r="F37" s="504">
        <f>Rates!J34</f>
        <v>1.2099999999999999E-3</v>
      </c>
      <c r="G37" s="156">
        <f t="shared" si="3"/>
        <v>18956.102416992289</v>
      </c>
      <c r="H37" s="156">
        <f t="shared" si="4"/>
        <v>21638.569740151575</v>
      </c>
      <c r="I37" s="505">
        <f t="shared" si="0"/>
        <v>2682.467323159286</v>
      </c>
      <c r="J37" s="149">
        <f t="shared" si="10"/>
        <v>0.14150943396226415</v>
      </c>
    </row>
    <row r="38" spans="1:10" x14ac:dyDescent="0.25">
      <c r="B38" s="249" t="s">
        <v>23</v>
      </c>
      <c r="C38" s="474"/>
      <c r="D38" s="524">
        <v>27603366.675402556</v>
      </c>
      <c r="E38" s="507">
        <v>6.0999999999999997E-4</v>
      </c>
      <c r="F38" s="504">
        <f>Rates!J35</f>
        <v>6.9999999999999999E-4</v>
      </c>
      <c r="G38" s="156">
        <f t="shared" si="3"/>
        <v>16838.05367199556</v>
      </c>
      <c r="H38" s="156">
        <f t="shared" si="4"/>
        <v>19322.356672781789</v>
      </c>
      <c r="I38" s="505">
        <f t="shared" si="0"/>
        <v>2484.3030007862289</v>
      </c>
      <c r="J38" s="149">
        <f t="shared" si="10"/>
        <v>0.14754098360655732</v>
      </c>
    </row>
    <row r="39" spans="1:10" x14ac:dyDescent="0.25">
      <c r="B39" s="249" t="s">
        <v>0</v>
      </c>
      <c r="C39" s="474"/>
      <c r="D39" s="281">
        <f>SUM(D36:D38)</f>
        <v>71987028</v>
      </c>
      <c r="E39" s="155"/>
      <c r="F39" s="504"/>
      <c r="G39" s="508">
        <f>SUM(G36:G38)</f>
        <v>81375.094928402294</v>
      </c>
      <c r="H39" s="508">
        <f t="shared" ref="H39:I39" si="11">SUM(H36:H38)</f>
        <v>92901.996253196325</v>
      </c>
      <c r="I39" s="508">
        <f t="shared" si="11"/>
        <v>11526.901324794046</v>
      </c>
      <c r="J39" s="509">
        <f t="shared" si="10"/>
        <v>0.1416514639391323</v>
      </c>
    </row>
    <row r="40" spans="1:10" x14ac:dyDescent="0.25">
      <c r="C40" s="474"/>
      <c r="D40" s="510"/>
      <c r="E40" s="155"/>
      <c r="F40" s="504"/>
      <c r="G40" s="156"/>
      <c r="H40" s="156"/>
      <c r="I40" s="505"/>
      <c r="J40" s="511"/>
    </row>
    <row r="41" spans="1:10" x14ac:dyDescent="0.25">
      <c r="A41" s="249" t="s">
        <v>22</v>
      </c>
      <c r="C41" s="474" t="s">
        <v>2</v>
      </c>
      <c r="D41" s="510"/>
      <c r="E41" s="155"/>
      <c r="F41" s="504"/>
      <c r="G41" s="156"/>
      <c r="H41" s="156"/>
      <c r="I41" s="505"/>
    </row>
    <row r="42" spans="1:10" x14ac:dyDescent="0.25">
      <c r="B42" s="249" t="s">
        <v>19</v>
      </c>
      <c r="C42" s="474"/>
      <c r="D42" s="524">
        <v>2657389.783927572</v>
      </c>
      <c r="E42" s="507">
        <v>1.72E-3</v>
      </c>
      <c r="F42" s="504">
        <f>Rates!J39</f>
        <v>1.9599999999999999E-3</v>
      </c>
      <c r="G42" s="156">
        <f t="shared" si="3"/>
        <v>4570.7104283554236</v>
      </c>
      <c r="H42" s="156">
        <f t="shared" si="4"/>
        <v>5208.4839764980406</v>
      </c>
      <c r="I42" s="505">
        <f t="shared" si="0"/>
        <v>637.77354814261707</v>
      </c>
      <c r="J42" s="149">
        <f t="shared" ref="J42:J48" si="12">I42/G42</f>
        <v>0.1395348837209302</v>
      </c>
    </row>
    <row r="43" spans="1:10" x14ac:dyDescent="0.25">
      <c r="B43" s="249" t="s">
        <v>18</v>
      </c>
      <c r="C43" s="474"/>
      <c r="D43" s="524">
        <v>2657389.783927572</v>
      </c>
      <c r="E43" s="507">
        <v>1.06E-3</v>
      </c>
      <c r="F43" s="504">
        <f>Rates!J40</f>
        <v>1.2099999999999999E-3</v>
      </c>
      <c r="G43" s="156">
        <f t="shared" si="3"/>
        <v>2816.8331709632262</v>
      </c>
      <c r="H43" s="156">
        <f t="shared" si="4"/>
        <v>3215.4416385523618</v>
      </c>
      <c r="I43" s="505">
        <f t="shared" si="0"/>
        <v>398.60846758913567</v>
      </c>
      <c r="J43" s="149">
        <f t="shared" si="12"/>
        <v>0.14150943396226412</v>
      </c>
    </row>
    <row r="44" spans="1:10" x14ac:dyDescent="0.25">
      <c r="B44" s="249" t="s">
        <v>17</v>
      </c>
      <c r="C44" s="474"/>
      <c r="D44" s="524">
        <v>5314779.5678551439</v>
      </c>
      <c r="E44" s="507">
        <v>6.9999999999999999E-4</v>
      </c>
      <c r="F44" s="504">
        <f>Rates!J41</f>
        <v>8.0000000000000004E-4</v>
      </c>
      <c r="G44" s="156">
        <f t="shared" si="3"/>
        <v>3720.3456974986007</v>
      </c>
      <c r="H44" s="156">
        <f t="shared" si="4"/>
        <v>4251.823654284115</v>
      </c>
      <c r="I44" s="505">
        <f t="shared" si="0"/>
        <v>531.47795678551438</v>
      </c>
      <c r="J44" s="149">
        <f t="shared" si="12"/>
        <v>0.14285714285714285</v>
      </c>
    </row>
    <row r="45" spans="1:10" x14ac:dyDescent="0.25">
      <c r="B45" s="249" t="s">
        <v>16</v>
      </c>
      <c r="C45" s="474"/>
      <c r="D45" s="524">
        <v>10432905.099031297</v>
      </c>
      <c r="E45" s="507">
        <v>4.6999999999999999E-4</v>
      </c>
      <c r="F45" s="504">
        <f>Rates!J42</f>
        <v>5.4000000000000001E-4</v>
      </c>
      <c r="G45" s="156">
        <f t="shared" si="3"/>
        <v>4903.4653965447096</v>
      </c>
      <c r="H45" s="156">
        <f t="shared" si="4"/>
        <v>5633.7687534769011</v>
      </c>
      <c r="I45" s="505">
        <f t="shared" si="0"/>
        <v>730.30335693219149</v>
      </c>
      <c r="J45" s="149">
        <f t="shared" si="12"/>
        <v>0.14893617021276609</v>
      </c>
    </row>
    <row r="46" spans="1:10" x14ac:dyDescent="0.25">
      <c r="B46" s="249" t="s">
        <v>15</v>
      </c>
      <c r="C46" s="474"/>
      <c r="D46" s="524">
        <v>23255343.737145029</v>
      </c>
      <c r="E46" s="507">
        <v>3.6000000000000002E-4</v>
      </c>
      <c r="F46" s="504">
        <f>Rates!J43</f>
        <v>4.0999999999999999E-4</v>
      </c>
      <c r="G46" s="156">
        <f t="shared" si="3"/>
        <v>8371.9237453722108</v>
      </c>
      <c r="H46" s="156">
        <f t="shared" si="4"/>
        <v>9534.6909322294614</v>
      </c>
      <c r="I46" s="505">
        <f t="shared" si="0"/>
        <v>1162.7671868572506</v>
      </c>
      <c r="J46" s="149">
        <f t="shared" si="12"/>
        <v>0.13888888888888878</v>
      </c>
    </row>
    <row r="47" spans="1:10" x14ac:dyDescent="0.25">
      <c r="B47" s="249" t="s">
        <v>21</v>
      </c>
      <c r="C47" s="474"/>
      <c r="D47" s="524">
        <v>47702570.028113373</v>
      </c>
      <c r="E47" s="507">
        <v>2.9E-4</v>
      </c>
      <c r="F47" s="504">
        <f>Rates!J44</f>
        <v>3.3E-4</v>
      </c>
      <c r="G47" s="156">
        <f t="shared" si="3"/>
        <v>13833.745308152878</v>
      </c>
      <c r="H47" s="156">
        <f t="shared" si="4"/>
        <v>15741.848109277413</v>
      </c>
      <c r="I47" s="505">
        <f t="shared" si="0"/>
        <v>1908.1028011245344</v>
      </c>
      <c r="J47" s="149">
        <f t="shared" si="12"/>
        <v>0.13793103448275859</v>
      </c>
    </row>
    <row r="48" spans="1:10" x14ac:dyDescent="0.25">
      <c r="B48" s="249" t="s">
        <v>0</v>
      </c>
      <c r="C48" s="474"/>
      <c r="D48" s="281">
        <f>SUM(D42:D47)</f>
        <v>92020377.999999985</v>
      </c>
      <c r="E48" s="155"/>
      <c r="F48" s="512"/>
      <c r="G48" s="508">
        <f>SUM(G42:G47)</f>
        <v>38217.023746887047</v>
      </c>
      <c r="H48" s="508">
        <f t="shared" ref="H48:I48" si="13">SUM(H42:H47)</f>
        <v>43586.057064318287</v>
      </c>
      <c r="I48" s="508">
        <f t="shared" si="13"/>
        <v>5369.0333174312436</v>
      </c>
      <c r="J48" s="509">
        <f t="shared" si="12"/>
        <v>0.14048800223142902</v>
      </c>
    </row>
    <row r="49" spans="2:12" x14ac:dyDescent="0.25">
      <c r="D49" s="513"/>
      <c r="E49" s="163"/>
      <c r="F49" s="163"/>
      <c r="G49" s="164"/>
      <c r="H49" s="165"/>
      <c r="I49" s="505"/>
      <c r="J49" s="258"/>
    </row>
    <row r="50" spans="2:12" x14ac:dyDescent="0.25">
      <c r="B50" s="249" t="s">
        <v>0</v>
      </c>
      <c r="D50" s="514">
        <f>D9+D11+D14+D21+D23+D33+D39+D48+D12+D15+D24</f>
        <v>1140194783</v>
      </c>
      <c r="E50" s="155"/>
      <c r="F50" s="512"/>
      <c r="G50" s="91">
        <f>G9+G11+G14+G21+G23+G33+G39+G48+G12+G15+G24</f>
        <v>5406965.4701690031</v>
      </c>
      <c r="H50" s="91">
        <f>H9+H11+H14+H21+H23+H33+H39+H48+H12+H15+H24</f>
        <v>6119510.1857901225</v>
      </c>
      <c r="I50" s="91">
        <f>I9+I11+I14+I21+I23+I33+I39+I48+I12+I15+I24</f>
        <v>712544.71562112065</v>
      </c>
      <c r="J50" s="509">
        <f>I50/G50</f>
        <v>0.13178273831270629</v>
      </c>
    </row>
    <row r="51" spans="2:12" x14ac:dyDescent="0.25">
      <c r="D51" s="258"/>
      <c r="E51" s="258"/>
      <c r="F51" s="251"/>
      <c r="G51" s="258"/>
      <c r="H51" s="258"/>
      <c r="J51" s="511"/>
    </row>
    <row r="52" spans="2:12" x14ac:dyDescent="0.25">
      <c r="D52" s="258"/>
      <c r="E52" s="258"/>
      <c r="F52" s="251"/>
      <c r="G52" s="515"/>
      <c r="H52" s="515"/>
    </row>
    <row r="53" spans="2:12" x14ac:dyDescent="0.25">
      <c r="L53" s="511"/>
    </row>
    <row r="54" spans="2:12" x14ac:dyDescent="0.25">
      <c r="B54" s="516"/>
      <c r="D54" s="517"/>
      <c r="E54" s="517"/>
      <c r="F54" s="518"/>
      <c r="G54" s="505"/>
      <c r="H54" s="505"/>
    </row>
    <row r="55" spans="2:12" x14ac:dyDescent="0.25">
      <c r="C55" s="251"/>
      <c r="D55" s="519"/>
      <c r="E55" s="258"/>
      <c r="F55" s="251"/>
    </row>
    <row r="56" spans="2:12" x14ac:dyDescent="0.25">
      <c r="C56" s="251"/>
      <c r="D56" s="258"/>
      <c r="E56" s="251"/>
      <c r="F56" s="251"/>
    </row>
    <row r="57" spans="2:12" x14ac:dyDescent="0.25">
      <c r="C57" s="251"/>
      <c r="D57" s="258"/>
      <c r="E57" s="304"/>
      <c r="F57" s="260"/>
    </row>
    <row r="58" spans="2:12" x14ac:dyDescent="0.25">
      <c r="C58" s="517"/>
      <c r="D58" s="517"/>
      <c r="E58" s="304"/>
      <c r="F58" s="260"/>
    </row>
    <row r="59" spans="2:12" x14ac:dyDescent="0.25">
      <c r="E59" s="304"/>
      <c r="F59" s="260"/>
    </row>
    <row r="60" spans="2:12" x14ac:dyDescent="0.25">
      <c r="E60" s="258"/>
      <c r="F60" s="251"/>
    </row>
    <row r="61" spans="2:12" x14ac:dyDescent="0.25">
      <c r="E61" s="258"/>
      <c r="F61" s="251"/>
    </row>
    <row r="62" spans="2:12" x14ac:dyDescent="0.25">
      <c r="E62" s="258"/>
      <c r="F62" s="251"/>
    </row>
  </sheetData>
  <mergeCells count="5">
    <mergeCell ref="A1:J1"/>
    <mergeCell ref="A2:J2"/>
    <mergeCell ref="A3:J3"/>
    <mergeCell ref="A4:J4"/>
    <mergeCell ref="A8:B8"/>
  </mergeCells>
  <printOptions horizontalCentered="1"/>
  <pageMargins left="0.75" right="0.75" top="1" bottom="1" header="0.5" footer="0.5"/>
  <pageSetup scale="64" orientation="landscape" blackAndWhite="1" horizontalDpi="300" verticalDpi="300" r:id="rId1"/>
  <headerFooter alignWithMargins="0">
    <oddFooter>&amp;L&amp;F 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H32" sqref="H32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2"/>
  <sheetViews>
    <sheetView zoomScale="90" zoomScaleNormal="90" workbookViewId="0">
      <pane ySplit="8" topLeftCell="A9" activePane="bottomLeft" state="frozen"/>
      <selection activeCell="P36" sqref="P36"/>
      <selection pane="bottomLeft" activeCell="G26" sqref="G26"/>
    </sheetView>
  </sheetViews>
  <sheetFormatPr defaultColWidth="8.85546875" defaultRowHeight="12.75" x14ac:dyDescent="0.2"/>
  <cols>
    <col min="1" max="1" width="1.5703125" style="186" customWidth="1"/>
    <col min="2" max="2" width="4.5703125" style="186" customWidth="1"/>
    <col min="3" max="3" width="3.140625" style="186" customWidth="1"/>
    <col min="4" max="4" width="25.7109375" style="186" customWidth="1"/>
    <col min="5" max="5" width="12.140625" style="186" customWidth="1"/>
    <col min="6" max="6" width="9" style="186" bestFit="1" customWidth="1"/>
    <col min="7" max="7" width="13.7109375" style="186" customWidth="1"/>
    <col min="8" max="8" width="13.28515625" style="186" customWidth="1"/>
    <col min="9" max="9" width="13.28515625" style="186" bestFit="1" customWidth="1"/>
    <col min="10" max="10" width="12.5703125" style="185" bestFit="1" customWidth="1"/>
    <col min="11" max="11" width="12.5703125" style="186" bestFit="1" customWidth="1"/>
    <col min="12" max="12" width="11.42578125" style="185" customWidth="1"/>
    <col min="13" max="13" width="10.85546875" style="186" customWidth="1"/>
    <col min="14" max="14" width="9.28515625" style="186" bestFit="1" customWidth="1"/>
    <col min="15" max="15" width="10" style="186" bestFit="1" customWidth="1"/>
    <col min="16" max="16" width="19.5703125" style="186" customWidth="1"/>
    <col min="17" max="17" width="11.28515625" style="185" bestFit="1" customWidth="1"/>
    <col min="18" max="18" width="16" style="185" bestFit="1" customWidth="1"/>
    <col min="19" max="19" width="10.85546875" style="185" customWidth="1"/>
    <col min="20" max="20" width="11.28515625" style="185" bestFit="1" customWidth="1"/>
    <col min="21" max="21" width="16" style="185" bestFit="1" customWidth="1"/>
    <col min="22" max="22" width="10.85546875" style="186" customWidth="1"/>
    <col min="23" max="16384" width="8.85546875" style="186"/>
  </cols>
  <sheetData>
    <row r="1" spans="2:22" x14ac:dyDescent="0.2">
      <c r="B1" s="530" t="s">
        <v>13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</row>
    <row r="2" spans="2:22" s="185" customFormat="1" x14ac:dyDescent="0.2">
      <c r="B2" s="5" t="s">
        <v>355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22" s="185" customFormat="1" x14ac:dyDescent="0.2">
      <c r="B3" s="4" t="s">
        <v>63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22" s="185" customFormat="1" x14ac:dyDescent="0.2">
      <c r="B4" s="4" t="s">
        <v>356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6" spans="2:22" x14ac:dyDescent="0.2">
      <c r="E6" s="348"/>
      <c r="F6" s="348"/>
      <c r="G6" s="348" t="s">
        <v>62</v>
      </c>
      <c r="H6" s="450"/>
      <c r="J6" s="450" t="s">
        <v>40</v>
      </c>
      <c r="K6" s="348" t="s">
        <v>61</v>
      </c>
      <c r="L6" s="450" t="s">
        <v>40</v>
      </c>
      <c r="M6" s="348"/>
      <c r="P6" s="186" t="s">
        <v>387</v>
      </c>
    </row>
    <row r="7" spans="2:22" ht="14.25" x14ac:dyDescent="0.2">
      <c r="E7" s="450" t="s">
        <v>88</v>
      </c>
      <c r="F7" s="450"/>
      <c r="G7" s="348" t="s">
        <v>89</v>
      </c>
      <c r="H7" s="450"/>
      <c r="I7" s="348" t="s">
        <v>46</v>
      </c>
      <c r="J7" s="450" t="s">
        <v>6</v>
      </c>
      <c r="K7" s="348" t="s">
        <v>6</v>
      </c>
      <c r="L7" s="450" t="s">
        <v>60</v>
      </c>
      <c r="M7" s="348" t="s">
        <v>29</v>
      </c>
      <c r="Q7" s="450" t="str">
        <f>'Margin Revenue'!E6</f>
        <v>UG-180900</v>
      </c>
      <c r="R7" s="450" t="s">
        <v>359</v>
      </c>
      <c r="U7" s="450" t="s">
        <v>358</v>
      </c>
    </row>
    <row r="8" spans="2:22" ht="14.25" x14ac:dyDescent="0.2">
      <c r="B8" s="11" t="s">
        <v>38</v>
      </c>
      <c r="C8" s="7" t="s">
        <v>59</v>
      </c>
      <c r="D8" s="7"/>
      <c r="E8" s="49" t="s">
        <v>57</v>
      </c>
      <c r="F8" s="49" t="s">
        <v>58</v>
      </c>
      <c r="G8" s="349" t="s">
        <v>57</v>
      </c>
      <c r="H8" s="49" t="s">
        <v>97</v>
      </c>
      <c r="I8" s="349" t="s">
        <v>56</v>
      </c>
      <c r="J8" s="49" t="s">
        <v>36</v>
      </c>
      <c r="K8" s="349" t="s">
        <v>36</v>
      </c>
      <c r="L8" s="49" t="s">
        <v>55</v>
      </c>
      <c r="M8" s="349" t="s">
        <v>6</v>
      </c>
      <c r="Q8" s="450" t="s">
        <v>192</v>
      </c>
      <c r="R8" s="450" t="s">
        <v>193</v>
      </c>
      <c r="S8" s="450" t="s">
        <v>194</v>
      </c>
      <c r="T8" s="450" t="s">
        <v>195</v>
      </c>
      <c r="U8" s="450" t="s">
        <v>196</v>
      </c>
      <c r="V8" s="348"/>
    </row>
    <row r="9" spans="2:22" x14ac:dyDescent="0.2">
      <c r="B9" s="348">
        <v>1</v>
      </c>
      <c r="C9" s="186" t="s">
        <v>54</v>
      </c>
      <c r="E9" s="158"/>
      <c r="F9" s="158"/>
      <c r="G9" s="157"/>
      <c r="Q9" s="450" t="s">
        <v>99</v>
      </c>
      <c r="R9" s="450" t="s">
        <v>101</v>
      </c>
      <c r="S9" s="450" t="s">
        <v>190</v>
      </c>
      <c r="T9" s="450" t="s">
        <v>191</v>
      </c>
      <c r="U9" s="450" t="s">
        <v>48</v>
      </c>
      <c r="V9" s="348" t="s">
        <v>0</v>
      </c>
    </row>
    <row r="10" spans="2:22" x14ac:dyDescent="0.2">
      <c r="B10" s="348">
        <v>2</v>
      </c>
      <c r="D10" s="186" t="s">
        <v>19</v>
      </c>
      <c r="E10" s="18">
        <v>7305466</v>
      </c>
      <c r="F10" s="72">
        <f t="shared" ref="F10:F15" si="0">+E10/$E$17</f>
        <v>0.47372575252744614</v>
      </c>
      <c r="G10" s="58">
        <f t="shared" ref="G10:G15" si="1">+F10*$G$17</f>
        <v>6860110.9912909651</v>
      </c>
      <c r="H10" s="61">
        <f>H$39</f>
        <v>0.14888000000000001</v>
      </c>
      <c r="I10" s="57">
        <f t="shared" ref="I10:I15" si="2">ROUND(G10*H10,0)</f>
        <v>1021333</v>
      </c>
      <c r="K10" s="57">
        <f>ROUND(I10*$J$48,0)</f>
        <v>13432</v>
      </c>
      <c r="L10" s="61">
        <f>L29</f>
        <v>1.9599999999999999E-3</v>
      </c>
      <c r="M10" s="57">
        <f>G10*L10</f>
        <v>13445.817542930292</v>
      </c>
      <c r="P10" s="186" t="s">
        <v>19</v>
      </c>
      <c r="Q10" s="464">
        <f>'Exh. JAP-6 Pages 2-6'!F135</f>
        <v>0.1391</v>
      </c>
      <c r="R10" s="464">
        <f>'Margin Revenue'!$H$25</f>
        <v>2.31E-3</v>
      </c>
      <c r="S10" s="463">
        <v>6.0200000000000002E-3</v>
      </c>
      <c r="T10" s="463">
        <v>-1.89E-3</v>
      </c>
      <c r="U10" s="464">
        <f>'Margin Revenue'!$I$25</f>
        <v>3.3400000000000001E-3</v>
      </c>
      <c r="V10" s="184">
        <f t="shared" ref="V10:V15" si="3">SUM(Q10:U10)</f>
        <v>0.14888000000000001</v>
      </c>
    </row>
    <row r="11" spans="2:22" x14ac:dyDescent="0.2">
      <c r="B11" s="348">
        <v>3</v>
      </c>
      <c r="D11" s="186" t="s">
        <v>18</v>
      </c>
      <c r="E11" s="18">
        <v>3845015</v>
      </c>
      <c r="F11" s="72">
        <f t="shared" si="0"/>
        <v>0.24933147650736015</v>
      </c>
      <c r="G11" s="58">
        <f t="shared" si="1"/>
        <v>3610615.6216699425</v>
      </c>
      <c r="H11" s="61">
        <f>H$40</f>
        <v>9.221E-2</v>
      </c>
      <c r="I11" s="57">
        <f t="shared" si="2"/>
        <v>332935</v>
      </c>
      <c r="K11" s="57">
        <f t="shared" ref="K11:K15" si="4">ROUND(I11*$J$48,0)</f>
        <v>4378</v>
      </c>
      <c r="L11" s="61">
        <f>L30</f>
        <v>1.2099999999999999E-3</v>
      </c>
      <c r="M11" s="57">
        <f>G11*L11</f>
        <v>4368.8449022206305</v>
      </c>
      <c r="P11" s="186" t="s">
        <v>18</v>
      </c>
      <c r="Q11" s="464">
        <f>'Exh. JAP-6 Pages 2-6'!F136</f>
        <v>8.4059999999999996E-2</v>
      </c>
      <c r="R11" s="464">
        <f>'Margin Revenue'!$H$25</f>
        <v>2.31E-3</v>
      </c>
      <c r="S11" s="463">
        <v>3.64E-3</v>
      </c>
      <c r="T11" s="463">
        <v>-1.14E-3</v>
      </c>
      <c r="U11" s="464">
        <f>'Margin Revenue'!$I$25</f>
        <v>3.3400000000000001E-3</v>
      </c>
      <c r="V11" s="184">
        <f t="shared" si="3"/>
        <v>9.221E-2</v>
      </c>
    </row>
    <row r="12" spans="2:22" x14ac:dyDescent="0.2">
      <c r="B12" s="348">
        <v>4</v>
      </c>
      <c r="D12" s="186" t="s">
        <v>17</v>
      </c>
      <c r="E12" s="18">
        <v>2831192</v>
      </c>
      <c r="F12" s="72">
        <f t="shared" si="0"/>
        <v>0.18358973414559526</v>
      </c>
      <c r="G12" s="58">
        <f t="shared" si="1"/>
        <v>2658597.1870452957</v>
      </c>
      <c r="H12" s="61">
        <f>H$41</f>
        <v>6.0730000000000006E-2</v>
      </c>
      <c r="I12" s="57">
        <f t="shared" si="2"/>
        <v>161457</v>
      </c>
      <c r="K12" s="57">
        <f t="shared" si="4"/>
        <v>2123</v>
      </c>
      <c r="L12" s="61"/>
      <c r="P12" s="186" t="s">
        <v>17</v>
      </c>
      <c r="Q12" s="464">
        <f>'Exh. JAP-6 Pages 2-6'!F137</f>
        <v>5.3490000000000003E-2</v>
      </c>
      <c r="R12" s="464">
        <f>'Margin Revenue'!$H$25</f>
        <v>2.31E-3</v>
      </c>
      <c r="S12" s="463">
        <v>2.32E-3</v>
      </c>
      <c r="T12" s="463">
        <v>-7.2999999999999996E-4</v>
      </c>
      <c r="U12" s="464">
        <f>'Margin Revenue'!$I$25</f>
        <v>3.3400000000000001E-3</v>
      </c>
      <c r="V12" s="184">
        <f t="shared" si="3"/>
        <v>6.0730000000000006E-2</v>
      </c>
    </row>
    <row r="13" spans="2:22" x14ac:dyDescent="0.2">
      <c r="B13" s="348">
        <v>5</v>
      </c>
      <c r="D13" s="186" t="s">
        <v>16</v>
      </c>
      <c r="E13" s="18">
        <v>907530</v>
      </c>
      <c r="F13" s="72">
        <f t="shared" si="0"/>
        <v>5.8849131895382607E-2</v>
      </c>
      <c r="G13" s="58">
        <f t="shared" si="1"/>
        <v>852205.25671138428</v>
      </c>
      <c r="H13" s="61">
        <f>H$42</f>
        <v>4.0969999999999999E-2</v>
      </c>
      <c r="I13" s="57">
        <f t="shared" si="2"/>
        <v>34915</v>
      </c>
      <c r="K13" s="57">
        <f t="shared" si="4"/>
        <v>459</v>
      </c>
      <c r="L13" s="61"/>
      <c r="P13" s="186" t="s">
        <v>16</v>
      </c>
      <c r="Q13" s="464">
        <f>'Exh. JAP-6 Pages 2-6'!F138</f>
        <v>3.4299999999999997E-2</v>
      </c>
      <c r="R13" s="464">
        <f>'Margin Revenue'!$H$25</f>
        <v>2.31E-3</v>
      </c>
      <c r="S13" s="463">
        <v>1.49E-3</v>
      </c>
      <c r="T13" s="463">
        <v>-4.6999999999999999E-4</v>
      </c>
      <c r="U13" s="464">
        <f>'Margin Revenue'!$I$25</f>
        <v>3.3400000000000001E-3</v>
      </c>
      <c r="V13" s="184">
        <f t="shared" si="3"/>
        <v>4.0969999999999999E-2</v>
      </c>
    </row>
    <row r="14" spans="2:22" x14ac:dyDescent="0.2">
      <c r="B14" s="348">
        <v>6</v>
      </c>
      <c r="D14" s="186" t="s">
        <v>15</v>
      </c>
      <c r="E14" s="18">
        <v>532095</v>
      </c>
      <c r="F14" s="72">
        <f t="shared" si="0"/>
        <v>3.4503904924215845E-2</v>
      </c>
      <c r="G14" s="58">
        <f t="shared" si="1"/>
        <v>499657.48357612855</v>
      </c>
      <c r="H14" s="61">
        <f>H$43</f>
        <v>3.1060000000000001E-2</v>
      </c>
      <c r="I14" s="57">
        <f t="shared" si="2"/>
        <v>15519</v>
      </c>
      <c r="K14" s="57">
        <f t="shared" si="4"/>
        <v>204</v>
      </c>
      <c r="L14" s="61"/>
      <c r="P14" s="186" t="s">
        <v>15</v>
      </c>
      <c r="Q14" s="464">
        <f>'Exh. JAP-6 Pages 2-6'!F139</f>
        <v>2.4680000000000001E-2</v>
      </c>
      <c r="R14" s="464">
        <f>'Margin Revenue'!$H$25</f>
        <v>2.31E-3</v>
      </c>
      <c r="S14" s="463">
        <v>1.07E-3</v>
      </c>
      <c r="T14" s="463">
        <v>-3.4000000000000002E-4</v>
      </c>
      <c r="U14" s="464">
        <f>'Margin Revenue'!$I$25</f>
        <v>3.3400000000000001E-3</v>
      </c>
      <c r="V14" s="184">
        <f t="shared" si="3"/>
        <v>3.1060000000000001E-2</v>
      </c>
    </row>
    <row r="15" spans="2:22" x14ac:dyDescent="0.2">
      <c r="B15" s="348">
        <v>7</v>
      </c>
      <c r="D15" s="186" t="s">
        <v>21</v>
      </c>
      <c r="E15" s="18">
        <v>0</v>
      </c>
      <c r="F15" s="72">
        <f t="shared" si="0"/>
        <v>0</v>
      </c>
      <c r="G15" s="58">
        <f t="shared" si="1"/>
        <v>0</v>
      </c>
      <c r="H15" s="61">
        <f>H$44</f>
        <v>2.5239999999999999E-2</v>
      </c>
      <c r="I15" s="57">
        <f t="shared" si="2"/>
        <v>0</v>
      </c>
      <c r="K15" s="57">
        <f t="shared" si="4"/>
        <v>0</v>
      </c>
      <c r="L15" s="61"/>
      <c r="P15" s="186" t="s">
        <v>21</v>
      </c>
      <c r="Q15" s="464">
        <f>'Exh. JAP-6 Pages 2-6'!F140</f>
        <v>1.9029999999999998E-2</v>
      </c>
      <c r="R15" s="464">
        <f>'Margin Revenue'!$H$25</f>
        <v>2.31E-3</v>
      </c>
      <c r="S15" s="463">
        <v>8.1999999999999998E-4</v>
      </c>
      <c r="T15" s="463">
        <v>-2.5999999999999998E-4</v>
      </c>
      <c r="U15" s="464">
        <f>'Margin Revenue'!$I$25</f>
        <v>3.3400000000000001E-3</v>
      </c>
      <c r="V15" s="184">
        <f t="shared" si="3"/>
        <v>2.5239999999999999E-2</v>
      </c>
    </row>
    <row r="16" spans="2:22" x14ac:dyDescent="0.2">
      <c r="B16" s="348">
        <v>8</v>
      </c>
      <c r="D16" s="186" t="s">
        <v>51</v>
      </c>
      <c r="E16" s="63">
        <f>SUM(E12:E15)</f>
        <v>4270817</v>
      </c>
      <c r="F16" s="71"/>
      <c r="G16" s="63">
        <f>SUM(G12:G15)</f>
        <v>4010459.9273328087</v>
      </c>
      <c r="H16" s="61"/>
      <c r="I16" s="62">
        <f>SUM(I12:I15)</f>
        <v>211891</v>
      </c>
      <c r="K16" s="62">
        <f>SUM(K12:K15)</f>
        <v>2786</v>
      </c>
      <c r="L16" s="61">
        <f>L35</f>
        <v>6.9999999999999999E-4</v>
      </c>
      <c r="M16" s="59">
        <f>G16*L16</f>
        <v>2807.321949132966</v>
      </c>
      <c r="O16" s="145"/>
    </row>
    <row r="17" spans="2:14" x14ac:dyDescent="0.2">
      <c r="B17" s="348">
        <v>9</v>
      </c>
      <c r="D17" s="186" t="s">
        <v>0</v>
      </c>
      <c r="E17" s="457">
        <f>SUM(E10:E15)</f>
        <v>15421298</v>
      </c>
      <c r="F17" s="70">
        <f>SUM(F10:F15)</f>
        <v>1</v>
      </c>
      <c r="G17" s="458">
        <f>'Margin Revenue'!K19</f>
        <v>14481186.540293716</v>
      </c>
      <c r="H17" s="61"/>
      <c r="I17" s="62">
        <f>SUM(I10:I15)</f>
        <v>1566159</v>
      </c>
      <c r="J17" s="452">
        <f>Rates!I19</f>
        <v>20268.915307950439</v>
      </c>
      <c r="K17" s="62">
        <f>SUM(K10:K15)</f>
        <v>20596</v>
      </c>
      <c r="M17" s="55">
        <f>SUM(M10:M16)</f>
        <v>20621.984394283889</v>
      </c>
      <c r="N17" s="192">
        <f>M17-J17</f>
        <v>353.06908633344938</v>
      </c>
    </row>
    <row r="18" spans="2:14" x14ac:dyDescent="0.2">
      <c r="B18" s="348"/>
      <c r="E18" s="459"/>
      <c r="F18" s="459"/>
      <c r="G18" s="158"/>
      <c r="H18" s="61"/>
    </row>
    <row r="19" spans="2:14" x14ac:dyDescent="0.2">
      <c r="B19" s="348">
        <v>10</v>
      </c>
      <c r="C19" s="186" t="s">
        <v>53</v>
      </c>
      <c r="E19" s="459"/>
      <c r="F19" s="459"/>
      <c r="G19" s="158"/>
      <c r="H19" s="61"/>
    </row>
    <row r="20" spans="2:14" x14ac:dyDescent="0.2">
      <c r="B20" s="348">
        <v>11</v>
      </c>
      <c r="D20" s="186" t="s">
        <v>19</v>
      </c>
      <c r="E20" s="18">
        <v>1500000</v>
      </c>
      <c r="F20" s="72">
        <f t="shared" ref="F20:F25" si="5">+E20/$E$26</f>
        <v>6.6290179693232032E-2</v>
      </c>
      <c r="G20" s="58">
        <f t="shared" ref="G20:G25" si="6">+F20*$G$26</f>
        <v>1492708.3996198305</v>
      </c>
      <c r="H20" s="61">
        <f>H$39</f>
        <v>0.14888000000000001</v>
      </c>
      <c r="I20" s="57">
        <f t="shared" ref="I20:I25" si="7">ROUND(G20*H20,0)</f>
        <v>222234</v>
      </c>
      <c r="K20" s="57">
        <f t="shared" ref="K20:K25" si="8">ROUND(I20*$J$48,0)</f>
        <v>2923</v>
      </c>
      <c r="L20" s="61">
        <f t="shared" ref="L20:L25" si="9">L39</f>
        <v>1.9599999999999999E-3</v>
      </c>
      <c r="M20" s="57">
        <f t="shared" ref="M20:M25" si="10">G20*L20</f>
        <v>2925.7084632548676</v>
      </c>
    </row>
    <row r="21" spans="2:14" x14ac:dyDescent="0.2">
      <c r="B21" s="348">
        <v>12</v>
      </c>
      <c r="D21" s="186" t="s">
        <v>18</v>
      </c>
      <c r="E21" s="18">
        <v>1478444</v>
      </c>
      <c r="F21" s="72">
        <f t="shared" si="5"/>
        <v>6.5337545617587159E-2</v>
      </c>
      <c r="G21" s="58">
        <f t="shared" si="6"/>
        <v>1471257.1847783604</v>
      </c>
      <c r="H21" s="61">
        <f>H$40</f>
        <v>9.221E-2</v>
      </c>
      <c r="I21" s="57">
        <f t="shared" si="7"/>
        <v>135665</v>
      </c>
      <c r="K21" s="57">
        <f t="shared" si="8"/>
        <v>1784</v>
      </c>
      <c r="L21" s="61">
        <f t="shared" si="9"/>
        <v>1.2099999999999999E-3</v>
      </c>
      <c r="M21" s="57">
        <f t="shared" si="10"/>
        <v>1780.2211935818159</v>
      </c>
    </row>
    <row r="22" spans="2:14" x14ac:dyDescent="0.2">
      <c r="B22" s="348">
        <v>13</v>
      </c>
      <c r="D22" s="186" t="s">
        <v>17</v>
      </c>
      <c r="E22" s="18">
        <v>2635889</v>
      </c>
      <c r="F22" s="72">
        <f t="shared" si="5"/>
        <v>0.11648903697427579</v>
      </c>
      <c r="G22" s="58">
        <f t="shared" si="6"/>
        <v>2623075.7671770104</v>
      </c>
      <c r="H22" s="61">
        <f>H$41</f>
        <v>6.0730000000000006E-2</v>
      </c>
      <c r="I22" s="57">
        <f t="shared" si="7"/>
        <v>159299</v>
      </c>
      <c r="K22" s="57">
        <f t="shared" si="8"/>
        <v>2095</v>
      </c>
      <c r="L22" s="61">
        <f t="shared" si="9"/>
        <v>8.0000000000000004E-4</v>
      </c>
      <c r="M22" s="57">
        <f t="shared" si="10"/>
        <v>2098.4606137416085</v>
      </c>
    </row>
    <row r="23" spans="2:14" x14ac:dyDescent="0.2">
      <c r="B23" s="348">
        <v>14</v>
      </c>
      <c r="D23" s="186" t="s">
        <v>16</v>
      </c>
      <c r="E23" s="18">
        <v>2959589</v>
      </c>
      <c r="F23" s="72">
        <f t="shared" si="5"/>
        <v>0.13079445775207527</v>
      </c>
      <c r="G23" s="58">
        <f t="shared" si="6"/>
        <v>2945202.2398149697</v>
      </c>
      <c r="H23" s="61">
        <f>H$42</f>
        <v>4.0969999999999999E-2</v>
      </c>
      <c r="I23" s="57">
        <f t="shared" si="7"/>
        <v>120665</v>
      </c>
      <c r="K23" s="57">
        <f t="shared" si="8"/>
        <v>1587</v>
      </c>
      <c r="L23" s="61">
        <f t="shared" si="9"/>
        <v>5.4000000000000001E-4</v>
      </c>
      <c r="M23" s="57">
        <f t="shared" si="10"/>
        <v>1590.4092095000838</v>
      </c>
    </row>
    <row r="24" spans="2:14" x14ac:dyDescent="0.2">
      <c r="B24" s="348">
        <v>15</v>
      </c>
      <c r="D24" s="186" t="s">
        <v>15</v>
      </c>
      <c r="E24" s="18">
        <v>3778272</v>
      </c>
      <c r="F24" s="72">
        <f t="shared" si="5"/>
        <v>0.16697488653993811</v>
      </c>
      <c r="G24" s="58">
        <f t="shared" si="6"/>
        <v>3759905.5669656107</v>
      </c>
      <c r="H24" s="61">
        <f>H$43</f>
        <v>3.1060000000000001E-2</v>
      </c>
      <c r="I24" s="57">
        <f t="shared" si="7"/>
        <v>116783</v>
      </c>
      <c r="K24" s="57">
        <f t="shared" si="8"/>
        <v>1536</v>
      </c>
      <c r="L24" s="61">
        <f t="shared" si="9"/>
        <v>4.0999999999999999E-4</v>
      </c>
      <c r="M24" s="57">
        <f t="shared" si="10"/>
        <v>1541.5612824559003</v>
      </c>
    </row>
    <row r="25" spans="2:14" x14ac:dyDescent="0.2">
      <c r="B25" s="348">
        <v>16</v>
      </c>
      <c r="D25" s="186" t="s">
        <v>21</v>
      </c>
      <c r="E25" s="456">
        <v>10275592</v>
      </c>
      <c r="F25" s="73">
        <f t="shared" si="5"/>
        <v>0.45411389342289166</v>
      </c>
      <c r="G25" s="58">
        <f t="shared" si="6"/>
        <v>10225641.659644222</v>
      </c>
      <c r="H25" s="61">
        <f>H$44</f>
        <v>2.5239999999999999E-2</v>
      </c>
      <c r="I25" s="57">
        <f t="shared" si="7"/>
        <v>258095</v>
      </c>
      <c r="K25" s="57">
        <f t="shared" si="8"/>
        <v>3394</v>
      </c>
      <c r="L25" s="61">
        <f t="shared" si="9"/>
        <v>3.3E-4</v>
      </c>
      <c r="M25" s="57">
        <f t="shared" si="10"/>
        <v>3374.4617476825933</v>
      </c>
    </row>
    <row r="26" spans="2:14" x14ac:dyDescent="0.2">
      <c r="B26" s="348">
        <v>17</v>
      </c>
      <c r="D26" s="186" t="s">
        <v>0</v>
      </c>
      <c r="E26" s="459">
        <f>SUM(E20:E25)</f>
        <v>22627786</v>
      </c>
      <c r="F26" s="72">
        <f>SUM(F20:F25)</f>
        <v>1</v>
      </c>
      <c r="G26" s="458">
        <f>'Margin Revenue'!K20</f>
        <v>22517790.818000004</v>
      </c>
      <c r="H26" s="61"/>
      <c r="I26" s="55">
        <f>SUM(I20:I25)</f>
        <v>1012741</v>
      </c>
      <c r="J26" s="452">
        <f>Rates!I30</f>
        <v>15424.228766688249</v>
      </c>
      <c r="K26" s="55">
        <f>SUM(K20:K25)</f>
        <v>13319</v>
      </c>
      <c r="M26" s="55">
        <f>SUM(M20:M25)</f>
        <v>13310.822510216871</v>
      </c>
      <c r="N26" s="192">
        <f>M26-J26</f>
        <v>-2113.4062564713786</v>
      </c>
    </row>
    <row r="27" spans="2:14" x14ac:dyDescent="0.2">
      <c r="B27" s="348"/>
      <c r="E27" s="459"/>
      <c r="F27" s="459"/>
      <c r="G27" s="18"/>
      <c r="H27" s="61"/>
      <c r="I27" s="169"/>
      <c r="J27" s="14"/>
      <c r="K27" s="169"/>
      <c r="M27" s="169"/>
    </row>
    <row r="28" spans="2:14" x14ac:dyDescent="0.2">
      <c r="B28" s="348">
        <f>B26+1</f>
        <v>18</v>
      </c>
      <c r="C28" s="186" t="s">
        <v>52</v>
      </c>
      <c r="E28" s="459"/>
      <c r="F28" s="459"/>
      <c r="G28" s="18"/>
      <c r="H28" s="61"/>
      <c r="I28" s="169"/>
      <c r="J28" s="14"/>
      <c r="K28" s="169"/>
      <c r="M28" s="169"/>
    </row>
    <row r="29" spans="2:14" x14ac:dyDescent="0.2">
      <c r="B29" s="348">
        <f t="shared" ref="B29:B36" si="11">B28+1</f>
        <v>19</v>
      </c>
      <c r="D29" s="186" t="s">
        <v>19</v>
      </c>
      <c r="E29" s="18">
        <v>27234639</v>
      </c>
      <c r="F29" s="72">
        <f t="shared" ref="F29:F34" si="12">+E29/$E$36</f>
        <v>0.37498137632064277</v>
      </c>
      <c r="G29" s="58">
        <f t="shared" ref="G29:G34" si="13">+F29*$G$36</f>
        <v>27404305.284045253</v>
      </c>
      <c r="H29" s="61">
        <f>H$39</f>
        <v>0.14888000000000001</v>
      </c>
      <c r="I29" s="57">
        <f t="shared" ref="I29:I34" si="14">ROUND(G29*H29,0)</f>
        <v>4079953</v>
      </c>
      <c r="J29" s="14"/>
      <c r="K29" s="57">
        <f t="shared" ref="K29:K34" si="15">ROUND(I29*$J$48,0)</f>
        <v>53656</v>
      </c>
      <c r="L29" s="61">
        <f>L39</f>
        <v>1.9599999999999999E-3</v>
      </c>
      <c r="M29" s="57">
        <f>G29*L29</f>
        <v>53712.438356728693</v>
      </c>
    </row>
    <row r="30" spans="2:14" x14ac:dyDescent="0.2">
      <c r="B30" s="348">
        <f t="shared" si="11"/>
        <v>20</v>
      </c>
      <c r="D30" s="186" t="s">
        <v>18</v>
      </c>
      <c r="E30" s="18">
        <v>18473129</v>
      </c>
      <c r="F30" s="72">
        <f t="shared" si="12"/>
        <v>0.2543481239963849</v>
      </c>
      <c r="G30" s="58">
        <f t="shared" si="13"/>
        <v>18588212.851565599</v>
      </c>
      <c r="H30" s="61">
        <f>H$40</f>
        <v>9.221E-2</v>
      </c>
      <c r="I30" s="57">
        <f t="shared" si="14"/>
        <v>1714019</v>
      </c>
      <c r="J30" s="14"/>
      <c r="K30" s="57">
        <f t="shared" si="15"/>
        <v>22541</v>
      </c>
      <c r="L30" s="61">
        <f>L40</f>
        <v>1.2099999999999999E-3</v>
      </c>
      <c r="M30" s="57">
        <f>G30*L30</f>
        <v>22491.737550394373</v>
      </c>
    </row>
    <row r="31" spans="2:14" x14ac:dyDescent="0.2">
      <c r="B31" s="348">
        <f t="shared" si="11"/>
        <v>21</v>
      </c>
      <c r="D31" s="186" t="s">
        <v>17</v>
      </c>
      <c r="E31" s="18">
        <v>17134353</v>
      </c>
      <c r="F31" s="72">
        <f t="shared" si="12"/>
        <v>0.23591512523091401</v>
      </c>
      <c r="G31" s="58">
        <f t="shared" si="13"/>
        <v>17241096.548281647</v>
      </c>
      <c r="H31" s="61">
        <f>H$41</f>
        <v>6.0730000000000006E-2</v>
      </c>
      <c r="I31" s="57">
        <f t="shared" si="14"/>
        <v>1047052</v>
      </c>
      <c r="J31" s="14"/>
      <c r="K31" s="57">
        <f t="shared" si="15"/>
        <v>13770</v>
      </c>
      <c r="M31" s="169"/>
    </row>
    <row r="32" spans="2:14" x14ac:dyDescent="0.2">
      <c r="B32" s="348">
        <f t="shared" si="11"/>
        <v>22</v>
      </c>
      <c r="D32" s="186" t="s">
        <v>16</v>
      </c>
      <c r="E32" s="18">
        <v>8140037</v>
      </c>
      <c r="F32" s="72">
        <f t="shared" si="12"/>
        <v>0.11207647281687692</v>
      </c>
      <c r="G32" s="58">
        <f t="shared" si="13"/>
        <v>8190747.7815815331</v>
      </c>
      <c r="H32" s="61">
        <f>H$42</f>
        <v>4.0969999999999999E-2</v>
      </c>
      <c r="I32" s="57">
        <f t="shared" si="14"/>
        <v>335575</v>
      </c>
      <c r="J32" s="14"/>
      <c r="K32" s="57">
        <f t="shared" si="15"/>
        <v>4413</v>
      </c>
      <c r="M32" s="169"/>
    </row>
    <row r="33" spans="2:16" x14ac:dyDescent="0.2">
      <c r="B33" s="348">
        <f t="shared" si="11"/>
        <v>23</v>
      </c>
      <c r="D33" s="186" t="s">
        <v>15</v>
      </c>
      <c r="E33" s="18">
        <v>1620957</v>
      </c>
      <c r="F33" s="72">
        <f t="shared" si="12"/>
        <v>2.2318220807574507E-2</v>
      </c>
      <c r="G33" s="58">
        <f t="shared" si="13"/>
        <v>1631055.233752507</v>
      </c>
      <c r="H33" s="61">
        <f>H$43</f>
        <v>3.1060000000000001E-2</v>
      </c>
      <c r="I33" s="57">
        <f t="shared" si="14"/>
        <v>50661</v>
      </c>
      <c r="J33" s="14"/>
      <c r="K33" s="57">
        <f t="shared" si="15"/>
        <v>666</v>
      </c>
      <c r="M33" s="169"/>
    </row>
    <row r="34" spans="2:16" x14ac:dyDescent="0.2">
      <c r="B34" s="348">
        <f t="shared" si="11"/>
        <v>24</v>
      </c>
      <c r="D34" s="186" t="s">
        <v>21</v>
      </c>
      <c r="E34" s="18">
        <v>26196</v>
      </c>
      <c r="F34" s="72">
        <f t="shared" si="12"/>
        <v>3.606808276069148E-4</v>
      </c>
      <c r="G34" s="58">
        <f t="shared" si="13"/>
        <v>26359.195773472507</v>
      </c>
      <c r="H34" s="61">
        <f>H$44</f>
        <v>2.5239999999999999E-2</v>
      </c>
      <c r="I34" s="57">
        <f t="shared" si="14"/>
        <v>665</v>
      </c>
      <c r="J34" s="14"/>
      <c r="K34" s="57">
        <f t="shared" si="15"/>
        <v>9</v>
      </c>
      <c r="M34" s="169"/>
    </row>
    <row r="35" spans="2:16" x14ac:dyDescent="0.2">
      <c r="B35" s="348">
        <f t="shared" si="11"/>
        <v>25</v>
      </c>
      <c r="D35" s="186" t="s">
        <v>51</v>
      </c>
      <c r="E35" s="460">
        <f>SUM(E31:E34)</f>
        <v>26921543</v>
      </c>
      <c r="F35" s="472"/>
      <c r="G35" s="460">
        <f>SUM(G31:G34)</f>
        <v>27089258.759389158</v>
      </c>
      <c r="H35" s="61"/>
      <c r="I35" s="60">
        <f>SUM(I31:I34)</f>
        <v>1433953</v>
      </c>
      <c r="K35" s="60">
        <f>SUM(K31:K34)</f>
        <v>18858</v>
      </c>
      <c r="L35" s="61">
        <f>ROUND((K35+K16)/(G35+G16),5)</f>
        <v>6.9999999999999999E-4</v>
      </c>
      <c r="M35" s="59">
        <f>G35*L35</f>
        <v>18962.481131572411</v>
      </c>
    </row>
    <row r="36" spans="2:16" x14ac:dyDescent="0.2">
      <c r="B36" s="348">
        <f t="shared" si="11"/>
        <v>26</v>
      </c>
      <c r="D36" s="186" t="s">
        <v>0</v>
      </c>
      <c r="E36" s="459">
        <f>SUM(E29:E34)</f>
        <v>72629311</v>
      </c>
      <c r="F36" s="72">
        <f>SUM(F29:F34)</f>
        <v>0.99999999999999989</v>
      </c>
      <c r="G36" s="458">
        <f>'Margin Revenue'!K24</f>
        <v>73081776.895000011</v>
      </c>
      <c r="H36" s="61"/>
      <c r="I36" s="169">
        <f>SUM(I29:I34)</f>
        <v>7227925</v>
      </c>
      <c r="J36" s="452">
        <f>Rates!I36</f>
        <v>92413.628757696017</v>
      </c>
      <c r="K36" s="169">
        <f>SUM(K29:K34)</f>
        <v>95055</v>
      </c>
      <c r="M36" s="55">
        <f>SUM(M29:M35)</f>
        <v>95166.65703869547</v>
      </c>
      <c r="N36" s="192">
        <f>M36-J36</f>
        <v>2753.0282809994533</v>
      </c>
    </row>
    <row r="37" spans="2:16" x14ac:dyDescent="0.2">
      <c r="B37" s="348"/>
      <c r="E37" s="459"/>
      <c r="F37" s="459"/>
      <c r="G37" s="18"/>
      <c r="H37" s="61"/>
      <c r="I37" s="169"/>
      <c r="J37" s="14"/>
      <c r="K37" s="169"/>
      <c r="M37" s="169"/>
    </row>
    <row r="38" spans="2:16" x14ac:dyDescent="0.2">
      <c r="B38" s="348">
        <f>B36+1</f>
        <v>27</v>
      </c>
      <c r="C38" s="186" t="s">
        <v>50</v>
      </c>
      <c r="E38" s="459"/>
      <c r="F38" s="459"/>
      <c r="G38" s="18"/>
      <c r="H38" s="61"/>
      <c r="I38" s="57"/>
      <c r="J38" s="14"/>
      <c r="K38" s="169"/>
      <c r="M38" s="169"/>
    </row>
    <row r="39" spans="2:16" x14ac:dyDescent="0.2">
      <c r="B39" s="348">
        <f t="shared" ref="B39:B45" si="16">B38+1</f>
        <v>28</v>
      </c>
      <c r="D39" s="186" t="s">
        <v>19</v>
      </c>
      <c r="E39" s="18">
        <v>3000000</v>
      </c>
      <c r="F39" s="72">
        <f t="shared" ref="F39:F44" si="17">+E39/$E$45</f>
        <v>3.1584905278974729E-2</v>
      </c>
      <c r="G39" s="58">
        <f t="shared" ref="G39:G44" si="18">+F39*$G$45</f>
        <v>3022992.9784649899</v>
      </c>
      <c r="H39" s="61">
        <f>V10</f>
        <v>0.14888000000000001</v>
      </c>
      <c r="I39" s="57">
        <f t="shared" ref="I39:I44" si="19">ROUND(G39*H39,0)</f>
        <v>450063</v>
      </c>
      <c r="J39" s="14"/>
      <c r="K39" s="57">
        <f t="shared" ref="K39:K44" si="20">ROUND(I39*$J$48,0)</f>
        <v>5919</v>
      </c>
      <c r="L39" s="61">
        <f t="shared" ref="L39:L44" si="21">ROUND(K39/G39,5)</f>
        <v>1.9599999999999999E-3</v>
      </c>
      <c r="M39" s="57">
        <f t="shared" ref="M39:M44" si="22">G39*L39</f>
        <v>5925.0662377913804</v>
      </c>
      <c r="P39" s="145"/>
    </row>
    <row r="40" spans="2:16" x14ac:dyDescent="0.2">
      <c r="B40" s="348">
        <f t="shared" si="16"/>
        <v>29</v>
      </c>
      <c r="D40" s="186" t="s">
        <v>18</v>
      </c>
      <c r="E40" s="18">
        <v>3000000</v>
      </c>
      <c r="F40" s="72">
        <f t="shared" si="17"/>
        <v>3.1584905278974729E-2</v>
      </c>
      <c r="G40" s="58">
        <f t="shared" si="18"/>
        <v>3022992.9784649899</v>
      </c>
      <c r="H40" s="61">
        <f t="shared" ref="H40:H44" si="23">V11</f>
        <v>9.221E-2</v>
      </c>
      <c r="I40" s="57">
        <f t="shared" si="19"/>
        <v>278750</v>
      </c>
      <c r="J40" s="14"/>
      <c r="K40" s="57">
        <f t="shared" si="20"/>
        <v>3666</v>
      </c>
      <c r="L40" s="61">
        <f t="shared" si="21"/>
        <v>1.2099999999999999E-3</v>
      </c>
      <c r="M40" s="57">
        <f t="shared" si="22"/>
        <v>3657.8215039426377</v>
      </c>
      <c r="P40" s="145"/>
    </row>
    <row r="41" spans="2:16" x14ac:dyDescent="0.2">
      <c r="B41" s="348">
        <f t="shared" si="16"/>
        <v>30</v>
      </c>
      <c r="D41" s="186" t="s">
        <v>17</v>
      </c>
      <c r="E41" s="18">
        <v>6000000</v>
      </c>
      <c r="F41" s="72">
        <f t="shared" si="17"/>
        <v>6.3169810557949457E-2</v>
      </c>
      <c r="G41" s="58">
        <f t="shared" si="18"/>
        <v>6045985.9569299798</v>
      </c>
      <c r="H41" s="61">
        <f>V12</f>
        <v>6.0730000000000006E-2</v>
      </c>
      <c r="I41" s="57">
        <f t="shared" si="19"/>
        <v>367173</v>
      </c>
      <c r="J41" s="14"/>
      <c r="K41" s="57">
        <f t="shared" si="20"/>
        <v>4829</v>
      </c>
      <c r="L41" s="61">
        <f t="shared" si="21"/>
        <v>8.0000000000000004E-4</v>
      </c>
      <c r="M41" s="57">
        <f t="shared" si="22"/>
        <v>4836.7887655439845</v>
      </c>
      <c r="P41" s="145"/>
    </row>
    <row r="42" spans="2:16" x14ac:dyDescent="0.2">
      <c r="B42" s="348">
        <f t="shared" si="16"/>
        <v>31</v>
      </c>
      <c r="D42" s="186" t="s">
        <v>16</v>
      </c>
      <c r="E42" s="18">
        <v>11694899</v>
      </c>
      <c r="F42" s="72">
        <f t="shared" si="17"/>
        <v>0.12312742572072542</v>
      </c>
      <c r="G42" s="58">
        <f t="shared" si="18"/>
        <v>11784532.520285744</v>
      </c>
      <c r="H42" s="61">
        <f t="shared" si="23"/>
        <v>4.0969999999999999E-2</v>
      </c>
      <c r="I42" s="57">
        <f t="shared" si="19"/>
        <v>482812</v>
      </c>
      <c r="J42" s="14"/>
      <c r="K42" s="57">
        <f t="shared" si="20"/>
        <v>6349</v>
      </c>
      <c r="L42" s="61">
        <f t="shared" si="21"/>
        <v>5.4000000000000001E-4</v>
      </c>
      <c r="M42" s="57">
        <f t="shared" si="22"/>
        <v>6363.6475609543022</v>
      </c>
      <c r="P42" s="145"/>
    </row>
    <row r="43" spans="2:16" x14ac:dyDescent="0.2">
      <c r="B43" s="348">
        <f t="shared" si="16"/>
        <v>32</v>
      </c>
      <c r="D43" s="186" t="s">
        <v>15</v>
      </c>
      <c r="E43" s="18">
        <v>25667108</v>
      </c>
      <c r="F43" s="72">
        <f t="shared" si="17"/>
        <v>0.27023105832173816</v>
      </c>
      <c r="G43" s="58">
        <f t="shared" si="18"/>
        <v>25863829.087167524</v>
      </c>
      <c r="H43" s="61">
        <f t="shared" si="23"/>
        <v>3.1060000000000001E-2</v>
      </c>
      <c r="I43" s="57">
        <f t="shared" si="19"/>
        <v>803331</v>
      </c>
      <c r="J43" s="14"/>
      <c r="K43" s="57">
        <f t="shared" si="20"/>
        <v>10565</v>
      </c>
      <c r="L43" s="61">
        <f t="shared" si="21"/>
        <v>4.0999999999999999E-4</v>
      </c>
      <c r="M43" s="57">
        <f t="shared" si="22"/>
        <v>10604.169925738684</v>
      </c>
      <c r="P43" s="145"/>
    </row>
    <row r="44" spans="2:16" x14ac:dyDescent="0.2">
      <c r="B44" s="348">
        <f t="shared" si="16"/>
        <v>33</v>
      </c>
      <c r="D44" s="186" t="s">
        <v>21</v>
      </c>
      <c r="E44" s="456">
        <v>45620073</v>
      </c>
      <c r="F44" s="73">
        <f t="shared" si="17"/>
        <v>0.48030189484163749</v>
      </c>
      <c r="G44" s="58">
        <f t="shared" si="18"/>
        <v>45969720.118686758</v>
      </c>
      <c r="H44" s="61">
        <f t="shared" si="23"/>
        <v>2.5239999999999999E-2</v>
      </c>
      <c r="I44" s="57">
        <f t="shared" si="19"/>
        <v>1160276</v>
      </c>
      <c r="J44" s="14"/>
      <c r="K44" s="56">
        <f t="shared" si="20"/>
        <v>15259</v>
      </c>
      <c r="L44" s="61">
        <f t="shared" si="21"/>
        <v>3.3E-4</v>
      </c>
      <c r="M44" s="56">
        <f t="shared" si="22"/>
        <v>15170.00763916663</v>
      </c>
      <c r="P44" s="145"/>
    </row>
    <row r="45" spans="2:16" x14ac:dyDescent="0.2">
      <c r="B45" s="348">
        <f t="shared" si="16"/>
        <v>34</v>
      </c>
      <c r="D45" s="186" t="s">
        <v>0</v>
      </c>
      <c r="E45" s="459">
        <f>SUM(E39:E44)</f>
        <v>94982080</v>
      </c>
      <c r="F45" s="72">
        <f>SUM(F39:F44)</f>
        <v>1</v>
      </c>
      <c r="G45" s="458">
        <f>'Margin Revenue'!K25</f>
        <v>95710053.639999986</v>
      </c>
      <c r="H45" s="145"/>
      <c r="I45" s="55">
        <f>SUM(I39:I44)</f>
        <v>3542405</v>
      </c>
      <c r="J45" s="452">
        <f>Rates!I45</f>
        <v>47449.840939976297</v>
      </c>
      <c r="K45" s="55">
        <f>SUM(K39:K44)</f>
        <v>46587</v>
      </c>
      <c r="M45" s="169">
        <f>SUM(M39:M44)</f>
        <v>46557.501633137617</v>
      </c>
      <c r="N45" s="192">
        <f>M45-J45</f>
        <v>-892.33930683867948</v>
      </c>
    </row>
    <row r="46" spans="2:16" x14ac:dyDescent="0.2">
      <c r="B46" s="348"/>
      <c r="E46" s="461"/>
      <c r="F46" s="461"/>
      <c r="G46" s="18"/>
      <c r="I46" s="169"/>
      <c r="J46" s="453"/>
      <c r="K46" s="169"/>
      <c r="M46" s="169"/>
    </row>
    <row r="47" spans="2:16" x14ac:dyDescent="0.2">
      <c r="B47" s="348"/>
      <c r="C47" s="186" t="s">
        <v>0</v>
      </c>
      <c r="E47" s="461">
        <f>E17+E26+E36+E45</f>
        <v>205660475</v>
      </c>
      <c r="F47" s="461"/>
      <c r="G47" s="461">
        <f>G17+G26+G36+G45</f>
        <v>205790807.89329371</v>
      </c>
      <c r="I47" s="169">
        <f>I17+I26+I36+I45</f>
        <v>13349230</v>
      </c>
      <c r="J47" s="25">
        <f>J17+J26+J36+J45</f>
        <v>175556.61377231102</v>
      </c>
      <c r="K47" s="169">
        <f>K17+K26+K36+K45</f>
        <v>175557</v>
      </c>
      <c r="M47" s="169">
        <f>M17+M26+M36+M45</f>
        <v>175656.96557633384</v>
      </c>
      <c r="N47" s="54">
        <f>M47-J47</f>
        <v>100.35180402282276</v>
      </c>
    </row>
    <row r="48" spans="2:16" x14ac:dyDescent="0.2">
      <c r="B48" s="348"/>
      <c r="C48" s="186" t="s">
        <v>49</v>
      </c>
      <c r="E48" s="177"/>
      <c r="F48" s="177"/>
      <c r="G48" s="18"/>
      <c r="I48" s="169"/>
      <c r="J48" s="454">
        <f>J47/I47</f>
        <v>1.3151066673681629E-2</v>
      </c>
      <c r="K48" s="169"/>
      <c r="M48" s="169"/>
      <c r="N48" s="346">
        <f>N47/K47</f>
        <v>5.7161949693161065E-4</v>
      </c>
    </row>
    <row r="49" spans="2:14" x14ac:dyDescent="0.2">
      <c r="B49" s="348"/>
      <c r="E49" s="177"/>
      <c r="F49" s="177"/>
      <c r="G49" s="18"/>
      <c r="I49" s="169"/>
      <c r="J49" s="454"/>
      <c r="K49" s="169"/>
      <c r="M49" s="169"/>
      <c r="N49" s="346"/>
    </row>
    <row r="50" spans="2:14" x14ac:dyDescent="0.2">
      <c r="B50" s="348"/>
    </row>
    <row r="51" spans="2:14" s="185" customFormat="1" ht="12.75" customHeight="1" x14ac:dyDescent="0.2">
      <c r="B51" s="68" t="s">
        <v>32</v>
      </c>
      <c r="C51" s="462" t="s">
        <v>361</v>
      </c>
    </row>
    <row r="52" spans="2:14" s="185" customFormat="1" ht="12.75" customHeight="1" x14ac:dyDescent="0.2">
      <c r="B52" s="69" t="s">
        <v>31</v>
      </c>
      <c r="C52" s="462" t="s">
        <v>357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2:14" s="185" customFormat="1" ht="12.75" customHeight="1" x14ac:dyDescent="0.2">
      <c r="B53" s="69" t="s">
        <v>30</v>
      </c>
      <c r="C53" s="32" t="s">
        <v>382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2:14" ht="13.5" thickBot="1" x14ac:dyDescent="0.25"/>
    <row r="55" spans="2:14" x14ac:dyDescent="0.2">
      <c r="G55" s="53" t="s">
        <v>14</v>
      </c>
    </row>
    <row r="56" spans="2:14" x14ac:dyDescent="0.2">
      <c r="G56" s="52">
        <f>G17-SUM(G10:G15)</f>
        <v>0</v>
      </c>
    </row>
    <row r="57" spans="2:14" x14ac:dyDescent="0.2">
      <c r="G57" s="52">
        <f>G26-SUM(G20:G25)</f>
        <v>0</v>
      </c>
    </row>
    <row r="58" spans="2:14" x14ac:dyDescent="0.2">
      <c r="G58" s="52">
        <f>G36-SUM(G29:G34)</f>
        <v>0</v>
      </c>
    </row>
    <row r="59" spans="2:14" ht="13.5" thickBot="1" x14ac:dyDescent="0.25">
      <c r="G59" s="51">
        <f>G45-SUM(G39:G44)</f>
        <v>0</v>
      </c>
    </row>
    <row r="63" spans="2:14" x14ac:dyDescent="0.2">
      <c r="I63" s="161"/>
      <c r="J63" s="455"/>
    </row>
    <row r="64" spans="2:14" x14ac:dyDescent="0.2">
      <c r="G64" s="161"/>
    </row>
    <row r="68" spans="7:10" x14ac:dyDescent="0.2">
      <c r="G68" s="161"/>
    </row>
    <row r="70" spans="7:10" x14ac:dyDescent="0.2">
      <c r="J70" s="455"/>
    </row>
    <row r="72" spans="7:10" x14ac:dyDescent="0.2">
      <c r="J72" s="455"/>
    </row>
  </sheetData>
  <mergeCells count="5">
    <mergeCell ref="C8:D8"/>
    <mergeCell ref="B1:N1"/>
    <mergeCell ref="B2:N2"/>
    <mergeCell ref="B3:N3"/>
    <mergeCell ref="B4:N4"/>
  </mergeCells>
  <printOptions horizontalCentered="1"/>
  <pageMargins left="0.75" right="0.75" top="1" bottom="1" header="0.5" footer="0.5"/>
  <pageSetup scale="71" orientation="landscape" blackAndWhite="1" horizontalDpi="300" verticalDpi="300" r:id="rId1"/>
  <headerFooter alignWithMargins="0">
    <oddFooter>&amp;L&amp;F 
&amp;A&amp;C&amp;P&amp;R&amp;D</oddFooter>
  </headerFooter>
  <rowBreaks count="1" manualBreakCount="1">
    <brk id="53" min="1" max="13" man="1"/>
  </rowBreaks>
  <colBreaks count="1" manualBreakCount="1">
    <brk id="13" max="1048575" man="1"/>
  </colBreaks>
  <ignoredErrors>
    <ignoredError sqref="E16 E35" formulaRange="1"/>
    <ignoredError sqref="J17 J26 J36 J4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81"/>
  <sheetViews>
    <sheetView zoomScale="90" zoomScaleNormal="90" workbookViewId="0">
      <selection activeCell="K9" sqref="K9"/>
    </sheetView>
  </sheetViews>
  <sheetFormatPr defaultColWidth="8.85546875" defaultRowHeight="12.75" x14ac:dyDescent="0.2"/>
  <cols>
    <col min="1" max="1" width="3.140625" style="186" customWidth="1"/>
    <col min="2" max="2" width="4.5703125" style="186" customWidth="1"/>
    <col min="3" max="3" width="24.140625" style="186" customWidth="1"/>
    <col min="4" max="4" width="9" style="186" bestFit="1" customWidth="1"/>
    <col min="5" max="5" width="13.85546875" style="186" customWidth="1"/>
    <col min="6" max="6" width="14.5703125" style="186" bestFit="1" customWidth="1"/>
    <col min="7" max="7" width="13.5703125" style="186" customWidth="1"/>
    <col min="8" max="10" width="13.5703125" style="185" customWidth="1"/>
    <col min="11" max="11" width="13.85546875" style="185" customWidth="1"/>
    <col min="12" max="12" width="15.42578125" style="185" bestFit="1" customWidth="1"/>
    <col min="13" max="20" width="9.140625" style="186" customWidth="1"/>
    <col min="21" max="16384" width="8.85546875" style="186"/>
  </cols>
  <sheetData>
    <row r="1" spans="2:17" ht="15" customHeight="1" x14ac:dyDescent="0.2">
      <c r="C1" s="530" t="s">
        <v>13</v>
      </c>
      <c r="D1" s="530"/>
      <c r="E1" s="530"/>
      <c r="F1" s="530"/>
      <c r="G1" s="530"/>
      <c r="H1" s="530"/>
      <c r="I1" s="530"/>
      <c r="J1" s="530"/>
      <c r="K1" s="530"/>
      <c r="L1" s="530"/>
      <c r="M1" s="76"/>
      <c r="N1" s="154"/>
      <c r="O1" s="50"/>
      <c r="P1" s="50"/>
      <c r="Q1" s="50"/>
    </row>
    <row r="2" spans="2:17" s="185" customFormat="1" ht="15" customHeight="1" x14ac:dyDescent="0.2">
      <c r="C2" s="5" t="s">
        <v>355</v>
      </c>
      <c r="D2" s="5"/>
      <c r="E2" s="5"/>
      <c r="F2" s="5"/>
      <c r="G2" s="5"/>
      <c r="H2" s="5"/>
      <c r="I2" s="5"/>
      <c r="J2" s="5"/>
      <c r="K2" s="5"/>
      <c r="L2" s="5"/>
      <c r="M2" s="465"/>
      <c r="N2" s="466"/>
      <c r="O2" s="32"/>
      <c r="P2" s="32"/>
      <c r="Q2" s="32"/>
    </row>
    <row r="3" spans="2:17" s="185" customFormat="1" ht="15" customHeight="1" x14ac:dyDescent="0.2">
      <c r="C3" s="4" t="s">
        <v>360</v>
      </c>
      <c r="D3" s="4"/>
      <c r="E3" s="4"/>
      <c r="F3" s="4"/>
      <c r="G3" s="4"/>
      <c r="H3" s="4"/>
      <c r="I3" s="4"/>
      <c r="J3" s="4"/>
      <c r="K3" s="4"/>
      <c r="L3" s="4"/>
      <c r="M3" s="32"/>
      <c r="N3" s="466"/>
      <c r="O3" s="32"/>
      <c r="P3" s="32"/>
      <c r="Q3" s="32"/>
    </row>
    <row r="5" spans="2:17" x14ac:dyDescent="0.2">
      <c r="G5" s="348"/>
      <c r="L5" s="186"/>
    </row>
    <row r="6" spans="2:17" x14ac:dyDescent="0.2">
      <c r="E6" s="20" t="s">
        <v>333</v>
      </c>
      <c r="F6" s="348" t="str">
        <f>$E$6</f>
        <v>UG-180900</v>
      </c>
      <c r="G6" s="348" t="str">
        <f>$E$6</f>
        <v>UG-180900</v>
      </c>
      <c r="H6" s="450" t="s">
        <v>100</v>
      </c>
      <c r="I6" s="450" t="s">
        <v>9</v>
      </c>
      <c r="J6" s="450" t="s">
        <v>0</v>
      </c>
      <c r="K6" s="471">
        <v>2019</v>
      </c>
      <c r="L6" s="42">
        <f>+K6</f>
        <v>2019</v>
      </c>
      <c r="M6" s="42"/>
    </row>
    <row r="7" spans="2:17" x14ac:dyDescent="0.2">
      <c r="D7" s="348" t="s">
        <v>12</v>
      </c>
      <c r="E7" s="187" t="s">
        <v>11</v>
      </c>
      <c r="F7" s="187" t="s">
        <v>99</v>
      </c>
      <c r="G7" s="42" t="s">
        <v>47</v>
      </c>
      <c r="H7" s="187" t="s">
        <v>101</v>
      </c>
      <c r="I7" s="187" t="s">
        <v>48</v>
      </c>
      <c r="J7" s="187" t="s">
        <v>47</v>
      </c>
      <c r="K7" s="187" t="s">
        <v>11</v>
      </c>
      <c r="L7" s="187" t="s">
        <v>39</v>
      </c>
      <c r="M7" s="187"/>
    </row>
    <row r="8" spans="2:17" ht="14.25" x14ac:dyDescent="0.2">
      <c r="B8" s="349" t="s">
        <v>38</v>
      </c>
      <c r="C8" s="349" t="s">
        <v>8</v>
      </c>
      <c r="D8" s="349" t="s">
        <v>7</v>
      </c>
      <c r="E8" s="49" t="s">
        <v>92</v>
      </c>
      <c r="F8" s="49" t="s">
        <v>102</v>
      </c>
      <c r="G8" s="349" t="s">
        <v>45</v>
      </c>
      <c r="H8" s="49" t="s">
        <v>103</v>
      </c>
      <c r="I8" s="49" t="s">
        <v>104</v>
      </c>
      <c r="J8" s="49" t="s">
        <v>45</v>
      </c>
      <c r="K8" s="49" t="s">
        <v>105</v>
      </c>
      <c r="L8" s="49" t="s">
        <v>106</v>
      </c>
      <c r="M8" s="187"/>
    </row>
    <row r="9" spans="2:17" x14ac:dyDescent="0.2">
      <c r="B9" s="348">
        <v>1</v>
      </c>
      <c r="C9" s="30" t="s">
        <v>5</v>
      </c>
      <c r="D9" s="348" t="s">
        <v>26</v>
      </c>
      <c r="E9" s="320">
        <f>SUM('Exh. JAP-6 Pages 2-6'!E10,'Exh. JAP-6 Pages 2-6'!E15)</f>
        <v>603105848.20999992</v>
      </c>
      <c r="F9" s="321">
        <f>SUM('Exh. JAP-6 Pages 2-6'!J11,'Exh. JAP-6 Pages 2-6'!J16)</f>
        <v>326085731.25058764</v>
      </c>
      <c r="G9" s="35">
        <f>F9/E9</f>
        <v>0.54067744860773659</v>
      </c>
      <c r="H9" s="463">
        <v>1.9710000000000002E-2</v>
      </c>
      <c r="I9" s="463">
        <v>1.8800000000000001E-2</v>
      </c>
      <c r="J9" s="184">
        <f>SUM(G9:I9)</f>
        <v>0.57918744860773663</v>
      </c>
      <c r="K9" s="18">
        <v>625129422.53001368</v>
      </c>
      <c r="L9" s="44">
        <f>J9*K9</f>
        <v>362067115.2847864</v>
      </c>
      <c r="M9" s="8"/>
      <c r="P9" s="473"/>
    </row>
    <row r="10" spans="2:17" x14ac:dyDescent="0.2">
      <c r="B10" s="348"/>
      <c r="C10" s="30"/>
      <c r="D10" s="348"/>
      <c r="E10" s="320"/>
      <c r="F10" s="321"/>
      <c r="H10" s="463"/>
      <c r="I10" s="463"/>
      <c r="K10" s="158"/>
      <c r="L10" s="186"/>
      <c r="M10" s="166"/>
    </row>
    <row r="11" spans="2:17" x14ac:dyDescent="0.2">
      <c r="B11" s="348">
        <f>B9+1</f>
        <v>2</v>
      </c>
      <c r="C11" s="189" t="s">
        <v>25</v>
      </c>
      <c r="D11" s="348"/>
      <c r="E11" s="320"/>
      <c r="F11" s="321"/>
      <c r="H11" s="463"/>
      <c r="I11" s="463"/>
      <c r="K11" s="158"/>
      <c r="L11" s="186"/>
      <c r="M11" s="166"/>
    </row>
    <row r="12" spans="2:17" x14ac:dyDescent="0.2">
      <c r="B12" s="348">
        <f t="shared" ref="B12:B27" si="0">B11+1</f>
        <v>3</v>
      </c>
      <c r="C12" s="48" t="s">
        <v>44</v>
      </c>
      <c r="D12" s="348" t="s">
        <v>35</v>
      </c>
      <c r="E12" s="322">
        <f>SUM('Exh. JAP-6 Pages 2-6'!E24,'Exh. JAP-6 Pages 2-6'!E30)</f>
        <v>228648146.23999998</v>
      </c>
      <c r="F12" s="321">
        <f>SUM('Exh. JAP-6 Pages 2-6'!J26,'Exh. JAP-6 Pages 2-6'!J32)</f>
        <v>96377829.310000002</v>
      </c>
      <c r="G12" s="35">
        <f>F12/E12</f>
        <v>0.42151152718656748</v>
      </c>
      <c r="H12" s="463">
        <v>2.1250000000000002E-2</v>
      </c>
      <c r="I12" s="463">
        <v>1.7100000000000001E-2</v>
      </c>
      <c r="J12" s="184">
        <f>SUM(G12:I12)</f>
        <v>0.45986152718656748</v>
      </c>
      <c r="K12" s="18">
        <f>239258322.476176+26176.32</f>
        <v>239284498.79617599</v>
      </c>
      <c r="L12" s="44">
        <f>J12*K12</f>
        <v>110037735.04848185</v>
      </c>
      <c r="M12" s="8"/>
      <c r="P12" s="473"/>
    </row>
    <row r="13" spans="2:17" x14ac:dyDescent="0.2">
      <c r="B13" s="348"/>
      <c r="C13" s="189"/>
      <c r="D13" s="187"/>
      <c r="E13" s="322"/>
      <c r="F13" s="321"/>
      <c r="H13" s="463"/>
      <c r="I13" s="463"/>
      <c r="K13" s="158"/>
      <c r="L13" s="44"/>
      <c r="M13" s="8"/>
    </row>
    <row r="14" spans="2:17" x14ac:dyDescent="0.2">
      <c r="B14" s="348">
        <f>B12+1</f>
        <v>4</v>
      </c>
      <c r="C14" s="30" t="s">
        <v>24</v>
      </c>
      <c r="D14" s="348" t="s">
        <v>34</v>
      </c>
      <c r="E14" s="320">
        <f>SUM('Exh. JAP-6 Pages 2-6'!E47,'Exh. JAP-6 Pages 2-6'!E61)</f>
        <v>83221117.535999998</v>
      </c>
      <c r="F14" s="321">
        <f>SUM('Exh. JAP-6 Pages 2-6'!J50,'Exh. JAP-6 Pages 2-6'!J63)</f>
        <v>19528481.84</v>
      </c>
      <c r="G14" s="35">
        <f>F14/E14</f>
        <v>0.23465776978484243</v>
      </c>
      <c r="H14" s="463">
        <v>7.5500000000000003E-3</v>
      </c>
      <c r="I14" s="463">
        <v>1.0240000000000001E-2</v>
      </c>
      <c r="J14" s="184">
        <f>SUM(G14:I14)</f>
        <v>0.25244776978484246</v>
      </c>
      <c r="K14" s="18">
        <f>67060083.3878515+22090868.79</f>
        <v>89150952.177851498</v>
      </c>
      <c r="L14" s="44">
        <f>J14*K14</f>
        <v>22505959.051493753</v>
      </c>
      <c r="M14" s="8"/>
      <c r="P14" s="473"/>
    </row>
    <row r="15" spans="2:17" x14ac:dyDescent="0.2">
      <c r="B15" s="348"/>
      <c r="C15" s="30"/>
      <c r="D15" s="348"/>
      <c r="E15" s="320"/>
      <c r="F15" s="321"/>
      <c r="G15" s="35"/>
      <c r="H15" s="463"/>
      <c r="I15" s="463"/>
      <c r="J15" s="184"/>
      <c r="K15" s="14"/>
      <c r="L15" s="44"/>
      <c r="M15" s="8"/>
    </row>
    <row r="16" spans="2:17" x14ac:dyDescent="0.2">
      <c r="B16" s="348">
        <f>B14+1</f>
        <v>5</v>
      </c>
      <c r="C16" s="30" t="s">
        <v>43</v>
      </c>
      <c r="D16" s="348" t="s">
        <v>33</v>
      </c>
      <c r="E16" s="320">
        <f>SUM('Exh. JAP-6 Pages 2-6'!E99,'Exh. JAP-6 Pages 2-6'!E110)</f>
        <v>9461905.2420000006</v>
      </c>
      <c r="F16" s="321">
        <f>SUM('Exh. JAP-6 Pages 2-6'!J100,'Exh. JAP-6 Pages 2-6'!J111)</f>
        <v>2161413.63</v>
      </c>
      <c r="G16" s="35">
        <f>F16/E16</f>
        <v>0.22843323566651291</v>
      </c>
      <c r="H16" s="463">
        <v>7.8900000000000012E-3</v>
      </c>
      <c r="I16" s="463">
        <v>8.1100000000000009E-3</v>
      </c>
      <c r="J16" s="184">
        <f>SUM(G16:I16)</f>
        <v>0.24443323566651293</v>
      </c>
      <c r="K16" s="18">
        <f>8127146.51259433+414869.86</f>
        <v>8542016.3725943305</v>
      </c>
      <c r="L16" s="44">
        <f>J16*K16</f>
        <v>2087952.7010695618</v>
      </c>
      <c r="M16" s="8"/>
      <c r="P16" s="473"/>
    </row>
    <row r="17" spans="2:23" x14ac:dyDescent="0.2">
      <c r="B17" s="348"/>
      <c r="C17" s="30"/>
      <c r="D17" s="348"/>
      <c r="E17" s="322"/>
      <c r="F17" s="321"/>
      <c r="H17" s="463"/>
      <c r="I17" s="463"/>
      <c r="K17" s="158"/>
      <c r="L17" s="44"/>
      <c r="M17" s="8"/>
    </row>
    <row r="18" spans="2:23" x14ac:dyDescent="0.2">
      <c r="B18" s="348">
        <f>B16+1</f>
        <v>6</v>
      </c>
      <c r="C18" s="30" t="s">
        <v>4</v>
      </c>
      <c r="D18" s="348"/>
      <c r="E18" s="323"/>
      <c r="F18" s="323"/>
      <c r="H18" s="463"/>
      <c r="I18" s="463"/>
      <c r="K18" s="158"/>
      <c r="L18" s="44"/>
      <c r="M18" s="8"/>
    </row>
    <row r="19" spans="2:23" x14ac:dyDescent="0.2">
      <c r="B19" s="348">
        <f t="shared" si="0"/>
        <v>7</v>
      </c>
      <c r="C19" s="45" t="s">
        <v>4</v>
      </c>
      <c r="D19" s="348">
        <v>85</v>
      </c>
      <c r="E19" s="320">
        <f>'Exh. JAP-6 Pages 2-6'!E75</f>
        <v>16307789.426000001</v>
      </c>
      <c r="F19" s="321">
        <f>'Exh. JAP-6 Pages 2-6'!J76</f>
        <v>1724544.4</v>
      </c>
      <c r="G19" s="35">
        <f>F19/E19</f>
        <v>0.10574973437236727</v>
      </c>
      <c r="H19" s="463">
        <v>4.3800000000000002E-3</v>
      </c>
      <c r="I19" s="463">
        <v>5.5500000000000002E-3</v>
      </c>
      <c r="J19" s="184">
        <f>SUM(G19:I19)</f>
        <v>0.11567973437236727</v>
      </c>
      <c r="K19" s="18">
        <v>14481186.540293716</v>
      </c>
      <c r="L19" s="44">
        <f>J19*K19</f>
        <v>1675179.8123778773</v>
      </c>
      <c r="M19" s="8"/>
      <c r="P19" s="473"/>
    </row>
    <row r="20" spans="2:23" x14ac:dyDescent="0.2">
      <c r="B20" s="348">
        <f t="shared" si="0"/>
        <v>8</v>
      </c>
      <c r="C20" s="43" t="s">
        <v>42</v>
      </c>
      <c r="D20" s="42">
        <v>87</v>
      </c>
      <c r="E20" s="320">
        <f>'Exh. JAP-6 Pages 2-6'!E126</f>
        <v>23273158.627999999</v>
      </c>
      <c r="F20" s="324">
        <f>'Exh. JAP-6 Pages 2-6'!J127</f>
        <v>1186047.02</v>
      </c>
      <c r="G20" s="35">
        <f>F20/E20</f>
        <v>5.0962013320059778E-2</v>
      </c>
      <c r="H20" s="467">
        <v>2.31E-3</v>
      </c>
      <c r="I20" s="467">
        <v>3.3400000000000001E-3</v>
      </c>
      <c r="J20" s="184">
        <f>SUM(G20:I20)</f>
        <v>5.661201332005978E-2</v>
      </c>
      <c r="K20" s="18">
        <v>22517790.818000004</v>
      </c>
      <c r="L20" s="44">
        <f>J20*K20</f>
        <v>1274777.4737269359</v>
      </c>
      <c r="M20" s="8"/>
      <c r="P20" s="473"/>
    </row>
    <row r="21" spans="2:23" x14ac:dyDescent="0.2">
      <c r="B21" s="348">
        <f t="shared" si="0"/>
        <v>9</v>
      </c>
      <c r="C21" s="43" t="s">
        <v>1</v>
      </c>
      <c r="D21" s="42"/>
      <c r="E21" s="47">
        <f t="shared" ref="E21" si="1">SUM(E19:E20)</f>
        <v>39580948.053999998</v>
      </c>
      <c r="F21" s="36">
        <f t="shared" ref="F21" si="2">SUM(F19:F20)</f>
        <v>2910591.42</v>
      </c>
      <c r="G21" s="35"/>
      <c r="H21" s="467"/>
      <c r="I21" s="467"/>
      <c r="J21" s="184"/>
      <c r="K21" s="47">
        <f>SUM(K19:K20)</f>
        <v>36998977.35829372</v>
      </c>
      <c r="L21" s="168">
        <f>SUM(L19:L20)</f>
        <v>2949957.2861048132</v>
      </c>
      <c r="M21" s="8"/>
      <c r="P21" s="473"/>
    </row>
    <row r="22" spans="2:23" x14ac:dyDescent="0.2">
      <c r="B22" s="348"/>
      <c r="C22" s="43"/>
      <c r="D22" s="42"/>
      <c r="E22" s="173"/>
      <c r="F22" s="26"/>
      <c r="G22" s="35"/>
      <c r="H22" s="467"/>
      <c r="I22" s="467"/>
      <c r="J22" s="184"/>
      <c r="K22" s="173"/>
      <c r="L22" s="8"/>
      <c r="M22" s="8"/>
    </row>
    <row r="23" spans="2:23" x14ac:dyDescent="0.2">
      <c r="B23" s="348">
        <f>B21+1</f>
        <v>10</v>
      </c>
      <c r="C23" s="37" t="s">
        <v>22</v>
      </c>
      <c r="D23" s="42"/>
      <c r="E23" s="46"/>
      <c r="F23" s="27"/>
      <c r="H23" s="467"/>
      <c r="I23" s="467"/>
      <c r="K23" s="158"/>
      <c r="L23" s="44"/>
      <c r="M23" s="8"/>
    </row>
    <row r="24" spans="2:23" x14ac:dyDescent="0.2">
      <c r="B24" s="348">
        <f t="shared" si="0"/>
        <v>11</v>
      </c>
      <c r="C24" s="45" t="s">
        <v>4</v>
      </c>
      <c r="D24" s="42" t="s">
        <v>3</v>
      </c>
      <c r="E24" s="320">
        <f>'Exh. JAP-6 Pages 2-6'!E87</f>
        <v>76582587.120000005</v>
      </c>
      <c r="F24" s="324">
        <f>'Exh. JAP-6 Pages 2-6'!J88</f>
        <v>7243181.0999999996</v>
      </c>
      <c r="G24" s="35">
        <f t="shared" ref="G24:G25" si="3">F24/E24</f>
        <v>9.4580000133064182E-2</v>
      </c>
      <c r="H24" s="467">
        <v>4.3800000000000002E-3</v>
      </c>
      <c r="I24" s="467">
        <v>5.5500000000000002E-3</v>
      </c>
      <c r="J24" s="184">
        <f t="shared" ref="J24:J25" si="4">SUM(G24:I24)</f>
        <v>0.10451000013306418</v>
      </c>
      <c r="K24" s="18">
        <v>73081776.895000011</v>
      </c>
      <c r="L24" s="44">
        <f>J24*K24</f>
        <v>7637776.5130210174</v>
      </c>
      <c r="M24" s="8"/>
      <c r="P24" s="473"/>
    </row>
    <row r="25" spans="2:23" x14ac:dyDescent="0.2">
      <c r="B25" s="348">
        <f t="shared" si="0"/>
        <v>12</v>
      </c>
      <c r="C25" s="43" t="s">
        <v>42</v>
      </c>
      <c r="D25" s="42" t="s">
        <v>2</v>
      </c>
      <c r="E25" s="320">
        <f>'Exh. JAP-6 Pages 2-6'!E141</f>
        <v>103884321.25000001</v>
      </c>
      <c r="F25" s="324">
        <f>'Exh. JAP-6 Pages 2-6'!J142</f>
        <v>3669607.42</v>
      </c>
      <c r="G25" s="35">
        <f t="shared" si="3"/>
        <v>3.5323977438029411E-2</v>
      </c>
      <c r="H25" s="467">
        <v>2.31E-3</v>
      </c>
      <c r="I25" s="467">
        <v>3.3400000000000001E-3</v>
      </c>
      <c r="J25" s="184">
        <f t="shared" si="4"/>
        <v>4.0973977438029413E-2</v>
      </c>
      <c r="K25" s="18">
        <v>95710053.639999986</v>
      </c>
      <c r="L25" s="41">
        <f>J25*K25</f>
        <v>3921621.5784379444</v>
      </c>
      <c r="M25" s="8"/>
      <c r="P25" s="473"/>
    </row>
    <row r="26" spans="2:23" x14ac:dyDescent="0.2">
      <c r="B26" s="348">
        <f t="shared" si="0"/>
        <v>13</v>
      </c>
      <c r="C26" s="37" t="s">
        <v>41</v>
      </c>
      <c r="D26" s="42"/>
      <c r="E26" s="40">
        <f t="shared" ref="E26" si="5">SUM(E24:E25)</f>
        <v>180466908.37</v>
      </c>
      <c r="F26" s="39">
        <f t="shared" ref="F26" si="6">SUM(F24:F25)</f>
        <v>10912788.52</v>
      </c>
      <c r="G26" s="35"/>
      <c r="H26" s="468"/>
      <c r="J26" s="184"/>
      <c r="K26" s="40">
        <f>SUM(K24:K25)</f>
        <v>168791830.535</v>
      </c>
      <c r="L26" s="38">
        <f>SUM(L24:L25)</f>
        <v>11559398.091458961</v>
      </c>
      <c r="M26" s="75"/>
      <c r="P26" s="473"/>
    </row>
    <row r="27" spans="2:23" x14ac:dyDescent="0.2">
      <c r="B27" s="348">
        <f t="shared" si="0"/>
        <v>14</v>
      </c>
      <c r="C27" s="37" t="s">
        <v>0</v>
      </c>
      <c r="D27" s="37"/>
      <c r="E27" s="167">
        <f t="shared" ref="E27" si="7">E9+E12+E14+E16+E21+E26</f>
        <v>1144484873.652</v>
      </c>
      <c r="F27" s="168">
        <f t="shared" ref="F27" si="8">F9+F12+F14+F16+F21+F26</f>
        <v>457976835.97058761</v>
      </c>
      <c r="G27" s="35"/>
      <c r="H27" s="469"/>
      <c r="J27" s="184"/>
      <c r="K27" s="47">
        <f>K9+K12+K14+K16+K21+K26</f>
        <v>1167897697.7699294</v>
      </c>
      <c r="L27" s="168">
        <f>L9+L12+L14+L16+L21+L26</f>
        <v>511208117.46339536</v>
      </c>
      <c r="M27" s="8"/>
      <c r="P27" s="473"/>
    </row>
    <row r="28" spans="2:23" x14ac:dyDescent="0.2">
      <c r="C28" s="30"/>
      <c r="D28" s="30"/>
      <c r="E28" s="34"/>
      <c r="F28" s="33"/>
      <c r="G28" s="33"/>
      <c r="H28" s="190"/>
      <c r="L28" s="186"/>
      <c r="M28" s="166"/>
    </row>
    <row r="29" spans="2:23" x14ac:dyDescent="0.2">
      <c r="C29" s="30"/>
      <c r="D29" s="30"/>
      <c r="E29" s="34"/>
      <c r="F29" s="33"/>
      <c r="G29" s="33"/>
      <c r="H29" s="190"/>
      <c r="I29" s="190"/>
      <c r="M29" s="166"/>
    </row>
    <row r="30" spans="2:23" s="185" customFormat="1" x14ac:dyDescent="0.2">
      <c r="B30" s="32" t="s">
        <v>334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R30" s="188"/>
      <c r="S30" s="188"/>
      <c r="T30" s="188"/>
      <c r="U30" s="188"/>
      <c r="V30" s="188"/>
      <c r="W30" s="188"/>
    </row>
    <row r="31" spans="2:23" s="185" customFormat="1" x14ac:dyDescent="0.2">
      <c r="B31" s="32" t="s">
        <v>335</v>
      </c>
      <c r="D31" s="31"/>
      <c r="E31" s="31"/>
      <c r="F31" s="31"/>
      <c r="G31" s="31"/>
      <c r="H31" s="23"/>
      <c r="I31" s="31"/>
      <c r="J31" s="31"/>
      <c r="K31" s="31"/>
      <c r="L31" s="31"/>
      <c r="M31" s="31"/>
      <c r="N31" s="31"/>
      <c r="R31" s="188"/>
      <c r="S31" s="188"/>
      <c r="T31" s="188"/>
      <c r="U31" s="188"/>
      <c r="V31" s="188"/>
      <c r="W31" s="188"/>
    </row>
    <row r="32" spans="2:23" s="185" customFormat="1" x14ac:dyDescent="0.2">
      <c r="B32" s="29" t="s">
        <v>383</v>
      </c>
      <c r="D32" s="31"/>
      <c r="E32" s="31"/>
      <c r="F32" s="31"/>
      <c r="G32" s="31"/>
      <c r="H32" s="23"/>
      <c r="I32" s="31"/>
      <c r="J32" s="31"/>
      <c r="K32" s="31"/>
      <c r="L32" s="31"/>
      <c r="M32" s="31"/>
      <c r="N32" s="31"/>
      <c r="R32" s="188"/>
      <c r="S32" s="188"/>
      <c r="T32" s="188"/>
      <c r="U32" s="188"/>
      <c r="V32" s="188"/>
      <c r="W32" s="188"/>
    </row>
    <row r="33" spans="2:23" s="185" customFormat="1" x14ac:dyDescent="0.2">
      <c r="B33" s="29" t="s">
        <v>384</v>
      </c>
      <c r="D33" s="31"/>
      <c r="E33" s="31"/>
      <c r="F33" s="31"/>
      <c r="G33" s="31"/>
      <c r="H33" s="23"/>
      <c r="I33" s="31"/>
      <c r="J33" s="31"/>
      <c r="K33" s="31"/>
      <c r="L33" s="31"/>
      <c r="M33" s="31"/>
      <c r="N33" s="31"/>
      <c r="R33" s="188"/>
      <c r="S33" s="188"/>
      <c r="T33" s="188"/>
      <c r="U33" s="188"/>
      <c r="V33" s="188"/>
      <c r="W33" s="188"/>
    </row>
    <row r="34" spans="2:23" s="185" customFormat="1" x14ac:dyDescent="0.2">
      <c r="B34" s="462" t="s">
        <v>385</v>
      </c>
      <c r="D34" s="450"/>
      <c r="E34" s="187"/>
      <c r="F34" s="187"/>
      <c r="G34" s="187"/>
      <c r="H34" s="187"/>
      <c r="I34" s="187"/>
      <c r="J34" s="187"/>
      <c r="K34" s="29"/>
      <c r="L34" s="29"/>
      <c r="M34" s="29"/>
      <c r="N34" s="29"/>
      <c r="R34" s="188"/>
      <c r="S34" s="188"/>
      <c r="T34" s="188"/>
      <c r="U34" s="188"/>
      <c r="V34" s="188"/>
      <c r="W34" s="188"/>
    </row>
    <row r="35" spans="2:23" s="185" customFormat="1" x14ac:dyDescent="0.2">
      <c r="B35" s="462" t="s">
        <v>386</v>
      </c>
      <c r="D35" s="29"/>
      <c r="E35" s="29"/>
      <c r="F35" s="29"/>
      <c r="G35" s="29"/>
      <c r="H35" s="23"/>
      <c r="I35" s="29"/>
      <c r="J35" s="29"/>
      <c r="K35" s="29"/>
      <c r="L35" s="29"/>
      <c r="M35" s="29"/>
      <c r="N35" s="29"/>
      <c r="R35" s="188"/>
      <c r="S35" s="188"/>
      <c r="T35" s="188"/>
      <c r="U35" s="188"/>
      <c r="V35" s="188"/>
      <c r="W35" s="188"/>
    </row>
    <row r="36" spans="2:23" x14ac:dyDescent="0.2">
      <c r="C36" s="29"/>
      <c r="D36" s="30"/>
      <c r="E36" s="30"/>
      <c r="F36" s="30"/>
      <c r="G36" s="30"/>
      <c r="H36" s="23"/>
      <c r="I36" s="29"/>
      <c r="J36" s="29"/>
      <c r="K36" s="29"/>
      <c r="L36" s="29"/>
      <c r="M36" s="30"/>
      <c r="N36" s="30"/>
      <c r="R36" s="166"/>
      <c r="S36" s="166"/>
      <c r="T36" s="166"/>
      <c r="U36" s="166"/>
      <c r="V36" s="166"/>
      <c r="W36" s="166"/>
    </row>
    <row r="37" spans="2:23" x14ac:dyDescent="0.2">
      <c r="C37" s="29"/>
      <c r="D37" s="30"/>
      <c r="E37" s="30"/>
      <c r="F37" s="30"/>
      <c r="G37" s="30"/>
      <c r="H37" s="23"/>
      <c r="I37" s="29"/>
      <c r="J37" s="29"/>
      <c r="K37" s="29"/>
      <c r="L37" s="29"/>
      <c r="M37" s="30"/>
      <c r="N37" s="30"/>
      <c r="R37" s="166"/>
      <c r="S37" s="166"/>
      <c r="T37" s="166"/>
      <c r="U37" s="166"/>
      <c r="V37" s="166"/>
      <c r="W37" s="166"/>
    </row>
    <row r="38" spans="2:23" x14ac:dyDescent="0.2">
      <c r="C38" s="29"/>
      <c r="D38" s="30"/>
      <c r="E38" s="30"/>
      <c r="F38" s="30"/>
      <c r="G38" s="30"/>
      <c r="H38" s="23"/>
      <c r="I38" s="29"/>
      <c r="J38" s="29"/>
      <c r="K38" s="29"/>
      <c r="L38" s="29"/>
      <c r="M38" s="30"/>
      <c r="N38" s="30"/>
      <c r="R38" s="166"/>
      <c r="S38" s="166"/>
      <c r="T38" s="166"/>
      <c r="U38" s="166"/>
      <c r="V38" s="166"/>
      <c r="W38" s="166"/>
    </row>
    <row r="39" spans="2:23" x14ac:dyDescent="0.2">
      <c r="C39" s="29"/>
      <c r="D39" s="30"/>
      <c r="E39" s="30"/>
      <c r="F39" s="30"/>
      <c r="G39" s="30"/>
      <c r="H39" s="23"/>
      <c r="I39" s="29"/>
      <c r="J39" s="29"/>
      <c r="K39" s="29"/>
      <c r="L39" s="29"/>
      <c r="M39" s="30"/>
      <c r="N39" s="30"/>
      <c r="R39" s="166"/>
      <c r="S39" s="166"/>
      <c r="T39" s="166"/>
      <c r="U39" s="166"/>
      <c r="V39" s="166"/>
      <c r="W39" s="166"/>
    </row>
    <row r="40" spans="2:23" x14ac:dyDescent="0.2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66"/>
      <c r="P40" s="166"/>
      <c r="Q40" s="166"/>
      <c r="R40" s="28"/>
      <c r="S40" s="166"/>
      <c r="T40" s="166"/>
      <c r="U40" s="166"/>
      <c r="V40" s="166"/>
      <c r="W40" s="166"/>
    </row>
    <row r="41" spans="2:23" x14ac:dyDescent="0.2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166"/>
      <c r="P41" s="166"/>
      <c r="Q41" s="28"/>
      <c r="R41" s="28"/>
      <c r="S41" s="166"/>
      <c r="T41" s="166"/>
      <c r="U41" s="166"/>
      <c r="V41" s="166"/>
      <c r="W41" s="166"/>
    </row>
    <row r="42" spans="2:23" x14ac:dyDescent="0.2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66"/>
      <c r="P42" s="166"/>
      <c r="Q42" s="34"/>
      <c r="R42" s="28"/>
      <c r="S42" s="166"/>
      <c r="T42" s="166"/>
      <c r="U42" s="166"/>
      <c r="V42" s="166"/>
      <c r="W42" s="166"/>
    </row>
    <row r="43" spans="2:23" x14ac:dyDescent="0.2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166"/>
      <c r="P43" s="166"/>
      <c r="Q43" s="28"/>
      <c r="R43" s="23"/>
      <c r="S43" s="166"/>
      <c r="T43" s="166"/>
      <c r="U43" s="166"/>
      <c r="V43" s="166"/>
      <c r="W43" s="166"/>
    </row>
    <row r="44" spans="2:23" x14ac:dyDescent="0.2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66"/>
      <c r="P44" s="166"/>
      <c r="Q44" s="28"/>
      <c r="R44" s="28"/>
      <c r="S44" s="166"/>
      <c r="T44" s="166"/>
      <c r="U44" s="166"/>
      <c r="V44" s="166"/>
      <c r="W44" s="166"/>
    </row>
    <row r="45" spans="2:23" x14ac:dyDescent="0.2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66"/>
      <c r="P45" s="166"/>
      <c r="Q45" s="34"/>
      <c r="R45" s="28"/>
      <c r="S45" s="166"/>
      <c r="T45" s="166"/>
      <c r="U45" s="166"/>
      <c r="V45" s="166"/>
      <c r="W45" s="166"/>
    </row>
    <row r="46" spans="2:23" x14ac:dyDescent="0.2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66"/>
      <c r="P46" s="166"/>
      <c r="Q46" s="166"/>
      <c r="R46" s="28"/>
    </row>
    <row r="47" spans="2:23" x14ac:dyDescent="0.2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66"/>
      <c r="P47" s="166"/>
      <c r="Q47" s="166"/>
      <c r="R47" s="28"/>
    </row>
    <row r="48" spans="2:23" x14ac:dyDescent="0.2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66"/>
      <c r="P48" s="166"/>
      <c r="Q48" s="166"/>
      <c r="R48" s="28"/>
    </row>
    <row r="49" spans="5:18" x14ac:dyDescent="0.2"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66"/>
      <c r="P49" s="166"/>
      <c r="Q49" s="166"/>
      <c r="R49" s="28"/>
    </row>
    <row r="50" spans="5:18" x14ac:dyDescent="0.2"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66"/>
      <c r="P50" s="166"/>
      <c r="Q50" s="166"/>
      <c r="R50" s="28"/>
    </row>
    <row r="51" spans="5:18" x14ac:dyDescent="0.2"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66"/>
      <c r="P51" s="166"/>
      <c r="Q51" s="166"/>
      <c r="R51" s="28"/>
    </row>
    <row r="52" spans="5:18" x14ac:dyDescent="0.2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66"/>
      <c r="P52" s="166"/>
      <c r="Q52" s="166"/>
      <c r="R52" s="28"/>
    </row>
    <row r="53" spans="5:18" x14ac:dyDescent="0.2">
      <c r="E53" s="188"/>
      <c r="F53" s="27"/>
      <c r="G53" s="27"/>
      <c r="H53" s="27"/>
      <c r="I53" s="27"/>
      <c r="J53" s="188"/>
      <c r="K53" s="188"/>
      <c r="L53" s="188"/>
      <c r="M53" s="188"/>
      <c r="N53" s="188"/>
      <c r="O53" s="166"/>
      <c r="P53" s="166"/>
      <c r="Q53" s="166"/>
      <c r="R53" s="28"/>
    </row>
    <row r="54" spans="5:18" x14ac:dyDescent="0.2">
      <c r="E54" s="188"/>
      <c r="F54" s="26"/>
      <c r="G54" s="26"/>
      <c r="H54" s="26"/>
      <c r="I54" s="26"/>
      <c r="J54" s="188"/>
      <c r="K54" s="188"/>
      <c r="L54" s="188"/>
      <c r="M54" s="188"/>
      <c r="N54" s="188"/>
      <c r="O54" s="166"/>
      <c r="P54" s="166"/>
      <c r="Q54" s="166"/>
      <c r="R54" s="28"/>
    </row>
    <row r="55" spans="5:18" x14ac:dyDescent="0.2">
      <c r="E55" s="188"/>
      <c r="F55" s="188"/>
      <c r="G55" s="188"/>
      <c r="H55" s="188"/>
      <c r="I55" s="188"/>
      <c r="J55" s="188"/>
      <c r="K55" s="188"/>
      <c r="L55" s="188"/>
      <c r="M55" s="23"/>
      <c r="N55" s="23"/>
      <c r="O55" s="166"/>
      <c r="P55" s="166"/>
      <c r="Q55" s="166"/>
      <c r="R55" s="28"/>
    </row>
    <row r="56" spans="5:18" x14ac:dyDescent="0.2">
      <c r="E56" s="188"/>
      <c r="F56" s="25"/>
      <c r="G56" s="25"/>
      <c r="H56" s="188"/>
      <c r="I56" s="25"/>
      <c r="J56" s="188"/>
      <c r="K56" s="25"/>
      <c r="L56" s="188"/>
      <c r="M56" s="23"/>
      <c r="N56" s="25"/>
      <c r="O56" s="166"/>
      <c r="P56" s="166"/>
      <c r="Q56" s="166"/>
      <c r="R56" s="166"/>
    </row>
    <row r="57" spans="5:18" x14ac:dyDescent="0.2">
      <c r="E57" s="188"/>
      <c r="F57" s="25"/>
      <c r="G57" s="25"/>
      <c r="H57" s="188"/>
      <c r="I57" s="25"/>
      <c r="J57" s="23"/>
      <c r="K57" s="25"/>
      <c r="L57" s="23"/>
      <c r="M57" s="23"/>
      <c r="N57" s="25"/>
      <c r="O57" s="166"/>
      <c r="P57" s="166"/>
      <c r="Q57" s="166"/>
      <c r="R57" s="166"/>
    </row>
    <row r="58" spans="5:18" x14ac:dyDescent="0.2">
      <c r="E58" s="188"/>
      <c r="F58" s="25"/>
      <c r="G58" s="25"/>
      <c r="H58" s="188"/>
      <c r="I58" s="25"/>
      <c r="J58" s="23"/>
      <c r="K58" s="25"/>
      <c r="L58" s="23"/>
      <c r="M58" s="23"/>
      <c r="N58" s="23"/>
      <c r="O58" s="166"/>
      <c r="P58" s="166"/>
      <c r="Q58" s="166"/>
      <c r="R58" s="166"/>
    </row>
    <row r="59" spans="5:18" x14ac:dyDescent="0.2">
      <c r="E59" s="26"/>
      <c r="F59" s="188"/>
      <c r="G59" s="188"/>
      <c r="H59" s="188"/>
      <c r="I59" s="188"/>
      <c r="J59" s="23"/>
      <c r="K59" s="25"/>
      <c r="L59" s="23"/>
      <c r="M59" s="23"/>
      <c r="N59" s="23"/>
      <c r="O59" s="166"/>
      <c r="P59" s="166"/>
      <c r="Q59" s="166"/>
      <c r="R59" s="166"/>
    </row>
    <row r="60" spans="5:18" x14ac:dyDescent="0.2">
      <c r="E60" s="188"/>
      <c r="F60" s="188"/>
      <c r="G60" s="188"/>
      <c r="H60" s="188"/>
      <c r="I60" s="188"/>
      <c r="J60" s="23"/>
      <c r="K60" s="25"/>
      <c r="L60" s="23"/>
      <c r="M60" s="23"/>
      <c r="N60" s="23"/>
      <c r="O60" s="166"/>
      <c r="P60" s="166"/>
      <c r="Q60" s="166"/>
      <c r="R60" s="166"/>
    </row>
    <row r="61" spans="5:18" x14ac:dyDescent="0.2">
      <c r="E61" s="188"/>
      <c r="F61" s="188"/>
      <c r="G61" s="188"/>
      <c r="H61" s="188"/>
      <c r="I61" s="188"/>
      <c r="J61" s="188"/>
      <c r="K61" s="25"/>
      <c r="L61" s="23"/>
      <c r="M61" s="23"/>
      <c r="N61" s="23"/>
      <c r="O61" s="166"/>
      <c r="P61" s="166"/>
      <c r="Q61" s="166"/>
      <c r="R61" s="166"/>
    </row>
    <row r="62" spans="5:18" x14ac:dyDescent="0.2">
      <c r="E62" s="188"/>
      <c r="F62" s="188"/>
      <c r="G62" s="188"/>
      <c r="H62" s="188"/>
      <c r="I62" s="188"/>
      <c r="J62" s="188"/>
      <c r="K62" s="188"/>
      <c r="L62" s="23"/>
      <c r="M62" s="23"/>
      <c r="N62" s="23"/>
      <c r="O62" s="166"/>
      <c r="P62" s="166"/>
      <c r="Q62" s="166"/>
      <c r="R62" s="166"/>
    </row>
    <row r="63" spans="5:18" x14ac:dyDescent="0.2">
      <c r="E63" s="188"/>
      <c r="F63" s="188"/>
      <c r="G63" s="188"/>
      <c r="H63" s="188"/>
      <c r="I63" s="188"/>
      <c r="J63" s="23"/>
      <c r="K63" s="23"/>
      <c r="L63" s="23"/>
      <c r="M63" s="23"/>
      <c r="N63" s="23"/>
      <c r="O63" s="166"/>
      <c r="P63" s="166"/>
      <c r="Q63" s="169"/>
      <c r="R63" s="166"/>
    </row>
    <row r="64" spans="5:18" x14ac:dyDescent="0.2">
      <c r="E64" s="188"/>
      <c r="F64" s="25"/>
      <c r="G64" s="25"/>
      <c r="H64" s="470"/>
      <c r="I64" s="25"/>
      <c r="J64" s="25"/>
      <c r="K64" s="25"/>
      <c r="L64" s="25"/>
      <c r="M64" s="25"/>
      <c r="N64" s="25"/>
      <c r="O64" s="169"/>
      <c r="P64" s="169"/>
      <c r="Q64" s="24"/>
      <c r="R64" s="166"/>
    </row>
    <row r="65" spans="5:18" x14ac:dyDescent="0.2">
      <c r="E65" s="188"/>
      <c r="F65" s="25"/>
      <c r="G65" s="25"/>
      <c r="H65" s="470"/>
      <c r="I65" s="25"/>
      <c r="J65" s="25"/>
      <c r="K65" s="25"/>
      <c r="L65" s="25"/>
      <c r="M65" s="25"/>
      <c r="N65" s="25"/>
      <c r="O65" s="169"/>
      <c r="P65" s="169"/>
      <c r="Q65" s="169"/>
      <c r="R65" s="166"/>
    </row>
    <row r="66" spans="5:18" x14ac:dyDescent="0.2">
      <c r="E66" s="188"/>
      <c r="F66" s="25"/>
      <c r="G66" s="25"/>
      <c r="H66" s="470"/>
      <c r="I66" s="25"/>
      <c r="J66" s="25"/>
      <c r="K66" s="23"/>
      <c r="L66" s="25"/>
      <c r="M66" s="25"/>
      <c r="N66" s="25"/>
      <c r="O66" s="169"/>
      <c r="P66" s="169"/>
      <c r="Q66" s="169"/>
      <c r="R66" s="166"/>
    </row>
    <row r="67" spans="5:18" x14ac:dyDescent="0.2">
      <c r="E67" s="188"/>
      <c r="F67" s="25"/>
      <c r="G67" s="25"/>
      <c r="H67" s="25"/>
      <c r="I67" s="25"/>
      <c r="J67" s="25"/>
      <c r="K67" s="25"/>
      <c r="L67" s="25"/>
      <c r="M67" s="25"/>
      <c r="N67" s="25"/>
      <c r="O67" s="169"/>
      <c r="P67" s="169"/>
      <c r="Q67" s="169"/>
      <c r="R67" s="166"/>
    </row>
    <row r="68" spans="5:18" x14ac:dyDescent="0.2">
      <c r="E68" s="166"/>
      <c r="F68" s="169"/>
      <c r="G68" s="169"/>
      <c r="H68" s="25"/>
      <c r="I68" s="25"/>
      <c r="J68" s="25"/>
      <c r="K68" s="25"/>
      <c r="L68" s="25"/>
      <c r="M68" s="169"/>
      <c r="N68" s="169"/>
      <c r="O68" s="169"/>
      <c r="P68" s="169"/>
      <c r="Q68" s="166"/>
      <c r="R68" s="166"/>
    </row>
    <row r="69" spans="5:18" x14ac:dyDescent="0.2">
      <c r="E69" s="166"/>
      <c r="F69" s="166"/>
      <c r="G69" s="166"/>
      <c r="H69" s="187"/>
      <c r="I69" s="188"/>
      <c r="J69" s="23"/>
      <c r="K69" s="23"/>
      <c r="L69" s="23"/>
      <c r="M69" s="28"/>
      <c r="N69" s="28"/>
      <c r="O69" s="166"/>
      <c r="P69" s="166"/>
      <c r="Q69" s="166"/>
      <c r="R69" s="166"/>
    </row>
    <row r="70" spans="5:18" x14ac:dyDescent="0.2">
      <c r="E70" s="166"/>
      <c r="F70" s="166"/>
      <c r="G70" s="166"/>
      <c r="H70" s="187"/>
      <c r="I70" s="188"/>
      <c r="J70" s="23"/>
      <c r="K70" s="23"/>
      <c r="L70" s="23"/>
      <c r="M70" s="28"/>
      <c r="N70" s="28"/>
      <c r="O70" s="28"/>
      <c r="P70" s="166"/>
      <c r="Q70" s="166"/>
      <c r="R70" s="166"/>
    </row>
    <row r="71" spans="5:18" x14ac:dyDescent="0.2">
      <c r="J71" s="22"/>
      <c r="K71" s="22"/>
      <c r="L71" s="22"/>
      <c r="M71" s="21"/>
      <c r="N71" s="21"/>
      <c r="O71" s="21"/>
    </row>
    <row r="72" spans="5:18" x14ac:dyDescent="0.2">
      <c r="J72" s="22"/>
      <c r="K72" s="22"/>
      <c r="L72" s="22"/>
      <c r="M72" s="21"/>
      <c r="N72" s="21"/>
      <c r="O72" s="21"/>
    </row>
    <row r="73" spans="5:18" x14ac:dyDescent="0.2">
      <c r="J73" s="22"/>
      <c r="K73" s="22"/>
      <c r="L73" s="22"/>
      <c r="M73" s="21"/>
      <c r="N73" s="21"/>
      <c r="O73" s="21"/>
    </row>
    <row r="74" spans="5:18" x14ac:dyDescent="0.2">
      <c r="F74" s="21"/>
      <c r="G74" s="21"/>
      <c r="I74" s="22"/>
      <c r="J74" s="22"/>
      <c r="K74" s="22"/>
      <c r="L74" s="22"/>
      <c r="M74" s="21"/>
      <c r="N74" s="21"/>
      <c r="O74" s="21"/>
    </row>
    <row r="75" spans="5:18" x14ac:dyDescent="0.2">
      <c r="F75" s="193"/>
      <c r="G75" s="193"/>
      <c r="I75" s="191"/>
      <c r="J75" s="22"/>
      <c r="K75" s="22"/>
      <c r="L75" s="22"/>
      <c r="M75" s="21"/>
      <c r="N75" s="21"/>
      <c r="O75" s="21"/>
    </row>
    <row r="76" spans="5:18" x14ac:dyDescent="0.2">
      <c r="F76" s="193"/>
      <c r="G76" s="193"/>
      <c r="I76" s="191"/>
      <c r="J76" s="22"/>
      <c r="K76" s="22"/>
      <c r="L76" s="22"/>
      <c r="M76" s="21"/>
      <c r="N76" s="21"/>
      <c r="O76" s="21"/>
    </row>
    <row r="77" spans="5:18" x14ac:dyDescent="0.2">
      <c r="F77" s="193"/>
      <c r="G77" s="193"/>
      <c r="I77" s="191"/>
      <c r="J77" s="22"/>
      <c r="K77" s="22"/>
      <c r="L77" s="22"/>
      <c r="M77" s="21"/>
      <c r="N77" s="21"/>
      <c r="O77" s="21"/>
    </row>
    <row r="78" spans="5:18" x14ac:dyDescent="0.2">
      <c r="J78" s="22"/>
      <c r="K78" s="22"/>
      <c r="L78" s="22"/>
      <c r="M78" s="21"/>
      <c r="N78" s="21"/>
      <c r="O78" s="21"/>
    </row>
    <row r="79" spans="5:18" x14ac:dyDescent="0.2">
      <c r="J79" s="22"/>
      <c r="K79" s="22"/>
      <c r="L79" s="22"/>
      <c r="M79" s="21"/>
      <c r="N79" s="21"/>
      <c r="O79" s="21"/>
    </row>
    <row r="80" spans="5:18" x14ac:dyDescent="0.2">
      <c r="J80" s="22"/>
      <c r="K80" s="22"/>
      <c r="L80" s="22"/>
      <c r="M80" s="21"/>
      <c r="N80" s="21"/>
      <c r="O80" s="21"/>
    </row>
    <row r="81" spans="10:13" x14ac:dyDescent="0.2">
      <c r="J81" s="22"/>
      <c r="K81" s="22"/>
      <c r="L81" s="22"/>
      <c r="M81" s="21"/>
    </row>
  </sheetData>
  <mergeCells count="3">
    <mergeCell ref="C1:L1"/>
    <mergeCell ref="C2:L2"/>
    <mergeCell ref="C3:L3"/>
  </mergeCells>
  <printOptions horizontalCentered="1"/>
  <pageMargins left="0.5" right="0.5" top="1" bottom="1" header="0.5" footer="0.5"/>
  <pageSetup scale="87" orientation="landscape" blackAndWhite="1" horizontalDpi="300" verticalDpi="300" r:id="rId1"/>
  <headerFooter alignWithMargins="0">
    <oddFooter>&amp;L&amp;F 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D7DCA0F3AF74499DD7AA863ECACB72" ma:contentTypeVersion="44" ma:contentTypeDescription="" ma:contentTypeScope="" ma:versionID="f1d2a0f034709384b7b80bf5ce0700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2020-08-31T07:00:00+00:00</OpenedDate>
    <SignificantOrder xmlns="dc463f71-b30c-4ab2-9473-d307f9d35888">false</SignificantOrder>
    <Date1 xmlns="dc463f71-b30c-4ab2-9473-d307f9d35888">2020-08-31T07:00:00+00:00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200771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6CABACD-17BE-4A2B-B451-717857C633D4}"/>
</file>

<file path=customXml/itemProps2.xml><?xml version="1.0" encoding="utf-8"?>
<ds:datastoreItem xmlns:ds="http://schemas.openxmlformats.org/officeDocument/2006/customXml" ds:itemID="{674E3F1B-E126-4F2B-A997-BB6A54A5FFF5}"/>
</file>

<file path=customXml/itemProps3.xml><?xml version="1.0" encoding="utf-8"?>
<ds:datastoreItem xmlns:ds="http://schemas.openxmlformats.org/officeDocument/2006/customXml" ds:itemID="{E380CB73-220B-44ED-8765-80BB454E394D}"/>
</file>

<file path=customXml/itemProps4.xml><?xml version="1.0" encoding="utf-8"?>
<ds:datastoreItem xmlns:ds="http://schemas.openxmlformats.org/officeDocument/2006/customXml" ds:itemID="{0ECAFB0B-CEA6-40E2-8B1B-8ED4DF7763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Rates</vt:lpstr>
      <vt:lpstr>Rate Impacts--&gt;</vt:lpstr>
      <vt:lpstr>Rate Impacts Sch129</vt:lpstr>
      <vt:lpstr>Typical Res Bill</vt:lpstr>
      <vt:lpstr>Avg Per Therm </vt:lpstr>
      <vt:lpstr>Schedule 129</vt:lpstr>
      <vt:lpstr>Work Papers--&gt;</vt:lpstr>
      <vt:lpstr>Sch 85 87 Rate Calc</vt:lpstr>
      <vt:lpstr>Margin Revenue</vt:lpstr>
      <vt:lpstr>Revenue Req 2020-2021</vt:lpstr>
      <vt:lpstr>Exh. JAP-6 Pages 2-6</vt:lpstr>
      <vt:lpstr>'Avg Per Therm '!Print_Area</vt:lpstr>
      <vt:lpstr>'Exh. JAP-6 Pages 2-6'!Print_Area</vt:lpstr>
      <vt:lpstr>'Margin Revenue'!Print_Area</vt:lpstr>
      <vt:lpstr>'Rate Impacts Sch129'!Print_Area</vt:lpstr>
      <vt:lpstr>Rates!Print_Area</vt:lpstr>
      <vt:lpstr>'Sch 85 87 Rate Calc'!Print_Area</vt:lpstr>
      <vt:lpstr>'Schedule 129'!Print_Area</vt:lpstr>
      <vt:lpstr>'Typical Res Bill'!Print_Area</vt:lpstr>
      <vt:lpstr>'Exh. JAP-6 Pages 2-6'!Print_Titles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Paul Schmidt</cp:lastModifiedBy>
  <cp:lastPrinted>2020-08-12T23:08:32Z</cp:lastPrinted>
  <dcterms:created xsi:type="dcterms:W3CDTF">2016-08-18T16:48:49Z</dcterms:created>
  <dcterms:modified xsi:type="dcterms:W3CDTF">2020-08-12T23:08:42Z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0x0101006E56B4D1795A2E4DB2F0B01679ED314A0070D7DCA0F3AF74499DD7AA863ECACB72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